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20" yWindow="570" windowWidth="15480" windowHeight="11640" activeTab="2"/>
  </bookViews>
  <sheets>
    <sheet name="Entradas" sheetId="2" r:id="rId1"/>
    <sheet name="Salidas" sheetId="3" r:id="rId2"/>
    <sheet name="Ventas" sheetId="1" r:id="rId3"/>
    <sheet name="Ventas detalle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</externalReferences>
  <definedNames>
    <definedName name="_xlnm._FilterDatabase" localSheetId="0" hidden="1">Entradas!$A$1:$B$125</definedName>
    <definedName name="_xlnm._FilterDatabase" localSheetId="1" hidden="1">Salidas!$B$1:$B$179</definedName>
    <definedName name="_xlnm.Print_Area" localSheetId="1">Salidas!$B$1:$B$200</definedName>
    <definedName name="_xlnm.Print_Area" localSheetId="2">Ventas!$B$2:$B$246</definedName>
    <definedName name="_xlnm.Print_Area" localSheetId="3">'Ventas detalle'!$B$2:$B$335</definedName>
    <definedName name="_xlnm.Print_Titles" localSheetId="0">Entradas!$B:$B</definedName>
    <definedName name="Z_49227DB0_CE85_40C1_97E3_05BD293396BC_.wvu.FilterData" localSheetId="0" hidden="1">Entradas!$A$1:$B$125</definedName>
    <definedName name="Z_49227DB0_CE85_40C1_97E3_05BD293396BC_.wvu.FilterData" localSheetId="1" hidden="1">Salidas!$B$1:$B$179</definedName>
    <definedName name="Z_49227DB0_CE85_40C1_97E3_05BD293396BC_.wvu.PrintArea" localSheetId="1" hidden="1">Salidas!$B$1:$B$200</definedName>
    <definedName name="Z_49227DB0_CE85_40C1_97E3_05BD293396BC_.wvu.PrintArea" localSheetId="2" hidden="1">Ventas!$B$2:$B$246</definedName>
    <definedName name="Z_49227DB0_CE85_40C1_97E3_05BD293396BC_.wvu.PrintArea" localSheetId="3" hidden="1">'Ventas detalle'!$B$2:$B$335</definedName>
    <definedName name="Z_49227DB0_CE85_40C1_97E3_05BD293396BC_.wvu.PrintTitles" localSheetId="0" hidden="1">Entradas!$B:$B</definedName>
    <definedName name="Z_647493D2_94D8_4E56_BEE8_B2C37B6B1FFF_.wvu.FilterData" localSheetId="0" hidden="1">Entradas!$A$1:$B$125</definedName>
    <definedName name="Z_647493D2_94D8_4E56_BEE8_B2C37B6B1FFF_.wvu.FilterData" localSheetId="1" hidden="1">Salidas!$B$1:$B$179</definedName>
    <definedName name="Z_647493D2_94D8_4E56_BEE8_B2C37B6B1FFF_.wvu.PrintArea" localSheetId="0" hidden="1">Entradas!$A$1:$B$174</definedName>
    <definedName name="Z_647493D2_94D8_4E56_BEE8_B2C37B6B1FFF_.wvu.PrintArea" localSheetId="1" hidden="1">Salidas!$A$1:$B$173</definedName>
    <definedName name="Z_647493D2_94D8_4E56_BEE8_B2C37B6B1FFF_.wvu.PrintArea" localSheetId="2" hidden="1">Ventas!$A$2:$B$234</definedName>
    <definedName name="Z_647493D2_94D8_4E56_BEE8_B2C37B6B1FFF_.wvu.PrintArea" localSheetId="3" hidden="1">'Ventas detalle'!$A$2:$B$321</definedName>
    <definedName name="Z_647493D2_94D8_4E56_BEE8_B2C37B6B1FFF_.wvu.PrintTitles" localSheetId="0" hidden="1">Entradas!$B:$B</definedName>
    <definedName name="Z_7C4C8CB7_097D_4D84_B918_C1C53F9BC5D9_.wvu.FilterData" localSheetId="0" hidden="1">Entradas!$A$1:$B$125</definedName>
    <definedName name="Z_7C4C8CB7_097D_4D84_B918_C1C53F9BC5D9_.wvu.FilterData" localSheetId="1" hidden="1">Salidas!$B$1:$B$179</definedName>
    <definedName name="Z_7C4C8CB7_097D_4D84_B918_C1C53F9BC5D9_.wvu.PrintArea" localSheetId="1" hidden="1">Salidas!$B$1:$B$200</definedName>
    <definedName name="Z_7C4C8CB7_097D_4D84_B918_C1C53F9BC5D9_.wvu.PrintArea" localSheetId="2" hidden="1">Ventas!$B$2:$B$246</definedName>
    <definedName name="Z_7C4C8CB7_097D_4D84_B918_C1C53F9BC5D9_.wvu.PrintArea" localSheetId="3" hidden="1">'Ventas detalle'!$B$2:$B$335</definedName>
    <definedName name="Z_7C4C8CB7_097D_4D84_B918_C1C53F9BC5D9_.wvu.PrintTitles" localSheetId="0" hidden="1">Entradas!$B:$B</definedName>
    <definedName name="Z_908C4906_732C_44E1_9B79_8534D37786B4_.wvu.FilterData" localSheetId="0" hidden="1">Entradas!$A$1:$B$125</definedName>
    <definedName name="Z_908C4906_732C_44E1_9B79_8534D37786B4_.wvu.FilterData" localSheetId="1" hidden="1">Salidas!$B$1:$B$179</definedName>
    <definedName name="Z_908C4906_732C_44E1_9B79_8534D37786B4_.wvu.PrintArea" localSheetId="0" hidden="1">Entradas!$A$1:$B$174</definedName>
    <definedName name="Z_908C4906_732C_44E1_9B79_8534D37786B4_.wvu.PrintArea" localSheetId="1" hidden="1">Salidas!$A$1:$B$173</definedName>
    <definedName name="Z_908C4906_732C_44E1_9B79_8534D37786B4_.wvu.PrintArea" localSheetId="2" hidden="1">Ventas!$A$2:$B$234</definedName>
    <definedName name="Z_908C4906_732C_44E1_9B79_8534D37786B4_.wvu.PrintArea" localSheetId="3" hidden="1">'Ventas detalle'!$A$2:$B$321</definedName>
    <definedName name="Z_908C4906_732C_44E1_9B79_8534D37786B4_.wvu.PrintTitles" localSheetId="0" hidden="1">Entradas!$B:$B</definedName>
    <definedName name="Z_9CCEB12D_7506_4C24_A88C_6720CB0226C9_.wvu.FilterData" localSheetId="0" hidden="1">Entradas!$A$1:$B$125</definedName>
    <definedName name="Z_9CCEB12D_7506_4C24_A88C_6720CB0226C9_.wvu.FilterData" localSheetId="1" hidden="1">Salidas!$B$1:$B$179</definedName>
    <definedName name="Z_9CCEB12D_7506_4C24_A88C_6720CB0226C9_.wvu.PrintArea" localSheetId="0" hidden="1">Entradas!$A$1:$B$174</definedName>
    <definedName name="Z_9CCEB12D_7506_4C24_A88C_6720CB0226C9_.wvu.PrintArea" localSheetId="1" hidden="1">Salidas!$A$1:$B$173</definedName>
    <definedName name="Z_9CCEB12D_7506_4C24_A88C_6720CB0226C9_.wvu.PrintArea" localSheetId="2" hidden="1">Ventas!$A$2:$B$234</definedName>
    <definedName name="Z_9CCEB12D_7506_4C24_A88C_6720CB0226C9_.wvu.PrintArea" localSheetId="3" hidden="1">'Ventas detalle'!$A$2:$B$321</definedName>
    <definedName name="Z_9CCEB12D_7506_4C24_A88C_6720CB0226C9_.wvu.PrintTitles" localSheetId="0" hidden="1">Entradas!$B:$B</definedName>
    <definedName name="Z_F458E9CE_89F8_4AC8_8815_C42982D0B712_.wvu.FilterData" localSheetId="0" hidden="1">Entradas!$A$1:$B$125</definedName>
    <definedName name="Z_F458E9CE_89F8_4AC8_8815_C42982D0B712_.wvu.FilterData" localSheetId="1" hidden="1">Salidas!$B$1:$B$179</definedName>
    <definedName name="Z_F458E9CE_89F8_4AC8_8815_C42982D0B712_.wvu.PrintArea" localSheetId="1" hidden="1">Salidas!$B$1:$B$200</definedName>
    <definedName name="Z_F458E9CE_89F8_4AC8_8815_C42982D0B712_.wvu.PrintArea" localSheetId="2" hidden="1">Ventas!$B$2:$B$246</definedName>
    <definedName name="Z_F458E9CE_89F8_4AC8_8815_C42982D0B712_.wvu.PrintArea" localSheetId="3" hidden="1">'Ventas detalle'!$B$2:$B$335</definedName>
    <definedName name="Z_F458E9CE_89F8_4AC8_8815_C42982D0B712_.wvu.PrintTitles" localSheetId="0" hidden="1">Entradas!$B:$B</definedName>
  </definedNames>
  <calcPr calcId="145621"/>
  <customWorkbookViews>
    <customWorkbookView name="Administrador - Vista personalizada" guid="{908C4906-732C-44E1-9B79-8534D37786B4}" mergeInterval="0" personalView="1" maximized="1" windowWidth="796" windowHeight="463" tabRatio="601" activeSheetId="1"/>
    <customWorkbookView name="sandra-chavez - Vista personalizada" guid="{F458E9CE-89F8-4AC8-8815-C42982D0B712}" mergeInterval="0" personalView="1" xWindow="515" yWindow="24" windowWidth="499" windowHeight="548" tabRatio="601" activeSheetId="1"/>
    <customWorkbookView name="martha-cabanzo - Vista personalizada" guid="{7C4C8CB7-097D-4D84-B918-C1C53F9BC5D9}" mergeInterval="0" personalView="1" maximized="1" windowWidth="796" windowHeight="411" tabRatio="601" activeSheetId="2" showComments="commIndAndComment"/>
    <customWorkbookView name="Martha Lucía Cabanzo Vargas - Vista personalizada" guid="{9CCEB12D-7506-4C24-A88C-6720CB0226C9}" mergeInterval="0" personalView="1" maximized="1" windowWidth="1020" windowHeight="472" tabRatio="601" activeSheetId="1"/>
    <customWorkbookView name="alexander-puentes - Vista personalizada" guid="{647493D2-94D8-4E56-BEE8-B2C37B6B1FFF}" mergeInterval="0" personalView="1" maximized="1" windowWidth="1020" windowHeight="618" tabRatio="601" activeSheetId="2"/>
    <customWorkbookView name="luis-bejaran - Vista personalizada" guid="{49227DB0-CE85-40C1-97E3-05BD293396BC}" mergeInterval="0" personalView="1" maximized="1" windowWidth="1276" windowHeight="796" tabRatio="485" activeSheetId="3"/>
  </customWorkbookViews>
</workbook>
</file>

<file path=xl/calcChain.xml><?xml version="1.0" encoding="utf-8"?>
<calcChain xmlns="http://schemas.openxmlformats.org/spreadsheetml/2006/main">
  <c r="CX337" i="5" l="1"/>
  <c r="CZ333" i="5"/>
  <c r="CY333" i="5"/>
  <c r="CX333" i="5"/>
  <c r="CZ317" i="5"/>
  <c r="CY317" i="5"/>
  <c r="CX317" i="5"/>
  <c r="CZ316" i="5"/>
  <c r="CY316" i="5"/>
  <c r="CX316" i="5"/>
  <c r="CZ315" i="5"/>
  <c r="CY315" i="5"/>
  <c r="CX315" i="5"/>
  <c r="CZ314" i="5"/>
  <c r="CY314" i="5"/>
  <c r="CX314" i="5"/>
  <c r="CZ313" i="5"/>
  <c r="CY313" i="5"/>
  <c r="CX313" i="5"/>
  <c r="CZ312" i="5"/>
  <c r="CY312" i="5"/>
  <c r="CX312" i="5"/>
  <c r="CZ311" i="5"/>
  <c r="CY311" i="5"/>
  <c r="CX311" i="5"/>
  <c r="CZ310" i="5"/>
  <c r="CY310" i="5"/>
  <c r="CX310" i="5"/>
  <c r="CZ309" i="5"/>
  <c r="CY309" i="5"/>
  <c r="CX309" i="5"/>
  <c r="CZ308" i="5"/>
  <c r="CY308" i="5"/>
  <c r="CX308" i="5"/>
  <c r="CZ307" i="5"/>
  <c r="CY307" i="5"/>
  <c r="CX307" i="5"/>
  <c r="CZ306" i="5"/>
  <c r="CY306" i="5"/>
  <c r="CX306" i="5"/>
  <c r="CZ305" i="5"/>
  <c r="CY305" i="5"/>
  <c r="CX305" i="5"/>
  <c r="CZ304" i="5"/>
  <c r="CY304" i="5"/>
  <c r="CX304" i="5"/>
  <c r="CZ303" i="5"/>
  <c r="CY303" i="5"/>
  <c r="CX303" i="5"/>
  <c r="CZ302" i="5"/>
  <c r="CY302" i="5"/>
  <c r="CX302" i="5"/>
  <c r="CZ301" i="5"/>
  <c r="CY301" i="5"/>
  <c r="CX301" i="5"/>
  <c r="CZ300" i="5"/>
  <c r="CY300" i="5"/>
  <c r="CX300" i="5"/>
  <c r="CZ299" i="5"/>
  <c r="CY299" i="5"/>
  <c r="CX299" i="5"/>
  <c r="CZ298" i="5"/>
  <c r="CY298" i="5"/>
  <c r="CX298" i="5"/>
  <c r="CZ297" i="5"/>
  <c r="CY297" i="5"/>
  <c r="CX297" i="5"/>
  <c r="CZ296" i="5"/>
  <c r="CY296" i="5"/>
  <c r="CX296" i="5"/>
  <c r="CZ295" i="5"/>
  <c r="CY295" i="5"/>
  <c r="CX295" i="5"/>
  <c r="CZ294" i="5"/>
  <c r="CY294" i="5"/>
  <c r="CX294" i="5"/>
  <c r="CZ293" i="5"/>
  <c r="CY293" i="5"/>
  <c r="CX293" i="5"/>
  <c r="CZ292" i="5"/>
  <c r="CY292" i="5"/>
  <c r="CZ291" i="5"/>
  <c r="CY291" i="5"/>
  <c r="CX291" i="5"/>
  <c r="CZ290" i="5"/>
  <c r="CY290" i="5"/>
  <c r="CX290" i="5"/>
  <c r="CZ289" i="5"/>
  <c r="CY289" i="5"/>
  <c r="CX289" i="5"/>
  <c r="CZ288" i="5"/>
  <c r="CY288" i="5"/>
  <c r="CX288" i="5"/>
  <c r="CZ287" i="5"/>
  <c r="CY287" i="5"/>
  <c r="CX287" i="5"/>
  <c r="CZ286" i="5"/>
  <c r="CY286" i="5"/>
  <c r="CX286" i="5"/>
  <c r="CZ285" i="5"/>
  <c r="CY285" i="5"/>
  <c r="CX285" i="5"/>
  <c r="CZ284" i="5"/>
  <c r="CY284" i="5"/>
  <c r="CX284" i="5"/>
  <c r="CZ283" i="5"/>
  <c r="CY283" i="5"/>
  <c r="CX283" i="5"/>
  <c r="CZ282" i="5"/>
  <c r="CY282" i="5"/>
  <c r="CX282" i="5"/>
  <c r="CZ281" i="5"/>
  <c r="CY281" i="5"/>
  <c r="CX281" i="5"/>
  <c r="CZ280" i="5"/>
  <c r="CY280" i="5"/>
  <c r="CX280" i="5"/>
  <c r="CZ279" i="5"/>
  <c r="CY279" i="5"/>
  <c r="CX279" i="5"/>
  <c r="CZ278" i="5"/>
  <c r="CY278" i="5"/>
  <c r="CX278" i="5"/>
  <c r="CZ277" i="5"/>
  <c r="CY277" i="5"/>
  <c r="CX277" i="5"/>
  <c r="CZ276" i="5"/>
  <c r="CY276" i="5"/>
  <c r="CX276" i="5"/>
  <c r="CZ275" i="5"/>
  <c r="CY275" i="5"/>
  <c r="CX275" i="5"/>
  <c r="CZ274" i="5"/>
  <c r="CY274" i="5"/>
  <c r="CX274" i="5"/>
  <c r="CZ273" i="5"/>
  <c r="CY273" i="5"/>
  <c r="CX273" i="5"/>
  <c r="CZ272" i="5"/>
  <c r="CY272" i="5"/>
  <c r="CX272" i="5"/>
  <c r="CZ271" i="5"/>
  <c r="CY271" i="5"/>
  <c r="CX271" i="5"/>
  <c r="CZ270" i="5"/>
  <c r="CY270" i="5"/>
  <c r="CX270" i="5"/>
  <c r="CZ269" i="5"/>
  <c r="CY269" i="5"/>
  <c r="CX269" i="5"/>
  <c r="CZ268" i="5"/>
  <c r="CY268" i="5"/>
  <c r="CX268" i="5"/>
  <c r="CZ267" i="5"/>
  <c r="CY267" i="5"/>
  <c r="CX267" i="5"/>
  <c r="CZ266" i="5"/>
  <c r="CY266" i="5"/>
  <c r="CX266" i="5"/>
  <c r="CZ265" i="5"/>
  <c r="CY265" i="5"/>
  <c r="CX265" i="5"/>
  <c r="CZ264" i="5"/>
  <c r="CY264" i="5"/>
  <c r="CX264" i="5"/>
  <c r="CZ263" i="5"/>
  <c r="CY263" i="5"/>
  <c r="CX263" i="5"/>
  <c r="CZ262" i="5"/>
  <c r="CY262" i="5"/>
  <c r="CX262" i="5"/>
  <c r="CZ261" i="5"/>
  <c r="CY261" i="5"/>
  <c r="CX261" i="5"/>
  <c r="CZ260" i="5"/>
  <c r="CY260" i="5"/>
  <c r="CX260" i="5"/>
  <c r="CZ259" i="5"/>
  <c r="CY259" i="5"/>
  <c r="CX259" i="5"/>
  <c r="CZ258" i="5"/>
  <c r="CY258" i="5"/>
  <c r="CX258" i="5"/>
  <c r="CZ257" i="5"/>
  <c r="CY257" i="5"/>
  <c r="CX257" i="5"/>
  <c r="CZ256" i="5"/>
  <c r="CY256" i="5"/>
  <c r="CX256" i="5"/>
  <c r="CZ255" i="5"/>
  <c r="CY255" i="5"/>
  <c r="CX255" i="5"/>
  <c r="CZ254" i="5"/>
  <c r="CY254" i="5"/>
  <c r="CX254" i="5"/>
  <c r="CZ253" i="5"/>
  <c r="CY253" i="5"/>
  <c r="CX253" i="5"/>
  <c r="CZ252" i="5"/>
  <c r="CY252" i="5"/>
  <c r="CX252" i="5"/>
  <c r="CZ251" i="5"/>
  <c r="CY251" i="5"/>
  <c r="CX251" i="5"/>
  <c r="CZ250" i="5"/>
  <c r="CY250" i="5"/>
  <c r="CX250" i="5"/>
  <c r="CZ249" i="5"/>
  <c r="CY249" i="5"/>
  <c r="CX249" i="5"/>
  <c r="CZ248" i="5"/>
  <c r="CY248" i="5"/>
  <c r="CX248" i="5"/>
  <c r="CZ247" i="5"/>
  <c r="CY247" i="5"/>
  <c r="CX247" i="5"/>
  <c r="CZ246" i="5"/>
  <c r="CY246" i="5"/>
  <c r="CX246" i="5"/>
  <c r="CZ245" i="5"/>
  <c r="CY245" i="5"/>
  <c r="CX245" i="5"/>
  <c r="CZ244" i="5"/>
  <c r="CY244" i="5"/>
  <c r="CX244" i="5"/>
  <c r="CZ243" i="5"/>
  <c r="CY243" i="5"/>
  <c r="CX243" i="5"/>
  <c r="CZ242" i="5"/>
  <c r="CY242" i="5"/>
  <c r="CX242" i="5"/>
  <c r="CZ241" i="5"/>
  <c r="CY241" i="5"/>
  <c r="CX241" i="5"/>
  <c r="CZ240" i="5"/>
  <c r="CY240" i="5"/>
  <c r="CX240" i="5"/>
  <c r="CZ239" i="5"/>
  <c r="CY239" i="5"/>
  <c r="CX239" i="5"/>
  <c r="CZ238" i="5"/>
  <c r="CY238" i="5"/>
  <c r="CX238" i="5"/>
  <c r="CZ237" i="5"/>
  <c r="CY237" i="5"/>
  <c r="CX237" i="5"/>
  <c r="CZ236" i="5"/>
  <c r="CY236" i="5"/>
  <c r="CX236" i="5"/>
  <c r="CZ235" i="5"/>
  <c r="CY235" i="5"/>
  <c r="CX235" i="5"/>
  <c r="CZ234" i="5"/>
  <c r="CY234" i="5"/>
  <c r="CX234" i="5"/>
  <c r="CZ233" i="5"/>
  <c r="CY233" i="5"/>
  <c r="CX233" i="5"/>
  <c r="CZ232" i="5"/>
  <c r="CY232" i="5"/>
  <c r="CX232" i="5"/>
  <c r="CZ231" i="5"/>
  <c r="CY231" i="5"/>
  <c r="CX231" i="5"/>
  <c r="CZ230" i="5"/>
  <c r="CY230" i="5"/>
  <c r="CX230" i="5"/>
  <c r="CZ229" i="5"/>
  <c r="CY229" i="5"/>
  <c r="CX229" i="5"/>
  <c r="CZ228" i="5"/>
  <c r="CY228" i="5"/>
  <c r="CX228" i="5"/>
  <c r="CZ227" i="5"/>
  <c r="CY227" i="5"/>
  <c r="CX227" i="5"/>
  <c r="CZ226" i="5"/>
  <c r="CY226" i="5"/>
  <c r="CX226" i="5"/>
  <c r="CZ225" i="5"/>
  <c r="CY225" i="5"/>
  <c r="CX225" i="5"/>
  <c r="CZ224" i="5"/>
  <c r="CY224" i="5"/>
  <c r="CX224" i="5"/>
  <c r="CZ223" i="5"/>
  <c r="CY223" i="5"/>
  <c r="CX223" i="5"/>
  <c r="CZ222" i="5"/>
  <c r="CY222" i="5"/>
  <c r="CX222" i="5"/>
  <c r="CZ221" i="5"/>
  <c r="CY221" i="5"/>
  <c r="CX221" i="5"/>
  <c r="CZ220" i="5"/>
  <c r="CY220" i="5"/>
  <c r="CX220" i="5"/>
  <c r="CZ219" i="5"/>
  <c r="CY219" i="5"/>
  <c r="CX219" i="5"/>
  <c r="CZ218" i="5"/>
  <c r="CY218" i="5"/>
  <c r="CX218" i="5"/>
  <c r="CZ217" i="5"/>
  <c r="CY217" i="5"/>
  <c r="CX217" i="5"/>
  <c r="CZ216" i="5"/>
  <c r="CY216" i="5"/>
  <c r="CX216" i="5"/>
  <c r="CZ215" i="5"/>
  <c r="CY215" i="5"/>
  <c r="CX215" i="5"/>
  <c r="CZ214" i="5"/>
  <c r="CY214" i="5"/>
  <c r="CX214" i="5"/>
  <c r="CZ213" i="5"/>
  <c r="CY213" i="5"/>
  <c r="CX213" i="5"/>
  <c r="CZ212" i="5"/>
  <c r="CY212" i="5"/>
  <c r="CX212" i="5"/>
  <c r="CZ211" i="5"/>
  <c r="CY211" i="5"/>
  <c r="CX211" i="5"/>
  <c r="CZ210" i="5"/>
  <c r="CY210" i="5"/>
  <c r="CX210" i="5"/>
  <c r="CZ209" i="5"/>
  <c r="CY209" i="5"/>
  <c r="CX209" i="5"/>
  <c r="CZ208" i="5"/>
  <c r="CY208" i="5"/>
  <c r="CX208" i="5"/>
  <c r="CZ207" i="5"/>
  <c r="CY207" i="5"/>
  <c r="CX207" i="5"/>
  <c r="CZ206" i="5"/>
  <c r="CY206" i="5"/>
  <c r="CX206" i="5"/>
  <c r="CZ205" i="5"/>
  <c r="CY205" i="5"/>
  <c r="CX205" i="5"/>
  <c r="CZ204" i="5"/>
  <c r="CY204" i="5"/>
  <c r="CX204" i="5"/>
  <c r="CZ203" i="5"/>
  <c r="CY203" i="5"/>
  <c r="CX203" i="5"/>
  <c r="CZ202" i="5"/>
  <c r="CY202" i="5"/>
  <c r="CX202" i="5"/>
  <c r="CZ201" i="5"/>
  <c r="CY201" i="5"/>
  <c r="CX201" i="5"/>
  <c r="CZ200" i="5"/>
  <c r="CY200" i="5"/>
  <c r="CX200" i="5"/>
  <c r="CZ199" i="5"/>
  <c r="CY199" i="5"/>
  <c r="CX199" i="5"/>
  <c r="CZ198" i="5"/>
  <c r="CY198" i="5"/>
  <c r="CX198" i="5"/>
  <c r="CZ197" i="5"/>
  <c r="CY197" i="5"/>
  <c r="CX197" i="5"/>
  <c r="CZ196" i="5"/>
  <c r="CY196" i="5"/>
  <c r="CX196" i="5"/>
  <c r="CZ195" i="5"/>
  <c r="CY195" i="5"/>
  <c r="CX195" i="5"/>
  <c r="CZ194" i="5"/>
  <c r="CY194" i="5"/>
  <c r="CX194" i="5"/>
  <c r="CZ193" i="5"/>
  <c r="CY193" i="5"/>
  <c r="CX193" i="5"/>
  <c r="CZ192" i="5"/>
  <c r="CY192" i="5"/>
  <c r="CX192" i="5"/>
  <c r="CZ191" i="5"/>
  <c r="CY191" i="5"/>
  <c r="CX191" i="5"/>
  <c r="CZ190" i="5"/>
  <c r="CY190" i="5"/>
  <c r="CX190" i="5"/>
  <c r="CZ189" i="5"/>
  <c r="CY189" i="5"/>
  <c r="CX189" i="5"/>
  <c r="CZ188" i="5"/>
  <c r="CY188" i="5"/>
  <c r="CX188" i="5"/>
  <c r="CZ187" i="5"/>
  <c r="CY187" i="5"/>
  <c r="CX187" i="5"/>
  <c r="CZ186" i="5"/>
  <c r="CY186" i="5"/>
  <c r="CX186" i="5"/>
  <c r="CZ185" i="5"/>
  <c r="CY185" i="5"/>
  <c r="CX185" i="5"/>
  <c r="CZ184" i="5"/>
  <c r="CY184" i="5"/>
  <c r="CX184" i="5"/>
  <c r="CZ183" i="5"/>
  <c r="CY183" i="5"/>
  <c r="CX183" i="5"/>
  <c r="CZ182" i="5"/>
  <c r="CY182" i="5"/>
  <c r="CX182" i="5"/>
  <c r="CZ181" i="5"/>
  <c r="CY181" i="5"/>
  <c r="CX181" i="5"/>
  <c r="CZ180" i="5"/>
  <c r="CY180" i="5"/>
  <c r="CX180" i="5"/>
  <c r="CZ179" i="5"/>
  <c r="CY179" i="5"/>
  <c r="CX179" i="5"/>
  <c r="CZ178" i="5"/>
  <c r="CY178" i="5"/>
  <c r="CX178" i="5"/>
  <c r="CZ177" i="5"/>
  <c r="CY177" i="5"/>
  <c r="CX177" i="5"/>
  <c r="CZ176" i="5"/>
  <c r="CY176" i="5"/>
  <c r="CX176" i="5"/>
  <c r="CZ175" i="5"/>
  <c r="CY175" i="5"/>
  <c r="CX175" i="5"/>
  <c r="CZ174" i="5"/>
  <c r="CY174" i="5"/>
  <c r="CX174" i="5"/>
  <c r="CZ173" i="5"/>
  <c r="CY173" i="5"/>
  <c r="CX173" i="5"/>
  <c r="CZ172" i="5"/>
  <c r="CY172" i="5"/>
  <c r="CX172" i="5"/>
  <c r="CZ171" i="5"/>
  <c r="CY171" i="5"/>
  <c r="CX171" i="5"/>
  <c r="CZ170" i="5"/>
  <c r="CY170" i="5"/>
  <c r="CX170" i="5"/>
  <c r="CZ169" i="5"/>
  <c r="CY169" i="5"/>
  <c r="CX169" i="5"/>
  <c r="CZ168" i="5"/>
  <c r="CY168" i="5"/>
  <c r="CX168" i="5"/>
  <c r="CZ167" i="5"/>
  <c r="CY167" i="5"/>
  <c r="CX167" i="5"/>
  <c r="CZ166" i="5"/>
  <c r="CY166" i="5"/>
  <c r="CX166" i="5"/>
  <c r="CZ165" i="5"/>
  <c r="CY165" i="5"/>
  <c r="CX165" i="5"/>
  <c r="CZ164" i="5"/>
  <c r="CY164" i="5"/>
  <c r="CX164" i="5"/>
  <c r="CZ163" i="5"/>
  <c r="CY163" i="5"/>
  <c r="CX163" i="5"/>
  <c r="CZ162" i="5"/>
  <c r="CY162" i="5"/>
  <c r="CX162" i="5"/>
  <c r="CZ161" i="5"/>
  <c r="CY161" i="5"/>
  <c r="CX161" i="5"/>
  <c r="CZ160" i="5"/>
  <c r="CY160" i="5"/>
  <c r="CX160" i="5"/>
  <c r="CZ159" i="5"/>
  <c r="CY159" i="5"/>
  <c r="CX159" i="5"/>
  <c r="CZ158" i="5"/>
  <c r="CY158" i="5"/>
  <c r="CX158" i="5"/>
  <c r="CZ157" i="5"/>
  <c r="CY157" i="5"/>
  <c r="CX157" i="5"/>
  <c r="CZ156" i="5"/>
  <c r="CY156" i="5"/>
  <c r="CX156" i="5"/>
  <c r="CZ155" i="5"/>
  <c r="CY155" i="5"/>
  <c r="CX155" i="5"/>
  <c r="CZ154" i="5"/>
  <c r="CY154" i="5"/>
  <c r="CX154" i="5"/>
  <c r="CZ153" i="5"/>
  <c r="CY153" i="5"/>
  <c r="CX153" i="5"/>
  <c r="CZ152" i="5"/>
  <c r="CY152" i="5"/>
  <c r="CX152" i="5"/>
  <c r="CZ151" i="5"/>
  <c r="CY151" i="5"/>
  <c r="CX151" i="5"/>
  <c r="CZ150" i="5"/>
  <c r="CY150" i="5"/>
  <c r="CX150" i="5"/>
  <c r="CZ149" i="5"/>
  <c r="CY149" i="5"/>
  <c r="CX149" i="5"/>
  <c r="CZ148" i="5"/>
  <c r="CY148" i="5"/>
  <c r="CX148" i="5"/>
  <c r="CZ147" i="5"/>
  <c r="CY147" i="5"/>
  <c r="CX147" i="5"/>
  <c r="CZ146" i="5"/>
  <c r="CY146" i="5"/>
  <c r="CX146" i="5"/>
  <c r="CZ145" i="5"/>
  <c r="CY145" i="5"/>
  <c r="CX145" i="5"/>
  <c r="CZ144" i="5"/>
  <c r="CY144" i="5"/>
  <c r="CX144" i="5"/>
  <c r="CZ143" i="5"/>
  <c r="CY143" i="5"/>
  <c r="CX143" i="5"/>
  <c r="CZ142" i="5"/>
  <c r="CY142" i="5"/>
  <c r="CX142" i="5"/>
  <c r="CZ141" i="5"/>
  <c r="CY141" i="5"/>
  <c r="CX141" i="5"/>
  <c r="CZ140" i="5"/>
  <c r="CY140" i="5"/>
  <c r="CX140" i="5"/>
  <c r="CZ139" i="5"/>
  <c r="CY139" i="5"/>
  <c r="CX139" i="5"/>
  <c r="CZ138" i="5"/>
  <c r="CY138" i="5"/>
  <c r="CX138" i="5"/>
  <c r="CZ137" i="5"/>
  <c r="CY137" i="5"/>
  <c r="CX137" i="5"/>
  <c r="CZ136" i="5"/>
  <c r="CY136" i="5"/>
  <c r="CX136" i="5"/>
  <c r="CZ135" i="5"/>
  <c r="CY135" i="5"/>
  <c r="CX135" i="5"/>
  <c r="CZ134" i="5"/>
  <c r="CY134" i="5"/>
  <c r="CX134" i="5"/>
  <c r="CZ133" i="5"/>
  <c r="CY133" i="5"/>
  <c r="CX133" i="5"/>
  <c r="CZ132" i="5"/>
  <c r="CY132" i="5"/>
  <c r="CX132" i="5"/>
  <c r="CZ131" i="5"/>
  <c r="CY131" i="5"/>
  <c r="CX131" i="5"/>
  <c r="CZ130" i="5"/>
  <c r="CY130" i="5"/>
  <c r="CX130" i="5"/>
  <c r="CZ129" i="5"/>
  <c r="CY129" i="5"/>
  <c r="CX129" i="5"/>
  <c r="CZ128" i="5"/>
  <c r="CY128" i="5"/>
  <c r="CX128" i="5"/>
  <c r="CZ127" i="5"/>
  <c r="CY127" i="5"/>
  <c r="CX127" i="5"/>
  <c r="CZ126" i="5"/>
  <c r="CY126" i="5"/>
  <c r="CX126" i="5"/>
  <c r="CZ125" i="5"/>
  <c r="CY125" i="5"/>
  <c r="CX125" i="5"/>
  <c r="CZ124" i="5"/>
  <c r="CY124" i="5"/>
  <c r="CX124" i="5"/>
  <c r="CZ123" i="5"/>
  <c r="CY123" i="5"/>
  <c r="CX123" i="5"/>
  <c r="CZ122" i="5"/>
  <c r="CY122" i="5"/>
  <c r="CX122" i="5"/>
  <c r="CZ121" i="5"/>
  <c r="CY121" i="5"/>
  <c r="CX121" i="5"/>
  <c r="CZ120" i="5"/>
  <c r="CY120" i="5"/>
  <c r="CX120" i="5"/>
  <c r="CZ119" i="5"/>
  <c r="CY119" i="5"/>
  <c r="CX119" i="5"/>
  <c r="CZ118" i="5"/>
  <c r="CY118" i="5"/>
  <c r="CX118" i="5"/>
  <c r="CZ117" i="5"/>
  <c r="CY117" i="5"/>
  <c r="CX117" i="5"/>
  <c r="CZ116" i="5"/>
  <c r="CY116" i="5"/>
  <c r="CX116" i="5"/>
  <c r="CZ115" i="5"/>
  <c r="CY115" i="5"/>
  <c r="CX115" i="5"/>
  <c r="CZ114" i="5"/>
  <c r="CY114" i="5"/>
  <c r="CX114" i="5"/>
  <c r="CZ113" i="5"/>
  <c r="CY113" i="5"/>
  <c r="CX113" i="5"/>
  <c r="CZ112" i="5"/>
  <c r="CY112" i="5"/>
  <c r="CX112" i="5"/>
  <c r="CX111" i="5"/>
  <c r="CZ110" i="5"/>
  <c r="CY110" i="5"/>
  <c r="CX110" i="5"/>
  <c r="CY109" i="5"/>
  <c r="CX109" i="5"/>
  <c r="CZ108" i="5"/>
  <c r="CY108" i="5"/>
  <c r="CX108" i="5"/>
  <c r="CZ107" i="5"/>
  <c r="CY107" i="5"/>
  <c r="CZ106" i="5"/>
  <c r="CY106" i="5"/>
  <c r="CX106" i="5"/>
  <c r="CZ105" i="5"/>
  <c r="CY105" i="5"/>
  <c r="CX105" i="5"/>
  <c r="CZ104" i="5"/>
  <c r="CY104" i="5"/>
  <c r="CX104" i="5"/>
  <c r="CZ103" i="5"/>
  <c r="CY103" i="5"/>
  <c r="CX103" i="5"/>
  <c r="CZ102" i="5"/>
  <c r="CY102" i="5"/>
  <c r="CX102" i="5"/>
  <c r="CZ101" i="5"/>
  <c r="CY101" i="5"/>
  <c r="CX101" i="5"/>
  <c r="CZ100" i="5"/>
  <c r="CY100" i="5"/>
  <c r="CX100" i="5"/>
  <c r="CZ99" i="5"/>
  <c r="CY99" i="5"/>
  <c r="CX99" i="5"/>
  <c r="CZ98" i="5"/>
  <c r="CY98" i="5"/>
  <c r="CX98" i="5"/>
  <c r="CZ97" i="5"/>
  <c r="CY97" i="5"/>
  <c r="CX97" i="5"/>
  <c r="CZ96" i="5"/>
  <c r="CY96" i="5"/>
  <c r="CX96" i="5"/>
  <c r="CZ95" i="5"/>
  <c r="CY95" i="5"/>
  <c r="CX95" i="5"/>
  <c r="CZ94" i="5"/>
  <c r="CY94" i="5"/>
  <c r="CX94" i="5"/>
  <c r="CZ93" i="5"/>
  <c r="CY93" i="5"/>
  <c r="CX93" i="5"/>
  <c r="CZ92" i="5"/>
  <c r="CY92" i="5"/>
  <c r="CX92" i="5"/>
  <c r="CZ91" i="5"/>
  <c r="CY91" i="5"/>
  <c r="CX91" i="5"/>
  <c r="CZ90" i="5"/>
  <c r="CY90" i="5"/>
  <c r="CX90" i="5"/>
  <c r="CZ89" i="5"/>
  <c r="CY89" i="5"/>
  <c r="CX89" i="5"/>
  <c r="CZ88" i="5"/>
  <c r="CY88" i="5"/>
  <c r="CX88" i="5"/>
  <c r="CZ87" i="5"/>
  <c r="CY87" i="5"/>
  <c r="CX87" i="5"/>
  <c r="CZ86" i="5"/>
  <c r="CY86" i="5"/>
  <c r="CX86" i="5"/>
  <c r="CZ85" i="5"/>
  <c r="CY85" i="5"/>
  <c r="CX85" i="5"/>
  <c r="CZ84" i="5"/>
  <c r="CY84" i="5"/>
  <c r="CX84" i="5"/>
  <c r="CZ83" i="5"/>
  <c r="CY83" i="5"/>
  <c r="CX83" i="5"/>
  <c r="CZ82" i="5"/>
  <c r="CY82" i="5"/>
  <c r="CX82" i="5"/>
  <c r="CZ81" i="5"/>
  <c r="CY81" i="5"/>
  <c r="CX81" i="5"/>
  <c r="CZ80" i="5"/>
  <c r="CY80" i="5"/>
  <c r="CX80" i="5"/>
  <c r="CZ79" i="5"/>
  <c r="CY79" i="5"/>
  <c r="CX79" i="5"/>
  <c r="CZ78" i="5"/>
  <c r="CY78" i="5"/>
  <c r="CX78" i="5"/>
  <c r="CZ77" i="5"/>
  <c r="CY77" i="5"/>
  <c r="CX77" i="5"/>
  <c r="CZ76" i="5"/>
  <c r="CY76" i="5"/>
  <c r="CX76" i="5"/>
  <c r="CZ75" i="5"/>
  <c r="CY75" i="5"/>
  <c r="CX75" i="5"/>
  <c r="CZ74" i="5"/>
  <c r="CY74" i="5"/>
  <c r="CX74" i="5"/>
  <c r="CZ73" i="5"/>
  <c r="CY73" i="5"/>
  <c r="CX73" i="5"/>
  <c r="CZ72" i="5"/>
  <c r="CY72" i="5"/>
  <c r="CX72" i="5"/>
  <c r="CZ71" i="5"/>
  <c r="CY71" i="5"/>
  <c r="CX71" i="5"/>
  <c r="CZ70" i="5"/>
  <c r="CY70" i="5"/>
  <c r="CX70" i="5"/>
  <c r="CZ69" i="5"/>
  <c r="CY69" i="5"/>
  <c r="CX69" i="5"/>
  <c r="CZ68" i="5"/>
  <c r="CY68" i="5"/>
  <c r="CX68" i="5"/>
  <c r="CZ67" i="5"/>
  <c r="CY67" i="5"/>
  <c r="CX67" i="5"/>
  <c r="CZ66" i="5"/>
  <c r="CY66" i="5"/>
  <c r="CX66" i="5"/>
  <c r="CZ65" i="5"/>
  <c r="CY65" i="5"/>
  <c r="CX65" i="5"/>
  <c r="CZ64" i="5"/>
  <c r="CY64" i="5"/>
  <c r="CX64" i="5"/>
  <c r="CZ63" i="5"/>
  <c r="CY63" i="5"/>
  <c r="CX63" i="5"/>
  <c r="CZ62" i="5"/>
  <c r="CY62" i="5"/>
  <c r="CX62" i="5"/>
  <c r="CZ61" i="5"/>
  <c r="CY61" i="5"/>
  <c r="CX61" i="5"/>
  <c r="CZ60" i="5"/>
  <c r="CY60" i="5"/>
  <c r="CX60" i="5"/>
  <c r="CZ59" i="5"/>
  <c r="CY59" i="5"/>
  <c r="CX59" i="5"/>
  <c r="CZ58" i="5"/>
  <c r="CY58" i="5"/>
  <c r="CX58" i="5"/>
  <c r="CZ57" i="5"/>
  <c r="CY57" i="5"/>
  <c r="CX57" i="5"/>
  <c r="CZ56" i="5"/>
  <c r="CY56" i="5"/>
  <c r="CX56" i="5"/>
  <c r="CZ55" i="5"/>
  <c r="CY55" i="5"/>
  <c r="CX55" i="5"/>
  <c r="CZ54" i="5"/>
  <c r="CY54" i="5"/>
  <c r="CX54" i="5"/>
  <c r="CZ53" i="5"/>
  <c r="CY53" i="5"/>
  <c r="CX53" i="5"/>
  <c r="CZ52" i="5"/>
  <c r="CY52" i="5"/>
  <c r="CX52" i="5"/>
  <c r="CZ51" i="5"/>
  <c r="CY51" i="5"/>
  <c r="CX51" i="5"/>
  <c r="CZ50" i="5"/>
  <c r="CY50" i="5"/>
  <c r="CX50" i="5"/>
  <c r="CZ49" i="5"/>
  <c r="CY49" i="5"/>
  <c r="CX49" i="5"/>
  <c r="CZ48" i="5"/>
  <c r="CY48" i="5"/>
  <c r="CX48" i="5"/>
  <c r="CZ47" i="5"/>
  <c r="CY47" i="5"/>
  <c r="CX47" i="5"/>
  <c r="CZ46" i="5"/>
  <c r="CY46" i="5"/>
  <c r="CX46" i="5"/>
  <c r="CZ45" i="5"/>
  <c r="CY45" i="5"/>
  <c r="CX45" i="5"/>
  <c r="CZ44" i="5"/>
  <c r="CY44" i="5"/>
  <c r="CX44" i="5"/>
  <c r="CZ43" i="5"/>
  <c r="CY43" i="5"/>
  <c r="CX43" i="5"/>
  <c r="CZ42" i="5"/>
  <c r="CY42" i="5"/>
  <c r="CX42" i="5"/>
  <c r="CZ41" i="5"/>
  <c r="CY41" i="5"/>
  <c r="CX41" i="5"/>
  <c r="CZ40" i="5"/>
  <c r="CY40" i="5"/>
  <c r="CX40" i="5"/>
  <c r="CZ39" i="5"/>
  <c r="CY39" i="5"/>
  <c r="CX39" i="5"/>
  <c r="CZ38" i="5"/>
  <c r="CY38" i="5"/>
  <c r="CX38" i="5"/>
  <c r="CZ37" i="5"/>
  <c r="CY37" i="5"/>
  <c r="CX37" i="5"/>
  <c r="CZ36" i="5"/>
  <c r="CY36" i="5"/>
  <c r="CX36" i="5"/>
  <c r="CZ35" i="5"/>
  <c r="CY35" i="5"/>
  <c r="CX35" i="5"/>
  <c r="CZ34" i="5"/>
  <c r="CY34" i="5"/>
  <c r="CX34" i="5"/>
  <c r="CZ33" i="5"/>
  <c r="CY33" i="5"/>
  <c r="CX33" i="5"/>
  <c r="CZ32" i="5"/>
  <c r="CY32" i="5"/>
  <c r="CX32" i="5"/>
  <c r="CZ31" i="5"/>
  <c r="CY31" i="5"/>
  <c r="CX31" i="5"/>
  <c r="CZ30" i="5"/>
  <c r="CY30" i="5"/>
  <c r="CX30" i="5"/>
  <c r="CZ29" i="5"/>
  <c r="CY29" i="5"/>
  <c r="CX29" i="5"/>
  <c r="CZ28" i="5"/>
  <c r="CY28" i="5"/>
  <c r="CX28" i="5"/>
  <c r="CZ27" i="5"/>
  <c r="CY27" i="5"/>
  <c r="CX27" i="5"/>
  <c r="CZ26" i="5"/>
  <c r="CY26" i="5"/>
  <c r="CX26" i="5"/>
  <c r="CZ25" i="5"/>
  <c r="CY25" i="5"/>
  <c r="CX25" i="5"/>
  <c r="CZ24" i="5"/>
  <c r="CY24" i="5"/>
  <c r="CX24" i="5"/>
  <c r="CZ23" i="5"/>
  <c r="CY23" i="5"/>
  <c r="CX23" i="5"/>
  <c r="CZ22" i="5"/>
  <c r="CY22" i="5"/>
  <c r="CX22" i="5"/>
  <c r="CZ21" i="5"/>
  <c r="CY21" i="5"/>
  <c r="CX21" i="5"/>
  <c r="CZ20" i="5"/>
  <c r="CY20" i="5"/>
  <c r="CX20" i="5"/>
  <c r="CZ19" i="5"/>
  <c r="CY19" i="5"/>
  <c r="CX19" i="5"/>
  <c r="CZ18" i="5"/>
  <c r="CY18" i="5"/>
  <c r="CX18" i="5"/>
  <c r="CZ17" i="5"/>
  <c r="CY17" i="5"/>
  <c r="CX17" i="5"/>
  <c r="CZ16" i="5"/>
  <c r="CY16" i="5"/>
  <c r="CX16" i="5"/>
  <c r="CZ15" i="5"/>
  <c r="CY15" i="5"/>
  <c r="CX15" i="5"/>
  <c r="CZ14" i="5"/>
  <c r="CY14" i="5"/>
  <c r="CX14" i="5"/>
  <c r="CZ13" i="5"/>
  <c r="CY13" i="5"/>
  <c r="CX13" i="5"/>
  <c r="CZ12" i="5"/>
  <c r="CY12" i="5"/>
  <c r="CX12" i="5"/>
  <c r="CZ11" i="5"/>
  <c r="CY11" i="5"/>
  <c r="CX11" i="5"/>
  <c r="CZ10" i="5"/>
  <c r="CY10" i="5"/>
  <c r="CX10" i="5"/>
  <c r="CZ9" i="5"/>
  <c r="CY9" i="5"/>
  <c r="CX9" i="5"/>
  <c r="CZ8" i="5"/>
  <c r="CY8" i="5"/>
  <c r="CX8" i="5"/>
  <c r="CZ7" i="5"/>
  <c r="CY7" i="5"/>
  <c r="CX7" i="5"/>
  <c r="CZ6" i="5"/>
  <c r="CY6" i="5"/>
  <c r="CX6" i="5"/>
  <c r="CZ5" i="5"/>
  <c r="CY5" i="5"/>
  <c r="CX5" i="5"/>
  <c r="AJ249" i="1"/>
  <c r="AJ244" i="1"/>
  <c r="AJ235" i="1"/>
  <c r="AJ229" i="1"/>
  <c r="AJ228" i="1"/>
  <c r="AJ227" i="1"/>
  <c r="AJ226" i="1"/>
  <c r="AJ225" i="1"/>
  <c r="AJ224" i="1"/>
  <c r="AJ223" i="1"/>
  <c r="AJ222" i="1"/>
  <c r="AJ221" i="1"/>
  <c r="AJ220" i="1"/>
  <c r="AJ219" i="1"/>
  <c r="AJ218" i="1"/>
  <c r="AJ217" i="1"/>
  <c r="AJ216" i="1"/>
  <c r="AJ215" i="1"/>
  <c r="AJ214" i="1"/>
  <c r="AJ213" i="1"/>
  <c r="AJ212" i="1"/>
  <c r="AJ211" i="1"/>
  <c r="AJ210" i="1"/>
  <c r="AJ209" i="1"/>
  <c r="AJ208" i="1"/>
  <c r="AJ207" i="1"/>
  <c r="AJ206" i="1"/>
  <c r="AJ205" i="1"/>
  <c r="AJ204" i="1"/>
  <c r="AJ203" i="1"/>
  <c r="AJ202" i="1"/>
  <c r="AJ201" i="1"/>
  <c r="AJ200" i="1"/>
  <c r="AJ199" i="1"/>
  <c r="AJ198" i="1"/>
  <c r="AJ197" i="1"/>
  <c r="AJ196" i="1"/>
  <c r="AJ195" i="1"/>
  <c r="AJ194" i="1"/>
  <c r="AJ193" i="1"/>
  <c r="AJ192" i="1"/>
  <c r="AJ191" i="1"/>
  <c r="AJ190" i="1"/>
  <c r="AJ189" i="1"/>
  <c r="AJ188" i="1"/>
  <c r="AJ187" i="1"/>
  <c r="AJ186" i="1"/>
  <c r="AJ185" i="1"/>
  <c r="AJ184" i="1"/>
  <c r="AJ183" i="1"/>
  <c r="AJ182" i="1"/>
  <c r="AJ181" i="1"/>
  <c r="AJ180" i="1"/>
  <c r="AJ179" i="1"/>
  <c r="AJ178" i="1"/>
  <c r="AJ177" i="1"/>
  <c r="AJ176" i="1"/>
  <c r="AJ175" i="1"/>
  <c r="AJ174" i="1"/>
  <c r="AJ173" i="1"/>
  <c r="AJ172" i="1"/>
  <c r="AJ171" i="1"/>
  <c r="AJ170" i="1"/>
  <c r="AJ169" i="1"/>
  <c r="AJ168" i="1"/>
  <c r="AJ167" i="1"/>
  <c r="AJ166" i="1"/>
  <c r="AJ165" i="1"/>
  <c r="AJ164" i="1"/>
  <c r="AJ163" i="1"/>
  <c r="AJ162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J147" i="1"/>
  <c r="AJ146" i="1"/>
  <c r="AJ145" i="1"/>
  <c r="AJ144" i="1"/>
  <c r="AJ143" i="1"/>
  <c r="AJ142" i="1"/>
  <c r="AJ141" i="1"/>
  <c r="AJ140" i="1"/>
  <c r="AJ139" i="1"/>
  <c r="AJ138" i="1"/>
  <c r="AJ137" i="1"/>
  <c r="AJ136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J123" i="1"/>
  <c r="AJ122" i="1"/>
  <c r="AJ121" i="1"/>
  <c r="AJ120" i="1"/>
  <c r="AJ119" i="1"/>
  <c r="AJ118" i="1"/>
  <c r="AJ117" i="1"/>
  <c r="AJ116" i="1"/>
  <c r="AJ115" i="1"/>
  <c r="AJ114" i="1"/>
  <c r="AJ113" i="1"/>
  <c r="AJ112" i="1"/>
  <c r="AJ111" i="1"/>
  <c r="AJ110" i="1"/>
  <c r="AJ109" i="1"/>
  <c r="AJ108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231" i="1" s="1"/>
  <c r="AJ215" i="3"/>
  <c r="AJ214" i="3"/>
  <c r="AJ213" i="3"/>
  <c r="AJ210" i="3"/>
  <c r="AJ209" i="3"/>
  <c r="AJ208" i="3"/>
  <c r="AJ205" i="3"/>
  <c r="AJ204" i="3"/>
  <c r="AJ203" i="3"/>
  <c r="AJ202" i="3"/>
  <c r="AJ199" i="3"/>
  <c r="AJ198" i="3"/>
  <c r="AJ195" i="3"/>
  <c r="AJ194" i="3"/>
  <c r="AJ193" i="3"/>
  <c r="AJ190" i="3"/>
  <c r="AJ189" i="3"/>
  <c r="AJ186" i="3"/>
  <c r="AJ185" i="3"/>
  <c r="AJ184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4" i="3"/>
  <c r="AJ3" i="3"/>
  <c r="AJ229" i="2"/>
  <c r="AJ228" i="2"/>
  <c r="AJ227" i="2"/>
  <c r="AJ226" i="2"/>
  <c r="AJ224" i="2"/>
  <c r="AJ223" i="2"/>
  <c r="AJ222" i="2"/>
  <c r="AJ221" i="2"/>
  <c r="AJ219" i="2"/>
  <c r="AJ218" i="2"/>
  <c r="AJ217" i="2"/>
  <c r="AJ214" i="2"/>
  <c r="AJ213" i="2"/>
  <c r="AJ212" i="2"/>
  <c r="AJ209" i="2"/>
  <c r="AJ208" i="2"/>
  <c r="AJ207" i="2"/>
  <c r="AJ206" i="2"/>
  <c r="AJ203" i="2"/>
  <c r="AJ202" i="2"/>
  <c r="AJ199" i="2"/>
  <c r="AJ198" i="2"/>
  <c r="AJ197" i="2"/>
  <c r="AJ194" i="2"/>
  <c r="AJ193" i="2"/>
  <c r="AJ190" i="2"/>
  <c r="AJ189" i="2"/>
  <c r="AJ188" i="2"/>
  <c r="AJ184" i="2"/>
  <c r="AJ171" i="2"/>
  <c r="AJ170" i="2"/>
  <c r="AJ169" i="2"/>
  <c r="AJ168" i="2"/>
  <c r="AJ167" i="2"/>
  <c r="AJ166" i="2"/>
  <c r="AJ165" i="2"/>
  <c r="AJ164" i="2"/>
  <c r="AJ163" i="2"/>
  <c r="AJ162" i="2"/>
  <c r="AJ161" i="2"/>
  <c r="AJ160" i="2"/>
  <c r="AJ159" i="2"/>
  <c r="AJ158" i="2"/>
  <c r="AJ157" i="2"/>
  <c r="AJ156" i="2"/>
  <c r="AJ155" i="2"/>
  <c r="AJ154" i="2"/>
  <c r="AJ153" i="2"/>
  <c r="AJ152" i="2"/>
  <c r="AJ151" i="2"/>
  <c r="AJ150" i="2"/>
  <c r="AJ149" i="2"/>
  <c r="AJ148" i="2"/>
  <c r="AJ147" i="2"/>
  <c r="AJ146" i="2"/>
  <c r="AJ145" i="2"/>
  <c r="AJ144" i="2"/>
  <c r="AJ143" i="2"/>
  <c r="AJ142" i="2"/>
  <c r="AJ141" i="2"/>
  <c r="AJ140" i="2"/>
  <c r="AJ139" i="2"/>
  <c r="AJ138" i="2"/>
  <c r="AJ137" i="2"/>
  <c r="AJ136" i="2"/>
  <c r="AJ135" i="2"/>
  <c r="AJ134" i="2"/>
  <c r="AJ133" i="2"/>
  <c r="AJ132" i="2"/>
  <c r="AJ131" i="2"/>
  <c r="AJ130" i="2"/>
  <c r="AJ129" i="2"/>
  <c r="AJ128" i="2"/>
  <c r="AJ127" i="2"/>
  <c r="AJ126" i="2"/>
  <c r="AJ125" i="2"/>
  <c r="AJ124" i="2"/>
  <c r="AJ123" i="2"/>
  <c r="AJ122" i="2"/>
  <c r="AJ121" i="2"/>
  <c r="AJ120" i="2"/>
  <c r="AJ119" i="2"/>
  <c r="AJ118" i="2"/>
  <c r="AJ117" i="2"/>
  <c r="AJ116" i="2"/>
  <c r="AJ115" i="2"/>
  <c r="AJ114" i="2"/>
  <c r="AJ113" i="2"/>
  <c r="AJ112" i="2"/>
  <c r="AJ111" i="2"/>
  <c r="AJ110" i="2"/>
  <c r="AJ109" i="2"/>
  <c r="AJ108" i="2"/>
  <c r="AJ107" i="2"/>
  <c r="AJ106" i="2"/>
  <c r="AJ105" i="2"/>
  <c r="AJ104" i="2"/>
  <c r="AJ103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J80" i="2"/>
  <c r="AJ79" i="2"/>
  <c r="AJ78" i="2"/>
  <c r="AJ77" i="2"/>
  <c r="AJ76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9" i="2"/>
  <c r="AJ38" i="2"/>
  <c r="AJ37" i="2"/>
  <c r="AJ36" i="2"/>
  <c r="AJ35" i="2"/>
  <c r="AJ34" i="2"/>
  <c r="AJ33" i="2"/>
  <c r="AJ32" i="2"/>
  <c r="AJ31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J10" i="2"/>
  <c r="AJ9" i="2"/>
  <c r="AJ8" i="2"/>
  <c r="AJ7" i="2"/>
  <c r="AJ6" i="2"/>
  <c r="AJ5" i="2"/>
  <c r="AJ4" i="2"/>
  <c r="AJ3" i="2"/>
  <c r="CU337" i="5"/>
  <c r="CW333" i="5"/>
  <c r="CV333" i="5"/>
  <c r="CU333" i="5"/>
  <c r="CW317" i="5"/>
  <c r="CV317" i="5"/>
  <c r="CU317" i="5"/>
  <c r="CW316" i="5"/>
  <c r="CV316" i="5"/>
  <c r="CU316" i="5"/>
  <c r="CW315" i="5"/>
  <c r="CV315" i="5"/>
  <c r="CU315" i="5"/>
  <c r="CW314" i="5"/>
  <c r="CV314" i="5"/>
  <c r="CU314" i="5"/>
  <c r="CW313" i="5"/>
  <c r="CV313" i="5"/>
  <c r="CU313" i="5"/>
  <c r="CW312" i="5"/>
  <c r="CV312" i="5"/>
  <c r="CU312" i="5"/>
  <c r="CW311" i="5"/>
  <c r="CV311" i="5"/>
  <c r="CU311" i="5"/>
  <c r="CW310" i="5"/>
  <c r="CV310" i="5"/>
  <c r="CU310" i="5"/>
  <c r="CW309" i="5"/>
  <c r="CV309" i="5"/>
  <c r="CU309" i="5"/>
  <c r="CW308" i="5"/>
  <c r="CV308" i="5"/>
  <c r="CU308" i="5"/>
  <c r="CW307" i="5"/>
  <c r="CV307" i="5"/>
  <c r="CU307" i="5"/>
  <c r="CW306" i="5"/>
  <c r="CV306" i="5"/>
  <c r="CU306" i="5"/>
  <c r="CW305" i="5"/>
  <c r="CV305" i="5"/>
  <c r="CU305" i="5"/>
  <c r="CW304" i="5"/>
  <c r="CV304" i="5"/>
  <c r="CU304" i="5"/>
  <c r="CW303" i="5"/>
  <c r="CV303" i="5"/>
  <c r="CU303" i="5"/>
  <c r="CW302" i="5"/>
  <c r="CV302" i="5"/>
  <c r="CU302" i="5"/>
  <c r="CW301" i="5"/>
  <c r="CV301" i="5"/>
  <c r="CU301" i="5"/>
  <c r="CW300" i="5"/>
  <c r="CV300" i="5"/>
  <c r="CU300" i="5"/>
  <c r="CW299" i="5"/>
  <c r="CV299" i="5"/>
  <c r="CU299" i="5"/>
  <c r="CW298" i="5"/>
  <c r="CV298" i="5"/>
  <c r="CU298" i="5"/>
  <c r="CW297" i="5"/>
  <c r="CV297" i="5"/>
  <c r="CU297" i="5"/>
  <c r="CW296" i="5"/>
  <c r="CV296" i="5"/>
  <c r="CU296" i="5"/>
  <c r="CW295" i="5"/>
  <c r="CV295" i="5"/>
  <c r="CU295" i="5"/>
  <c r="CW294" i="5"/>
  <c r="CV294" i="5"/>
  <c r="CU294" i="5"/>
  <c r="CW293" i="5"/>
  <c r="CV293" i="5"/>
  <c r="CU293" i="5"/>
  <c r="CW292" i="5"/>
  <c r="CV292" i="5"/>
  <c r="CW291" i="5"/>
  <c r="CV291" i="5"/>
  <c r="CU291" i="5"/>
  <c r="CW290" i="5"/>
  <c r="CV290" i="5"/>
  <c r="CU290" i="5"/>
  <c r="CW289" i="5"/>
  <c r="CV289" i="5"/>
  <c r="CU289" i="5"/>
  <c r="CW288" i="5"/>
  <c r="CV288" i="5"/>
  <c r="CU288" i="5"/>
  <c r="CW287" i="5"/>
  <c r="CV287" i="5"/>
  <c r="CU287" i="5"/>
  <c r="CW286" i="5"/>
  <c r="CV286" i="5"/>
  <c r="CU286" i="5"/>
  <c r="CW285" i="5"/>
  <c r="CV285" i="5"/>
  <c r="CU285" i="5"/>
  <c r="CW284" i="5"/>
  <c r="CV284" i="5"/>
  <c r="CU284" i="5"/>
  <c r="CW283" i="5"/>
  <c r="CV283" i="5"/>
  <c r="CU283" i="5"/>
  <c r="CW282" i="5"/>
  <c r="CV282" i="5"/>
  <c r="CU282" i="5"/>
  <c r="CW281" i="5"/>
  <c r="CV281" i="5"/>
  <c r="CU281" i="5"/>
  <c r="CW280" i="5"/>
  <c r="CV280" i="5"/>
  <c r="CU280" i="5"/>
  <c r="CW279" i="5"/>
  <c r="CV279" i="5"/>
  <c r="CU279" i="5"/>
  <c r="CW278" i="5"/>
  <c r="CV278" i="5"/>
  <c r="CU278" i="5"/>
  <c r="CW277" i="5"/>
  <c r="CV277" i="5"/>
  <c r="CU277" i="5"/>
  <c r="CW276" i="5"/>
  <c r="CV276" i="5"/>
  <c r="CU276" i="5"/>
  <c r="CW275" i="5"/>
  <c r="CV275" i="5"/>
  <c r="CU275" i="5"/>
  <c r="CW274" i="5"/>
  <c r="CV274" i="5"/>
  <c r="CU274" i="5"/>
  <c r="CW273" i="5"/>
  <c r="CV273" i="5"/>
  <c r="CU273" i="5"/>
  <c r="CW272" i="5"/>
  <c r="CV272" i="5"/>
  <c r="CU272" i="5"/>
  <c r="CW271" i="5"/>
  <c r="CV271" i="5"/>
  <c r="CU271" i="5"/>
  <c r="CW270" i="5"/>
  <c r="CV270" i="5"/>
  <c r="CU270" i="5"/>
  <c r="CW269" i="5"/>
  <c r="CV269" i="5"/>
  <c r="CU269" i="5"/>
  <c r="CW268" i="5"/>
  <c r="CV268" i="5"/>
  <c r="CU268" i="5"/>
  <c r="CW267" i="5"/>
  <c r="CV267" i="5"/>
  <c r="CU267" i="5"/>
  <c r="CW266" i="5"/>
  <c r="CV266" i="5"/>
  <c r="CU266" i="5"/>
  <c r="CW265" i="5"/>
  <c r="CV265" i="5"/>
  <c r="CU265" i="5"/>
  <c r="CW264" i="5"/>
  <c r="CV264" i="5"/>
  <c r="CU264" i="5"/>
  <c r="CW263" i="5"/>
  <c r="CV263" i="5"/>
  <c r="CU263" i="5"/>
  <c r="CW262" i="5"/>
  <c r="CV262" i="5"/>
  <c r="CU262" i="5"/>
  <c r="CW261" i="5"/>
  <c r="CV261" i="5"/>
  <c r="CU261" i="5"/>
  <c r="CW260" i="5"/>
  <c r="CV260" i="5"/>
  <c r="CU260" i="5"/>
  <c r="CW259" i="5"/>
  <c r="CV259" i="5"/>
  <c r="CU259" i="5"/>
  <c r="CW258" i="5"/>
  <c r="CV258" i="5"/>
  <c r="CU258" i="5"/>
  <c r="CW257" i="5"/>
  <c r="CV257" i="5"/>
  <c r="CU257" i="5"/>
  <c r="CW256" i="5"/>
  <c r="CV256" i="5"/>
  <c r="CU256" i="5"/>
  <c r="CW255" i="5"/>
  <c r="CV255" i="5"/>
  <c r="CU255" i="5"/>
  <c r="CW254" i="5"/>
  <c r="CV254" i="5"/>
  <c r="CU254" i="5"/>
  <c r="CW253" i="5"/>
  <c r="CV253" i="5"/>
  <c r="CU253" i="5"/>
  <c r="CW252" i="5"/>
  <c r="CV252" i="5"/>
  <c r="CU252" i="5"/>
  <c r="CW251" i="5"/>
  <c r="CV251" i="5"/>
  <c r="CU251" i="5"/>
  <c r="CW250" i="5"/>
  <c r="CV250" i="5"/>
  <c r="CU250" i="5"/>
  <c r="CW249" i="5"/>
  <c r="CV249" i="5"/>
  <c r="CU249" i="5"/>
  <c r="CW248" i="5"/>
  <c r="CV248" i="5"/>
  <c r="CU248" i="5"/>
  <c r="CW247" i="5"/>
  <c r="CV247" i="5"/>
  <c r="CU247" i="5"/>
  <c r="CW246" i="5"/>
  <c r="CV246" i="5"/>
  <c r="CU246" i="5"/>
  <c r="CW245" i="5"/>
  <c r="CV245" i="5"/>
  <c r="CU245" i="5"/>
  <c r="CW244" i="5"/>
  <c r="CV244" i="5"/>
  <c r="CU244" i="5"/>
  <c r="CW243" i="5"/>
  <c r="CV243" i="5"/>
  <c r="CU243" i="5"/>
  <c r="CW242" i="5"/>
  <c r="CV242" i="5"/>
  <c r="CU242" i="5"/>
  <c r="CW241" i="5"/>
  <c r="CV241" i="5"/>
  <c r="CU241" i="5"/>
  <c r="CW240" i="5"/>
  <c r="CV240" i="5"/>
  <c r="CU240" i="5"/>
  <c r="CW239" i="5"/>
  <c r="CV239" i="5"/>
  <c r="CU239" i="5"/>
  <c r="CW238" i="5"/>
  <c r="CV238" i="5"/>
  <c r="CU238" i="5"/>
  <c r="CW237" i="5"/>
  <c r="CV237" i="5"/>
  <c r="CU237" i="5"/>
  <c r="CW236" i="5"/>
  <c r="CV236" i="5"/>
  <c r="CU236" i="5"/>
  <c r="CW235" i="5"/>
  <c r="CV235" i="5"/>
  <c r="CU235" i="5"/>
  <c r="CW234" i="5"/>
  <c r="CV234" i="5"/>
  <c r="CU234" i="5"/>
  <c r="CW233" i="5"/>
  <c r="CV233" i="5"/>
  <c r="CU233" i="5"/>
  <c r="CW232" i="5"/>
  <c r="CV232" i="5"/>
  <c r="CU232" i="5"/>
  <c r="CW231" i="5"/>
  <c r="CV231" i="5"/>
  <c r="CU231" i="5"/>
  <c r="CW230" i="5"/>
  <c r="CV230" i="5"/>
  <c r="CU230" i="5"/>
  <c r="CW229" i="5"/>
  <c r="CV229" i="5"/>
  <c r="CU229" i="5"/>
  <c r="CW228" i="5"/>
  <c r="CV228" i="5"/>
  <c r="CU228" i="5"/>
  <c r="CW227" i="5"/>
  <c r="CV227" i="5"/>
  <c r="CU227" i="5"/>
  <c r="CW226" i="5"/>
  <c r="CV226" i="5"/>
  <c r="CU226" i="5"/>
  <c r="CW225" i="5"/>
  <c r="CV225" i="5"/>
  <c r="CU225" i="5"/>
  <c r="CW224" i="5"/>
  <c r="CV224" i="5"/>
  <c r="CU224" i="5"/>
  <c r="CW223" i="5"/>
  <c r="CV223" i="5"/>
  <c r="CU223" i="5"/>
  <c r="CW222" i="5"/>
  <c r="CV222" i="5"/>
  <c r="CU222" i="5"/>
  <c r="CW221" i="5"/>
  <c r="CV221" i="5"/>
  <c r="CU221" i="5"/>
  <c r="CW220" i="5"/>
  <c r="CV220" i="5"/>
  <c r="CU220" i="5"/>
  <c r="CW219" i="5"/>
  <c r="CV219" i="5"/>
  <c r="CU219" i="5"/>
  <c r="CW218" i="5"/>
  <c r="CV218" i="5"/>
  <c r="CU218" i="5"/>
  <c r="CW217" i="5"/>
  <c r="CV217" i="5"/>
  <c r="CU217" i="5"/>
  <c r="CW216" i="5"/>
  <c r="CV216" i="5"/>
  <c r="CU216" i="5"/>
  <c r="CW215" i="5"/>
  <c r="CV215" i="5"/>
  <c r="CU215" i="5"/>
  <c r="CW214" i="5"/>
  <c r="CV214" i="5"/>
  <c r="CU214" i="5"/>
  <c r="CW213" i="5"/>
  <c r="CV213" i="5"/>
  <c r="CU213" i="5"/>
  <c r="CW212" i="5"/>
  <c r="CV212" i="5"/>
  <c r="CU212" i="5"/>
  <c r="CW211" i="5"/>
  <c r="CV211" i="5"/>
  <c r="CU211" i="5"/>
  <c r="CW210" i="5"/>
  <c r="CV210" i="5"/>
  <c r="CU210" i="5"/>
  <c r="CW209" i="5"/>
  <c r="CV209" i="5"/>
  <c r="CU209" i="5"/>
  <c r="CW208" i="5"/>
  <c r="CV208" i="5"/>
  <c r="CU208" i="5"/>
  <c r="CW207" i="5"/>
  <c r="CV207" i="5"/>
  <c r="CU207" i="5"/>
  <c r="CW206" i="5"/>
  <c r="CV206" i="5"/>
  <c r="CU206" i="5"/>
  <c r="CW205" i="5"/>
  <c r="CV205" i="5"/>
  <c r="CU205" i="5"/>
  <c r="CW204" i="5"/>
  <c r="CV204" i="5"/>
  <c r="CU204" i="5"/>
  <c r="CW203" i="5"/>
  <c r="CV203" i="5"/>
  <c r="CU203" i="5"/>
  <c r="CW202" i="5"/>
  <c r="CV202" i="5"/>
  <c r="CU202" i="5"/>
  <c r="CW201" i="5"/>
  <c r="CV201" i="5"/>
  <c r="CU201" i="5"/>
  <c r="CW200" i="5"/>
  <c r="CV200" i="5"/>
  <c r="CU200" i="5"/>
  <c r="CW199" i="5"/>
  <c r="CV199" i="5"/>
  <c r="CU199" i="5"/>
  <c r="CW198" i="5"/>
  <c r="CV198" i="5"/>
  <c r="CU198" i="5"/>
  <c r="CW197" i="5"/>
  <c r="CV197" i="5"/>
  <c r="CU197" i="5"/>
  <c r="CW196" i="5"/>
  <c r="CV196" i="5"/>
  <c r="CU196" i="5"/>
  <c r="CW195" i="5"/>
  <c r="CV195" i="5"/>
  <c r="CU195" i="5"/>
  <c r="CW194" i="5"/>
  <c r="CV194" i="5"/>
  <c r="CU194" i="5"/>
  <c r="CW193" i="5"/>
  <c r="CV193" i="5"/>
  <c r="CU193" i="5"/>
  <c r="CW192" i="5"/>
  <c r="CV192" i="5"/>
  <c r="CU192" i="5"/>
  <c r="CW191" i="5"/>
  <c r="CV191" i="5"/>
  <c r="CU191" i="5"/>
  <c r="CW190" i="5"/>
  <c r="CV190" i="5"/>
  <c r="CU190" i="5"/>
  <c r="CW189" i="5"/>
  <c r="CV189" i="5"/>
  <c r="CU189" i="5"/>
  <c r="CW188" i="5"/>
  <c r="CV188" i="5"/>
  <c r="CU188" i="5"/>
  <c r="CW187" i="5"/>
  <c r="CV187" i="5"/>
  <c r="CU187" i="5"/>
  <c r="CW186" i="5"/>
  <c r="CV186" i="5"/>
  <c r="CU186" i="5"/>
  <c r="CW185" i="5"/>
  <c r="CV185" i="5"/>
  <c r="CU185" i="5"/>
  <c r="CW184" i="5"/>
  <c r="CV184" i="5"/>
  <c r="CU184" i="5"/>
  <c r="CW183" i="5"/>
  <c r="CV183" i="5"/>
  <c r="CU183" i="5"/>
  <c r="CW182" i="5"/>
  <c r="CV182" i="5"/>
  <c r="CU182" i="5"/>
  <c r="CW181" i="5"/>
  <c r="CV181" i="5"/>
  <c r="CU181" i="5"/>
  <c r="CW180" i="5"/>
  <c r="CV180" i="5"/>
  <c r="CU180" i="5"/>
  <c r="CW179" i="5"/>
  <c r="CV179" i="5"/>
  <c r="CU179" i="5"/>
  <c r="CW178" i="5"/>
  <c r="CV178" i="5"/>
  <c r="CU178" i="5"/>
  <c r="CW177" i="5"/>
  <c r="CV177" i="5"/>
  <c r="CU177" i="5"/>
  <c r="CW176" i="5"/>
  <c r="CV176" i="5"/>
  <c r="CU176" i="5"/>
  <c r="CW175" i="5"/>
  <c r="CV175" i="5"/>
  <c r="CU175" i="5"/>
  <c r="CW174" i="5"/>
  <c r="CV174" i="5"/>
  <c r="CU174" i="5"/>
  <c r="CW173" i="5"/>
  <c r="CV173" i="5"/>
  <c r="CU173" i="5"/>
  <c r="CW172" i="5"/>
  <c r="CV172" i="5"/>
  <c r="CU172" i="5"/>
  <c r="CW171" i="5"/>
  <c r="CV171" i="5"/>
  <c r="CU171" i="5"/>
  <c r="CW170" i="5"/>
  <c r="CV170" i="5"/>
  <c r="CU170" i="5"/>
  <c r="CW169" i="5"/>
  <c r="CV169" i="5"/>
  <c r="CU169" i="5"/>
  <c r="CW168" i="5"/>
  <c r="CV168" i="5"/>
  <c r="CU168" i="5"/>
  <c r="CW167" i="5"/>
  <c r="CV167" i="5"/>
  <c r="CU167" i="5"/>
  <c r="CW166" i="5"/>
  <c r="CV166" i="5"/>
  <c r="CU166" i="5"/>
  <c r="CW165" i="5"/>
  <c r="CV165" i="5"/>
  <c r="CU165" i="5"/>
  <c r="CW164" i="5"/>
  <c r="CV164" i="5"/>
  <c r="CU164" i="5"/>
  <c r="CW163" i="5"/>
  <c r="CV163" i="5"/>
  <c r="CU163" i="5"/>
  <c r="CW162" i="5"/>
  <c r="CV162" i="5"/>
  <c r="CU162" i="5"/>
  <c r="CW161" i="5"/>
  <c r="CV161" i="5"/>
  <c r="CU161" i="5"/>
  <c r="CW160" i="5"/>
  <c r="CV160" i="5"/>
  <c r="CU160" i="5"/>
  <c r="CW159" i="5"/>
  <c r="CV159" i="5"/>
  <c r="CU159" i="5"/>
  <c r="CW158" i="5"/>
  <c r="CV158" i="5"/>
  <c r="CU158" i="5"/>
  <c r="CW157" i="5"/>
  <c r="CV157" i="5"/>
  <c r="CU157" i="5"/>
  <c r="CW156" i="5"/>
  <c r="CV156" i="5"/>
  <c r="CU156" i="5"/>
  <c r="CW155" i="5"/>
  <c r="CV155" i="5"/>
  <c r="CU155" i="5"/>
  <c r="CW154" i="5"/>
  <c r="CV154" i="5"/>
  <c r="CU154" i="5"/>
  <c r="CW153" i="5"/>
  <c r="CV153" i="5"/>
  <c r="CU153" i="5"/>
  <c r="CW152" i="5"/>
  <c r="CV152" i="5"/>
  <c r="CU152" i="5"/>
  <c r="CW151" i="5"/>
  <c r="CV151" i="5"/>
  <c r="CU151" i="5"/>
  <c r="CW150" i="5"/>
  <c r="CV150" i="5"/>
  <c r="CU150" i="5"/>
  <c r="CW149" i="5"/>
  <c r="CV149" i="5"/>
  <c r="CU149" i="5"/>
  <c r="CW148" i="5"/>
  <c r="CV148" i="5"/>
  <c r="CU148" i="5"/>
  <c r="CW147" i="5"/>
  <c r="CV147" i="5"/>
  <c r="CU147" i="5"/>
  <c r="CW146" i="5"/>
  <c r="CV146" i="5"/>
  <c r="CU146" i="5"/>
  <c r="CW145" i="5"/>
  <c r="CV145" i="5"/>
  <c r="CU145" i="5"/>
  <c r="CW144" i="5"/>
  <c r="CV144" i="5"/>
  <c r="CU144" i="5"/>
  <c r="CW143" i="5"/>
  <c r="CV143" i="5"/>
  <c r="CU143" i="5"/>
  <c r="CW142" i="5"/>
  <c r="CV142" i="5"/>
  <c r="CU142" i="5"/>
  <c r="CW141" i="5"/>
  <c r="CV141" i="5"/>
  <c r="CU141" i="5"/>
  <c r="CW140" i="5"/>
  <c r="CV140" i="5"/>
  <c r="CU140" i="5"/>
  <c r="CW139" i="5"/>
  <c r="CV139" i="5"/>
  <c r="CU139" i="5"/>
  <c r="CW138" i="5"/>
  <c r="CV138" i="5"/>
  <c r="CU138" i="5"/>
  <c r="CW137" i="5"/>
  <c r="CV137" i="5"/>
  <c r="CU137" i="5"/>
  <c r="CW136" i="5"/>
  <c r="CV136" i="5"/>
  <c r="CU136" i="5"/>
  <c r="CW135" i="5"/>
  <c r="CV135" i="5"/>
  <c r="CU135" i="5"/>
  <c r="CW134" i="5"/>
  <c r="CV134" i="5"/>
  <c r="CU134" i="5"/>
  <c r="CW133" i="5"/>
  <c r="CV133" i="5"/>
  <c r="CU133" i="5"/>
  <c r="CW132" i="5"/>
  <c r="CV132" i="5"/>
  <c r="CU132" i="5"/>
  <c r="CW131" i="5"/>
  <c r="CV131" i="5"/>
  <c r="CU131" i="5"/>
  <c r="CW130" i="5"/>
  <c r="CV130" i="5"/>
  <c r="CU130" i="5"/>
  <c r="CW129" i="5"/>
  <c r="CV129" i="5"/>
  <c r="CU129" i="5"/>
  <c r="CW128" i="5"/>
  <c r="CV128" i="5"/>
  <c r="CU128" i="5"/>
  <c r="CW127" i="5"/>
  <c r="CV127" i="5"/>
  <c r="CU127" i="5"/>
  <c r="CW126" i="5"/>
  <c r="CV126" i="5"/>
  <c r="CU126" i="5"/>
  <c r="CW125" i="5"/>
  <c r="CV125" i="5"/>
  <c r="CU125" i="5"/>
  <c r="CW124" i="5"/>
  <c r="CV124" i="5"/>
  <c r="CU124" i="5"/>
  <c r="CW123" i="5"/>
  <c r="CV123" i="5"/>
  <c r="CU123" i="5"/>
  <c r="CW122" i="5"/>
  <c r="CV122" i="5"/>
  <c r="CU122" i="5"/>
  <c r="CW121" i="5"/>
  <c r="CV121" i="5"/>
  <c r="CU121" i="5"/>
  <c r="CW120" i="5"/>
  <c r="CV120" i="5"/>
  <c r="CU120" i="5"/>
  <c r="CW119" i="5"/>
  <c r="CV119" i="5"/>
  <c r="CU119" i="5"/>
  <c r="CW118" i="5"/>
  <c r="CV118" i="5"/>
  <c r="CU118" i="5"/>
  <c r="CW117" i="5"/>
  <c r="CV117" i="5"/>
  <c r="CU117" i="5"/>
  <c r="CW116" i="5"/>
  <c r="CV116" i="5"/>
  <c r="CU116" i="5"/>
  <c r="CW115" i="5"/>
  <c r="CV115" i="5"/>
  <c r="CU115" i="5"/>
  <c r="CW114" i="5"/>
  <c r="CV114" i="5"/>
  <c r="CU114" i="5"/>
  <c r="CW113" i="5"/>
  <c r="CV113" i="5"/>
  <c r="CU113" i="5"/>
  <c r="CW112" i="5"/>
  <c r="CV112" i="5"/>
  <c r="CU112" i="5"/>
  <c r="CU111" i="5"/>
  <c r="CW110" i="5"/>
  <c r="CV110" i="5"/>
  <c r="CU110" i="5"/>
  <c r="CV109" i="5"/>
  <c r="CU109" i="5"/>
  <c r="CW108" i="5"/>
  <c r="CV108" i="5"/>
  <c r="CU108" i="5"/>
  <c r="CW107" i="5"/>
  <c r="CV107" i="5"/>
  <c r="CW106" i="5"/>
  <c r="CV106" i="5"/>
  <c r="CU106" i="5"/>
  <c r="CW105" i="5"/>
  <c r="CV105" i="5"/>
  <c r="CU105" i="5"/>
  <c r="CW104" i="5"/>
  <c r="CV104" i="5"/>
  <c r="CU104" i="5"/>
  <c r="CW103" i="5"/>
  <c r="CV103" i="5"/>
  <c r="CU103" i="5"/>
  <c r="CW102" i="5"/>
  <c r="CV102" i="5"/>
  <c r="CU102" i="5"/>
  <c r="CW101" i="5"/>
  <c r="CV101" i="5"/>
  <c r="CU101" i="5"/>
  <c r="CW100" i="5"/>
  <c r="CV100" i="5"/>
  <c r="CU100" i="5"/>
  <c r="CW99" i="5"/>
  <c r="CV99" i="5"/>
  <c r="CU99" i="5"/>
  <c r="CW98" i="5"/>
  <c r="CV98" i="5"/>
  <c r="CU98" i="5"/>
  <c r="CW97" i="5"/>
  <c r="CV97" i="5"/>
  <c r="CU97" i="5"/>
  <c r="CW96" i="5"/>
  <c r="CV96" i="5"/>
  <c r="CU96" i="5"/>
  <c r="CW95" i="5"/>
  <c r="CV95" i="5"/>
  <c r="CU95" i="5"/>
  <c r="CW94" i="5"/>
  <c r="CV94" i="5"/>
  <c r="CU94" i="5"/>
  <c r="CW93" i="5"/>
  <c r="CV93" i="5"/>
  <c r="CU93" i="5"/>
  <c r="CW92" i="5"/>
  <c r="CV92" i="5"/>
  <c r="CU92" i="5"/>
  <c r="CW91" i="5"/>
  <c r="CV91" i="5"/>
  <c r="CU91" i="5"/>
  <c r="CW90" i="5"/>
  <c r="CV90" i="5"/>
  <c r="CU90" i="5"/>
  <c r="CW89" i="5"/>
  <c r="CV89" i="5"/>
  <c r="CU89" i="5"/>
  <c r="CW88" i="5"/>
  <c r="CV88" i="5"/>
  <c r="CU88" i="5"/>
  <c r="CW87" i="5"/>
  <c r="CV87" i="5"/>
  <c r="CU87" i="5"/>
  <c r="CW86" i="5"/>
  <c r="CV86" i="5"/>
  <c r="CU86" i="5"/>
  <c r="CW85" i="5"/>
  <c r="CV85" i="5"/>
  <c r="CU85" i="5"/>
  <c r="CW84" i="5"/>
  <c r="CV84" i="5"/>
  <c r="CU84" i="5"/>
  <c r="CW83" i="5"/>
  <c r="CV83" i="5"/>
  <c r="CU83" i="5"/>
  <c r="CW82" i="5"/>
  <c r="CV82" i="5"/>
  <c r="CU82" i="5"/>
  <c r="CW81" i="5"/>
  <c r="CV81" i="5"/>
  <c r="CU81" i="5"/>
  <c r="CW80" i="5"/>
  <c r="CV80" i="5"/>
  <c r="CU80" i="5"/>
  <c r="CW79" i="5"/>
  <c r="CV79" i="5"/>
  <c r="CU79" i="5"/>
  <c r="CW78" i="5"/>
  <c r="CV78" i="5"/>
  <c r="CU78" i="5"/>
  <c r="CW77" i="5"/>
  <c r="CV77" i="5"/>
  <c r="CU77" i="5"/>
  <c r="CW76" i="5"/>
  <c r="CV76" i="5"/>
  <c r="CU76" i="5"/>
  <c r="CW75" i="5"/>
  <c r="CV75" i="5"/>
  <c r="CU75" i="5"/>
  <c r="CW74" i="5"/>
  <c r="CV74" i="5"/>
  <c r="CU74" i="5"/>
  <c r="CW73" i="5"/>
  <c r="CV73" i="5"/>
  <c r="CU73" i="5"/>
  <c r="CW72" i="5"/>
  <c r="CV72" i="5"/>
  <c r="CU72" i="5"/>
  <c r="CW71" i="5"/>
  <c r="CV71" i="5"/>
  <c r="CU71" i="5"/>
  <c r="CW70" i="5"/>
  <c r="CV70" i="5"/>
  <c r="CU70" i="5"/>
  <c r="CW69" i="5"/>
  <c r="CV69" i="5"/>
  <c r="CU69" i="5"/>
  <c r="CW68" i="5"/>
  <c r="CV68" i="5"/>
  <c r="CU68" i="5"/>
  <c r="CW67" i="5"/>
  <c r="CV67" i="5"/>
  <c r="CU67" i="5"/>
  <c r="CW66" i="5"/>
  <c r="CV66" i="5"/>
  <c r="CU66" i="5"/>
  <c r="CW65" i="5"/>
  <c r="CV65" i="5"/>
  <c r="CU65" i="5"/>
  <c r="CW64" i="5"/>
  <c r="CV64" i="5"/>
  <c r="CU64" i="5"/>
  <c r="CW63" i="5"/>
  <c r="CV63" i="5"/>
  <c r="CU63" i="5"/>
  <c r="CW62" i="5"/>
  <c r="CV62" i="5"/>
  <c r="CU62" i="5"/>
  <c r="CW61" i="5"/>
  <c r="CV61" i="5"/>
  <c r="CU61" i="5"/>
  <c r="CW60" i="5"/>
  <c r="CV60" i="5"/>
  <c r="CU60" i="5"/>
  <c r="CW59" i="5"/>
  <c r="CV59" i="5"/>
  <c r="CU59" i="5"/>
  <c r="CW58" i="5"/>
  <c r="CV58" i="5"/>
  <c r="CU58" i="5"/>
  <c r="CW57" i="5"/>
  <c r="CV57" i="5"/>
  <c r="CU57" i="5"/>
  <c r="CW56" i="5"/>
  <c r="CV56" i="5"/>
  <c r="CU56" i="5"/>
  <c r="CW55" i="5"/>
  <c r="CV55" i="5"/>
  <c r="CU55" i="5"/>
  <c r="CW54" i="5"/>
  <c r="CV54" i="5"/>
  <c r="CU54" i="5"/>
  <c r="CW53" i="5"/>
  <c r="CV53" i="5"/>
  <c r="CU53" i="5"/>
  <c r="CW52" i="5"/>
  <c r="CV52" i="5"/>
  <c r="CU52" i="5"/>
  <c r="CW51" i="5"/>
  <c r="CV51" i="5"/>
  <c r="CU51" i="5"/>
  <c r="CW50" i="5"/>
  <c r="CV50" i="5"/>
  <c r="CU50" i="5"/>
  <c r="CW49" i="5"/>
  <c r="CV49" i="5"/>
  <c r="CU49" i="5"/>
  <c r="CW48" i="5"/>
  <c r="CV48" i="5"/>
  <c r="CU48" i="5"/>
  <c r="CW47" i="5"/>
  <c r="CV47" i="5"/>
  <c r="CU47" i="5"/>
  <c r="CW46" i="5"/>
  <c r="CV46" i="5"/>
  <c r="CU46" i="5"/>
  <c r="CW45" i="5"/>
  <c r="CV45" i="5"/>
  <c r="CU45" i="5"/>
  <c r="CW44" i="5"/>
  <c r="CV44" i="5"/>
  <c r="CU44" i="5"/>
  <c r="CW43" i="5"/>
  <c r="CV43" i="5"/>
  <c r="CU43" i="5"/>
  <c r="CW42" i="5"/>
  <c r="CV42" i="5"/>
  <c r="CU42" i="5"/>
  <c r="CW41" i="5"/>
  <c r="CV41" i="5"/>
  <c r="CU41" i="5"/>
  <c r="CW40" i="5"/>
  <c r="CV40" i="5"/>
  <c r="CU40" i="5"/>
  <c r="CW39" i="5"/>
  <c r="CV39" i="5"/>
  <c r="CU39" i="5"/>
  <c r="CW38" i="5"/>
  <c r="CV38" i="5"/>
  <c r="CU38" i="5"/>
  <c r="CW37" i="5"/>
  <c r="CV37" i="5"/>
  <c r="CU37" i="5"/>
  <c r="CW36" i="5"/>
  <c r="CV36" i="5"/>
  <c r="CU36" i="5"/>
  <c r="CW35" i="5"/>
  <c r="CV35" i="5"/>
  <c r="CU35" i="5"/>
  <c r="CW34" i="5"/>
  <c r="CV34" i="5"/>
  <c r="CU34" i="5"/>
  <c r="CW33" i="5"/>
  <c r="CV33" i="5"/>
  <c r="CU33" i="5"/>
  <c r="CW32" i="5"/>
  <c r="CV32" i="5"/>
  <c r="CU32" i="5"/>
  <c r="CW31" i="5"/>
  <c r="CV31" i="5"/>
  <c r="CU31" i="5"/>
  <c r="CW30" i="5"/>
  <c r="CV30" i="5"/>
  <c r="CU30" i="5"/>
  <c r="CW29" i="5"/>
  <c r="CV29" i="5"/>
  <c r="CU29" i="5"/>
  <c r="CW28" i="5"/>
  <c r="CV28" i="5"/>
  <c r="CU28" i="5"/>
  <c r="CW27" i="5"/>
  <c r="CV27" i="5"/>
  <c r="CU27" i="5"/>
  <c r="CW26" i="5"/>
  <c r="CV26" i="5"/>
  <c r="CU26" i="5"/>
  <c r="CW25" i="5"/>
  <c r="CV25" i="5"/>
  <c r="CU25" i="5"/>
  <c r="CW24" i="5"/>
  <c r="CV24" i="5"/>
  <c r="CU24" i="5"/>
  <c r="CW23" i="5"/>
  <c r="CV23" i="5"/>
  <c r="CU23" i="5"/>
  <c r="CW22" i="5"/>
  <c r="CV22" i="5"/>
  <c r="CU22" i="5"/>
  <c r="CW21" i="5"/>
  <c r="CV21" i="5"/>
  <c r="CU21" i="5"/>
  <c r="CW20" i="5"/>
  <c r="CV20" i="5"/>
  <c r="CU20" i="5"/>
  <c r="CW19" i="5"/>
  <c r="CV19" i="5"/>
  <c r="CU19" i="5"/>
  <c r="CW18" i="5"/>
  <c r="CV18" i="5"/>
  <c r="CU18" i="5"/>
  <c r="CW17" i="5"/>
  <c r="CV17" i="5"/>
  <c r="CU17" i="5"/>
  <c r="CW16" i="5"/>
  <c r="CV16" i="5"/>
  <c r="CU16" i="5"/>
  <c r="CW15" i="5"/>
  <c r="CV15" i="5"/>
  <c r="CU15" i="5"/>
  <c r="CW14" i="5"/>
  <c r="CV14" i="5"/>
  <c r="CU14" i="5"/>
  <c r="CW13" i="5"/>
  <c r="CV13" i="5"/>
  <c r="CU13" i="5"/>
  <c r="CW12" i="5"/>
  <c r="CV12" i="5"/>
  <c r="CU12" i="5"/>
  <c r="CW11" i="5"/>
  <c r="CV11" i="5"/>
  <c r="CU11" i="5"/>
  <c r="CW10" i="5"/>
  <c r="CV10" i="5"/>
  <c r="CU10" i="5"/>
  <c r="CW9" i="5"/>
  <c r="CV9" i="5"/>
  <c r="CU9" i="5"/>
  <c r="CW8" i="5"/>
  <c r="CV8" i="5"/>
  <c r="CU8" i="5"/>
  <c r="CW7" i="5"/>
  <c r="CV7" i="5"/>
  <c r="CU7" i="5"/>
  <c r="CW6" i="5"/>
  <c r="CV6" i="5"/>
  <c r="CU6" i="5"/>
  <c r="CW5" i="5"/>
  <c r="CV5" i="5"/>
  <c r="CU5" i="5"/>
  <c r="AI249" i="1"/>
  <c r="AI244" i="1"/>
  <c r="AI235" i="1"/>
  <c r="AI229" i="1"/>
  <c r="AI228" i="1"/>
  <c r="AI227" i="1"/>
  <c r="AI226" i="1"/>
  <c r="AI225" i="1"/>
  <c r="AI224" i="1"/>
  <c r="AI223" i="1"/>
  <c r="AI222" i="1"/>
  <c r="AI221" i="1"/>
  <c r="AI220" i="1"/>
  <c r="AI219" i="1"/>
  <c r="AI218" i="1"/>
  <c r="AI217" i="1"/>
  <c r="AI216" i="1"/>
  <c r="AI215" i="1"/>
  <c r="AI214" i="1"/>
  <c r="AI213" i="1"/>
  <c r="AI212" i="1"/>
  <c r="AI211" i="1"/>
  <c r="AI210" i="1"/>
  <c r="AI209" i="1"/>
  <c r="AI208" i="1"/>
  <c r="AI207" i="1"/>
  <c r="AI206" i="1"/>
  <c r="AI205" i="1"/>
  <c r="AI204" i="1"/>
  <c r="AI203" i="1"/>
  <c r="AI202" i="1"/>
  <c r="AI201" i="1"/>
  <c r="AI200" i="1"/>
  <c r="AI199" i="1"/>
  <c r="AI198" i="1"/>
  <c r="AI197" i="1"/>
  <c r="AI196" i="1"/>
  <c r="AI195" i="1"/>
  <c r="AI194" i="1"/>
  <c r="AI193" i="1"/>
  <c r="AI192" i="1"/>
  <c r="AI191" i="1"/>
  <c r="AI190" i="1"/>
  <c r="AI189" i="1"/>
  <c r="AI188" i="1"/>
  <c r="AI187" i="1"/>
  <c r="AI186" i="1"/>
  <c r="AI185" i="1"/>
  <c r="AI184" i="1"/>
  <c r="AI183" i="1"/>
  <c r="AI182" i="1"/>
  <c r="AI181" i="1"/>
  <c r="AI180" i="1"/>
  <c r="AI179" i="1"/>
  <c r="AI178" i="1"/>
  <c r="AI177" i="1"/>
  <c r="AI176" i="1"/>
  <c r="AI175" i="1"/>
  <c r="AI174" i="1"/>
  <c r="AI173" i="1"/>
  <c r="AI172" i="1"/>
  <c r="AI171" i="1"/>
  <c r="AI170" i="1"/>
  <c r="AI169" i="1"/>
  <c r="AI168" i="1"/>
  <c r="AI167" i="1"/>
  <c r="AI166" i="1"/>
  <c r="AI165" i="1"/>
  <c r="AI164" i="1"/>
  <c r="AI163" i="1"/>
  <c r="AI162" i="1"/>
  <c r="AI161" i="1"/>
  <c r="AI160" i="1"/>
  <c r="AI159" i="1"/>
  <c r="AI158" i="1"/>
  <c r="AI157" i="1"/>
  <c r="AI156" i="1"/>
  <c r="AI155" i="1"/>
  <c r="AI154" i="1"/>
  <c r="AI153" i="1"/>
  <c r="AI152" i="1"/>
  <c r="AI151" i="1"/>
  <c r="AI150" i="1"/>
  <c r="AI149" i="1"/>
  <c r="AI148" i="1"/>
  <c r="AI147" i="1"/>
  <c r="AI146" i="1"/>
  <c r="AI145" i="1"/>
  <c r="AI144" i="1"/>
  <c r="AI143" i="1"/>
  <c r="AI142" i="1"/>
  <c r="AI141" i="1"/>
  <c r="AI140" i="1"/>
  <c r="AI139" i="1"/>
  <c r="AI138" i="1"/>
  <c r="AI137" i="1"/>
  <c r="AI136" i="1"/>
  <c r="AI135" i="1"/>
  <c r="AI134" i="1"/>
  <c r="AI133" i="1"/>
  <c r="AI132" i="1"/>
  <c r="AI131" i="1"/>
  <c r="AI130" i="1"/>
  <c r="AI129" i="1"/>
  <c r="AI128" i="1"/>
  <c r="AI127" i="1"/>
  <c r="AI126" i="1"/>
  <c r="AI125" i="1"/>
  <c r="AI124" i="1"/>
  <c r="AI123" i="1"/>
  <c r="AI122" i="1"/>
  <c r="AI121" i="1"/>
  <c r="AI120" i="1"/>
  <c r="AI119" i="1"/>
  <c r="AI118" i="1"/>
  <c r="AI117" i="1"/>
  <c r="AI116" i="1"/>
  <c r="AI115" i="1"/>
  <c r="AI114" i="1"/>
  <c r="AI113" i="1"/>
  <c r="AI112" i="1"/>
  <c r="AI111" i="1"/>
  <c r="AI110" i="1"/>
  <c r="AI109" i="1"/>
  <c r="AI108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215" i="3"/>
  <c r="AI214" i="3"/>
  <c r="AI213" i="3"/>
  <c r="AI210" i="3"/>
  <c r="AI209" i="3"/>
  <c r="AI208" i="3"/>
  <c r="AI205" i="3"/>
  <c r="AI204" i="3"/>
  <c r="AI203" i="3"/>
  <c r="AI202" i="3"/>
  <c r="AI199" i="3"/>
  <c r="AI198" i="3"/>
  <c r="AI195" i="3"/>
  <c r="AI194" i="3"/>
  <c r="AI193" i="3"/>
  <c r="AI190" i="3"/>
  <c r="AI189" i="3"/>
  <c r="AI186" i="3"/>
  <c r="AI185" i="3"/>
  <c r="AI184" i="3"/>
  <c r="AI171" i="3"/>
  <c r="AI170" i="3"/>
  <c r="AI169" i="3"/>
  <c r="AI168" i="3"/>
  <c r="AI167" i="3"/>
  <c r="AI166" i="3"/>
  <c r="AI165" i="3"/>
  <c r="AI164" i="3"/>
  <c r="AI163" i="3"/>
  <c r="AI162" i="3"/>
  <c r="AI161" i="3"/>
  <c r="AI160" i="3"/>
  <c r="AI159" i="3"/>
  <c r="AI158" i="3"/>
  <c r="AI157" i="3"/>
  <c r="AI156" i="3"/>
  <c r="AI155" i="3"/>
  <c r="AI154" i="3"/>
  <c r="AI153" i="3"/>
  <c r="AI152" i="3"/>
  <c r="AI151" i="3"/>
  <c r="AI150" i="3"/>
  <c r="AI149" i="3"/>
  <c r="AI148" i="3"/>
  <c r="AI147" i="3"/>
  <c r="AI146" i="3"/>
  <c r="AI145" i="3"/>
  <c r="AI144" i="3"/>
  <c r="AI143" i="3"/>
  <c r="AI142" i="3"/>
  <c r="AI141" i="3"/>
  <c r="AI140" i="3"/>
  <c r="AI139" i="3"/>
  <c r="AI138" i="3"/>
  <c r="AI137" i="3"/>
  <c r="AI136" i="3"/>
  <c r="AI135" i="3"/>
  <c r="AI134" i="3"/>
  <c r="AI133" i="3"/>
  <c r="AI132" i="3"/>
  <c r="AI131" i="3"/>
  <c r="AI130" i="3"/>
  <c r="AI129" i="3"/>
  <c r="AI128" i="3"/>
  <c r="AI127" i="3"/>
  <c r="AI126" i="3"/>
  <c r="AI125" i="3"/>
  <c r="AI124" i="3"/>
  <c r="AI123" i="3"/>
  <c r="AI122" i="3"/>
  <c r="AI121" i="3"/>
  <c r="AI120" i="3"/>
  <c r="AI119" i="3"/>
  <c r="AI118" i="3"/>
  <c r="AI117" i="3"/>
  <c r="AI116" i="3"/>
  <c r="AI115" i="3"/>
  <c r="AI114" i="3"/>
  <c r="AI113" i="3"/>
  <c r="AI112" i="3"/>
  <c r="AI111" i="3"/>
  <c r="AI110" i="3"/>
  <c r="AI109" i="3"/>
  <c r="AI108" i="3"/>
  <c r="AI107" i="3"/>
  <c r="AI106" i="3"/>
  <c r="AI105" i="3"/>
  <c r="AI104" i="3"/>
  <c r="AI103" i="3"/>
  <c r="AI102" i="3"/>
  <c r="AI101" i="3"/>
  <c r="AI100" i="3"/>
  <c r="AI99" i="3"/>
  <c r="AI98" i="3"/>
  <c r="AI97" i="3"/>
  <c r="AI96" i="3"/>
  <c r="AI95" i="3"/>
  <c r="AI94" i="3"/>
  <c r="AI93" i="3"/>
  <c r="AI92" i="3"/>
  <c r="AI91" i="3"/>
  <c r="AI90" i="3"/>
  <c r="AI89" i="3"/>
  <c r="AI88" i="3"/>
  <c r="AI87" i="3"/>
  <c r="AI86" i="3"/>
  <c r="AI85" i="3"/>
  <c r="AI84" i="3"/>
  <c r="AI83" i="3"/>
  <c r="AI82" i="3"/>
  <c r="AI81" i="3"/>
  <c r="AI80" i="3"/>
  <c r="AI79" i="3"/>
  <c r="AI78" i="3"/>
  <c r="AI77" i="3"/>
  <c r="AI76" i="3"/>
  <c r="AI75" i="3"/>
  <c r="AI74" i="3"/>
  <c r="AI73" i="3"/>
  <c r="AI72" i="3"/>
  <c r="AI71" i="3"/>
  <c r="AI70" i="3"/>
  <c r="AI69" i="3"/>
  <c r="AI68" i="3"/>
  <c r="AI67" i="3"/>
  <c r="AI66" i="3"/>
  <c r="AI65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5" i="3"/>
  <c r="AI4" i="3"/>
  <c r="AI3" i="3"/>
  <c r="AI229" i="2"/>
  <c r="AI228" i="2"/>
  <c r="AI227" i="2"/>
  <c r="AI226" i="2"/>
  <c r="AI224" i="2"/>
  <c r="AI223" i="2"/>
  <c r="AI222" i="2"/>
  <c r="AI221" i="2"/>
  <c r="AI219" i="2"/>
  <c r="AI218" i="2"/>
  <c r="AI217" i="2"/>
  <c r="AI214" i="2"/>
  <c r="AI213" i="2"/>
  <c r="AI212" i="2"/>
  <c r="AI209" i="2"/>
  <c r="AI208" i="2"/>
  <c r="AI207" i="2"/>
  <c r="AI206" i="2"/>
  <c r="AI203" i="2"/>
  <c r="AI202" i="2"/>
  <c r="AI199" i="2"/>
  <c r="AI198" i="2"/>
  <c r="AI197" i="2"/>
  <c r="AI194" i="2"/>
  <c r="AI193" i="2"/>
  <c r="AI190" i="2"/>
  <c r="AI189" i="2"/>
  <c r="AI188" i="2"/>
  <c r="AI184" i="2"/>
  <c r="AI171" i="2"/>
  <c r="AI170" i="2"/>
  <c r="AI169" i="2"/>
  <c r="AI168" i="2"/>
  <c r="AI167" i="2"/>
  <c r="AI166" i="2"/>
  <c r="AI165" i="2"/>
  <c r="AI164" i="2"/>
  <c r="AI163" i="2"/>
  <c r="AI162" i="2"/>
  <c r="AI161" i="2"/>
  <c r="AI160" i="2"/>
  <c r="AI159" i="2"/>
  <c r="AI158" i="2"/>
  <c r="AI157" i="2"/>
  <c r="AI156" i="2"/>
  <c r="AI155" i="2"/>
  <c r="AI154" i="2"/>
  <c r="AI153" i="2"/>
  <c r="AI152" i="2"/>
  <c r="AI151" i="2"/>
  <c r="AI150" i="2"/>
  <c r="AI149" i="2"/>
  <c r="AI148" i="2"/>
  <c r="AI147" i="2"/>
  <c r="AI146" i="2"/>
  <c r="AI145" i="2"/>
  <c r="AI144" i="2"/>
  <c r="AI143" i="2"/>
  <c r="AI142" i="2"/>
  <c r="AI141" i="2"/>
  <c r="AI140" i="2"/>
  <c r="AI139" i="2"/>
  <c r="AI138" i="2"/>
  <c r="AI137" i="2"/>
  <c r="AI136" i="2"/>
  <c r="AI135" i="2"/>
  <c r="AI134" i="2"/>
  <c r="AI133" i="2"/>
  <c r="AI132" i="2"/>
  <c r="AI131" i="2"/>
  <c r="AI130" i="2"/>
  <c r="AI129" i="2"/>
  <c r="AI128" i="2"/>
  <c r="AI127" i="2"/>
  <c r="AI126" i="2"/>
  <c r="AI125" i="2"/>
  <c r="AI124" i="2"/>
  <c r="AI123" i="2"/>
  <c r="AI122" i="2"/>
  <c r="AI121" i="2"/>
  <c r="AI120" i="2"/>
  <c r="AI119" i="2"/>
  <c r="AI118" i="2"/>
  <c r="AI117" i="2"/>
  <c r="AI116" i="2"/>
  <c r="AI115" i="2"/>
  <c r="AI114" i="2"/>
  <c r="AI113" i="2"/>
  <c r="AI112" i="2"/>
  <c r="AI111" i="2"/>
  <c r="AI110" i="2"/>
  <c r="AI109" i="2"/>
  <c r="AI108" i="2"/>
  <c r="AI107" i="2"/>
  <c r="AI106" i="2"/>
  <c r="AI105" i="2"/>
  <c r="AI104" i="2"/>
  <c r="AI103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I80" i="2"/>
  <c r="AI79" i="2"/>
  <c r="AI78" i="2"/>
  <c r="AI77" i="2"/>
  <c r="AI76" i="2"/>
  <c r="AI75" i="2"/>
  <c r="AI74" i="2"/>
  <c r="AI73" i="2"/>
  <c r="AI72" i="2"/>
  <c r="AI71" i="2"/>
  <c r="AI70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I3" i="2"/>
  <c r="CR337" i="5"/>
  <c r="CT333" i="5"/>
  <c r="CS333" i="5"/>
  <c r="CR333" i="5"/>
  <c r="CT317" i="5"/>
  <c r="CS317" i="5"/>
  <c r="CR317" i="5"/>
  <c r="CT316" i="5"/>
  <c r="CS316" i="5"/>
  <c r="CR316" i="5"/>
  <c r="CT315" i="5"/>
  <c r="CS315" i="5"/>
  <c r="CR315" i="5"/>
  <c r="CT314" i="5"/>
  <c r="CS314" i="5"/>
  <c r="CR314" i="5"/>
  <c r="CT313" i="5"/>
  <c r="CS313" i="5"/>
  <c r="CR313" i="5"/>
  <c r="CT312" i="5"/>
  <c r="CS312" i="5"/>
  <c r="CR312" i="5"/>
  <c r="CT311" i="5"/>
  <c r="CS311" i="5"/>
  <c r="CR311" i="5"/>
  <c r="CT310" i="5"/>
  <c r="CS310" i="5"/>
  <c r="CR310" i="5"/>
  <c r="CT309" i="5"/>
  <c r="CS309" i="5"/>
  <c r="CR309" i="5"/>
  <c r="CT308" i="5"/>
  <c r="CS308" i="5"/>
  <c r="CR308" i="5"/>
  <c r="CT307" i="5"/>
  <c r="CS307" i="5"/>
  <c r="CR307" i="5"/>
  <c r="CT306" i="5"/>
  <c r="CS306" i="5"/>
  <c r="CR306" i="5"/>
  <c r="CT305" i="5"/>
  <c r="CS305" i="5"/>
  <c r="CR305" i="5"/>
  <c r="CT304" i="5"/>
  <c r="CS304" i="5"/>
  <c r="CR304" i="5"/>
  <c r="CT303" i="5"/>
  <c r="CS303" i="5"/>
  <c r="CR303" i="5"/>
  <c r="CT302" i="5"/>
  <c r="CS302" i="5"/>
  <c r="CR302" i="5"/>
  <c r="CT301" i="5"/>
  <c r="CS301" i="5"/>
  <c r="CR301" i="5"/>
  <c r="CT300" i="5"/>
  <c r="CS300" i="5"/>
  <c r="CR300" i="5"/>
  <c r="CT299" i="5"/>
  <c r="CS299" i="5"/>
  <c r="CR299" i="5"/>
  <c r="CT298" i="5"/>
  <c r="CS298" i="5"/>
  <c r="CR298" i="5"/>
  <c r="CT297" i="5"/>
  <c r="CS297" i="5"/>
  <c r="CR297" i="5"/>
  <c r="CT296" i="5"/>
  <c r="CS296" i="5"/>
  <c r="CR296" i="5"/>
  <c r="CT295" i="5"/>
  <c r="CS295" i="5"/>
  <c r="CR295" i="5"/>
  <c r="CT294" i="5"/>
  <c r="CS294" i="5"/>
  <c r="CR294" i="5"/>
  <c r="CT293" i="5"/>
  <c r="CS293" i="5"/>
  <c r="CR293" i="5"/>
  <c r="CT292" i="5"/>
  <c r="CS292" i="5"/>
  <c r="CT291" i="5"/>
  <c r="CS291" i="5"/>
  <c r="CR291" i="5"/>
  <c r="CT290" i="5"/>
  <c r="CS290" i="5"/>
  <c r="CR290" i="5"/>
  <c r="CT289" i="5"/>
  <c r="CS289" i="5"/>
  <c r="CR289" i="5"/>
  <c r="CT288" i="5"/>
  <c r="CS288" i="5"/>
  <c r="CR288" i="5"/>
  <c r="CT287" i="5"/>
  <c r="CS287" i="5"/>
  <c r="CR287" i="5"/>
  <c r="CT286" i="5"/>
  <c r="CS286" i="5"/>
  <c r="CR286" i="5"/>
  <c r="CT285" i="5"/>
  <c r="CS285" i="5"/>
  <c r="CR285" i="5"/>
  <c r="CT284" i="5"/>
  <c r="CS284" i="5"/>
  <c r="CR284" i="5"/>
  <c r="CT283" i="5"/>
  <c r="CS283" i="5"/>
  <c r="CR283" i="5"/>
  <c r="CT282" i="5"/>
  <c r="CS282" i="5"/>
  <c r="CR282" i="5"/>
  <c r="CT281" i="5"/>
  <c r="CS281" i="5"/>
  <c r="CR281" i="5"/>
  <c r="CT280" i="5"/>
  <c r="CS280" i="5"/>
  <c r="CR280" i="5"/>
  <c r="CT279" i="5"/>
  <c r="CS279" i="5"/>
  <c r="CR279" i="5"/>
  <c r="CT278" i="5"/>
  <c r="CS278" i="5"/>
  <c r="CR278" i="5"/>
  <c r="CT277" i="5"/>
  <c r="CS277" i="5"/>
  <c r="CR277" i="5"/>
  <c r="CT276" i="5"/>
  <c r="CS276" i="5"/>
  <c r="CR276" i="5"/>
  <c r="CT275" i="5"/>
  <c r="CS275" i="5"/>
  <c r="CR275" i="5"/>
  <c r="CT274" i="5"/>
  <c r="CS274" i="5"/>
  <c r="CR274" i="5"/>
  <c r="CT273" i="5"/>
  <c r="CS273" i="5"/>
  <c r="CR273" i="5"/>
  <c r="CT272" i="5"/>
  <c r="CS272" i="5"/>
  <c r="CR272" i="5"/>
  <c r="CT271" i="5"/>
  <c r="CS271" i="5"/>
  <c r="CR271" i="5"/>
  <c r="CT270" i="5"/>
  <c r="CS270" i="5"/>
  <c r="CR270" i="5"/>
  <c r="CT269" i="5"/>
  <c r="CS269" i="5"/>
  <c r="CR269" i="5"/>
  <c r="CT268" i="5"/>
  <c r="CS268" i="5"/>
  <c r="CR268" i="5"/>
  <c r="CT267" i="5"/>
  <c r="CS267" i="5"/>
  <c r="CR267" i="5"/>
  <c r="CT266" i="5"/>
  <c r="CS266" i="5"/>
  <c r="CR266" i="5"/>
  <c r="CT265" i="5"/>
  <c r="CS265" i="5"/>
  <c r="CR265" i="5"/>
  <c r="CT264" i="5"/>
  <c r="CS264" i="5"/>
  <c r="CR264" i="5"/>
  <c r="CT263" i="5"/>
  <c r="CS263" i="5"/>
  <c r="CR263" i="5"/>
  <c r="CT262" i="5"/>
  <c r="CS262" i="5"/>
  <c r="CR262" i="5"/>
  <c r="CT261" i="5"/>
  <c r="CS261" i="5"/>
  <c r="CR261" i="5"/>
  <c r="CT260" i="5"/>
  <c r="CS260" i="5"/>
  <c r="CR260" i="5"/>
  <c r="CT259" i="5"/>
  <c r="CS259" i="5"/>
  <c r="CR259" i="5"/>
  <c r="CT258" i="5"/>
  <c r="CS258" i="5"/>
  <c r="CR258" i="5"/>
  <c r="CT257" i="5"/>
  <c r="CS257" i="5"/>
  <c r="CR257" i="5"/>
  <c r="CT256" i="5"/>
  <c r="CS256" i="5"/>
  <c r="CR256" i="5"/>
  <c r="CT255" i="5"/>
  <c r="CS255" i="5"/>
  <c r="CR255" i="5"/>
  <c r="CT254" i="5"/>
  <c r="CS254" i="5"/>
  <c r="CR254" i="5"/>
  <c r="CT253" i="5"/>
  <c r="CS253" i="5"/>
  <c r="CR253" i="5"/>
  <c r="CT252" i="5"/>
  <c r="CS252" i="5"/>
  <c r="CR252" i="5"/>
  <c r="CT251" i="5"/>
  <c r="CS251" i="5"/>
  <c r="CR251" i="5"/>
  <c r="CT250" i="5"/>
  <c r="CS250" i="5"/>
  <c r="CR250" i="5"/>
  <c r="CT249" i="5"/>
  <c r="CS249" i="5"/>
  <c r="CR249" i="5"/>
  <c r="CT248" i="5"/>
  <c r="CS248" i="5"/>
  <c r="CR248" i="5"/>
  <c r="CT247" i="5"/>
  <c r="CS247" i="5"/>
  <c r="CR247" i="5"/>
  <c r="CT246" i="5"/>
  <c r="CS246" i="5"/>
  <c r="CR246" i="5"/>
  <c r="CT245" i="5"/>
  <c r="CS245" i="5"/>
  <c r="CR245" i="5"/>
  <c r="CT244" i="5"/>
  <c r="CS244" i="5"/>
  <c r="CR244" i="5"/>
  <c r="CT243" i="5"/>
  <c r="CS243" i="5"/>
  <c r="CR243" i="5"/>
  <c r="CT242" i="5"/>
  <c r="CS242" i="5"/>
  <c r="CR242" i="5"/>
  <c r="CT241" i="5"/>
  <c r="CS241" i="5"/>
  <c r="CR241" i="5"/>
  <c r="CT240" i="5"/>
  <c r="CS240" i="5"/>
  <c r="CR240" i="5"/>
  <c r="CT239" i="5"/>
  <c r="CS239" i="5"/>
  <c r="CR239" i="5"/>
  <c r="CT238" i="5"/>
  <c r="CS238" i="5"/>
  <c r="CR238" i="5"/>
  <c r="CT237" i="5"/>
  <c r="CS237" i="5"/>
  <c r="CR237" i="5"/>
  <c r="CT236" i="5"/>
  <c r="CS236" i="5"/>
  <c r="CR236" i="5"/>
  <c r="CT235" i="5"/>
  <c r="CS235" i="5"/>
  <c r="CR235" i="5"/>
  <c r="CT234" i="5"/>
  <c r="CS234" i="5"/>
  <c r="CR234" i="5"/>
  <c r="CT233" i="5"/>
  <c r="CS233" i="5"/>
  <c r="CR233" i="5"/>
  <c r="CT232" i="5"/>
  <c r="CS232" i="5"/>
  <c r="CR232" i="5"/>
  <c r="CT231" i="5"/>
  <c r="CS231" i="5"/>
  <c r="CR231" i="5"/>
  <c r="CT230" i="5"/>
  <c r="CS230" i="5"/>
  <c r="CR230" i="5"/>
  <c r="CT229" i="5"/>
  <c r="CS229" i="5"/>
  <c r="CR229" i="5"/>
  <c r="CT228" i="5"/>
  <c r="CS228" i="5"/>
  <c r="CR228" i="5"/>
  <c r="CT227" i="5"/>
  <c r="CS227" i="5"/>
  <c r="CR227" i="5"/>
  <c r="CT226" i="5"/>
  <c r="CS226" i="5"/>
  <c r="CR226" i="5"/>
  <c r="CT225" i="5"/>
  <c r="CS225" i="5"/>
  <c r="CR225" i="5"/>
  <c r="CT224" i="5"/>
  <c r="CS224" i="5"/>
  <c r="CR224" i="5"/>
  <c r="CT223" i="5"/>
  <c r="CS223" i="5"/>
  <c r="CR223" i="5"/>
  <c r="CT222" i="5"/>
  <c r="CS222" i="5"/>
  <c r="CR222" i="5"/>
  <c r="CT221" i="5"/>
  <c r="CS221" i="5"/>
  <c r="CR221" i="5"/>
  <c r="CT220" i="5"/>
  <c r="CS220" i="5"/>
  <c r="CR220" i="5"/>
  <c r="CT219" i="5"/>
  <c r="CS219" i="5"/>
  <c r="CR219" i="5"/>
  <c r="CT218" i="5"/>
  <c r="CS218" i="5"/>
  <c r="CR218" i="5"/>
  <c r="CT217" i="5"/>
  <c r="CS217" i="5"/>
  <c r="CR217" i="5"/>
  <c r="CT216" i="5"/>
  <c r="CS216" i="5"/>
  <c r="CR216" i="5"/>
  <c r="CT215" i="5"/>
  <c r="CS215" i="5"/>
  <c r="CR215" i="5"/>
  <c r="CT214" i="5"/>
  <c r="CS214" i="5"/>
  <c r="CR214" i="5"/>
  <c r="CT213" i="5"/>
  <c r="CS213" i="5"/>
  <c r="CR213" i="5"/>
  <c r="CT212" i="5"/>
  <c r="CS212" i="5"/>
  <c r="CR212" i="5"/>
  <c r="CT211" i="5"/>
  <c r="CS211" i="5"/>
  <c r="CR211" i="5"/>
  <c r="CT210" i="5"/>
  <c r="CS210" i="5"/>
  <c r="CR210" i="5"/>
  <c r="CT209" i="5"/>
  <c r="CS209" i="5"/>
  <c r="CR209" i="5"/>
  <c r="CT208" i="5"/>
  <c r="CS208" i="5"/>
  <c r="CR208" i="5"/>
  <c r="CT207" i="5"/>
  <c r="CS207" i="5"/>
  <c r="CR207" i="5"/>
  <c r="CT206" i="5"/>
  <c r="CS206" i="5"/>
  <c r="CR206" i="5"/>
  <c r="CT205" i="5"/>
  <c r="CS205" i="5"/>
  <c r="CR205" i="5"/>
  <c r="CT204" i="5"/>
  <c r="CS204" i="5"/>
  <c r="CR204" i="5"/>
  <c r="CT203" i="5"/>
  <c r="CS203" i="5"/>
  <c r="CR203" i="5"/>
  <c r="CT202" i="5"/>
  <c r="CS202" i="5"/>
  <c r="CR202" i="5"/>
  <c r="CT201" i="5"/>
  <c r="CS201" i="5"/>
  <c r="CR201" i="5"/>
  <c r="CT200" i="5"/>
  <c r="CS200" i="5"/>
  <c r="CR200" i="5"/>
  <c r="CT199" i="5"/>
  <c r="CS199" i="5"/>
  <c r="CR199" i="5"/>
  <c r="CT198" i="5"/>
  <c r="CS198" i="5"/>
  <c r="CR198" i="5"/>
  <c r="CT197" i="5"/>
  <c r="CS197" i="5"/>
  <c r="CR197" i="5"/>
  <c r="CT196" i="5"/>
  <c r="CS196" i="5"/>
  <c r="CR196" i="5"/>
  <c r="CT195" i="5"/>
  <c r="CS195" i="5"/>
  <c r="CR195" i="5"/>
  <c r="CT194" i="5"/>
  <c r="CS194" i="5"/>
  <c r="CR194" i="5"/>
  <c r="CT193" i="5"/>
  <c r="CS193" i="5"/>
  <c r="CR193" i="5"/>
  <c r="CT192" i="5"/>
  <c r="CS192" i="5"/>
  <c r="CR192" i="5"/>
  <c r="CT191" i="5"/>
  <c r="CS191" i="5"/>
  <c r="CR191" i="5"/>
  <c r="CT190" i="5"/>
  <c r="CS190" i="5"/>
  <c r="CR190" i="5"/>
  <c r="CT189" i="5"/>
  <c r="CS189" i="5"/>
  <c r="CR189" i="5"/>
  <c r="CT188" i="5"/>
  <c r="CS188" i="5"/>
  <c r="CR188" i="5"/>
  <c r="CT187" i="5"/>
  <c r="CS187" i="5"/>
  <c r="CR187" i="5"/>
  <c r="CT186" i="5"/>
  <c r="CS186" i="5"/>
  <c r="CR186" i="5"/>
  <c r="CT185" i="5"/>
  <c r="CS185" i="5"/>
  <c r="CR185" i="5"/>
  <c r="CT184" i="5"/>
  <c r="CS184" i="5"/>
  <c r="CR184" i="5"/>
  <c r="CT183" i="5"/>
  <c r="CS183" i="5"/>
  <c r="CR183" i="5"/>
  <c r="CT182" i="5"/>
  <c r="CS182" i="5"/>
  <c r="CR182" i="5"/>
  <c r="CT181" i="5"/>
  <c r="CS181" i="5"/>
  <c r="CR181" i="5"/>
  <c r="CT180" i="5"/>
  <c r="CS180" i="5"/>
  <c r="CR180" i="5"/>
  <c r="CT179" i="5"/>
  <c r="CS179" i="5"/>
  <c r="CR179" i="5"/>
  <c r="CT178" i="5"/>
  <c r="CS178" i="5"/>
  <c r="CR178" i="5"/>
  <c r="CT177" i="5"/>
  <c r="CS177" i="5"/>
  <c r="CR177" i="5"/>
  <c r="CT176" i="5"/>
  <c r="CS176" i="5"/>
  <c r="CR176" i="5"/>
  <c r="CT175" i="5"/>
  <c r="CS175" i="5"/>
  <c r="CR175" i="5"/>
  <c r="CT174" i="5"/>
  <c r="CS174" i="5"/>
  <c r="CR174" i="5"/>
  <c r="CT173" i="5"/>
  <c r="CS173" i="5"/>
  <c r="CR173" i="5"/>
  <c r="CT172" i="5"/>
  <c r="CS172" i="5"/>
  <c r="CR172" i="5"/>
  <c r="CT171" i="5"/>
  <c r="CS171" i="5"/>
  <c r="CR171" i="5"/>
  <c r="CT170" i="5"/>
  <c r="CS170" i="5"/>
  <c r="CR170" i="5"/>
  <c r="CT169" i="5"/>
  <c r="CS169" i="5"/>
  <c r="CR169" i="5"/>
  <c r="CT168" i="5"/>
  <c r="CS168" i="5"/>
  <c r="CR168" i="5"/>
  <c r="CT167" i="5"/>
  <c r="CS167" i="5"/>
  <c r="CR167" i="5"/>
  <c r="CT166" i="5"/>
  <c r="CS166" i="5"/>
  <c r="CR166" i="5"/>
  <c r="CT165" i="5"/>
  <c r="CS165" i="5"/>
  <c r="CR165" i="5"/>
  <c r="CT164" i="5"/>
  <c r="CS164" i="5"/>
  <c r="CR164" i="5"/>
  <c r="CT163" i="5"/>
  <c r="CS163" i="5"/>
  <c r="CR163" i="5"/>
  <c r="CT162" i="5"/>
  <c r="CS162" i="5"/>
  <c r="CR162" i="5"/>
  <c r="CT161" i="5"/>
  <c r="CS161" i="5"/>
  <c r="CR161" i="5"/>
  <c r="CT160" i="5"/>
  <c r="CS160" i="5"/>
  <c r="CR160" i="5"/>
  <c r="CT159" i="5"/>
  <c r="CS159" i="5"/>
  <c r="CR159" i="5"/>
  <c r="CT158" i="5"/>
  <c r="CS158" i="5"/>
  <c r="CR158" i="5"/>
  <c r="CT157" i="5"/>
  <c r="CS157" i="5"/>
  <c r="CR157" i="5"/>
  <c r="CT156" i="5"/>
  <c r="CS156" i="5"/>
  <c r="CR156" i="5"/>
  <c r="CT155" i="5"/>
  <c r="CS155" i="5"/>
  <c r="CR155" i="5"/>
  <c r="CT154" i="5"/>
  <c r="CS154" i="5"/>
  <c r="CR154" i="5"/>
  <c r="CT153" i="5"/>
  <c r="CS153" i="5"/>
  <c r="CR153" i="5"/>
  <c r="CT152" i="5"/>
  <c r="CS152" i="5"/>
  <c r="CR152" i="5"/>
  <c r="CT151" i="5"/>
  <c r="CS151" i="5"/>
  <c r="CR151" i="5"/>
  <c r="CT150" i="5"/>
  <c r="CS150" i="5"/>
  <c r="CR150" i="5"/>
  <c r="CT149" i="5"/>
  <c r="CS149" i="5"/>
  <c r="CR149" i="5"/>
  <c r="CT148" i="5"/>
  <c r="CS148" i="5"/>
  <c r="CR148" i="5"/>
  <c r="CT147" i="5"/>
  <c r="CS147" i="5"/>
  <c r="CR147" i="5"/>
  <c r="CT146" i="5"/>
  <c r="CS146" i="5"/>
  <c r="CR146" i="5"/>
  <c r="CT145" i="5"/>
  <c r="CS145" i="5"/>
  <c r="CR145" i="5"/>
  <c r="CT144" i="5"/>
  <c r="CS144" i="5"/>
  <c r="CR144" i="5"/>
  <c r="CT143" i="5"/>
  <c r="CS143" i="5"/>
  <c r="CR143" i="5"/>
  <c r="CT142" i="5"/>
  <c r="CS142" i="5"/>
  <c r="CR142" i="5"/>
  <c r="CT141" i="5"/>
  <c r="CS141" i="5"/>
  <c r="CR141" i="5"/>
  <c r="CT140" i="5"/>
  <c r="CS140" i="5"/>
  <c r="CR140" i="5"/>
  <c r="CT139" i="5"/>
  <c r="CS139" i="5"/>
  <c r="CR139" i="5"/>
  <c r="CT138" i="5"/>
  <c r="CS138" i="5"/>
  <c r="CR138" i="5"/>
  <c r="CT137" i="5"/>
  <c r="CS137" i="5"/>
  <c r="CR137" i="5"/>
  <c r="CT136" i="5"/>
  <c r="CS136" i="5"/>
  <c r="CR136" i="5"/>
  <c r="CT135" i="5"/>
  <c r="CS135" i="5"/>
  <c r="CR135" i="5"/>
  <c r="CT134" i="5"/>
  <c r="CS134" i="5"/>
  <c r="CR134" i="5"/>
  <c r="CT133" i="5"/>
  <c r="CS133" i="5"/>
  <c r="CR133" i="5"/>
  <c r="CT132" i="5"/>
  <c r="CS132" i="5"/>
  <c r="CR132" i="5"/>
  <c r="CT131" i="5"/>
  <c r="CS131" i="5"/>
  <c r="CR131" i="5"/>
  <c r="CT130" i="5"/>
  <c r="CS130" i="5"/>
  <c r="CR130" i="5"/>
  <c r="CT129" i="5"/>
  <c r="CS129" i="5"/>
  <c r="CR129" i="5"/>
  <c r="CT128" i="5"/>
  <c r="CS128" i="5"/>
  <c r="CR128" i="5"/>
  <c r="CT127" i="5"/>
  <c r="CS127" i="5"/>
  <c r="CR127" i="5"/>
  <c r="CT126" i="5"/>
  <c r="CS126" i="5"/>
  <c r="CR126" i="5"/>
  <c r="CT125" i="5"/>
  <c r="CS125" i="5"/>
  <c r="CR125" i="5"/>
  <c r="CT124" i="5"/>
  <c r="CS124" i="5"/>
  <c r="CR124" i="5"/>
  <c r="CT123" i="5"/>
  <c r="CS123" i="5"/>
  <c r="CR123" i="5"/>
  <c r="CT122" i="5"/>
  <c r="CS122" i="5"/>
  <c r="CR122" i="5"/>
  <c r="CT121" i="5"/>
  <c r="CS121" i="5"/>
  <c r="CR121" i="5"/>
  <c r="CT120" i="5"/>
  <c r="CS120" i="5"/>
  <c r="CR120" i="5"/>
  <c r="CT119" i="5"/>
  <c r="CS119" i="5"/>
  <c r="CR119" i="5"/>
  <c r="CT118" i="5"/>
  <c r="CS118" i="5"/>
  <c r="CR118" i="5"/>
  <c r="CT117" i="5"/>
  <c r="CS117" i="5"/>
  <c r="CR117" i="5"/>
  <c r="CT116" i="5"/>
  <c r="CS116" i="5"/>
  <c r="CR116" i="5"/>
  <c r="CT115" i="5"/>
  <c r="CS115" i="5"/>
  <c r="CR115" i="5"/>
  <c r="CT114" i="5"/>
  <c r="CS114" i="5"/>
  <c r="CR114" i="5"/>
  <c r="CT113" i="5"/>
  <c r="CS113" i="5"/>
  <c r="CR113" i="5"/>
  <c r="CT112" i="5"/>
  <c r="CS112" i="5"/>
  <c r="CR112" i="5"/>
  <c r="CR111" i="5"/>
  <c r="CT110" i="5"/>
  <c r="CS110" i="5"/>
  <c r="CR110" i="5"/>
  <c r="CS109" i="5"/>
  <c r="CR109" i="5"/>
  <c r="CT108" i="5"/>
  <c r="CS108" i="5"/>
  <c r="CR108" i="5"/>
  <c r="CT107" i="5"/>
  <c r="CS107" i="5"/>
  <c r="CT106" i="5"/>
  <c r="CS106" i="5"/>
  <c r="CR106" i="5"/>
  <c r="CT105" i="5"/>
  <c r="CS105" i="5"/>
  <c r="CR105" i="5"/>
  <c r="CT104" i="5"/>
  <c r="CS104" i="5"/>
  <c r="CR104" i="5"/>
  <c r="CT103" i="5"/>
  <c r="CS103" i="5"/>
  <c r="CR103" i="5"/>
  <c r="CT102" i="5"/>
  <c r="CS102" i="5"/>
  <c r="CR102" i="5"/>
  <c r="CT101" i="5"/>
  <c r="CS101" i="5"/>
  <c r="CR101" i="5"/>
  <c r="CT100" i="5"/>
  <c r="CS100" i="5"/>
  <c r="CR100" i="5"/>
  <c r="CT99" i="5"/>
  <c r="CS99" i="5"/>
  <c r="CR99" i="5"/>
  <c r="CT98" i="5"/>
  <c r="CS98" i="5"/>
  <c r="CR98" i="5"/>
  <c r="CT97" i="5"/>
  <c r="CS97" i="5"/>
  <c r="CR97" i="5"/>
  <c r="CT96" i="5"/>
  <c r="CS96" i="5"/>
  <c r="CR96" i="5"/>
  <c r="CT95" i="5"/>
  <c r="CS95" i="5"/>
  <c r="CR95" i="5"/>
  <c r="CT94" i="5"/>
  <c r="CS94" i="5"/>
  <c r="CR94" i="5"/>
  <c r="CT93" i="5"/>
  <c r="CS93" i="5"/>
  <c r="CR93" i="5"/>
  <c r="CT92" i="5"/>
  <c r="CS92" i="5"/>
  <c r="CR92" i="5"/>
  <c r="CT91" i="5"/>
  <c r="CS91" i="5"/>
  <c r="CR91" i="5"/>
  <c r="CT90" i="5"/>
  <c r="CS90" i="5"/>
  <c r="CR90" i="5"/>
  <c r="CT89" i="5"/>
  <c r="CS89" i="5"/>
  <c r="CR89" i="5"/>
  <c r="CT88" i="5"/>
  <c r="CS88" i="5"/>
  <c r="CR88" i="5"/>
  <c r="CT87" i="5"/>
  <c r="CS87" i="5"/>
  <c r="CR87" i="5"/>
  <c r="CT86" i="5"/>
  <c r="CS86" i="5"/>
  <c r="CR86" i="5"/>
  <c r="CT85" i="5"/>
  <c r="CS85" i="5"/>
  <c r="CR85" i="5"/>
  <c r="CT84" i="5"/>
  <c r="CS84" i="5"/>
  <c r="CR84" i="5"/>
  <c r="CT83" i="5"/>
  <c r="CS83" i="5"/>
  <c r="CR83" i="5"/>
  <c r="CT82" i="5"/>
  <c r="CS82" i="5"/>
  <c r="CR82" i="5"/>
  <c r="CT81" i="5"/>
  <c r="CS81" i="5"/>
  <c r="CR81" i="5"/>
  <c r="CT80" i="5"/>
  <c r="CS80" i="5"/>
  <c r="CR80" i="5"/>
  <c r="CT79" i="5"/>
  <c r="CS79" i="5"/>
  <c r="CR79" i="5"/>
  <c r="CT78" i="5"/>
  <c r="CS78" i="5"/>
  <c r="CR78" i="5"/>
  <c r="CT77" i="5"/>
  <c r="CS77" i="5"/>
  <c r="CR77" i="5"/>
  <c r="CT76" i="5"/>
  <c r="CS76" i="5"/>
  <c r="CR76" i="5"/>
  <c r="CT75" i="5"/>
  <c r="CS75" i="5"/>
  <c r="CR75" i="5"/>
  <c r="CT74" i="5"/>
  <c r="CS74" i="5"/>
  <c r="CR74" i="5"/>
  <c r="CT73" i="5"/>
  <c r="CS73" i="5"/>
  <c r="CR73" i="5"/>
  <c r="CT72" i="5"/>
  <c r="CS72" i="5"/>
  <c r="CR72" i="5"/>
  <c r="CT71" i="5"/>
  <c r="CS71" i="5"/>
  <c r="CR71" i="5"/>
  <c r="CT70" i="5"/>
  <c r="CS70" i="5"/>
  <c r="CR70" i="5"/>
  <c r="CT69" i="5"/>
  <c r="CS69" i="5"/>
  <c r="CR69" i="5"/>
  <c r="CT68" i="5"/>
  <c r="CS68" i="5"/>
  <c r="CR68" i="5"/>
  <c r="CT67" i="5"/>
  <c r="CS67" i="5"/>
  <c r="CR67" i="5"/>
  <c r="CT66" i="5"/>
  <c r="CS66" i="5"/>
  <c r="CR66" i="5"/>
  <c r="CT65" i="5"/>
  <c r="CS65" i="5"/>
  <c r="CR65" i="5"/>
  <c r="CT64" i="5"/>
  <c r="CS64" i="5"/>
  <c r="CR64" i="5"/>
  <c r="CT63" i="5"/>
  <c r="CS63" i="5"/>
  <c r="CR63" i="5"/>
  <c r="CT62" i="5"/>
  <c r="CS62" i="5"/>
  <c r="CR62" i="5"/>
  <c r="CT61" i="5"/>
  <c r="CS61" i="5"/>
  <c r="CR61" i="5"/>
  <c r="CT60" i="5"/>
  <c r="CS60" i="5"/>
  <c r="CR60" i="5"/>
  <c r="CT59" i="5"/>
  <c r="CS59" i="5"/>
  <c r="CR59" i="5"/>
  <c r="CT58" i="5"/>
  <c r="CS58" i="5"/>
  <c r="CR58" i="5"/>
  <c r="CT57" i="5"/>
  <c r="CS57" i="5"/>
  <c r="CR57" i="5"/>
  <c r="CT56" i="5"/>
  <c r="CS56" i="5"/>
  <c r="CR56" i="5"/>
  <c r="CT55" i="5"/>
  <c r="CS55" i="5"/>
  <c r="CR55" i="5"/>
  <c r="CT54" i="5"/>
  <c r="CS54" i="5"/>
  <c r="CR54" i="5"/>
  <c r="CT53" i="5"/>
  <c r="CS53" i="5"/>
  <c r="CR53" i="5"/>
  <c r="CT52" i="5"/>
  <c r="CS52" i="5"/>
  <c r="CR52" i="5"/>
  <c r="CT51" i="5"/>
  <c r="CS51" i="5"/>
  <c r="CR51" i="5"/>
  <c r="CT50" i="5"/>
  <c r="CS50" i="5"/>
  <c r="CR50" i="5"/>
  <c r="CT49" i="5"/>
  <c r="CS49" i="5"/>
  <c r="CR49" i="5"/>
  <c r="CT48" i="5"/>
  <c r="CS48" i="5"/>
  <c r="CR48" i="5"/>
  <c r="CT47" i="5"/>
  <c r="CS47" i="5"/>
  <c r="CR47" i="5"/>
  <c r="CT46" i="5"/>
  <c r="CS46" i="5"/>
  <c r="CR46" i="5"/>
  <c r="CT45" i="5"/>
  <c r="CS45" i="5"/>
  <c r="CR45" i="5"/>
  <c r="CT44" i="5"/>
  <c r="CS44" i="5"/>
  <c r="CR44" i="5"/>
  <c r="CT43" i="5"/>
  <c r="CS43" i="5"/>
  <c r="CR43" i="5"/>
  <c r="CT42" i="5"/>
  <c r="CS42" i="5"/>
  <c r="CR42" i="5"/>
  <c r="CT41" i="5"/>
  <c r="CS41" i="5"/>
  <c r="CR41" i="5"/>
  <c r="CT40" i="5"/>
  <c r="CS40" i="5"/>
  <c r="CR40" i="5"/>
  <c r="CT39" i="5"/>
  <c r="CS39" i="5"/>
  <c r="CR39" i="5"/>
  <c r="CT38" i="5"/>
  <c r="CS38" i="5"/>
  <c r="CR38" i="5"/>
  <c r="CT37" i="5"/>
  <c r="CS37" i="5"/>
  <c r="CR37" i="5"/>
  <c r="CT36" i="5"/>
  <c r="CS36" i="5"/>
  <c r="CR36" i="5"/>
  <c r="CT35" i="5"/>
  <c r="CS35" i="5"/>
  <c r="CR35" i="5"/>
  <c r="CT34" i="5"/>
  <c r="CS34" i="5"/>
  <c r="CR34" i="5"/>
  <c r="CT33" i="5"/>
  <c r="CS33" i="5"/>
  <c r="CR33" i="5"/>
  <c r="CT32" i="5"/>
  <c r="CS32" i="5"/>
  <c r="CR32" i="5"/>
  <c r="CT31" i="5"/>
  <c r="CS31" i="5"/>
  <c r="CR31" i="5"/>
  <c r="CT30" i="5"/>
  <c r="CS30" i="5"/>
  <c r="CR30" i="5"/>
  <c r="CT29" i="5"/>
  <c r="CS29" i="5"/>
  <c r="CR29" i="5"/>
  <c r="CT28" i="5"/>
  <c r="CS28" i="5"/>
  <c r="CR28" i="5"/>
  <c r="CT27" i="5"/>
  <c r="CS27" i="5"/>
  <c r="CR27" i="5"/>
  <c r="CT26" i="5"/>
  <c r="CS26" i="5"/>
  <c r="CR26" i="5"/>
  <c r="CT25" i="5"/>
  <c r="CS25" i="5"/>
  <c r="CR25" i="5"/>
  <c r="CT24" i="5"/>
  <c r="CS24" i="5"/>
  <c r="CR24" i="5"/>
  <c r="CT23" i="5"/>
  <c r="CS23" i="5"/>
  <c r="CR23" i="5"/>
  <c r="CT22" i="5"/>
  <c r="CS22" i="5"/>
  <c r="CR22" i="5"/>
  <c r="CT21" i="5"/>
  <c r="CS21" i="5"/>
  <c r="CR21" i="5"/>
  <c r="CT20" i="5"/>
  <c r="CS20" i="5"/>
  <c r="CR20" i="5"/>
  <c r="CT19" i="5"/>
  <c r="CS19" i="5"/>
  <c r="CR19" i="5"/>
  <c r="CT18" i="5"/>
  <c r="CS18" i="5"/>
  <c r="CR18" i="5"/>
  <c r="CT17" i="5"/>
  <c r="CS17" i="5"/>
  <c r="CR17" i="5"/>
  <c r="CT16" i="5"/>
  <c r="CS16" i="5"/>
  <c r="CR16" i="5"/>
  <c r="CT15" i="5"/>
  <c r="CS15" i="5"/>
  <c r="CR15" i="5"/>
  <c r="CT14" i="5"/>
  <c r="CS14" i="5"/>
  <c r="CR14" i="5"/>
  <c r="CT13" i="5"/>
  <c r="CS13" i="5"/>
  <c r="CR13" i="5"/>
  <c r="CT12" i="5"/>
  <c r="CS12" i="5"/>
  <c r="CR12" i="5"/>
  <c r="CT11" i="5"/>
  <c r="CS11" i="5"/>
  <c r="CR11" i="5"/>
  <c r="CT10" i="5"/>
  <c r="CS10" i="5"/>
  <c r="CR10" i="5"/>
  <c r="CT9" i="5"/>
  <c r="CS9" i="5"/>
  <c r="CR9" i="5"/>
  <c r="CT8" i="5"/>
  <c r="CS8" i="5"/>
  <c r="CR8" i="5"/>
  <c r="CT7" i="5"/>
  <c r="CS7" i="5"/>
  <c r="CR7" i="5"/>
  <c r="CT6" i="5"/>
  <c r="CS6" i="5"/>
  <c r="CR6" i="5"/>
  <c r="CT5" i="5"/>
  <c r="CS5" i="5"/>
  <c r="CR5" i="5"/>
  <c r="AH249" i="1"/>
  <c r="AH244" i="1"/>
  <c r="AH235" i="1"/>
  <c r="AH229" i="1"/>
  <c r="AH228" i="1"/>
  <c r="AH227" i="1"/>
  <c r="AH226" i="1"/>
  <c r="AH225" i="1"/>
  <c r="AH224" i="1"/>
  <c r="AH223" i="1"/>
  <c r="AH222" i="1"/>
  <c r="AH221" i="1"/>
  <c r="AH220" i="1"/>
  <c r="AH219" i="1"/>
  <c r="AH218" i="1"/>
  <c r="AH217" i="1"/>
  <c r="AH216" i="1"/>
  <c r="AH215" i="1"/>
  <c r="AH214" i="1"/>
  <c r="AH213" i="1"/>
  <c r="AH212" i="1"/>
  <c r="AH211" i="1"/>
  <c r="AH210" i="1"/>
  <c r="AH209" i="1"/>
  <c r="AH208" i="1"/>
  <c r="AH207" i="1"/>
  <c r="AH206" i="1"/>
  <c r="AH205" i="1"/>
  <c r="AH204" i="1"/>
  <c r="AH203" i="1"/>
  <c r="AH202" i="1"/>
  <c r="AH201" i="1"/>
  <c r="AH200" i="1"/>
  <c r="AH199" i="1"/>
  <c r="AH198" i="1"/>
  <c r="AH197" i="1"/>
  <c r="AH196" i="1"/>
  <c r="AH195" i="1"/>
  <c r="AH194" i="1"/>
  <c r="AH193" i="1"/>
  <c r="AH192" i="1"/>
  <c r="AH191" i="1"/>
  <c r="AH190" i="1"/>
  <c r="AH189" i="1"/>
  <c r="AH188" i="1"/>
  <c r="AH187" i="1"/>
  <c r="AH186" i="1"/>
  <c r="AH185" i="1"/>
  <c r="AH184" i="1"/>
  <c r="AH183" i="1"/>
  <c r="AH182" i="1"/>
  <c r="AH181" i="1"/>
  <c r="AH180" i="1"/>
  <c r="AH179" i="1"/>
  <c r="AH178" i="1"/>
  <c r="AH177" i="1"/>
  <c r="AH176" i="1"/>
  <c r="AH175" i="1"/>
  <c r="AH174" i="1"/>
  <c r="AH173" i="1"/>
  <c r="AH172" i="1"/>
  <c r="AH171" i="1"/>
  <c r="AH170" i="1"/>
  <c r="AH169" i="1"/>
  <c r="AH168" i="1"/>
  <c r="AH167" i="1"/>
  <c r="AH166" i="1"/>
  <c r="AH165" i="1"/>
  <c r="AH164" i="1"/>
  <c r="AH163" i="1"/>
  <c r="AH162" i="1"/>
  <c r="AH161" i="1"/>
  <c r="AH160" i="1"/>
  <c r="AH159" i="1"/>
  <c r="AH158" i="1"/>
  <c r="AH157" i="1"/>
  <c r="AH156" i="1"/>
  <c r="AH155" i="1"/>
  <c r="AH154" i="1"/>
  <c r="AH153" i="1"/>
  <c r="AH152" i="1"/>
  <c r="AH151" i="1"/>
  <c r="AH150" i="1"/>
  <c r="AH149" i="1"/>
  <c r="AH148" i="1"/>
  <c r="AH147" i="1"/>
  <c r="AH146" i="1"/>
  <c r="AH145" i="1"/>
  <c r="AH144" i="1"/>
  <c r="AH143" i="1"/>
  <c r="AH142" i="1"/>
  <c r="AH141" i="1"/>
  <c r="AH140" i="1"/>
  <c r="AH139" i="1"/>
  <c r="AH138" i="1"/>
  <c r="AH137" i="1"/>
  <c r="AH136" i="1"/>
  <c r="AH135" i="1"/>
  <c r="AH134" i="1"/>
  <c r="AH133" i="1"/>
  <c r="AH132" i="1"/>
  <c r="AH131" i="1"/>
  <c r="AH130" i="1"/>
  <c r="AH129" i="1"/>
  <c r="AH128" i="1"/>
  <c r="AH127" i="1"/>
  <c r="AH126" i="1"/>
  <c r="AH125" i="1"/>
  <c r="AH124" i="1"/>
  <c r="AH123" i="1"/>
  <c r="AH122" i="1"/>
  <c r="AH121" i="1"/>
  <c r="AH120" i="1"/>
  <c r="AH119" i="1"/>
  <c r="AH118" i="1"/>
  <c r="AH117" i="1"/>
  <c r="AH116" i="1"/>
  <c r="AH115" i="1"/>
  <c r="AH114" i="1"/>
  <c r="AH113" i="1"/>
  <c r="AH112" i="1"/>
  <c r="AH111" i="1"/>
  <c r="AH110" i="1"/>
  <c r="AH109" i="1"/>
  <c r="AH108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215" i="3"/>
  <c r="AH214" i="3"/>
  <c r="AH213" i="3"/>
  <c r="AH210" i="3"/>
  <c r="AH209" i="3"/>
  <c r="AH208" i="3"/>
  <c r="AH205" i="3"/>
  <c r="AH204" i="3"/>
  <c r="AH203" i="3"/>
  <c r="AH202" i="3"/>
  <c r="AH199" i="3"/>
  <c r="AH198" i="3"/>
  <c r="AH195" i="3"/>
  <c r="AH194" i="3"/>
  <c r="AH193" i="3"/>
  <c r="AH190" i="3"/>
  <c r="AH189" i="3"/>
  <c r="AH186" i="3"/>
  <c r="AH185" i="3"/>
  <c r="AH184" i="3"/>
  <c r="AH171" i="3"/>
  <c r="AH170" i="3"/>
  <c r="AH169" i="3"/>
  <c r="AH168" i="3"/>
  <c r="AH167" i="3"/>
  <c r="AH166" i="3"/>
  <c r="AH165" i="3"/>
  <c r="AH164" i="3"/>
  <c r="AH163" i="3"/>
  <c r="AH162" i="3"/>
  <c r="AH161" i="3"/>
  <c r="AH160" i="3"/>
  <c r="AH159" i="3"/>
  <c r="AH158" i="3"/>
  <c r="AH157" i="3"/>
  <c r="AH156" i="3"/>
  <c r="AH155" i="3"/>
  <c r="AH154" i="3"/>
  <c r="AH153" i="3"/>
  <c r="AH152" i="3"/>
  <c r="AH151" i="3"/>
  <c r="AH150" i="3"/>
  <c r="AH149" i="3"/>
  <c r="AH148" i="3"/>
  <c r="AH147" i="3"/>
  <c r="AH146" i="3"/>
  <c r="AH145" i="3"/>
  <c r="AH144" i="3"/>
  <c r="AH143" i="3"/>
  <c r="AH142" i="3"/>
  <c r="AH141" i="3"/>
  <c r="AH140" i="3"/>
  <c r="AH139" i="3"/>
  <c r="AH138" i="3"/>
  <c r="AH137" i="3"/>
  <c r="AH136" i="3"/>
  <c r="AH135" i="3"/>
  <c r="AH134" i="3"/>
  <c r="AH133" i="3"/>
  <c r="AH132" i="3"/>
  <c r="AH131" i="3"/>
  <c r="AH130" i="3"/>
  <c r="AH129" i="3"/>
  <c r="AH128" i="3"/>
  <c r="AH127" i="3"/>
  <c r="AH126" i="3"/>
  <c r="AH125" i="3"/>
  <c r="AH124" i="3"/>
  <c r="AH123" i="3"/>
  <c r="AH122" i="3"/>
  <c r="AH121" i="3"/>
  <c r="AH120" i="3"/>
  <c r="AH119" i="3"/>
  <c r="AH118" i="3"/>
  <c r="AH117" i="3"/>
  <c r="AH116" i="3"/>
  <c r="AH115" i="3"/>
  <c r="AH114" i="3"/>
  <c r="AH113" i="3"/>
  <c r="AH112" i="3"/>
  <c r="AH111" i="3"/>
  <c r="AH110" i="3"/>
  <c r="AH109" i="3"/>
  <c r="AH108" i="3"/>
  <c r="AH107" i="3"/>
  <c r="AH106" i="3"/>
  <c r="AH105" i="3"/>
  <c r="AH104" i="3"/>
  <c r="AH103" i="3"/>
  <c r="AH102" i="3"/>
  <c r="AH101" i="3"/>
  <c r="AH100" i="3"/>
  <c r="AH99" i="3"/>
  <c r="AH98" i="3"/>
  <c r="AH97" i="3"/>
  <c r="AH96" i="3"/>
  <c r="AH95" i="3"/>
  <c r="AH94" i="3"/>
  <c r="AH93" i="3"/>
  <c r="AH92" i="3"/>
  <c r="AH91" i="3"/>
  <c r="AH90" i="3"/>
  <c r="AH89" i="3"/>
  <c r="AH88" i="3"/>
  <c r="AH87" i="3"/>
  <c r="AH86" i="3"/>
  <c r="AH85" i="3"/>
  <c r="AH84" i="3"/>
  <c r="AH83" i="3"/>
  <c r="AH82" i="3"/>
  <c r="AH81" i="3"/>
  <c r="AH80" i="3"/>
  <c r="AH79" i="3"/>
  <c r="AH78" i="3"/>
  <c r="AH77" i="3"/>
  <c r="AH76" i="3"/>
  <c r="AH75" i="3"/>
  <c r="AH74" i="3"/>
  <c r="AH73" i="3"/>
  <c r="AH72" i="3"/>
  <c r="AH71" i="3"/>
  <c r="AH70" i="3"/>
  <c r="AH69" i="3"/>
  <c r="AH68" i="3"/>
  <c r="AH67" i="3"/>
  <c r="AH66" i="3"/>
  <c r="AH65" i="3"/>
  <c r="AH64" i="3"/>
  <c r="AH63" i="3"/>
  <c r="AH62" i="3"/>
  <c r="AH61" i="3"/>
  <c r="AH60" i="3"/>
  <c r="AH59" i="3"/>
  <c r="AH58" i="3"/>
  <c r="AH57" i="3"/>
  <c r="AH56" i="3"/>
  <c r="AH55" i="3"/>
  <c r="AH54" i="3"/>
  <c r="AH53" i="3"/>
  <c r="AH52" i="3"/>
  <c r="AH51" i="3"/>
  <c r="AH50" i="3"/>
  <c r="AH49" i="3"/>
  <c r="AH48" i="3"/>
  <c r="AH47" i="3"/>
  <c r="AH46" i="3"/>
  <c r="AH45" i="3"/>
  <c r="AH44" i="3"/>
  <c r="AH43" i="3"/>
  <c r="AH42" i="3"/>
  <c r="AH41" i="3"/>
  <c r="AH40" i="3"/>
  <c r="AH39" i="3"/>
  <c r="AH38" i="3"/>
  <c r="AH37" i="3"/>
  <c r="AH36" i="3"/>
  <c r="AH35" i="3"/>
  <c r="AH34" i="3"/>
  <c r="AH33" i="3"/>
  <c r="AH32" i="3"/>
  <c r="AH31" i="3"/>
  <c r="AH30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H14" i="3"/>
  <c r="AH13" i="3"/>
  <c r="AH12" i="3"/>
  <c r="AH11" i="3"/>
  <c r="AH10" i="3"/>
  <c r="AH9" i="3"/>
  <c r="AH8" i="3"/>
  <c r="AH7" i="3"/>
  <c r="AH6" i="3"/>
  <c r="AH5" i="3"/>
  <c r="AH4" i="3"/>
  <c r="AH3" i="3"/>
  <c r="AH229" i="2"/>
  <c r="AH228" i="2"/>
  <c r="AH227" i="2"/>
  <c r="AH226" i="2"/>
  <c r="AH224" i="2"/>
  <c r="AH223" i="2"/>
  <c r="AH222" i="2"/>
  <c r="AH221" i="2"/>
  <c r="AH219" i="2"/>
  <c r="AH218" i="2"/>
  <c r="AH217" i="2"/>
  <c r="AH214" i="2"/>
  <c r="AH213" i="2"/>
  <c r="AH212" i="2"/>
  <c r="AH209" i="2"/>
  <c r="AH208" i="2"/>
  <c r="AH207" i="2"/>
  <c r="AH206" i="2"/>
  <c r="AH203" i="2"/>
  <c r="AH202" i="2"/>
  <c r="AH199" i="2"/>
  <c r="AH198" i="2"/>
  <c r="AH197" i="2"/>
  <c r="AH194" i="2"/>
  <c r="AH193" i="2"/>
  <c r="AH190" i="2"/>
  <c r="AH189" i="2"/>
  <c r="AH188" i="2"/>
  <c r="AH184" i="2"/>
  <c r="AH171" i="2"/>
  <c r="AH170" i="2"/>
  <c r="AH169" i="2"/>
  <c r="AH168" i="2"/>
  <c r="AH167" i="2"/>
  <c r="AH166" i="2"/>
  <c r="AH165" i="2"/>
  <c r="AH164" i="2"/>
  <c r="AH163" i="2"/>
  <c r="AH162" i="2"/>
  <c r="AH161" i="2"/>
  <c r="AH160" i="2"/>
  <c r="AH159" i="2"/>
  <c r="AH158" i="2"/>
  <c r="AH157" i="2"/>
  <c r="AH156" i="2"/>
  <c r="AH155" i="2"/>
  <c r="AH154" i="2"/>
  <c r="AH153" i="2"/>
  <c r="AH152" i="2"/>
  <c r="AH151" i="2"/>
  <c r="AH150" i="2"/>
  <c r="AH149" i="2"/>
  <c r="AH148" i="2"/>
  <c r="AH147" i="2"/>
  <c r="AH146" i="2"/>
  <c r="AH145" i="2"/>
  <c r="AH144" i="2"/>
  <c r="AH143" i="2"/>
  <c r="AH142" i="2"/>
  <c r="AH141" i="2"/>
  <c r="AH140" i="2"/>
  <c r="AH139" i="2"/>
  <c r="AH138" i="2"/>
  <c r="AH137" i="2"/>
  <c r="AH136" i="2"/>
  <c r="AH135" i="2"/>
  <c r="AH134" i="2"/>
  <c r="AH133" i="2"/>
  <c r="AH132" i="2"/>
  <c r="AH131" i="2"/>
  <c r="AH130" i="2"/>
  <c r="AH129" i="2"/>
  <c r="AH128" i="2"/>
  <c r="AH127" i="2"/>
  <c r="AH126" i="2"/>
  <c r="AH125" i="2"/>
  <c r="AH124" i="2"/>
  <c r="AH123" i="2"/>
  <c r="AH122" i="2"/>
  <c r="AH121" i="2"/>
  <c r="AH120" i="2"/>
  <c r="AH119" i="2"/>
  <c r="AH118" i="2"/>
  <c r="AH117" i="2"/>
  <c r="AH116" i="2"/>
  <c r="AH115" i="2"/>
  <c r="AH114" i="2"/>
  <c r="AH113" i="2"/>
  <c r="AH112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H3" i="2"/>
  <c r="CO337" i="5"/>
  <c r="CQ333" i="5"/>
  <c r="CP333" i="5"/>
  <c r="CO333" i="5"/>
  <c r="CQ317" i="5"/>
  <c r="CP317" i="5"/>
  <c r="CO317" i="5"/>
  <c r="CQ316" i="5"/>
  <c r="CP316" i="5"/>
  <c r="CO316" i="5"/>
  <c r="CQ315" i="5"/>
  <c r="CP315" i="5"/>
  <c r="CO315" i="5"/>
  <c r="CQ314" i="5"/>
  <c r="CP314" i="5"/>
  <c r="CO314" i="5"/>
  <c r="CQ313" i="5"/>
  <c r="CP313" i="5"/>
  <c r="CO313" i="5"/>
  <c r="CQ312" i="5"/>
  <c r="CP312" i="5"/>
  <c r="CO312" i="5"/>
  <c r="CQ311" i="5"/>
  <c r="CP311" i="5"/>
  <c r="CO311" i="5"/>
  <c r="CQ310" i="5"/>
  <c r="CP310" i="5"/>
  <c r="CO310" i="5"/>
  <c r="CQ309" i="5"/>
  <c r="CP309" i="5"/>
  <c r="CO309" i="5"/>
  <c r="CQ308" i="5"/>
  <c r="CP308" i="5"/>
  <c r="CO308" i="5"/>
  <c r="CQ307" i="5"/>
  <c r="CP307" i="5"/>
  <c r="CO307" i="5"/>
  <c r="CQ306" i="5"/>
  <c r="CP306" i="5"/>
  <c r="CO306" i="5"/>
  <c r="CQ305" i="5"/>
  <c r="CP305" i="5"/>
  <c r="CO305" i="5"/>
  <c r="CQ304" i="5"/>
  <c r="CP304" i="5"/>
  <c r="CO304" i="5"/>
  <c r="CQ303" i="5"/>
  <c r="CP303" i="5"/>
  <c r="CO303" i="5"/>
  <c r="CQ302" i="5"/>
  <c r="CP302" i="5"/>
  <c r="CO302" i="5"/>
  <c r="CQ301" i="5"/>
  <c r="CP301" i="5"/>
  <c r="CO301" i="5"/>
  <c r="CQ300" i="5"/>
  <c r="CP300" i="5"/>
  <c r="CO300" i="5"/>
  <c r="CQ299" i="5"/>
  <c r="CP299" i="5"/>
  <c r="CO299" i="5"/>
  <c r="CQ298" i="5"/>
  <c r="CP298" i="5"/>
  <c r="CO298" i="5"/>
  <c r="CQ297" i="5"/>
  <c r="CP297" i="5"/>
  <c r="CO297" i="5"/>
  <c r="CQ296" i="5"/>
  <c r="CP296" i="5"/>
  <c r="CO296" i="5"/>
  <c r="CQ295" i="5"/>
  <c r="CP295" i="5"/>
  <c r="CO295" i="5"/>
  <c r="CQ294" i="5"/>
  <c r="CP294" i="5"/>
  <c r="CO294" i="5"/>
  <c r="CQ293" i="5"/>
  <c r="CP293" i="5"/>
  <c r="CO293" i="5"/>
  <c r="CQ292" i="5"/>
  <c r="CP292" i="5"/>
  <c r="CQ291" i="5"/>
  <c r="CP291" i="5"/>
  <c r="CO291" i="5"/>
  <c r="CQ290" i="5"/>
  <c r="CP290" i="5"/>
  <c r="CO290" i="5"/>
  <c r="CQ289" i="5"/>
  <c r="CP289" i="5"/>
  <c r="CO289" i="5"/>
  <c r="CQ288" i="5"/>
  <c r="CP288" i="5"/>
  <c r="CO288" i="5"/>
  <c r="CQ287" i="5"/>
  <c r="CP287" i="5"/>
  <c r="CO287" i="5"/>
  <c r="CQ286" i="5"/>
  <c r="CP286" i="5"/>
  <c r="CO286" i="5"/>
  <c r="CQ285" i="5"/>
  <c r="CP285" i="5"/>
  <c r="CO285" i="5"/>
  <c r="CQ284" i="5"/>
  <c r="CP284" i="5"/>
  <c r="CO284" i="5"/>
  <c r="CQ283" i="5"/>
  <c r="CP283" i="5"/>
  <c r="CO283" i="5"/>
  <c r="CQ282" i="5"/>
  <c r="CP282" i="5"/>
  <c r="CO282" i="5"/>
  <c r="CQ281" i="5"/>
  <c r="CP281" i="5"/>
  <c r="CO281" i="5"/>
  <c r="CQ280" i="5"/>
  <c r="CP280" i="5"/>
  <c r="CO280" i="5"/>
  <c r="CQ279" i="5"/>
  <c r="CP279" i="5"/>
  <c r="CO279" i="5"/>
  <c r="CQ278" i="5"/>
  <c r="CP278" i="5"/>
  <c r="CO278" i="5"/>
  <c r="CQ277" i="5"/>
  <c r="CP277" i="5"/>
  <c r="CO277" i="5"/>
  <c r="CQ276" i="5"/>
  <c r="CP276" i="5"/>
  <c r="CO276" i="5"/>
  <c r="CQ275" i="5"/>
  <c r="CP275" i="5"/>
  <c r="CO275" i="5"/>
  <c r="CQ274" i="5"/>
  <c r="CP274" i="5"/>
  <c r="CO274" i="5"/>
  <c r="CQ273" i="5"/>
  <c r="CP273" i="5"/>
  <c r="CO273" i="5"/>
  <c r="CQ272" i="5"/>
  <c r="CP272" i="5"/>
  <c r="CO272" i="5"/>
  <c r="CQ271" i="5"/>
  <c r="CP271" i="5"/>
  <c r="CO271" i="5"/>
  <c r="CQ270" i="5"/>
  <c r="CP270" i="5"/>
  <c r="CO270" i="5"/>
  <c r="CQ269" i="5"/>
  <c r="CP269" i="5"/>
  <c r="CO269" i="5"/>
  <c r="CQ268" i="5"/>
  <c r="CP268" i="5"/>
  <c r="CO268" i="5"/>
  <c r="CQ267" i="5"/>
  <c r="CP267" i="5"/>
  <c r="CO267" i="5"/>
  <c r="CQ266" i="5"/>
  <c r="CP266" i="5"/>
  <c r="CO266" i="5"/>
  <c r="CQ265" i="5"/>
  <c r="CP265" i="5"/>
  <c r="CO265" i="5"/>
  <c r="CQ264" i="5"/>
  <c r="CP264" i="5"/>
  <c r="CO264" i="5"/>
  <c r="CQ263" i="5"/>
  <c r="CP263" i="5"/>
  <c r="CO263" i="5"/>
  <c r="CQ262" i="5"/>
  <c r="CP262" i="5"/>
  <c r="CO262" i="5"/>
  <c r="CQ261" i="5"/>
  <c r="CP261" i="5"/>
  <c r="CO261" i="5"/>
  <c r="CQ260" i="5"/>
  <c r="CP260" i="5"/>
  <c r="CO260" i="5"/>
  <c r="CQ259" i="5"/>
  <c r="CP259" i="5"/>
  <c r="CO259" i="5"/>
  <c r="CQ258" i="5"/>
  <c r="CP258" i="5"/>
  <c r="CO258" i="5"/>
  <c r="CQ257" i="5"/>
  <c r="CP257" i="5"/>
  <c r="CO257" i="5"/>
  <c r="CQ256" i="5"/>
  <c r="CP256" i="5"/>
  <c r="CO256" i="5"/>
  <c r="CQ255" i="5"/>
  <c r="CP255" i="5"/>
  <c r="CO255" i="5"/>
  <c r="CQ254" i="5"/>
  <c r="CP254" i="5"/>
  <c r="CO254" i="5"/>
  <c r="CQ253" i="5"/>
  <c r="CP253" i="5"/>
  <c r="CO253" i="5"/>
  <c r="CQ252" i="5"/>
  <c r="CP252" i="5"/>
  <c r="CO252" i="5"/>
  <c r="CQ251" i="5"/>
  <c r="CP251" i="5"/>
  <c r="CO251" i="5"/>
  <c r="CQ250" i="5"/>
  <c r="CP250" i="5"/>
  <c r="CO250" i="5"/>
  <c r="CQ249" i="5"/>
  <c r="CP249" i="5"/>
  <c r="CO249" i="5"/>
  <c r="CQ248" i="5"/>
  <c r="CP248" i="5"/>
  <c r="CO248" i="5"/>
  <c r="CQ247" i="5"/>
  <c r="CP247" i="5"/>
  <c r="CO247" i="5"/>
  <c r="CQ246" i="5"/>
  <c r="CP246" i="5"/>
  <c r="CO246" i="5"/>
  <c r="CQ245" i="5"/>
  <c r="CP245" i="5"/>
  <c r="CO245" i="5"/>
  <c r="CQ244" i="5"/>
  <c r="CP244" i="5"/>
  <c r="CO244" i="5"/>
  <c r="CQ243" i="5"/>
  <c r="CP243" i="5"/>
  <c r="CO243" i="5"/>
  <c r="CQ242" i="5"/>
  <c r="CP242" i="5"/>
  <c r="CO242" i="5"/>
  <c r="CQ241" i="5"/>
  <c r="CP241" i="5"/>
  <c r="CO241" i="5"/>
  <c r="CQ240" i="5"/>
  <c r="CP240" i="5"/>
  <c r="CO240" i="5"/>
  <c r="CQ239" i="5"/>
  <c r="CP239" i="5"/>
  <c r="CO239" i="5"/>
  <c r="CQ238" i="5"/>
  <c r="CP238" i="5"/>
  <c r="CO238" i="5"/>
  <c r="CQ237" i="5"/>
  <c r="CP237" i="5"/>
  <c r="CO237" i="5"/>
  <c r="CQ236" i="5"/>
  <c r="CP236" i="5"/>
  <c r="CO236" i="5"/>
  <c r="CQ235" i="5"/>
  <c r="CP235" i="5"/>
  <c r="CO235" i="5"/>
  <c r="CQ234" i="5"/>
  <c r="CP234" i="5"/>
  <c r="CO234" i="5"/>
  <c r="CQ233" i="5"/>
  <c r="CP233" i="5"/>
  <c r="CO233" i="5"/>
  <c r="CQ232" i="5"/>
  <c r="CP232" i="5"/>
  <c r="CO232" i="5"/>
  <c r="CQ231" i="5"/>
  <c r="CP231" i="5"/>
  <c r="CO231" i="5"/>
  <c r="CQ230" i="5"/>
  <c r="CP230" i="5"/>
  <c r="CO230" i="5"/>
  <c r="CQ229" i="5"/>
  <c r="CP229" i="5"/>
  <c r="CO229" i="5"/>
  <c r="CQ228" i="5"/>
  <c r="CP228" i="5"/>
  <c r="CO228" i="5"/>
  <c r="CQ227" i="5"/>
  <c r="CP227" i="5"/>
  <c r="CO227" i="5"/>
  <c r="CQ226" i="5"/>
  <c r="CP226" i="5"/>
  <c r="CO226" i="5"/>
  <c r="CQ225" i="5"/>
  <c r="CP225" i="5"/>
  <c r="CO225" i="5"/>
  <c r="CQ224" i="5"/>
  <c r="CP224" i="5"/>
  <c r="CO224" i="5"/>
  <c r="CQ223" i="5"/>
  <c r="CP223" i="5"/>
  <c r="CO223" i="5"/>
  <c r="CQ222" i="5"/>
  <c r="CP222" i="5"/>
  <c r="CO222" i="5"/>
  <c r="CQ221" i="5"/>
  <c r="CP221" i="5"/>
  <c r="CO221" i="5"/>
  <c r="CQ220" i="5"/>
  <c r="CP220" i="5"/>
  <c r="CO220" i="5"/>
  <c r="CQ219" i="5"/>
  <c r="CP219" i="5"/>
  <c r="CO219" i="5"/>
  <c r="CQ218" i="5"/>
  <c r="CP218" i="5"/>
  <c r="CO218" i="5"/>
  <c r="CQ217" i="5"/>
  <c r="CP217" i="5"/>
  <c r="CO217" i="5"/>
  <c r="CQ216" i="5"/>
  <c r="CP216" i="5"/>
  <c r="CO216" i="5"/>
  <c r="CQ215" i="5"/>
  <c r="CP215" i="5"/>
  <c r="CO215" i="5"/>
  <c r="CQ214" i="5"/>
  <c r="CP214" i="5"/>
  <c r="CO214" i="5"/>
  <c r="CQ213" i="5"/>
  <c r="CP213" i="5"/>
  <c r="CO213" i="5"/>
  <c r="CQ212" i="5"/>
  <c r="CP212" i="5"/>
  <c r="CO212" i="5"/>
  <c r="CQ211" i="5"/>
  <c r="CP211" i="5"/>
  <c r="CO211" i="5"/>
  <c r="CQ210" i="5"/>
  <c r="CP210" i="5"/>
  <c r="CO210" i="5"/>
  <c r="CQ209" i="5"/>
  <c r="CP209" i="5"/>
  <c r="CO209" i="5"/>
  <c r="CQ208" i="5"/>
  <c r="CP208" i="5"/>
  <c r="CO208" i="5"/>
  <c r="CQ207" i="5"/>
  <c r="CP207" i="5"/>
  <c r="CO207" i="5"/>
  <c r="CQ206" i="5"/>
  <c r="CP206" i="5"/>
  <c r="CO206" i="5"/>
  <c r="CQ205" i="5"/>
  <c r="CP205" i="5"/>
  <c r="CO205" i="5"/>
  <c r="CQ204" i="5"/>
  <c r="CP204" i="5"/>
  <c r="CO204" i="5"/>
  <c r="CQ203" i="5"/>
  <c r="CP203" i="5"/>
  <c r="CO203" i="5"/>
  <c r="CQ202" i="5"/>
  <c r="CP202" i="5"/>
  <c r="CO202" i="5"/>
  <c r="CQ201" i="5"/>
  <c r="CP201" i="5"/>
  <c r="CO201" i="5"/>
  <c r="CQ200" i="5"/>
  <c r="CP200" i="5"/>
  <c r="CO200" i="5"/>
  <c r="CQ199" i="5"/>
  <c r="CP199" i="5"/>
  <c r="CO199" i="5"/>
  <c r="CQ198" i="5"/>
  <c r="CP198" i="5"/>
  <c r="CO198" i="5"/>
  <c r="CQ197" i="5"/>
  <c r="CP197" i="5"/>
  <c r="CO197" i="5"/>
  <c r="CQ196" i="5"/>
  <c r="CP196" i="5"/>
  <c r="CO196" i="5"/>
  <c r="CQ195" i="5"/>
  <c r="CP195" i="5"/>
  <c r="CO195" i="5"/>
  <c r="CQ194" i="5"/>
  <c r="CP194" i="5"/>
  <c r="CO194" i="5"/>
  <c r="CQ193" i="5"/>
  <c r="CP193" i="5"/>
  <c r="CO193" i="5"/>
  <c r="CQ192" i="5"/>
  <c r="CP192" i="5"/>
  <c r="CO192" i="5"/>
  <c r="CQ191" i="5"/>
  <c r="CP191" i="5"/>
  <c r="CO191" i="5"/>
  <c r="CQ190" i="5"/>
  <c r="CP190" i="5"/>
  <c r="CO190" i="5"/>
  <c r="CQ189" i="5"/>
  <c r="CP189" i="5"/>
  <c r="CO189" i="5"/>
  <c r="CQ188" i="5"/>
  <c r="CP188" i="5"/>
  <c r="CO188" i="5"/>
  <c r="CQ187" i="5"/>
  <c r="CP187" i="5"/>
  <c r="CO187" i="5"/>
  <c r="CQ186" i="5"/>
  <c r="CP186" i="5"/>
  <c r="CO186" i="5"/>
  <c r="CQ185" i="5"/>
  <c r="CP185" i="5"/>
  <c r="CO185" i="5"/>
  <c r="CQ184" i="5"/>
  <c r="CP184" i="5"/>
  <c r="CO184" i="5"/>
  <c r="CQ183" i="5"/>
  <c r="CP183" i="5"/>
  <c r="CO183" i="5"/>
  <c r="CQ182" i="5"/>
  <c r="CP182" i="5"/>
  <c r="CO182" i="5"/>
  <c r="CQ181" i="5"/>
  <c r="CP181" i="5"/>
  <c r="CO181" i="5"/>
  <c r="CQ180" i="5"/>
  <c r="CP180" i="5"/>
  <c r="CO180" i="5"/>
  <c r="CQ179" i="5"/>
  <c r="CP179" i="5"/>
  <c r="CO179" i="5"/>
  <c r="CQ178" i="5"/>
  <c r="CP178" i="5"/>
  <c r="CO178" i="5"/>
  <c r="CQ177" i="5"/>
  <c r="CP177" i="5"/>
  <c r="CO177" i="5"/>
  <c r="CQ176" i="5"/>
  <c r="CP176" i="5"/>
  <c r="CO176" i="5"/>
  <c r="CQ175" i="5"/>
  <c r="CP175" i="5"/>
  <c r="CO175" i="5"/>
  <c r="CQ174" i="5"/>
  <c r="CP174" i="5"/>
  <c r="CO174" i="5"/>
  <c r="CQ173" i="5"/>
  <c r="CP173" i="5"/>
  <c r="CO173" i="5"/>
  <c r="CQ172" i="5"/>
  <c r="CP172" i="5"/>
  <c r="CO172" i="5"/>
  <c r="CQ171" i="5"/>
  <c r="CP171" i="5"/>
  <c r="CO171" i="5"/>
  <c r="CQ170" i="5"/>
  <c r="CP170" i="5"/>
  <c r="CO170" i="5"/>
  <c r="CQ169" i="5"/>
  <c r="CP169" i="5"/>
  <c r="CO169" i="5"/>
  <c r="CQ168" i="5"/>
  <c r="CP168" i="5"/>
  <c r="CO168" i="5"/>
  <c r="CQ167" i="5"/>
  <c r="CP167" i="5"/>
  <c r="CO167" i="5"/>
  <c r="CQ166" i="5"/>
  <c r="CP166" i="5"/>
  <c r="CO166" i="5"/>
  <c r="CQ165" i="5"/>
  <c r="CP165" i="5"/>
  <c r="CO165" i="5"/>
  <c r="CQ164" i="5"/>
  <c r="CP164" i="5"/>
  <c r="CO164" i="5"/>
  <c r="CQ163" i="5"/>
  <c r="CP163" i="5"/>
  <c r="CO163" i="5"/>
  <c r="CQ162" i="5"/>
  <c r="CP162" i="5"/>
  <c r="CO162" i="5"/>
  <c r="CQ161" i="5"/>
  <c r="CP161" i="5"/>
  <c r="CO161" i="5"/>
  <c r="CQ160" i="5"/>
  <c r="CP160" i="5"/>
  <c r="CO160" i="5"/>
  <c r="CQ159" i="5"/>
  <c r="CP159" i="5"/>
  <c r="CO159" i="5"/>
  <c r="CQ158" i="5"/>
  <c r="CP158" i="5"/>
  <c r="CO158" i="5"/>
  <c r="CQ157" i="5"/>
  <c r="CP157" i="5"/>
  <c r="CO157" i="5"/>
  <c r="CQ156" i="5"/>
  <c r="CP156" i="5"/>
  <c r="CO156" i="5"/>
  <c r="CQ155" i="5"/>
  <c r="CP155" i="5"/>
  <c r="CO155" i="5"/>
  <c r="CQ154" i="5"/>
  <c r="CP154" i="5"/>
  <c r="CO154" i="5"/>
  <c r="CQ153" i="5"/>
  <c r="CP153" i="5"/>
  <c r="CO153" i="5"/>
  <c r="CQ152" i="5"/>
  <c r="CP152" i="5"/>
  <c r="CO152" i="5"/>
  <c r="CQ151" i="5"/>
  <c r="CP151" i="5"/>
  <c r="CO151" i="5"/>
  <c r="CQ150" i="5"/>
  <c r="CP150" i="5"/>
  <c r="CO150" i="5"/>
  <c r="CQ149" i="5"/>
  <c r="CP149" i="5"/>
  <c r="CO149" i="5"/>
  <c r="CQ148" i="5"/>
  <c r="CP148" i="5"/>
  <c r="CO148" i="5"/>
  <c r="CQ147" i="5"/>
  <c r="CP147" i="5"/>
  <c r="CO147" i="5"/>
  <c r="CQ146" i="5"/>
  <c r="CP146" i="5"/>
  <c r="CO146" i="5"/>
  <c r="CQ145" i="5"/>
  <c r="CP145" i="5"/>
  <c r="CO145" i="5"/>
  <c r="CQ144" i="5"/>
  <c r="CP144" i="5"/>
  <c r="CO144" i="5"/>
  <c r="CQ143" i="5"/>
  <c r="CP143" i="5"/>
  <c r="CO143" i="5"/>
  <c r="CQ142" i="5"/>
  <c r="CP142" i="5"/>
  <c r="CO142" i="5"/>
  <c r="CQ141" i="5"/>
  <c r="CP141" i="5"/>
  <c r="CO141" i="5"/>
  <c r="CQ140" i="5"/>
  <c r="CP140" i="5"/>
  <c r="CO140" i="5"/>
  <c r="CQ139" i="5"/>
  <c r="CP139" i="5"/>
  <c r="CO139" i="5"/>
  <c r="CQ138" i="5"/>
  <c r="CP138" i="5"/>
  <c r="CO138" i="5"/>
  <c r="CQ137" i="5"/>
  <c r="CP137" i="5"/>
  <c r="CO137" i="5"/>
  <c r="CQ136" i="5"/>
  <c r="CP136" i="5"/>
  <c r="CO136" i="5"/>
  <c r="CQ135" i="5"/>
  <c r="CP135" i="5"/>
  <c r="CO135" i="5"/>
  <c r="CQ134" i="5"/>
  <c r="CP134" i="5"/>
  <c r="CO134" i="5"/>
  <c r="CQ133" i="5"/>
  <c r="CP133" i="5"/>
  <c r="CO133" i="5"/>
  <c r="CQ132" i="5"/>
  <c r="CP132" i="5"/>
  <c r="CO132" i="5"/>
  <c r="CQ131" i="5"/>
  <c r="CP131" i="5"/>
  <c r="CO131" i="5"/>
  <c r="CQ130" i="5"/>
  <c r="CP130" i="5"/>
  <c r="CO130" i="5"/>
  <c r="CQ129" i="5"/>
  <c r="CP129" i="5"/>
  <c r="CO129" i="5"/>
  <c r="CQ128" i="5"/>
  <c r="CP128" i="5"/>
  <c r="CO128" i="5"/>
  <c r="CQ127" i="5"/>
  <c r="CP127" i="5"/>
  <c r="CO127" i="5"/>
  <c r="CQ126" i="5"/>
  <c r="CP126" i="5"/>
  <c r="CO126" i="5"/>
  <c r="CQ125" i="5"/>
  <c r="CP125" i="5"/>
  <c r="CO125" i="5"/>
  <c r="CQ124" i="5"/>
  <c r="CP124" i="5"/>
  <c r="CO124" i="5"/>
  <c r="CQ123" i="5"/>
  <c r="CP123" i="5"/>
  <c r="CO123" i="5"/>
  <c r="CQ122" i="5"/>
  <c r="CP122" i="5"/>
  <c r="CO122" i="5"/>
  <c r="CQ121" i="5"/>
  <c r="CP121" i="5"/>
  <c r="CO121" i="5"/>
  <c r="CQ120" i="5"/>
  <c r="CP120" i="5"/>
  <c r="CO120" i="5"/>
  <c r="CQ119" i="5"/>
  <c r="CP119" i="5"/>
  <c r="CO119" i="5"/>
  <c r="CQ118" i="5"/>
  <c r="CP118" i="5"/>
  <c r="CO118" i="5"/>
  <c r="CQ117" i="5"/>
  <c r="CP117" i="5"/>
  <c r="CO117" i="5"/>
  <c r="CQ116" i="5"/>
  <c r="CP116" i="5"/>
  <c r="CO116" i="5"/>
  <c r="CQ115" i="5"/>
  <c r="CP115" i="5"/>
  <c r="CO115" i="5"/>
  <c r="CQ114" i="5"/>
  <c r="CP114" i="5"/>
  <c r="CO114" i="5"/>
  <c r="CQ113" i="5"/>
  <c r="CP113" i="5"/>
  <c r="CO113" i="5"/>
  <c r="CQ112" i="5"/>
  <c r="CP112" i="5"/>
  <c r="CO112" i="5"/>
  <c r="CO111" i="5"/>
  <c r="CQ110" i="5"/>
  <c r="CP110" i="5"/>
  <c r="CO110" i="5"/>
  <c r="CP109" i="5"/>
  <c r="CO109" i="5"/>
  <c r="CQ108" i="5"/>
  <c r="CP108" i="5"/>
  <c r="CO108" i="5"/>
  <c r="CQ107" i="5"/>
  <c r="CP107" i="5"/>
  <c r="CQ106" i="5"/>
  <c r="CP106" i="5"/>
  <c r="CO106" i="5"/>
  <c r="CQ105" i="5"/>
  <c r="CP105" i="5"/>
  <c r="CO105" i="5"/>
  <c r="CQ104" i="5"/>
  <c r="CP104" i="5"/>
  <c r="CO104" i="5"/>
  <c r="CQ103" i="5"/>
  <c r="CP103" i="5"/>
  <c r="CO103" i="5"/>
  <c r="CQ102" i="5"/>
  <c r="CP102" i="5"/>
  <c r="CO102" i="5"/>
  <c r="CQ101" i="5"/>
  <c r="CP101" i="5"/>
  <c r="CO101" i="5"/>
  <c r="CQ100" i="5"/>
  <c r="CP100" i="5"/>
  <c r="CO100" i="5"/>
  <c r="CQ99" i="5"/>
  <c r="CP99" i="5"/>
  <c r="CO99" i="5"/>
  <c r="CQ98" i="5"/>
  <c r="CP98" i="5"/>
  <c r="CO98" i="5"/>
  <c r="CQ97" i="5"/>
  <c r="CP97" i="5"/>
  <c r="CO97" i="5"/>
  <c r="CQ96" i="5"/>
  <c r="CP96" i="5"/>
  <c r="CO96" i="5"/>
  <c r="CQ95" i="5"/>
  <c r="CP95" i="5"/>
  <c r="CO95" i="5"/>
  <c r="CQ94" i="5"/>
  <c r="CP94" i="5"/>
  <c r="CO94" i="5"/>
  <c r="CQ93" i="5"/>
  <c r="CP93" i="5"/>
  <c r="CO93" i="5"/>
  <c r="CQ92" i="5"/>
  <c r="CP92" i="5"/>
  <c r="CO92" i="5"/>
  <c r="CQ91" i="5"/>
  <c r="CP91" i="5"/>
  <c r="CO91" i="5"/>
  <c r="CQ90" i="5"/>
  <c r="CP90" i="5"/>
  <c r="CO90" i="5"/>
  <c r="CQ89" i="5"/>
  <c r="CP89" i="5"/>
  <c r="CO89" i="5"/>
  <c r="CQ88" i="5"/>
  <c r="CP88" i="5"/>
  <c r="CO88" i="5"/>
  <c r="CQ87" i="5"/>
  <c r="CP87" i="5"/>
  <c r="CO87" i="5"/>
  <c r="CQ86" i="5"/>
  <c r="CP86" i="5"/>
  <c r="CO86" i="5"/>
  <c r="CQ85" i="5"/>
  <c r="CP85" i="5"/>
  <c r="CO85" i="5"/>
  <c r="CQ84" i="5"/>
  <c r="CP84" i="5"/>
  <c r="CO84" i="5"/>
  <c r="CQ83" i="5"/>
  <c r="CP83" i="5"/>
  <c r="CO83" i="5"/>
  <c r="CQ82" i="5"/>
  <c r="CP82" i="5"/>
  <c r="CO82" i="5"/>
  <c r="CQ81" i="5"/>
  <c r="CP81" i="5"/>
  <c r="CO81" i="5"/>
  <c r="CQ80" i="5"/>
  <c r="CP80" i="5"/>
  <c r="CO80" i="5"/>
  <c r="CQ79" i="5"/>
  <c r="CP79" i="5"/>
  <c r="CO79" i="5"/>
  <c r="CQ78" i="5"/>
  <c r="CP78" i="5"/>
  <c r="CO78" i="5"/>
  <c r="CQ77" i="5"/>
  <c r="CP77" i="5"/>
  <c r="CO77" i="5"/>
  <c r="CQ76" i="5"/>
  <c r="CP76" i="5"/>
  <c r="CO76" i="5"/>
  <c r="CQ75" i="5"/>
  <c r="CP75" i="5"/>
  <c r="CO75" i="5"/>
  <c r="CQ74" i="5"/>
  <c r="CP74" i="5"/>
  <c r="CO74" i="5"/>
  <c r="CQ73" i="5"/>
  <c r="CP73" i="5"/>
  <c r="CO73" i="5"/>
  <c r="CQ72" i="5"/>
  <c r="CP72" i="5"/>
  <c r="CO72" i="5"/>
  <c r="CQ71" i="5"/>
  <c r="CP71" i="5"/>
  <c r="CO71" i="5"/>
  <c r="CQ70" i="5"/>
  <c r="CP70" i="5"/>
  <c r="CO70" i="5"/>
  <c r="CQ69" i="5"/>
  <c r="CP69" i="5"/>
  <c r="CO69" i="5"/>
  <c r="CQ68" i="5"/>
  <c r="CP68" i="5"/>
  <c r="CO68" i="5"/>
  <c r="CQ67" i="5"/>
  <c r="CP67" i="5"/>
  <c r="CO67" i="5"/>
  <c r="CQ66" i="5"/>
  <c r="CP66" i="5"/>
  <c r="CO66" i="5"/>
  <c r="CQ65" i="5"/>
  <c r="CP65" i="5"/>
  <c r="CO65" i="5"/>
  <c r="CQ64" i="5"/>
  <c r="CP64" i="5"/>
  <c r="CO64" i="5"/>
  <c r="CQ63" i="5"/>
  <c r="CP63" i="5"/>
  <c r="CO63" i="5"/>
  <c r="CQ62" i="5"/>
  <c r="CP62" i="5"/>
  <c r="CO62" i="5"/>
  <c r="CQ61" i="5"/>
  <c r="CP61" i="5"/>
  <c r="CO61" i="5"/>
  <c r="CQ60" i="5"/>
  <c r="CP60" i="5"/>
  <c r="CO60" i="5"/>
  <c r="CQ59" i="5"/>
  <c r="CP59" i="5"/>
  <c r="CO59" i="5"/>
  <c r="CQ58" i="5"/>
  <c r="CP58" i="5"/>
  <c r="CO58" i="5"/>
  <c r="CQ57" i="5"/>
  <c r="CP57" i="5"/>
  <c r="CO57" i="5"/>
  <c r="CQ56" i="5"/>
  <c r="CP56" i="5"/>
  <c r="CO56" i="5"/>
  <c r="CQ55" i="5"/>
  <c r="CP55" i="5"/>
  <c r="CO55" i="5"/>
  <c r="CQ54" i="5"/>
  <c r="CP54" i="5"/>
  <c r="CO54" i="5"/>
  <c r="CQ53" i="5"/>
  <c r="CP53" i="5"/>
  <c r="CO53" i="5"/>
  <c r="CQ52" i="5"/>
  <c r="CP52" i="5"/>
  <c r="CO52" i="5"/>
  <c r="CQ51" i="5"/>
  <c r="CP51" i="5"/>
  <c r="CO51" i="5"/>
  <c r="CQ50" i="5"/>
  <c r="CP50" i="5"/>
  <c r="CO50" i="5"/>
  <c r="CQ49" i="5"/>
  <c r="CP49" i="5"/>
  <c r="CO49" i="5"/>
  <c r="CQ48" i="5"/>
  <c r="CP48" i="5"/>
  <c r="CO48" i="5"/>
  <c r="CQ47" i="5"/>
  <c r="CP47" i="5"/>
  <c r="CO47" i="5"/>
  <c r="CQ46" i="5"/>
  <c r="CP46" i="5"/>
  <c r="CO46" i="5"/>
  <c r="CQ45" i="5"/>
  <c r="CP45" i="5"/>
  <c r="CO45" i="5"/>
  <c r="CQ44" i="5"/>
  <c r="CP44" i="5"/>
  <c r="CO44" i="5"/>
  <c r="CQ43" i="5"/>
  <c r="CP43" i="5"/>
  <c r="CO43" i="5"/>
  <c r="CQ42" i="5"/>
  <c r="CP42" i="5"/>
  <c r="CO42" i="5"/>
  <c r="CQ41" i="5"/>
  <c r="CP41" i="5"/>
  <c r="CO41" i="5"/>
  <c r="CQ40" i="5"/>
  <c r="CP40" i="5"/>
  <c r="CO40" i="5"/>
  <c r="CQ39" i="5"/>
  <c r="CP39" i="5"/>
  <c r="CO39" i="5"/>
  <c r="CQ38" i="5"/>
  <c r="CP38" i="5"/>
  <c r="CO38" i="5"/>
  <c r="CQ37" i="5"/>
  <c r="CP37" i="5"/>
  <c r="CO37" i="5"/>
  <c r="CQ36" i="5"/>
  <c r="CP36" i="5"/>
  <c r="CO36" i="5"/>
  <c r="CQ35" i="5"/>
  <c r="CP35" i="5"/>
  <c r="CO35" i="5"/>
  <c r="CQ34" i="5"/>
  <c r="CP34" i="5"/>
  <c r="CO34" i="5"/>
  <c r="CQ33" i="5"/>
  <c r="CP33" i="5"/>
  <c r="CO33" i="5"/>
  <c r="CQ32" i="5"/>
  <c r="CP32" i="5"/>
  <c r="CO32" i="5"/>
  <c r="CQ31" i="5"/>
  <c r="CP31" i="5"/>
  <c r="CO31" i="5"/>
  <c r="CQ30" i="5"/>
  <c r="CP30" i="5"/>
  <c r="CO30" i="5"/>
  <c r="CQ29" i="5"/>
  <c r="CP29" i="5"/>
  <c r="CO29" i="5"/>
  <c r="CQ28" i="5"/>
  <c r="CP28" i="5"/>
  <c r="CO28" i="5"/>
  <c r="CQ27" i="5"/>
  <c r="CP27" i="5"/>
  <c r="CO27" i="5"/>
  <c r="CQ26" i="5"/>
  <c r="CP26" i="5"/>
  <c r="CO26" i="5"/>
  <c r="CQ25" i="5"/>
  <c r="CP25" i="5"/>
  <c r="CO25" i="5"/>
  <c r="CQ24" i="5"/>
  <c r="CP24" i="5"/>
  <c r="CO24" i="5"/>
  <c r="CQ23" i="5"/>
  <c r="CP23" i="5"/>
  <c r="CO23" i="5"/>
  <c r="CQ22" i="5"/>
  <c r="CP22" i="5"/>
  <c r="CO22" i="5"/>
  <c r="CQ21" i="5"/>
  <c r="CP21" i="5"/>
  <c r="CO21" i="5"/>
  <c r="CQ20" i="5"/>
  <c r="CP20" i="5"/>
  <c r="CO20" i="5"/>
  <c r="CQ19" i="5"/>
  <c r="CP19" i="5"/>
  <c r="CO19" i="5"/>
  <c r="CQ18" i="5"/>
  <c r="CP18" i="5"/>
  <c r="CO18" i="5"/>
  <c r="CQ17" i="5"/>
  <c r="CP17" i="5"/>
  <c r="CO17" i="5"/>
  <c r="CQ16" i="5"/>
  <c r="CP16" i="5"/>
  <c r="CO16" i="5"/>
  <c r="CQ15" i="5"/>
  <c r="CP15" i="5"/>
  <c r="CO15" i="5"/>
  <c r="CQ14" i="5"/>
  <c r="CP14" i="5"/>
  <c r="CO14" i="5"/>
  <c r="CQ13" i="5"/>
  <c r="CP13" i="5"/>
  <c r="CO13" i="5"/>
  <c r="CQ12" i="5"/>
  <c r="CP12" i="5"/>
  <c r="CO12" i="5"/>
  <c r="CQ11" i="5"/>
  <c r="CP11" i="5"/>
  <c r="CO11" i="5"/>
  <c r="CQ10" i="5"/>
  <c r="CP10" i="5"/>
  <c r="CO10" i="5"/>
  <c r="CQ9" i="5"/>
  <c r="CP9" i="5"/>
  <c r="CO9" i="5"/>
  <c r="CQ8" i="5"/>
  <c r="CP8" i="5"/>
  <c r="CO8" i="5"/>
  <c r="CQ7" i="5"/>
  <c r="CP7" i="5"/>
  <c r="CO7" i="5"/>
  <c r="CQ6" i="5"/>
  <c r="CP6" i="5"/>
  <c r="CO6" i="5"/>
  <c r="CQ5" i="5"/>
  <c r="CP5" i="5"/>
  <c r="CO5" i="5"/>
  <c r="AG249" i="1"/>
  <c r="AG244" i="1"/>
  <c r="AG235" i="1"/>
  <c r="AG229" i="1"/>
  <c r="AG228" i="1"/>
  <c r="AG227" i="1"/>
  <c r="AG226" i="1"/>
  <c r="AG225" i="1"/>
  <c r="AG224" i="1"/>
  <c r="AG223" i="1"/>
  <c r="AG222" i="1"/>
  <c r="AG221" i="1"/>
  <c r="AG220" i="1"/>
  <c r="AG219" i="1"/>
  <c r="AG218" i="1"/>
  <c r="AG217" i="1"/>
  <c r="AG216" i="1"/>
  <c r="AG215" i="1"/>
  <c r="AG214" i="1"/>
  <c r="AG213" i="1"/>
  <c r="AG212" i="1"/>
  <c r="AG211" i="1"/>
  <c r="AG210" i="1"/>
  <c r="AG209" i="1"/>
  <c r="AG208" i="1"/>
  <c r="AG207" i="1"/>
  <c r="AG206" i="1"/>
  <c r="AG205" i="1"/>
  <c r="AG204" i="1"/>
  <c r="AG203" i="1"/>
  <c r="AG202" i="1"/>
  <c r="AG201" i="1"/>
  <c r="AG200" i="1"/>
  <c r="AG199" i="1"/>
  <c r="AG198" i="1"/>
  <c r="AG197" i="1"/>
  <c r="AG196" i="1"/>
  <c r="AG195" i="1"/>
  <c r="AG194" i="1"/>
  <c r="AG193" i="1"/>
  <c r="AG192" i="1"/>
  <c r="AG191" i="1"/>
  <c r="AG190" i="1"/>
  <c r="AG189" i="1"/>
  <c r="AG188" i="1"/>
  <c r="AG187" i="1"/>
  <c r="AG186" i="1"/>
  <c r="AG185" i="1"/>
  <c r="AG184" i="1"/>
  <c r="AG183" i="1"/>
  <c r="AG182" i="1"/>
  <c r="AG181" i="1"/>
  <c r="AG180" i="1"/>
  <c r="AG179" i="1"/>
  <c r="AG178" i="1"/>
  <c r="AG177" i="1"/>
  <c r="AG176" i="1"/>
  <c r="AG175" i="1"/>
  <c r="AG174" i="1"/>
  <c r="AG173" i="1"/>
  <c r="AG172" i="1"/>
  <c r="AG171" i="1"/>
  <c r="AG170" i="1"/>
  <c r="AG169" i="1"/>
  <c r="AG168" i="1"/>
  <c r="AG167" i="1"/>
  <c r="AG166" i="1"/>
  <c r="AG165" i="1"/>
  <c r="AG164" i="1"/>
  <c r="AG163" i="1"/>
  <c r="AG162" i="1"/>
  <c r="AG161" i="1"/>
  <c r="AG160" i="1"/>
  <c r="AG159" i="1"/>
  <c r="AG158" i="1"/>
  <c r="AG157" i="1"/>
  <c r="AG156" i="1"/>
  <c r="AG155" i="1"/>
  <c r="AG154" i="1"/>
  <c r="AG153" i="1"/>
  <c r="AG152" i="1"/>
  <c r="AG151" i="1"/>
  <c r="AG150" i="1"/>
  <c r="AG149" i="1"/>
  <c r="AG148" i="1"/>
  <c r="AG147" i="1"/>
  <c r="AG146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9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AG112" i="1"/>
  <c r="AG111" i="1"/>
  <c r="AG110" i="1"/>
  <c r="AG109" i="1"/>
  <c r="AG108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215" i="3"/>
  <c r="AG214" i="3"/>
  <c r="AG213" i="3"/>
  <c r="AG210" i="3"/>
  <c r="AG209" i="3"/>
  <c r="AG208" i="3"/>
  <c r="AG205" i="3"/>
  <c r="AG204" i="3"/>
  <c r="AG203" i="3"/>
  <c r="AG202" i="3"/>
  <c r="AG199" i="3"/>
  <c r="AG198" i="3"/>
  <c r="AG195" i="3"/>
  <c r="AG194" i="3"/>
  <c r="AG193" i="3"/>
  <c r="AG190" i="3"/>
  <c r="AG189" i="3"/>
  <c r="AG186" i="3"/>
  <c r="AG185" i="3"/>
  <c r="AG184" i="3"/>
  <c r="AG171" i="3"/>
  <c r="AG170" i="3"/>
  <c r="AG169" i="3"/>
  <c r="AG168" i="3"/>
  <c r="AG167" i="3"/>
  <c r="AG166" i="3"/>
  <c r="AG165" i="3"/>
  <c r="AG164" i="3"/>
  <c r="AG163" i="3"/>
  <c r="AG162" i="3"/>
  <c r="AG161" i="3"/>
  <c r="AG160" i="3"/>
  <c r="AG159" i="3"/>
  <c r="AG158" i="3"/>
  <c r="AG157" i="3"/>
  <c r="AG156" i="3"/>
  <c r="AG155" i="3"/>
  <c r="AG154" i="3"/>
  <c r="AG153" i="3"/>
  <c r="AG152" i="3"/>
  <c r="AG151" i="3"/>
  <c r="AG150" i="3"/>
  <c r="AG149" i="3"/>
  <c r="AG148" i="3"/>
  <c r="AG147" i="3"/>
  <c r="AG146" i="3"/>
  <c r="AG145" i="3"/>
  <c r="AG144" i="3"/>
  <c r="AG143" i="3"/>
  <c r="AG142" i="3"/>
  <c r="AG141" i="3"/>
  <c r="AG140" i="3"/>
  <c r="AG139" i="3"/>
  <c r="AG138" i="3"/>
  <c r="AG137" i="3"/>
  <c r="AG136" i="3"/>
  <c r="AG135" i="3"/>
  <c r="AG134" i="3"/>
  <c r="AG133" i="3"/>
  <c r="AG132" i="3"/>
  <c r="AG131" i="3"/>
  <c r="AG130" i="3"/>
  <c r="AG129" i="3"/>
  <c r="AG128" i="3"/>
  <c r="AG127" i="3"/>
  <c r="AG126" i="3"/>
  <c r="AG125" i="3"/>
  <c r="AG124" i="3"/>
  <c r="AG123" i="3"/>
  <c r="AG122" i="3"/>
  <c r="AG121" i="3"/>
  <c r="AG120" i="3"/>
  <c r="AG119" i="3"/>
  <c r="AG118" i="3"/>
  <c r="AG117" i="3"/>
  <c r="AG116" i="3"/>
  <c r="AG115" i="3"/>
  <c r="AG114" i="3"/>
  <c r="AG113" i="3"/>
  <c r="AG112" i="3"/>
  <c r="AG111" i="3"/>
  <c r="AG110" i="3"/>
  <c r="AG109" i="3"/>
  <c r="AG108" i="3"/>
  <c r="AG107" i="3"/>
  <c r="AG106" i="3"/>
  <c r="AG105" i="3"/>
  <c r="AG104" i="3"/>
  <c r="AG103" i="3"/>
  <c r="AG102" i="3"/>
  <c r="AG101" i="3"/>
  <c r="AG100" i="3"/>
  <c r="AG99" i="3"/>
  <c r="AG98" i="3"/>
  <c r="AG97" i="3"/>
  <c r="AG96" i="3"/>
  <c r="AG95" i="3"/>
  <c r="AG94" i="3"/>
  <c r="AG93" i="3"/>
  <c r="AG92" i="3"/>
  <c r="AG91" i="3"/>
  <c r="AG90" i="3"/>
  <c r="AG89" i="3"/>
  <c r="AG88" i="3"/>
  <c r="AG87" i="3"/>
  <c r="AG86" i="3"/>
  <c r="AG85" i="3"/>
  <c r="AG84" i="3"/>
  <c r="AG83" i="3"/>
  <c r="AG82" i="3"/>
  <c r="AG81" i="3"/>
  <c r="AG80" i="3"/>
  <c r="AG79" i="3"/>
  <c r="AG78" i="3"/>
  <c r="AG77" i="3"/>
  <c r="AG76" i="3"/>
  <c r="AG75" i="3"/>
  <c r="AG74" i="3"/>
  <c r="AG73" i="3"/>
  <c r="AG72" i="3"/>
  <c r="AG71" i="3"/>
  <c r="AG70" i="3"/>
  <c r="AG69" i="3"/>
  <c r="AG68" i="3"/>
  <c r="AG67" i="3"/>
  <c r="AG66" i="3"/>
  <c r="AG65" i="3"/>
  <c r="AG64" i="3"/>
  <c r="AG63" i="3"/>
  <c r="AG62" i="3"/>
  <c r="AG61" i="3"/>
  <c r="AG60" i="3"/>
  <c r="AG59" i="3"/>
  <c r="AG58" i="3"/>
  <c r="AG57" i="3"/>
  <c r="AG56" i="3"/>
  <c r="AG55" i="3"/>
  <c r="AG54" i="3"/>
  <c r="AG53" i="3"/>
  <c r="AG52" i="3"/>
  <c r="AG51" i="3"/>
  <c r="AG50" i="3"/>
  <c r="AG49" i="3"/>
  <c r="AG48" i="3"/>
  <c r="AG47" i="3"/>
  <c r="AG46" i="3"/>
  <c r="AG45" i="3"/>
  <c r="AG44" i="3"/>
  <c r="AG43" i="3"/>
  <c r="AG42" i="3"/>
  <c r="AG41" i="3"/>
  <c r="AG40" i="3"/>
  <c r="AG39" i="3"/>
  <c r="AG38" i="3"/>
  <c r="AG37" i="3"/>
  <c r="AG36" i="3"/>
  <c r="AG35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G11" i="3"/>
  <c r="AG10" i="3"/>
  <c r="AG9" i="3"/>
  <c r="AG8" i="3"/>
  <c r="AG7" i="3"/>
  <c r="AG6" i="3"/>
  <c r="AG5" i="3"/>
  <c r="AG4" i="3"/>
  <c r="AG3" i="3"/>
  <c r="AG229" i="2"/>
  <c r="AG228" i="2"/>
  <c r="AG227" i="2"/>
  <c r="AG226" i="2"/>
  <c r="AG224" i="2"/>
  <c r="AG223" i="2"/>
  <c r="AG222" i="2"/>
  <c r="AG221" i="2"/>
  <c r="AG219" i="2"/>
  <c r="AG218" i="2"/>
  <c r="AG217" i="2"/>
  <c r="AG214" i="2"/>
  <c r="AG213" i="2"/>
  <c r="AG212" i="2"/>
  <c r="AG209" i="2"/>
  <c r="AG208" i="2"/>
  <c r="AG207" i="2"/>
  <c r="AG206" i="2"/>
  <c r="AG203" i="2"/>
  <c r="AG202" i="2"/>
  <c r="AG199" i="2"/>
  <c r="AG198" i="2"/>
  <c r="AG197" i="2"/>
  <c r="AG194" i="2"/>
  <c r="AG193" i="2"/>
  <c r="AG190" i="2"/>
  <c r="AG189" i="2"/>
  <c r="AG188" i="2"/>
  <c r="AG184" i="2"/>
  <c r="AG171" i="2"/>
  <c r="AG170" i="2"/>
  <c r="AG169" i="2"/>
  <c r="AG168" i="2"/>
  <c r="AG167" i="2"/>
  <c r="AG166" i="2"/>
  <c r="AG165" i="2"/>
  <c r="AG164" i="2"/>
  <c r="AG163" i="2"/>
  <c r="AG162" i="2"/>
  <c r="AG161" i="2"/>
  <c r="AG160" i="2"/>
  <c r="AG159" i="2"/>
  <c r="AG158" i="2"/>
  <c r="AG157" i="2"/>
  <c r="AG156" i="2"/>
  <c r="AG155" i="2"/>
  <c r="AG154" i="2"/>
  <c r="AG153" i="2"/>
  <c r="AG152" i="2"/>
  <c r="AG151" i="2"/>
  <c r="AG150" i="2"/>
  <c r="AG149" i="2"/>
  <c r="AG148" i="2"/>
  <c r="AG147" i="2"/>
  <c r="AG146" i="2"/>
  <c r="AG145" i="2"/>
  <c r="AG144" i="2"/>
  <c r="AG143" i="2"/>
  <c r="AG142" i="2"/>
  <c r="AG141" i="2"/>
  <c r="AG140" i="2"/>
  <c r="AG139" i="2"/>
  <c r="AG138" i="2"/>
  <c r="AG137" i="2"/>
  <c r="AG136" i="2"/>
  <c r="AG135" i="2"/>
  <c r="AG134" i="2"/>
  <c r="AG133" i="2"/>
  <c r="AG132" i="2"/>
  <c r="AG131" i="2"/>
  <c r="AG130" i="2"/>
  <c r="AG129" i="2"/>
  <c r="AG128" i="2"/>
  <c r="AG127" i="2"/>
  <c r="AG126" i="2"/>
  <c r="AG125" i="2"/>
  <c r="AG124" i="2"/>
  <c r="AG123" i="2"/>
  <c r="AG122" i="2"/>
  <c r="AG121" i="2"/>
  <c r="AG120" i="2"/>
  <c r="AG119" i="2"/>
  <c r="AG118" i="2"/>
  <c r="AG117" i="2"/>
  <c r="AG116" i="2"/>
  <c r="AG115" i="2"/>
  <c r="AG114" i="2"/>
  <c r="AG113" i="2"/>
  <c r="AG112" i="2"/>
  <c r="AG111" i="2"/>
  <c r="AG110" i="2"/>
  <c r="AG109" i="2"/>
  <c r="AG108" i="2"/>
  <c r="AG107" i="2"/>
  <c r="AG106" i="2"/>
  <c r="AG105" i="2"/>
  <c r="AG104" i="2"/>
  <c r="AG103" i="2"/>
  <c r="AG102" i="2"/>
  <c r="AG101" i="2"/>
  <c r="AG100" i="2"/>
  <c r="AG99" i="2"/>
  <c r="AG98" i="2"/>
  <c r="AG97" i="2"/>
  <c r="AG96" i="2"/>
  <c r="AG95" i="2"/>
  <c r="AG94" i="2"/>
  <c r="AG93" i="2"/>
  <c r="AG92" i="2"/>
  <c r="AG91" i="2"/>
  <c r="AG90" i="2"/>
  <c r="AG89" i="2"/>
  <c r="AG88" i="2"/>
  <c r="AG87" i="2"/>
  <c r="AG86" i="2"/>
  <c r="AG85" i="2"/>
  <c r="AG84" i="2"/>
  <c r="AG83" i="2"/>
  <c r="AG82" i="2"/>
  <c r="AG81" i="2"/>
  <c r="AG80" i="2"/>
  <c r="AG79" i="2"/>
  <c r="AG78" i="2"/>
  <c r="AG77" i="2"/>
  <c r="AG76" i="2"/>
  <c r="AG75" i="2"/>
  <c r="AG74" i="2"/>
  <c r="AG73" i="2"/>
  <c r="AG72" i="2"/>
  <c r="AG71" i="2"/>
  <c r="AG70" i="2"/>
  <c r="AG69" i="2"/>
  <c r="AG68" i="2"/>
  <c r="AG67" i="2"/>
  <c r="AG66" i="2"/>
  <c r="AG65" i="2"/>
  <c r="AG64" i="2"/>
  <c r="AG63" i="2"/>
  <c r="AG62" i="2"/>
  <c r="AG61" i="2"/>
  <c r="AG60" i="2"/>
  <c r="AG59" i="2"/>
  <c r="AG58" i="2"/>
  <c r="AG57" i="2"/>
  <c r="AG56" i="2"/>
  <c r="AG55" i="2"/>
  <c r="AG54" i="2"/>
  <c r="AG53" i="2"/>
  <c r="AG52" i="2"/>
  <c r="AG51" i="2"/>
  <c r="AG50" i="2"/>
  <c r="AG49" i="2"/>
  <c r="AG48" i="2"/>
  <c r="AG47" i="2"/>
  <c r="AG46" i="2"/>
  <c r="AG45" i="2"/>
  <c r="AG4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AG29" i="2"/>
  <c r="AG28" i="2"/>
  <c r="AG27" i="2"/>
  <c r="AG26" i="2"/>
  <c r="AG25" i="2"/>
  <c r="AG24" i="2"/>
  <c r="AG23" i="2"/>
  <c r="AG22" i="2"/>
  <c r="AG21" i="2"/>
  <c r="AG20" i="2"/>
  <c r="AG19" i="2"/>
  <c r="AG18" i="2"/>
  <c r="AG17" i="2"/>
  <c r="AG16" i="2"/>
  <c r="AG15" i="2"/>
  <c r="AG14" i="2"/>
  <c r="AG13" i="2"/>
  <c r="AG12" i="2"/>
  <c r="AG11" i="2"/>
  <c r="AG10" i="2"/>
  <c r="AG9" i="2"/>
  <c r="AG8" i="2"/>
  <c r="AG7" i="2"/>
  <c r="AG6" i="2"/>
  <c r="AG5" i="2"/>
  <c r="AG4" i="2"/>
  <c r="AG3" i="2"/>
  <c r="CZ349" i="5"/>
  <c r="CY349" i="5"/>
  <c r="CW349" i="5"/>
  <c r="CV349" i="5"/>
  <c r="CT349" i="5"/>
  <c r="CS349" i="5"/>
  <c r="CQ349" i="5"/>
  <c r="CP349" i="5"/>
  <c r="CZ342" i="5"/>
  <c r="CY342" i="5"/>
  <c r="CW342" i="5"/>
  <c r="CV342" i="5"/>
  <c r="CT342" i="5"/>
  <c r="CS342" i="5"/>
  <c r="CQ342" i="5"/>
  <c r="CP342" i="5"/>
  <c r="CZ339" i="5"/>
  <c r="CZ344" i="5" s="1"/>
  <c r="CY339" i="5"/>
  <c r="CY344" i="5" s="1"/>
  <c r="CW339" i="5"/>
  <c r="CW344" i="5" s="1"/>
  <c r="CV339" i="5"/>
  <c r="CV344" i="5" s="1"/>
  <c r="CT339" i="5"/>
  <c r="CT344" i="5" s="1"/>
  <c r="CS339" i="5"/>
  <c r="CS344" i="5" s="1"/>
  <c r="CQ339" i="5"/>
  <c r="CQ344" i="5" s="1"/>
  <c r="CP339" i="5"/>
  <c r="CP344" i="5" s="1"/>
  <c r="CZ343" i="5"/>
  <c r="CY343" i="5"/>
  <c r="CX343" i="5"/>
  <c r="CW343" i="5"/>
  <c r="CV343" i="5"/>
  <c r="CU343" i="5"/>
  <c r="CT343" i="5"/>
  <c r="CS343" i="5"/>
  <c r="CQ343" i="5"/>
  <c r="CP343" i="5"/>
  <c r="CO343" i="5"/>
  <c r="CZ325" i="5"/>
  <c r="CW325" i="5"/>
  <c r="CT325" i="5"/>
  <c r="CQ325" i="5"/>
  <c r="CZ321" i="5"/>
  <c r="CZ327" i="5" s="1"/>
  <c r="CY321" i="5"/>
  <c r="CY327" i="5" s="1"/>
  <c r="CX321" i="5"/>
  <c r="CW321" i="5"/>
  <c r="CW327" i="5" s="1"/>
  <c r="CV321" i="5"/>
  <c r="CV327" i="5" s="1"/>
  <c r="CU321" i="5"/>
  <c r="CT321" i="5"/>
  <c r="CT327" i="5" s="1"/>
  <c r="CS321" i="5"/>
  <c r="CS327" i="5" s="1"/>
  <c r="CR321" i="5"/>
  <c r="CQ321" i="5"/>
  <c r="CQ327" i="5" s="1"/>
  <c r="CP321" i="5"/>
  <c r="CP327" i="5" s="1"/>
  <c r="CO321" i="5"/>
  <c r="CX349" i="5"/>
  <c r="CU349" i="5"/>
  <c r="CR349" i="5"/>
  <c r="CO349" i="5"/>
  <c r="CZ347" i="5"/>
  <c r="CY347" i="5"/>
  <c r="CX347" i="5"/>
  <c r="CW347" i="5"/>
  <c r="CV347" i="5"/>
  <c r="CU347" i="5"/>
  <c r="CT347" i="5"/>
  <c r="CS347" i="5"/>
  <c r="CR347" i="5"/>
  <c r="CQ347" i="5"/>
  <c r="CP347" i="5"/>
  <c r="CO347" i="5"/>
  <c r="CY348" i="5"/>
  <c r="CX348" i="5"/>
  <c r="CW109" i="5"/>
  <c r="CU348" i="5"/>
  <c r="CS348" i="5"/>
  <c r="CT109" i="5"/>
  <c r="CP348" i="5"/>
  <c r="CO348" i="5"/>
  <c r="CY318" i="5"/>
  <c r="CY326" i="5" s="1"/>
  <c r="CX318" i="5"/>
  <c r="CV318" i="5"/>
  <c r="CV326" i="5" s="1"/>
  <c r="CU318" i="5"/>
  <c r="CS318" i="5"/>
  <c r="CS326" i="5" s="1"/>
  <c r="CR318" i="5"/>
  <c r="CP318" i="5"/>
  <c r="CP326" i="5" s="1"/>
  <c r="CO318" i="5"/>
  <c r="AJ256" i="1"/>
  <c r="AI256" i="1"/>
  <c r="AH256" i="1"/>
  <c r="AG256" i="1"/>
  <c r="AJ234" i="1"/>
  <c r="AJ236" i="1" s="1"/>
  <c r="AJ240" i="1" s="1"/>
  <c r="AI234" i="1"/>
  <c r="AI236" i="1" s="1"/>
  <c r="AI240" i="1" s="1"/>
  <c r="AH234" i="1"/>
  <c r="AH236" i="1" s="1"/>
  <c r="AH240" i="1" s="1"/>
  <c r="AG234" i="1"/>
  <c r="AG236" i="1" s="1"/>
  <c r="AG240" i="1" s="1"/>
  <c r="AJ262" i="1"/>
  <c r="AJ237" i="1" s="1"/>
  <c r="AI262" i="1"/>
  <c r="AH262" i="1"/>
  <c r="AG262" i="1"/>
  <c r="AJ260" i="1"/>
  <c r="AI260" i="1"/>
  <c r="AH260" i="1"/>
  <c r="AG260" i="1"/>
  <c r="AJ261" i="1"/>
  <c r="AI261" i="1"/>
  <c r="AH261" i="1"/>
  <c r="AG261" i="1"/>
  <c r="AI231" i="1"/>
  <c r="AH231" i="1"/>
  <c r="AG231" i="1"/>
  <c r="AJ223" i="3"/>
  <c r="AI223" i="3"/>
  <c r="AH223" i="3"/>
  <c r="AG223" i="3"/>
  <c r="AJ179" i="3"/>
  <c r="AI179" i="3"/>
  <c r="AH179" i="3"/>
  <c r="AG179" i="3"/>
  <c r="AJ222" i="3"/>
  <c r="AI222" i="3"/>
  <c r="AH222" i="3"/>
  <c r="AG222" i="3"/>
  <c r="AJ221" i="3"/>
  <c r="AI221" i="3"/>
  <c r="AH221" i="3"/>
  <c r="AG221" i="3"/>
  <c r="AJ219" i="3"/>
  <c r="AI219" i="3"/>
  <c r="AH219" i="3"/>
  <c r="AG219" i="3"/>
  <c r="AJ220" i="3"/>
  <c r="AI220" i="3"/>
  <c r="AH220" i="3"/>
  <c r="AG220" i="3"/>
  <c r="AJ177" i="3"/>
  <c r="AI177" i="3"/>
  <c r="AH177" i="3"/>
  <c r="AG177" i="3"/>
  <c r="AJ218" i="3"/>
  <c r="AI218" i="3"/>
  <c r="AH218" i="3"/>
  <c r="AJ274" i="2"/>
  <c r="AI274" i="2"/>
  <c r="AH274" i="2"/>
  <c r="AG274" i="2"/>
  <c r="AJ273" i="2"/>
  <c r="AI273" i="2"/>
  <c r="AH273" i="2"/>
  <c r="AG273" i="2"/>
  <c r="AJ272" i="2"/>
  <c r="AI272" i="2"/>
  <c r="AH272" i="2"/>
  <c r="AG272" i="2"/>
  <c r="AJ271" i="2"/>
  <c r="AI271" i="2"/>
  <c r="AH271" i="2"/>
  <c r="AG271" i="2"/>
  <c r="AJ270" i="2"/>
  <c r="AI270" i="2"/>
  <c r="AH270" i="2"/>
  <c r="AG270" i="2"/>
  <c r="AJ269" i="2"/>
  <c r="AI269" i="2"/>
  <c r="AH269" i="2"/>
  <c r="AG269" i="2"/>
  <c r="AJ275" i="2"/>
  <c r="AI275" i="2"/>
  <c r="AH275" i="2"/>
  <c r="AG275" i="2"/>
  <c r="AJ283" i="2"/>
  <c r="AI283" i="2"/>
  <c r="AH283" i="2"/>
  <c r="AG283" i="2"/>
  <c r="AJ267" i="2"/>
  <c r="AI267" i="2"/>
  <c r="AH267" i="2"/>
  <c r="AG267" i="2"/>
  <c r="AJ255" i="2"/>
  <c r="AI255" i="2"/>
  <c r="AH255" i="2"/>
  <c r="AG255" i="2"/>
  <c r="AJ247" i="2"/>
  <c r="AI247" i="2"/>
  <c r="AH247" i="2"/>
  <c r="AG247" i="2"/>
  <c r="AJ281" i="2"/>
  <c r="AI281" i="2"/>
  <c r="AH281" i="2"/>
  <c r="AG281" i="2"/>
  <c r="AJ260" i="2"/>
  <c r="AI260" i="2"/>
  <c r="AH260" i="2"/>
  <c r="AG260" i="2"/>
  <c r="AJ280" i="2"/>
  <c r="AI280" i="2"/>
  <c r="AH280" i="2"/>
  <c r="AG280" i="2"/>
  <c r="AJ253" i="2"/>
  <c r="AI253" i="2"/>
  <c r="AH253" i="2"/>
  <c r="AG253" i="2"/>
  <c r="AJ245" i="2"/>
  <c r="AI245" i="2"/>
  <c r="AH245" i="2"/>
  <c r="AG245" i="2"/>
  <c r="AJ243" i="2"/>
  <c r="AI243" i="2"/>
  <c r="AH243" i="2"/>
  <c r="AG243" i="2"/>
  <c r="AJ279" i="2"/>
  <c r="AI279" i="2"/>
  <c r="AH279" i="2"/>
  <c r="AG279" i="2"/>
  <c r="AJ278" i="2"/>
  <c r="AI278" i="2"/>
  <c r="AH278" i="2"/>
  <c r="AG278" i="2"/>
  <c r="AJ261" i="2"/>
  <c r="AI261" i="2"/>
  <c r="AH261" i="2"/>
  <c r="AG261" i="2"/>
  <c r="AJ256" i="2"/>
  <c r="AI256" i="2"/>
  <c r="AH256" i="2"/>
  <c r="AG256" i="2"/>
  <c r="AJ259" i="2"/>
  <c r="AI259" i="2"/>
  <c r="AH259" i="2"/>
  <c r="AG259" i="2"/>
  <c r="AJ258" i="2"/>
  <c r="AI258" i="2"/>
  <c r="AH258" i="2"/>
  <c r="AG258" i="2"/>
  <c r="AJ244" i="2"/>
  <c r="AI244" i="2"/>
  <c r="AH244" i="2"/>
  <c r="AG244" i="2"/>
  <c r="AJ254" i="2"/>
  <c r="AI254" i="2"/>
  <c r="AH254" i="2"/>
  <c r="AG254" i="2"/>
  <c r="AJ277" i="2"/>
  <c r="AI277" i="2"/>
  <c r="AH277" i="2"/>
  <c r="AG277" i="2"/>
  <c r="AJ276" i="2"/>
  <c r="AI276" i="2"/>
  <c r="AH276" i="2"/>
  <c r="AG276" i="2"/>
  <c r="AJ257" i="2"/>
  <c r="AI257" i="2"/>
  <c r="AH257" i="2"/>
  <c r="AG257" i="2"/>
  <c r="CL337" i="5"/>
  <c r="CN333" i="5"/>
  <c r="CM333" i="5"/>
  <c r="CL333" i="5"/>
  <c r="CN317" i="5"/>
  <c r="CM317" i="5"/>
  <c r="CL317" i="5"/>
  <c r="CN316" i="5"/>
  <c r="CM316" i="5"/>
  <c r="CL316" i="5"/>
  <c r="CN315" i="5"/>
  <c r="CM315" i="5"/>
  <c r="CL315" i="5"/>
  <c r="CN314" i="5"/>
  <c r="CM314" i="5"/>
  <c r="CL314" i="5"/>
  <c r="CN313" i="5"/>
  <c r="CM313" i="5"/>
  <c r="CL313" i="5"/>
  <c r="CN312" i="5"/>
  <c r="CM312" i="5"/>
  <c r="CL312" i="5"/>
  <c r="CN311" i="5"/>
  <c r="CM311" i="5"/>
  <c r="CL311" i="5"/>
  <c r="CN310" i="5"/>
  <c r="CM310" i="5"/>
  <c r="CL310" i="5"/>
  <c r="CN309" i="5"/>
  <c r="CM309" i="5"/>
  <c r="CL309" i="5"/>
  <c r="CN308" i="5"/>
  <c r="CM308" i="5"/>
  <c r="CL308" i="5"/>
  <c r="CN307" i="5"/>
  <c r="CM307" i="5"/>
  <c r="CL307" i="5"/>
  <c r="CN306" i="5"/>
  <c r="CM306" i="5"/>
  <c r="CL306" i="5"/>
  <c r="CN305" i="5"/>
  <c r="CM305" i="5"/>
  <c r="CL305" i="5"/>
  <c r="CN304" i="5"/>
  <c r="CM304" i="5"/>
  <c r="CL304" i="5"/>
  <c r="CN303" i="5"/>
  <c r="CM303" i="5"/>
  <c r="CL303" i="5"/>
  <c r="CN302" i="5"/>
  <c r="CM302" i="5"/>
  <c r="CL302" i="5"/>
  <c r="CN301" i="5"/>
  <c r="CM301" i="5"/>
  <c r="CL301" i="5"/>
  <c r="CN300" i="5"/>
  <c r="CM300" i="5"/>
  <c r="CL300" i="5"/>
  <c r="CN299" i="5"/>
  <c r="CM299" i="5"/>
  <c r="CL299" i="5"/>
  <c r="CN298" i="5"/>
  <c r="CM298" i="5"/>
  <c r="CL298" i="5"/>
  <c r="CN297" i="5"/>
  <c r="CM297" i="5"/>
  <c r="CL297" i="5"/>
  <c r="CN296" i="5"/>
  <c r="CM296" i="5"/>
  <c r="CL296" i="5"/>
  <c r="CN295" i="5"/>
  <c r="CM295" i="5"/>
  <c r="CL295" i="5"/>
  <c r="CN294" i="5"/>
  <c r="CM294" i="5"/>
  <c r="CL294" i="5"/>
  <c r="CN293" i="5"/>
  <c r="CM293" i="5"/>
  <c r="CL293" i="5"/>
  <c r="CN292" i="5"/>
  <c r="CM292" i="5"/>
  <c r="CN291" i="5"/>
  <c r="CM291" i="5"/>
  <c r="CL291" i="5"/>
  <c r="CN290" i="5"/>
  <c r="CM290" i="5"/>
  <c r="CL290" i="5"/>
  <c r="CN289" i="5"/>
  <c r="CM289" i="5"/>
  <c r="CL289" i="5"/>
  <c r="CN288" i="5"/>
  <c r="CM288" i="5"/>
  <c r="CL288" i="5"/>
  <c r="CN287" i="5"/>
  <c r="CM287" i="5"/>
  <c r="CL287" i="5"/>
  <c r="CN286" i="5"/>
  <c r="CM286" i="5"/>
  <c r="CL286" i="5"/>
  <c r="CN285" i="5"/>
  <c r="CM285" i="5"/>
  <c r="CL285" i="5"/>
  <c r="CN284" i="5"/>
  <c r="CM284" i="5"/>
  <c r="CL284" i="5"/>
  <c r="CN283" i="5"/>
  <c r="CM283" i="5"/>
  <c r="CL283" i="5"/>
  <c r="CN282" i="5"/>
  <c r="CM282" i="5"/>
  <c r="CL282" i="5"/>
  <c r="CN281" i="5"/>
  <c r="CM281" i="5"/>
  <c r="CL281" i="5"/>
  <c r="CN280" i="5"/>
  <c r="CM280" i="5"/>
  <c r="CL280" i="5"/>
  <c r="CN279" i="5"/>
  <c r="CM279" i="5"/>
  <c r="CL279" i="5"/>
  <c r="CN278" i="5"/>
  <c r="CM278" i="5"/>
  <c r="CL278" i="5"/>
  <c r="CN277" i="5"/>
  <c r="CM277" i="5"/>
  <c r="CL277" i="5"/>
  <c r="CN276" i="5"/>
  <c r="CM276" i="5"/>
  <c r="CL276" i="5"/>
  <c r="CN275" i="5"/>
  <c r="CM275" i="5"/>
  <c r="CL275" i="5"/>
  <c r="CN274" i="5"/>
  <c r="CM274" i="5"/>
  <c r="CL274" i="5"/>
  <c r="CN273" i="5"/>
  <c r="CM273" i="5"/>
  <c r="CL273" i="5"/>
  <c r="CN272" i="5"/>
  <c r="CM272" i="5"/>
  <c r="CL272" i="5"/>
  <c r="CN271" i="5"/>
  <c r="CM271" i="5"/>
  <c r="CL271" i="5"/>
  <c r="CN270" i="5"/>
  <c r="CM270" i="5"/>
  <c r="CL270" i="5"/>
  <c r="CN269" i="5"/>
  <c r="CM269" i="5"/>
  <c r="CL269" i="5"/>
  <c r="CN268" i="5"/>
  <c r="CM268" i="5"/>
  <c r="CL268" i="5"/>
  <c r="CN267" i="5"/>
  <c r="CM267" i="5"/>
  <c r="CL267" i="5"/>
  <c r="CN266" i="5"/>
  <c r="CM266" i="5"/>
  <c r="CL266" i="5"/>
  <c r="CN265" i="5"/>
  <c r="CM265" i="5"/>
  <c r="CL265" i="5"/>
  <c r="CN264" i="5"/>
  <c r="CM264" i="5"/>
  <c r="CL264" i="5"/>
  <c r="CN263" i="5"/>
  <c r="CM263" i="5"/>
  <c r="CL263" i="5"/>
  <c r="CN262" i="5"/>
  <c r="CM262" i="5"/>
  <c r="CL262" i="5"/>
  <c r="CN261" i="5"/>
  <c r="CM261" i="5"/>
  <c r="CL261" i="5"/>
  <c r="CN260" i="5"/>
  <c r="CM260" i="5"/>
  <c r="CL260" i="5"/>
  <c r="CN259" i="5"/>
  <c r="CM259" i="5"/>
  <c r="CL259" i="5"/>
  <c r="CN258" i="5"/>
  <c r="CM258" i="5"/>
  <c r="CL258" i="5"/>
  <c r="CN257" i="5"/>
  <c r="CM257" i="5"/>
  <c r="CL257" i="5"/>
  <c r="CN256" i="5"/>
  <c r="CM256" i="5"/>
  <c r="CL256" i="5"/>
  <c r="CN255" i="5"/>
  <c r="CM255" i="5"/>
  <c r="CL255" i="5"/>
  <c r="CN254" i="5"/>
  <c r="CM254" i="5"/>
  <c r="CL254" i="5"/>
  <c r="CN253" i="5"/>
  <c r="CM253" i="5"/>
  <c r="CL253" i="5"/>
  <c r="CN252" i="5"/>
  <c r="CM252" i="5"/>
  <c r="CL252" i="5"/>
  <c r="CN251" i="5"/>
  <c r="CM251" i="5"/>
  <c r="CL251" i="5"/>
  <c r="CN250" i="5"/>
  <c r="CM250" i="5"/>
  <c r="CL250" i="5"/>
  <c r="CN249" i="5"/>
  <c r="CM249" i="5"/>
  <c r="CL249" i="5"/>
  <c r="CN248" i="5"/>
  <c r="CM248" i="5"/>
  <c r="CL248" i="5"/>
  <c r="CN247" i="5"/>
  <c r="CM247" i="5"/>
  <c r="CL247" i="5"/>
  <c r="CN246" i="5"/>
  <c r="CM246" i="5"/>
  <c r="CL246" i="5"/>
  <c r="CN245" i="5"/>
  <c r="CM245" i="5"/>
  <c r="CL245" i="5"/>
  <c r="CN244" i="5"/>
  <c r="CM244" i="5"/>
  <c r="CL244" i="5"/>
  <c r="CN243" i="5"/>
  <c r="CM243" i="5"/>
  <c r="CL243" i="5"/>
  <c r="CN242" i="5"/>
  <c r="CM242" i="5"/>
  <c r="CL242" i="5"/>
  <c r="CN241" i="5"/>
  <c r="CM241" i="5"/>
  <c r="CL241" i="5"/>
  <c r="CN240" i="5"/>
  <c r="CM240" i="5"/>
  <c r="CL240" i="5"/>
  <c r="CN239" i="5"/>
  <c r="CM239" i="5"/>
  <c r="CL239" i="5"/>
  <c r="CN238" i="5"/>
  <c r="CM238" i="5"/>
  <c r="CL238" i="5"/>
  <c r="CN237" i="5"/>
  <c r="CM237" i="5"/>
  <c r="CL237" i="5"/>
  <c r="CN236" i="5"/>
  <c r="CM236" i="5"/>
  <c r="CL236" i="5"/>
  <c r="CN235" i="5"/>
  <c r="CM235" i="5"/>
  <c r="CL235" i="5"/>
  <c r="CN234" i="5"/>
  <c r="CM234" i="5"/>
  <c r="CL234" i="5"/>
  <c r="CN233" i="5"/>
  <c r="CM233" i="5"/>
  <c r="CL233" i="5"/>
  <c r="CN232" i="5"/>
  <c r="CM232" i="5"/>
  <c r="CL232" i="5"/>
  <c r="CN231" i="5"/>
  <c r="CM231" i="5"/>
  <c r="CL231" i="5"/>
  <c r="CN230" i="5"/>
  <c r="CM230" i="5"/>
  <c r="CL230" i="5"/>
  <c r="CN229" i="5"/>
  <c r="CM229" i="5"/>
  <c r="CL229" i="5"/>
  <c r="CN228" i="5"/>
  <c r="CM228" i="5"/>
  <c r="CL228" i="5"/>
  <c r="CN227" i="5"/>
  <c r="CM227" i="5"/>
  <c r="CL227" i="5"/>
  <c r="CN226" i="5"/>
  <c r="CM226" i="5"/>
  <c r="CL226" i="5"/>
  <c r="CN225" i="5"/>
  <c r="CM225" i="5"/>
  <c r="CL225" i="5"/>
  <c r="CN224" i="5"/>
  <c r="CM224" i="5"/>
  <c r="CL224" i="5"/>
  <c r="CN223" i="5"/>
  <c r="CM223" i="5"/>
  <c r="CL223" i="5"/>
  <c r="CN222" i="5"/>
  <c r="CM222" i="5"/>
  <c r="CL222" i="5"/>
  <c r="CN221" i="5"/>
  <c r="CM221" i="5"/>
  <c r="CL221" i="5"/>
  <c r="CN220" i="5"/>
  <c r="CM220" i="5"/>
  <c r="CL220" i="5"/>
  <c r="CN219" i="5"/>
  <c r="CM219" i="5"/>
  <c r="CL219" i="5"/>
  <c r="CN218" i="5"/>
  <c r="CM218" i="5"/>
  <c r="CL218" i="5"/>
  <c r="CN217" i="5"/>
  <c r="CM217" i="5"/>
  <c r="CL217" i="5"/>
  <c r="CN216" i="5"/>
  <c r="CM216" i="5"/>
  <c r="CL216" i="5"/>
  <c r="CN215" i="5"/>
  <c r="CM215" i="5"/>
  <c r="CL215" i="5"/>
  <c r="CN214" i="5"/>
  <c r="CM214" i="5"/>
  <c r="CL214" i="5"/>
  <c r="CN213" i="5"/>
  <c r="CM213" i="5"/>
  <c r="CL213" i="5"/>
  <c r="CN212" i="5"/>
  <c r="CM212" i="5"/>
  <c r="CL212" i="5"/>
  <c r="CN211" i="5"/>
  <c r="CM211" i="5"/>
  <c r="CL211" i="5"/>
  <c r="CN210" i="5"/>
  <c r="CM210" i="5"/>
  <c r="CL210" i="5"/>
  <c r="CN209" i="5"/>
  <c r="CM209" i="5"/>
  <c r="CL209" i="5"/>
  <c r="CN208" i="5"/>
  <c r="CM208" i="5"/>
  <c r="CL208" i="5"/>
  <c r="CN207" i="5"/>
  <c r="CM207" i="5"/>
  <c r="CL207" i="5"/>
  <c r="CN206" i="5"/>
  <c r="CM206" i="5"/>
  <c r="CL206" i="5"/>
  <c r="CN205" i="5"/>
  <c r="CM205" i="5"/>
  <c r="CL205" i="5"/>
  <c r="CN204" i="5"/>
  <c r="CM204" i="5"/>
  <c r="CL204" i="5"/>
  <c r="CN203" i="5"/>
  <c r="CM203" i="5"/>
  <c r="CL203" i="5"/>
  <c r="CN202" i="5"/>
  <c r="CM202" i="5"/>
  <c r="CL202" i="5"/>
  <c r="CN201" i="5"/>
  <c r="CM201" i="5"/>
  <c r="CL201" i="5"/>
  <c r="CN200" i="5"/>
  <c r="CM200" i="5"/>
  <c r="CL200" i="5"/>
  <c r="CN199" i="5"/>
  <c r="CM199" i="5"/>
  <c r="CL199" i="5"/>
  <c r="CN198" i="5"/>
  <c r="CM198" i="5"/>
  <c r="CL198" i="5"/>
  <c r="CN197" i="5"/>
  <c r="CM197" i="5"/>
  <c r="CL197" i="5"/>
  <c r="CN196" i="5"/>
  <c r="CM196" i="5"/>
  <c r="CL196" i="5"/>
  <c r="CN195" i="5"/>
  <c r="CM195" i="5"/>
  <c r="CL195" i="5"/>
  <c r="CN194" i="5"/>
  <c r="CM194" i="5"/>
  <c r="CL194" i="5"/>
  <c r="CN193" i="5"/>
  <c r="CM193" i="5"/>
  <c r="CL193" i="5"/>
  <c r="CN192" i="5"/>
  <c r="CM192" i="5"/>
  <c r="CL192" i="5"/>
  <c r="CN191" i="5"/>
  <c r="CM191" i="5"/>
  <c r="CL191" i="5"/>
  <c r="CN190" i="5"/>
  <c r="CM190" i="5"/>
  <c r="CL190" i="5"/>
  <c r="CN189" i="5"/>
  <c r="CM189" i="5"/>
  <c r="CL189" i="5"/>
  <c r="CN188" i="5"/>
  <c r="CM188" i="5"/>
  <c r="CL188" i="5"/>
  <c r="CN187" i="5"/>
  <c r="CM187" i="5"/>
  <c r="CL187" i="5"/>
  <c r="CN186" i="5"/>
  <c r="CM186" i="5"/>
  <c r="CL186" i="5"/>
  <c r="CN185" i="5"/>
  <c r="CM185" i="5"/>
  <c r="CL185" i="5"/>
  <c r="CN184" i="5"/>
  <c r="CM184" i="5"/>
  <c r="CL184" i="5"/>
  <c r="CN183" i="5"/>
  <c r="CM183" i="5"/>
  <c r="CL183" i="5"/>
  <c r="CN182" i="5"/>
  <c r="CM182" i="5"/>
  <c r="CL182" i="5"/>
  <c r="CN181" i="5"/>
  <c r="CM181" i="5"/>
  <c r="CL181" i="5"/>
  <c r="CN180" i="5"/>
  <c r="CM180" i="5"/>
  <c r="CL180" i="5"/>
  <c r="CN179" i="5"/>
  <c r="CM179" i="5"/>
  <c r="CL179" i="5"/>
  <c r="CN178" i="5"/>
  <c r="CM178" i="5"/>
  <c r="CL178" i="5"/>
  <c r="CN177" i="5"/>
  <c r="CM177" i="5"/>
  <c r="CL177" i="5"/>
  <c r="CN176" i="5"/>
  <c r="CM176" i="5"/>
  <c r="CL176" i="5"/>
  <c r="CN175" i="5"/>
  <c r="CM175" i="5"/>
  <c r="CL175" i="5"/>
  <c r="CN174" i="5"/>
  <c r="CM174" i="5"/>
  <c r="CL174" i="5"/>
  <c r="CN173" i="5"/>
  <c r="CM173" i="5"/>
  <c r="CL173" i="5"/>
  <c r="CN172" i="5"/>
  <c r="CM172" i="5"/>
  <c r="CL172" i="5"/>
  <c r="CN171" i="5"/>
  <c r="CM171" i="5"/>
  <c r="CL171" i="5"/>
  <c r="CN170" i="5"/>
  <c r="CM170" i="5"/>
  <c r="CL170" i="5"/>
  <c r="CN169" i="5"/>
  <c r="CM169" i="5"/>
  <c r="CL169" i="5"/>
  <c r="CN168" i="5"/>
  <c r="CM168" i="5"/>
  <c r="CL168" i="5"/>
  <c r="CN167" i="5"/>
  <c r="CM167" i="5"/>
  <c r="CL167" i="5"/>
  <c r="CN166" i="5"/>
  <c r="CM166" i="5"/>
  <c r="CL166" i="5"/>
  <c r="CN165" i="5"/>
  <c r="CM165" i="5"/>
  <c r="CL165" i="5"/>
  <c r="CN164" i="5"/>
  <c r="CM164" i="5"/>
  <c r="CL164" i="5"/>
  <c r="CN163" i="5"/>
  <c r="CM163" i="5"/>
  <c r="CL163" i="5"/>
  <c r="CN162" i="5"/>
  <c r="CM162" i="5"/>
  <c r="CL162" i="5"/>
  <c r="CN161" i="5"/>
  <c r="CM161" i="5"/>
  <c r="CL161" i="5"/>
  <c r="CN160" i="5"/>
  <c r="CM160" i="5"/>
  <c r="CL160" i="5"/>
  <c r="CN159" i="5"/>
  <c r="CM159" i="5"/>
  <c r="CL159" i="5"/>
  <c r="CN158" i="5"/>
  <c r="CM158" i="5"/>
  <c r="CL158" i="5"/>
  <c r="CN157" i="5"/>
  <c r="CM157" i="5"/>
  <c r="CL157" i="5"/>
  <c r="CN156" i="5"/>
  <c r="CM156" i="5"/>
  <c r="CL156" i="5"/>
  <c r="CN155" i="5"/>
  <c r="CM155" i="5"/>
  <c r="CL155" i="5"/>
  <c r="CN154" i="5"/>
  <c r="CM154" i="5"/>
  <c r="CL154" i="5"/>
  <c r="CN153" i="5"/>
  <c r="CM153" i="5"/>
  <c r="CL153" i="5"/>
  <c r="CN152" i="5"/>
  <c r="CM152" i="5"/>
  <c r="CL152" i="5"/>
  <c r="CN151" i="5"/>
  <c r="CM151" i="5"/>
  <c r="CL151" i="5"/>
  <c r="CN150" i="5"/>
  <c r="CM150" i="5"/>
  <c r="CL150" i="5"/>
  <c r="CN149" i="5"/>
  <c r="CM149" i="5"/>
  <c r="CL149" i="5"/>
  <c r="CN148" i="5"/>
  <c r="CM148" i="5"/>
  <c r="CL148" i="5"/>
  <c r="CN147" i="5"/>
  <c r="CM147" i="5"/>
  <c r="CL147" i="5"/>
  <c r="CN146" i="5"/>
  <c r="CM146" i="5"/>
  <c r="CL146" i="5"/>
  <c r="CN145" i="5"/>
  <c r="CM145" i="5"/>
  <c r="CL145" i="5"/>
  <c r="CN144" i="5"/>
  <c r="CM144" i="5"/>
  <c r="CL144" i="5"/>
  <c r="CN143" i="5"/>
  <c r="CM143" i="5"/>
  <c r="CL143" i="5"/>
  <c r="CN142" i="5"/>
  <c r="CM142" i="5"/>
  <c r="CL142" i="5"/>
  <c r="CN141" i="5"/>
  <c r="CM141" i="5"/>
  <c r="CL141" i="5"/>
  <c r="CN140" i="5"/>
  <c r="CM140" i="5"/>
  <c r="CL140" i="5"/>
  <c r="CN139" i="5"/>
  <c r="CM139" i="5"/>
  <c r="CL139" i="5"/>
  <c r="CN138" i="5"/>
  <c r="CM138" i="5"/>
  <c r="CL138" i="5"/>
  <c r="CN137" i="5"/>
  <c r="CM137" i="5"/>
  <c r="CL137" i="5"/>
  <c r="CN136" i="5"/>
  <c r="CM136" i="5"/>
  <c r="CL136" i="5"/>
  <c r="CN135" i="5"/>
  <c r="CM135" i="5"/>
  <c r="CL135" i="5"/>
  <c r="CN134" i="5"/>
  <c r="CM134" i="5"/>
  <c r="CL134" i="5"/>
  <c r="CN133" i="5"/>
  <c r="CM133" i="5"/>
  <c r="CL133" i="5"/>
  <c r="CN132" i="5"/>
  <c r="CM132" i="5"/>
  <c r="CL132" i="5"/>
  <c r="CN131" i="5"/>
  <c r="CM131" i="5"/>
  <c r="CL131" i="5"/>
  <c r="CN130" i="5"/>
  <c r="CM130" i="5"/>
  <c r="CL130" i="5"/>
  <c r="CN129" i="5"/>
  <c r="CM129" i="5"/>
  <c r="CL129" i="5"/>
  <c r="CN128" i="5"/>
  <c r="CM128" i="5"/>
  <c r="CL128" i="5"/>
  <c r="CN127" i="5"/>
  <c r="CM127" i="5"/>
  <c r="CL127" i="5"/>
  <c r="CN126" i="5"/>
  <c r="CM126" i="5"/>
  <c r="CL126" i="5"/>
  <c r="CN125" i="5"/>
  <c r="CM125" i="5"/>
  <c r="CL125" i="5"/>
  <c r="CN124" i="5"/>
  <c r="CM124" i="5"/>
  <c r="CL124" i="5"/>
  <c r="CN123" i="5"/>
  <c r="CM123" i="5"/>
  <c r="CL123" i="5"/>
  <c r="CN122" i="5"/>
  <c r="CM122" i="5"/>
  <c r="CL122" i="5"/>
  <c r="CN121" i="5"/>
  <c r="CM121" i="5"/>
  <c r="CL121" i="5"/>
  <c r="CN120" i="5"/>
  <c r="CM120" i="5"/>
  <c r="CL120" i="5"/>
  <c r="CN119" i="5"/>
  <c r="CM119" i="5"/>
  <c r="CL119" i="5"/>
  <c r="CN118" i="5"/>
  <c r="CM118" i="5"/>
  <c r="CL118" i="5"/>
  <c r="CN117" i="5"/>
  <c r="CM117" i="5"/>
  <c r="CL117" i="5"/>
  <c r="CN116" i="5"/>
  <c r="CM116" i="5"/>
  <c r="CL116" i="5"/>
  <c r="CN115" i="5"/>
  <c r="CM115" i="5"/>
  <c r="CL115" i="5"/>
  <c r="CN114" i="5"/>
  <c r="CM114" i="5"/>
  <c r="CL114" i="5"/>
  <c r="CN113" i="5"/>
  <c r="CM113" i="5"/>
  <c r="CL113" i="5"/>
  <c r="CN112" i="5"/>
  <c r="CM112" i="5"/>
  <c r="CL112" i="5"/>
  <c r="CL111" i="5"/>
  <c r="CN110" i="5"/>
  <c r="CM110" i="5"/>
  <c r="CL110" i="5"/>
  <c r="CM109" i="5"/>
  <c r="CL109" i="5"/>
  <c r="CN108" i="5"/>
  <c r="CM108" i="5"/>
  <c r="CL108" i="5"/>
  <c r="CN107" i="5"/>
  <c r="CM107" i="5"/>
  <c r="CN106" i="5"/>
  <c r="CM106" i="5"/>
  <c r="CL106" i="5"/>
  <c r="CN105" i="5"/>
  <c r="CM105" i="5"/>
  <c r="CL105" i="5"/>
  <c r="CN104" i="5"/>
  <c r="CM104" i="5"/>
  <c r="CL104" i="5"/>
  <c r="CN103" i="5"/>
  <c r="CM103" i="5"/>
  <c r="CL103" i="5"/>
  <c r="CN102" i="5"/>
  <c r="CM102" i="5"/>
  <c r="CL102" i="5"/>
  <c r="CN101" i="5"/>
  <c r="CM101" i="5"/>
  <c r="CL101" i="5"/>
  <c r="CN100" i="5"/>
  <c r="CM100" i="5"/>
  <c r="CL100" i="5"/>
  <c r="CN99" i="5"/>
  <c r="CM99" i="5"/>
  <c r="CL99" i="5"/>
  <c r="CN98" i="5"/>
  <c r="CM98" i="5"/>
  <c r="CL98" i="5"/>
  <c r="CN97" i="5"/>
  <c r="CM97" i="5"/>
  <c r="CL97" i="5"/>
  <c r="CN96" i="5"/>
  <c r="CM96" i="5"/>
  <c r="CL96" i="5"/>
  <c r="CN95" i="5"/>
  <c r="CM95" i="5"/>
  <c r="CL95" i="5"/>
  <c r="CN94" i="5"/>
  <c r="CM94" i="5"/>
  <c r="CL94" i="5"/>
  <c r="CN93" i="5"/>
  <c r="CM93" i="5"/>
  <c r="CL93" i="5"/>
  <c r="CN92" i="5"/>
  <c r="CM92" i="5"/>
  <c r="CL92" i="5"/>
  <c r="CN91" i="5"/>
  <c r="CM91" i="5"/>
  <c r="CL91" i="5"/>
  <c r="CN90" i="5"/>
  <c r="CM90" i="5"/>
  <c r="CL90" i="5"/>
  <c r="CN89" i="5"/>
  <c r="CM89" i="5"/>
  <c r="CL89" i="5"/>
  <c r="CN88" i="5"/>
  <c r="CM88" i="5"/>
  <c r="CL88" i="5"/>
  <c r="CN87" i="5"/>
  <c r="CM87" i="5"/>
  <c r="CL87" i="5"/>
  <c r="CN86" i="5"/>
  <c r="CM86" i="5"/>
  <c r="CL86" i="5"/>
  <c r="CN85" i="5"/>
  <c r="CM85" i="5"/>
  <c r="CL85" i="5"/>
  <c r="CN84" i="5"/>
  <c r="CM84" i="5"/>
  <c r="CL84" i="5"/>
  <c r="CN83" i="5"/>
  <c r="CM83" i="5"/>
  <c r="CL83" i="5"/>
  <c r="CN82" i="5"/>
  <c r="CM82" i="5"/>
  <c r="CL82" i="5"/>
  <c r="CN81" i="5"/>
  <c r="CM81" i="5"/>
  <c r="CL81" i="5"/>
  <c r="CN80" i="5"/>
  <c r="CM80" i="5"/>
  <c r="CL80" i="5"/>
  <c r="CN79" i="5"/>
  <c r="CM79" i="5"/>
  <c r="CL79" i="5"/>
  <c r="CN78" i="5"/>
  <c r="CM78" i="5"/>
  <c r="CL78" i="5"/>
  <c r="CN77" i="5"/>
  <c r="CM77" i="5"/>
  <c r="CL77" i="5"/>
  <c r="CN76" i="5"/>
  <c r="CM76" i="5"/>
  <c r="CL76" i="5"/>
  <c r="CN75" i="5"/>
  <c r="CM75" i="5"/>
  <c r="CL75" i="5"/>
  <c r="CN74" i="5"/>
  <c r="CM74" i="5"/>
  <c r="CL74" i="5"/>
  <c r="CN73" i="5"/>
  <c r="CM73" i="5"/>
  <c r="CL73" i="5"/>
  <c r="CN72" i="5"/>
  <c r="CM72" i="5"/>
  <c r="CL72" i="5"/>
  <c r="CN71" i="5"/>
  <c r="CM71" i="5"/>
  <c r="CL71" i="5"/>
  <c r="CN70" i="5"/>
  <c r="CM70" i="5"/>
  <c r="CL70" i="5"/>
  <c r="CN69" i="5"/>
  <c r="CM69" i="5"/>
  <c r="CL69" i="5"/>
  <c r="CN68" i="5"/>
  <c r="CM68" i="5"/>
  <c r="CL68" i="5"/>
  <c r="CN67" i="5"/>
  <c r="CM67" i="5"/>
  <c r="CL67" i="5"/>
  <c r="CN66" i="5"/>
  <c r="CM66" i="5"/>
  <c r="CL66" i="5"/>
  <c r="CN65" i="5"/>
  <c r="CM65" i="5"/>
  <c r="CL65" i="5"/>
  <c r="CN64" i="5"/>
  <c r="CM64" i="5"/>
  <c r="CL64" i="5"/>
  <c r="CN63" i="5"/>
  <c r="CM63" i="5"/>
  <c r="CL63" i="5"/>
  <c r="CN62" i="5"/>
  <c r="CM62" i="5"/>
  <c r="CL62" i="5"/>
  <c r="CN61" i="5"/>
  <c r="CM61" i="5"/>
  <c r="CL61" i="5"/>
  <c r="CN60" i="5"/>
  <c r="CM60" i="5"/>
  <c r="CL60" i="5"/>
  <c r="CN59" i="5"/>
  <c r="CM59" i="5"/>
  <c r="CL59" i="5"/>
  <c r="CN58" i="5"/>
  <c r="CM58" i="5"/>
  <c r="CL58" i="5"/>
  <c r="CN57" i="5"/>
  <c r="CM57" i="5"/>
  <c r="CL57" i="5"/>
  <c r="CN56" i="5"/>
  <c r="CM56" i="5"/>
  <c r="CL56" i="5"/>
  <c r="CN55" i="5"/>
  <c r="CM55" i="5"/>
  <c r="CL55" i="5"/>
  <c r="CN54" i="5"/>
  <c r="CM54" i="5"/>
  <c r="CL54" i="5"/>
  <c r="CN53" i="5"/>
  <c r="CM53" i="5"/>
  <c r="CL53" i="5"/>
  <c r="CN52" i="5"/>
  <c r="CM52" i="5"/>
  <c r="CL52" i="5"/>
  <c r="CN51" i="5"/>
  <c r="CM51" i="5"/>
  <c r="CL51" i="5"/>
  <c r="CN50" i="5"/>
  <c r="CM50" i="5"/>
  <c r="CL50" i="5"/>
  <c r="CN49" i="5"/>
  <c r="CM49" i="5"/>
  <c r="CL49" i="5"/>
  <c r="CN48" i="5"/>
  <c r="CM48" i="5"/>
  <c r="CL48" i="5"/>
  <c r="CN47" i="5"/>
  <c r="CM47" i="5"/>
  <c r="CL47" i="5"/>
  <c r="CN46" i="5"/>
  <c r="CM46" i="5"/>
  <c r="CL46" i="5"/>
  <c r="CN45" i="5"/>
  <c r="CM45" i="5"/>
  <c r="CL45" i="5"/>
  <c r="CN44" i="5"/>
  <c r="CM44" i="5"/>
  <c r="CL44" i="5"/>
  <c r="CN43" i="5"/>
  <c r="CM43" i="5"/>
  <c r="CL43" i="5"/>
  <c r="CN42" i="5"/>
  <c r="CM42" i="5"/>
  <c r="CL42" i="5"/>
  <c r="CN41" i="5"/>
  <c r="CM41" i="5"/>
  <c r="CL41" i="5"/>
  <c r="CN40" i="5"/>
  <c r="CM40" i="5"/>
  <c r="CL40" i="5"/>
  <c r="CN39" i="5"/>
  <c r="CM39" i="5"/>
  <c r="CL39" i="5"/>
  <c r="CN38" i="5"/>
  <c r="CM38" i="5"/>
  <c r="CL38" i="5"/>
  <c r="CN37" i="5"/>
  <c r="CM37" i="5"/>
  <c r="CL37" i="5"/>
  <c r="CN36" i="5"/>
  <c r="CM36" i="5"/>
  <c r="CL36" i="5"/>
  <c r="CN35" i="5"/>
  <c r="CM35" i="5"/>
  <c r="CL35" i="5"/>
  <c r="CN34" i="5"/>
  <c r="CM34" i="5"/>
  <c r="CL34" i="5"/>
  <c r="CN33" i="5"/>
  <c r="CM33" i="5"/>
  <c r="CL33" i="5"/>
  <c r="CN32" i="5"/>
  <c r="CM32" i="5"/>
  <c r="CL32" i="5"/>
  <c r="CN31" i="5"/>
  <c r="CM31" i="5"/>
  <c r="CL31" i="5"/>
  <c r="CN30" i="5"/>
  <c r="CM30" i="5"/>
  <c r="CL30" i="5"/>
  <c r="CN29" i="5"/>
  <c r="CM29" i="5"/>
  <c r="CL29" i="5"/>
  <c r="CN28" i="5"/>
  <c r="CM28" i="5"/>
  <c r="CL28" i="5"/>
  <c r="CN27" i="5"/>
  <c r="CM27" i="5"/>
  <c r="CL27" i="5"/>
  <c r="CN26" i="5"/>
  <c r="CM26" i="5"/>
  <c r="CL26" i="5"/>
  <c r="CN25" i="5"/>
  <c r="CM25" i="5"/>
  <c r="CL25" i="5"/>
  <c r="CN24" i="5"/>
  <c r="CM24" i="5"/>
  <c r="CL24" i="5"/>
  <c r="CN23" i="5"/>
  <c r="CM23" i="5"/>
  <c r="CL23" i="5"/>
  <c r="CN22" i="5"/>
  <c r="CM22" i="5"/>
  <c r="CL22" i="5"/>
  <c r="CN21" i="5"/>
  <c r="CM21" i="5"/>
  <c r="CL21" i="5"/>
  <c r="CN20" i="5"/>
  <c r="CM20" i="5"/>
  <c r="CL20" i="5"/>
  <c r="CN19" i="5"/>
  <c r="CM19" i="5"/>
  <c r="CL19" i="5"/>
  <c r="CN18" i="5"/>
  <c r="CM18" i="5"/>
  <c r="CL18" i="5"/>
  <c r="CN17" i="5"/>
  <c r="CM17" i="5"/>
  <c r="CL17" i="5"/>
  <c r="CN16" i="5"/>
  <c r="CM16" i="5"/>
  <c r="CL16" i="5"/>
  <c r="CN15" i="5"/>
  <c r="CM15" i="5"/>
  <c r="CL15" i="5"/>
  <c r="CN14" i="5"/>
  <c r="CM14" i="5"/>
  <c r="CL14" i="5"/>
  <c r="CN13" i="5"/>
  <c r="CM13" i="5"/>
  <c r="CL13" i="5"/>
  <c r="CN12" i="5"/>
  <c r="CM12" i="5"/>
  <c r="CL12" i="5"/>
  <c r="CN11" i="5"/>
  <c r="CM11" i="5"/>
  <c r="CL11" i="5"/>
  <c r="CN10" i="5"/>
  <c r="CM10" i="5"/>
  <c r="CL10" i="5"/>
  <c r="CN9" i="5"/>
  <c r="CM9" i="5"/>
  <c r="CL9" i="5"/>
  <c r="CN8" i="5"/>
  <c r="CM8" i="5"/>
  <c r="CL8" i="5"/>
  <c r="CN7" i="5"/>
  <c r="CM7" i="5"/>
  <c r="CL7" i="5"/>
  <c r="CN6" i="5"/>
  <c r="CM6" i="5"/>
  <c r="CL6" i="5"/>
  <c r="CN5" i="5"/>
  <c r="CM5" i="5"/>
  <c r="CL5" i="5"/>
  <c r="AF249" i="1"/>
  <c r="AF244" i="1"/>
  <c r="AF235" i="1"/>
  <c r="AF229" i="1"/>
  <c r="AF228" i="1"/>
  <c r="AF227" i="1"/>
  <c r="AF226" i="1"/>
  <c r="AF225" i="1"/>
  <c r="AF224" i="1"/>
  <c r="AF223" i="1"/>
  <c r="AF222" i="1"/>
  <c r="AF221" i="1"/>
  <c r="AF220" i="1"/>
  <c r="AF219" i="1"/>
  <c r="AF218" i="1"/>
  <c r="AF217" i="1"/>
  <c r="AF216" i="1"/>
  <c r="AF215" i="1"/>
  <c r="AF214" i="1"/>
  <c r="AF213" i="1"/>
  <c r="AF212" i="1"/>
  <c r="AF211" i="1"/>
  <c r="AF210" i="1"/>
  <c r="AF209" i="1"/>
  <c r="AF208" i="1"/>
  <c r="AF207" i="1"/>
  <c r="AF206" i="1"/>
  <c r="AF205" i="1"/>
  <c r="AF204" i="1"/>
  <c r="AF203" i="1"/>
  <c r="AF202" i="1"/>
  <c r="AF201" i="1"/>
  <c r="AF200" i="1"/>
  <c r="AF199" i="1"/>
  <c r="AF198" i="1"/>
  <c r="AF197" i="1"/>
  <c r="AF196" i="1"/>
  <c r="AF195" i="1"/>
  <c r="AF194" i="1"/>
  <c r="AF193" i="1"/>
  <c r="AF192" i="1"/>
  <c r="AF191" i="1"/>
  <c r="AF190" i="1"/>
  <c r="AF189" i="1"/>
  <c r="AF188" i="1"/>
  <c r="AF187" i="1"/>
  <c r="AF186" i="1"/>
  <c r="AF185" i="1"/>
  <c r="AF184" i="1"/>
  <c r="AF183" i="1"/>
  <c r="AF182" i="1"/>
  <c r="AF181" i="1"/>
  <c r="AF180" i="1"/>
  <c r="AF179" i="1"/>
  <c r="AF178" i="1"/>
  <c r="AF177" i="1"/>
  <c r="AF176" i="1"/>
  <c r="AF175" i="1"/>
  <c r="AF174" i="1"/>
  <c r="AF173" i="1"/>
  <c r="AF172" i="1"/>
  <c r="AF171" i="1"/>
  <c r="AF170" i="1"/>
  <c r="AF169" i="1"/>
  <c r="AF168" i="1"/>
  <c r="AF167" i="1"/>
  <c r="AF166" i="1"/>
  <c r="AF165" i="1"/>
  <c r="AF164" i="1"/>
  <c r="AF163" i="1"/>
  <c r="AF162" i="1"/>
  <c r="AF161" i="1"/>
  <c r="AF160" i="1"/>
  <c r="AF159" i="1"/>
  <c r="AF158" i="1"/>
  <c r="AF157" i="1"/>
  <c r="AF156" i="1"/>
  <c r="AF155" i="1"/>
  <c r="AF154" i="1"/>
  <c r="AF153" i="1"/>
  <c r="AF152" i="1"/>
  <c r="AF151" i="1"/>
  <c r="AF150" i="1"/>
  <c r="AF149" i="1"/>
  <c r="AF148" i="1"/>
  <c r="AF147" i="1"/>
  <c r="AF146" i="1"/>
  <c r="AF145" i="1"/>
  <c r="AF144" i="1"/>
  <c r="AF143" i="1"/>
  <c r="AF142" i="1"/>
  <c r="AF141" i="1"/>
  <c r="AF140" i="1"/>
  <c r="AF139" i="1"/>
  <c r="AF138" i="1"/>
  <c r="AF137" i="1"/>
  <c r="AF136" i="1"/>
  <c r="AF135" i="1"/>
  <c r="AF134" i="1"/>
  <c r="AF133" i="1"/>
  <c r="AF132" i="1"/>
  <c r="AF131" i="1"/>
  <c r="AF130" i="1"/>
  <c r="AF129" i="1"/>
  <c r="AF128" i="1"/>
  <c r="AF127" i="1"/>
  <c r="AF126" i="1"/>
  <c r="AF125" i="1"/>
  <c r="AF124" i="1"/>
  <c r="AF123" i="1"/>
  <c r="AF122" i="1"/>
  <c r="AF121" i="1"/>
  <c r="AF120" i="1"/>
  <c r="AF119" i="1"/>
  <c r="AF118" i="1"/>
  <c r="AF117" i="1"/>
  <c r="AF116" i="1"/>
  <c r="AF115" i="1"/>
  <c r="AF114" i="1"/>
  <c r="AF113" i="1"/>
  <c r="AF112" i="1"/>
  <c r="AF111" i="1"/>
  <c r="AF110" i="1"/>
  <c r="AF109" i="1"/>
  <c r="AF108" i="1"/>
  <c r="AF106" i="1"/>
  <c r="AF105" i="1"/>
  <c r="AF104" i="1"/>
  <c r="AF103" i="1"/>
  <c r="AF102" i="1"/>
  <c r="AF101" i="1"/>
  <c r="AF100" i="1"/>
  <c r="AF99" i="1"/>
  <c r="AF98" i="1"/>
  <c r="AF97" i="1"/>
  <c r="AF96" i="1"/>
  <c r="AF95" i="1"/>
  <c r="AF94" i="1"/>
  <c r="AF93" i="1"/>
  <c r="AF92" i="1"/>
  <c r="AF91" i="1"/>
  <c r="AF90" i="1"/>
  <c r="AF89" i="1"/>
  <c r="AF88" i="1"/>
  <c r="AF87" i="1"/>
  <c r="AF86" i="1"/>
  <c r="AF85" i="1"/>
  <c r="AF84" i="1"/>
  <c r="AF83" i="1"/>
  <c r="AF82" i="1"/>
  <c r="AF81" i="1"/>
  <c r="AF80" i="1"/>
  <c r="AF79" i="1"/>
  <c r="AF78" i="1"/>
  <c r="AF77" i="1"/>
  <c r="AF76" i="1"/>
  <c r="AF75" i="1"/>
  <c r="AF74" i="1"/>
  <c r="AF73" i="1"/>
  <c r="AF72" i="1"/>
  <c r="AF71" i="1"/>
  <c r="AF70" i="1"/>
  <c r="AF69" i="1"/>
  <c r="AF68" i="1"/>
  <c r="AF67" i="1"/>
  <c r="AF66" i="1"/>
  <c r="AF65" i="1"/>
  <c r="AF64" i="1"/>
  <c r="AF63" i="1"/>
  <c r="AF62" i="1"/>
  <c r="AF61" i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215" i="3"/>
  <c r="AF214" i="3"/>
  <c r="AF213" i="3"/>
  <c r="AF210" i="3"/>
  <c r="AF209" i="3"/>
  <c r="AF208" i="3"/>
  <c r="AF205" i="3"/>
  <c r="AF204" i="3"/>
  <c r="AF203" i="3"/>
  <c r="AF202" i="3"/>
  <c r="AF199" i="3"/>
  <c r="AF198" i="3"/>
  <c r="AF195" i="3"/>
  <c r="AF194" i="3"/>
  <c r="AF193" i="3"/>
  <c r="AF190" i="3"/>
  <c r="AF189" i="3"/>
  <c r="AF186" i="3"/>
  <c r="AF185" i="3"/>
  <c r="AF184" i="3"/>
  <c r="AF171" i="3"/>
  <c r="AF170" i="3"/>
  <c r="AF169" i="3"/>
  <c r="AF168" i="3"/>
  <c r="AF167" i="3"/>
  <c r="AF166" i="3"/>
  <c r="AF165" i="3"/>
  <c r="AF164" i="3"/>
  <c r="AF163" i="3"/>
  <c r="AF162" i="3"/>
  <c r="AF161" i="3"/>
  <c r="AF160" i="3"/>
  <c r="AF159" i="3"/>
  <c r="AF158" i="3"/>
  <c r="AF157" i="3"/>
  <c r="AF156" i="3"/>
  <c r="AF155" i="3"/>
  <c r="AF154" i="3"/>
  <c r="AF153" i="3"/>
  <c r="AF152" i="3"/>
  <c r="AF151" i="3"/>
  <c r="AF150" i="3"/>
  <c r="AF149" i="3"/>
  <c r="AF148" i="3"/>
  <c r="AF147" i="3"/>
  <c r="AF146" i="3"/>
  <c r="AF145" i="3"/>
  <c r="AF144" i="3"/>
  <c r="AF143" i="3"/>
  <c r="AF142" i="3"/>
  <c r="AF141" i="3"/>
  <c r="AF140" i="3"/>
  <c r="AF139" i="3"/>
  <c r="AF138" i="3"/>
  <c r="AF137" i="3"/>
  <c r="AF136" i="3"/>
  <c r="AF135" i="3"/>
  <c r="AF134" i="3"/>
  <c r="AF133" i="3"/>
  <c r="AF132" i="3"/>
  <c r="AF131" i="3"/>
  <c r="AF130" i="3"/>
  <c r="AF129" i="3"/>
  <c r="AF128" i="3"/>
  <c r="AF127" i="3"/>
  <c r="AF126" i="3"/>
  <c r="AF125" i="3"/>
  <c r="AF124" i="3"/>
  <c r="AF123" i="3"/>
  <c r="AF122" i="3"/>
  <c r="AF121" i="3"/>
  <c r="AF120" i="3"/>
  <c r="AF119" i="3"/>
  <c r="AF118" i="3"/>
  <c r="AF117" i="3"/>
  <c r="AF116" i="3"/>
  <c r="AF115" i="3"/>
  <c r="AF114" i="3"/>
  <c r="AF113" i="3"/>
  <c r="AF112" i="3"/>
  <c r="AF111" i="3"/>
  <c r="AF110" i="3"/>
  <c r="AF109" i="3"/>
  <c r="AF108" i="3"/>
  <c r="AF107" i="3"/>
  <c r="AF106" i="3"/>
  <c r="AF105" i="3"/>
  <c r="AF104" i="3"/>
  <c r="AF103" i="3"/>
  <c r="AF102" i="3"/>
  <c r="AF101" i="3"/>
  <c r="AF100" i="3"/>
  <c r="AF99" i="3"/>
  <c r="AF98" i="3"/>
  <c r="AF97" i="3"/>
  <c r="AF96" i="3"/>
  <c r="AF95" i="3"/>
  <c r="AF94" i="3"/>
  <c r="AF93" i="3"/>
  <c r="AF92" i="3"/>
  <c r="AF91" i="3"/>
  <c r="AF90" i="3"/>
  <c r="AF89" i="3"/>
  <c r="AF88" i="3"/>
  <c r="AF87" i="3"/>
  <c r="AF86" i="3"/>
  <c r="AF85" i="3"/>
  <c r="AF84" i="3"/>
  <c r="AF83" i="3"/>
  <c r="AF82" i="3"/>
  <c r="AF81" i="3"/>
  <c r="AF80" i="3"/>
  <c r="AF79" i="3"/>
  <c r="AF78" i="3"/>
  <c r="AF77" i="3"/>
  <c r="AF76" i="3"/>
  <c r="AF75" i="3"/>
  <c r="AF74" i="3"/>
  <c r="AF73" i="3"/>
  <c r="AF72" i="3"/>
  <c r="AF71" i="3"/>
  <c r="AF70" i="3"/>
  <c r="AF69" i="3"/>
  <c r="AF68" i="3"/>
  <c r="AF67" i="3"/>
  <c r="AF66" i="3"/>
  <c r="AF65" i="3"/>
  <c r="AF64" i="3"/>
  <c r="AF63" i="3"/>
  <c r="AF62" i="3"/>
  <c r="AF61" i="3"/>
  <c r="AF60" i="3"/>
  <c r="AF59" i="3"/>
  <c r="AF58" i="3"/>
  <c r="AF57" i="3"/>
  <c r="AF56" i="3"/>
  <c r="AF55" i="3"/>
  <c r="AF54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AF28" i="3"/>
  <c r="AF27" i="3"/>
  <c r="AF26" i="3"/>
  <c r="AF25" i="3"/>
  <c r="AF24" i="3"/>
  <c r="AF23" i="3"/>
  <c r="AF22" i="3"/>
  <c r="AF21" i="3"/>
  <c r="AF20" i="3"/>
  <c r="AF19" i="3"/>
  <c r="AF18" i="3"/>
  <c r="AF17" i="3"/>
  <c r="AF16" i="3"/>
  <c r="AF15" i="3"/>
  <c r="AF14" i="3"/>
  <c r="AF13" i="3"/>
  <c r="AF12" i="3"/>
  <c r="AF11" i="3"/>
  <c r="AF10" i="3"/>
  <c r="AF9" i="3"/>
  <c r="AF8" i="3"/>
  <c r="AF7" i="3"/>
  <c r="AF6" i="3"/>
  <c r="AF5" i="3"/>
  <c r="AF4" i="3"/>
  <c r="AF3" i="3"/>
  <c r="AF229" i="2"/>
  <c r="AF228" i="2"/>
  <c r="AF227" i="2"/>
  <c r="AF226" i="2"/>
  <c r="AF224" i="2"/>
  <c r="AF223" i="2"/>
  <c r="AF222" i="2"/>
  <c r="AF221" i="2"/>
  <c r="AF219" i="2"/>
  <c r="AF218" i="2"/>
  <c r="AF217" i="2"/>
  <c r="AF214" i="2"/>
  <c r="AF213" i="2"/>
  <c r="AF212" i="2"/>
  <c r="AF209" i="2"/>
  <c r="AF208" i="2"/>
  <c r="AF207" i="2"/>
  <c r="AF206" i="2"/>
  <c r="AF203" i="2"/>
  <c r="AF202" i="2"/>
  <c r="AF199" i="2"/>
  <c r="AF198" i="2"/>
  <c r="AF197" i="2"/>
  <c r="AF194" i="2"/>
  <c r="AF193" i="2"/>
  <c r="AF190" i="2"/>
  <c r="AF189" i="2"/>
  <c r="AF188" i="2"/>
  <c r="AF184" i="2"/>
  <c r="AF171" i="2"/>
  <c r="AF170" i="2"/>
  <c r="AF169" i="2"/>
  <c r="AF168" i="2"/>
  <c r="AF167" i="2"/>
  <c r="AF166" i="2"/>
  <c r="AF165" i="2"/>
  <c r="AF164" i="2"/>
  <c r="AF163" i="2"/>
  <c r="AF162" i="2"/>
  <c r="AF161" i="2"/>
  <c r="AF160" i="2"/>
  <c r="AF159" i="2"/>
  <c r="AF158" i="2"/>
  <c r="AF157" i="2"/>
  <c r="AF156" i="2"/>
  <c r="AF155" i="2"/>
  <c r="AF154" i="2"/>
  <c r="AF153" i="2"/>
  <c r="AF152" i="2"/>
  <c r="AF151" i="2"/>
  <c r="AF150" i="2"/>
  <c r="AF149" i="2"/>
  <c r="AF148" i="2"/>
  <c r="AF147" i="2"/>
  <c r="AF146" i="2"/>
  <c r="AF145" i="2"/>
  <c r="AF144" i="2"/>
  <c r="AF143" i="2"/>
  <c r="AF142" i="2"/>
  <c r="AF141" i="2"/>
  <c r="AF140" i="2"/>
  <c r="AF139" i="2"/>
  <c r="AF138" i="2"/>
  <c r="AF137" i="2"/>
  <c r="AF136" i="2"/>
  <c r="AF135" i="2"/>
  <c r="AF134" i="2"/>
  <c r="AF133" i="2"/>
  <c r="AF132" i="2"/>
  <c r="AF131" i="2"/>
  <c r="AF130" i="2"/>
  <c r="AF129" i="2"/>
  <c r="AF128" i="2"/>
  <c r="AF127" i="2"/>
  <c r="AF126" i="2"/>
  <c r="AF125" i="2"/>
  <c r="AF124" i="2"/>
  <c r="AF123" i="2"/>
  <c r="AF122" i="2"/>
  <c r="AF121" i="2"/>
  <c r="AF120" i="2"/>
  <c r="AF119" i="2"/>
  <c r="AF118" i="2"/>
  <c r="AF117" i="2"/>
  <c r="AF116" i="2"/>
  <c r="AF115" i="2"/>
  <c r="AF114" i="2"/>
  <c r="AF113" i="2"/>
  <c r="AF112" i="2"/>
  <c r="AF111" i="2"/>
  <c r="AF110" i="2"/>
  <c r="AF109" i="2"/>
  <c r="AF108" i="2"/>
  <c r="AF107" i="2"/>
  <c r="AF106" i="2"/>
  <c r="AF105" i="2"/>
  <c r="AF104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CI337" i="5"/>
  <c r="CK333" i="5"/>
  <c r="CJ333" i="5"/>
  <c r="CI333" i="5"/>
  <c r="CK317" i="5"/>
  <c r="CJ317" i="5"/>
  <c r="CI317" i="5"/>
  <c r="CK316" i="5"/>
  <c r="CJ316" i="5"/>
  <c r="CI316" i="5"/>
  <c r="CK315" i="5"/>
  <c r="CJ315" i="5"/>
  <c r="CI315" i="5"/>
  <c r="CK314" i="5"/>
  <c r="CJ314" i="5"/>
  <c r="CI314" i="5"/>
  <c r="CK313" i="5"/>
  <c r="CJ313" i="5"/>
  <c r="CI313" i="5"/>
  <c r="CK312" i="5"/>
  <c r="CJ312" i="5"/>
  <c r="CI312" i="5"/>
  <c r="CK311" i="5"/>
  <c r="CJ311" i="5"/>
  <c r="CI311" i="5"/>
  <c r="CK310" i="5"/>
  <c r="CJ310" i="5"/>
  <c r="CI310" i="5"/>
  <c r="CK309" i="5"/>
  <c r="CJ309" i="5"/>
  <c r="CI309" i="5"/>
  <c r="CK308" i="5"/>
  <c r="CJ308" i="5"/>
  <c r="CI308" i="5"/>
  <c r="CK307" i="5"/>
  <c r="CJ307" i="5"/>
  <c r="CI307" i="5"/>
  <c r="CK306" i="5"/>
  <c r="CJ306" i="5"/>
  <c r="CI306" i="5"/>
  <c r="CK305" i="5"/>
  <c r="CJ305" i="5"/>
  <c r="CI305" i="5"/>
  <c r="CK304" i="5"/>
  <c r="CJ304" i="5"/>
  <c r="CI304" i="5"/>
  <c r="CK303" i="5"/>
  <c r="CJ303" i="5"/>
  <c r="CI303" i="5"/>
  <c r="CK302" i="5"/>
  <c r="CJ302" i="5"/>
  <c r="CI302" i="5"/>
  <c r="CK301" i="5"/>
  <c r="CJ301" i="5"/>
  <c r="CI301" i="5"/>
  <c r="CK300" i="5"/>
  <c r="CJ300" i="5"/>
  <c r="CI300" i="5"/>
  <c r="CK299" i="5"/>
  <c r="CJ299" i="5"/>
  <c r="CI299" i="5"/>
  <c r="CK298" i="5"/>
  <c r="CJ298" i="5"/>
  <c r="CI298" i="5"/>
  <c r="CK297" i="5"/>
  <c r="CJ297" i="5"/>
  <c r="CI297" i="5"/>
  <c r="CK296" i="5"/>
  <c r="CJ296" i="5"/>
  <c r="CI296" i="5"/>
  <c r="CK295" i="5"/>
  <c r="CJ295" i="5"/>
  <c r="CI295" i="5"/>
  <c r="CK294" i="5"/>
  <c r="CJ294" i="5"/>
  <c r="CI294" i="5"/>
  <c r="CK293" i="5"/>
  <c r="CJ293" i="5"/>
  <c r="CI293" i="5"/>
  <c r="CK292" i="5"/>
  <c r="CJ292" i="5"/>
  <c r="CK291" i="5"/>
  <c r="CJ291" i="5"/>
  <c r="CI291" i="5"/>
  <c r="CK290" i="5"/>
  <c r="CJ290" i="5"/>
  <c r="CI290" i="5"/>
  <c r="CK289" i="5"/>
  <c r="CJ289" i="5"/>
  <c r="CI289" i="5"/>
  <c r="CK288" i="5"/>
  <c r="CJ288" i="5"/>
  <c r="CI288" i="5"/>
  <c r="CK287" i="5"/>
  <c r="CJ287" i="5"/>
  <c r="CI287" i="5"/>
  <c r="CK286" i="5"/>
  <c r="CJ286" i="5"/>
  <c r="CI286" i="5"/>
  <c r="CK285" i="5"/>
  <c r="CJ285" i="5"/>
  <c r="CI285" i="5"/>
  <c r="CK284" i="5"/>
  <c r="CJ284" i="5"/>
  <c r="CI284" i="5"/>
  <c r="CK283" i="5"/>
  <c r="CJ283" i="5"/>
  <c r="CI283" i="5"/>
  <c r="CK282" i="5"/>
  <c r="CJ282" i="5"/>
  <c r="CI282" i="5"/>
  <c r="CK281" i="5"/>
  <c r="CJ281" i="5"/>
  <c r="CI281" i="5"/>
  <c r="CK280" i="5"/>
  <c r="CJ280" i="5"/>
  <c r="CI280" i="5"/>
  <c r="CK279" i="5"/>
  <c r="CJ279" i="5"/>
  <c r="CI279" i="5"/>
  <c r="CK278" i="5"/>
  <c r="CJ278" i="5"/>
  <c r="CI278" i="5"/>
  <c r="CK277" i="5"/>
  <c r="CJ277" i="5"/>
  <c r="CI277" i="5"/>
  <c r="CK276" i="5"/>
  <c r="CJ276" i="5"/>
  <c r="CI276" i="5"/>
  <c r="CK275" i="5"/>
  <c r="CJ275" i="5"/>
  <c r="CI275" i="5"/>
  <c r="CK274" i="5"/>
  <c r="CJ274" i="5"/>
  <c r="CI274" i="5"/>
  <c r="CK273" i="5"/>
  <c r="CJ273" i="5"/>
  <c r="CI273" i="5"/>
  <c r="CK272" i="5"/>
  <c r="CJ272" i="5"/>
  <c r="CI272" i="5"/>
  <c r="CK271" i="5"/>
  <c r="CJ271" i="5"/>
  <c r="CI271" i="5"/>
  <c r="CK270" i="5"/>
  <c r="CJ270" i="5"/>
  <c r="CI270" i="5"/>
  <c r="CK269" i="5"/>
  <c r="CJ269" i="5"/>
  <c r="CI269" i="5"/>
  <c r="CK268" i="5"/>
  <c r="CJ268" i="5"/>
  <c r="CI268" i="5"/>
  <c r="CK267" i="5"/>
  <c r="CJ267" i="5"/>
  <c r="CI267" i="5"/>
  <c r="CK266" i="5"/>
  <c r="CJ266" i="5"/>
  <c r="CI266" i="5"/>
  <c r="CK265" i="5"/>
  <c r="CJ265" i="5"/>
  <c r="CI265" i="5"/>
  <c r="CK264" i="5"/>
  <c r="CJ264" i="5"/>
  <c r="CI264" i="5"/>
  <c r="CK263" i="5"/>
  <c r="CJ263" i="5"/>
  <c r="CI263" i="5"/>
  <c r="CK262" i="5"/>
  <c r="CJ262" i="5"/>
  <c r="CI262" i="5"/>
  <c r="CK261" i="5"/>
  <c r="CJ261" i="5"/>
  <c r="CI261" i="5"/>
  <c r="CK260" i="5"/>
  <c r="CJ260" i="5"/>
  <c r="CI260" i="5"/>
  <c r="CK259" i="5"/>
  <c r="CJ259" i="5"/>
  <c r="CI259" i="5"/>
  <c r="CK258" i="5"/>
  <c r="CJ258" i="5"/>
  <c r="CI258" i="5"/>
  <c r="CK257" i="5"/>
  <c r="CJ257" i="5"/>
  <c r="CI257" i="5"/>
  <c r="CK256" i="5"/>
  <c r="CJ256" i="5"/>
  <c r="CI256" i="5"/>
  <c r="CK255" i="5"/>
  <c r="CJ255" i="5"/>
  <c r="CI255" i="5"/>
  <c r="CK254" i="5"/>
  <c r="CJ254" i="5"/>
  <c r="CI254" i="5"/>
  <c r="CK253" i="5"/>
  <c r="CJ253" i="5"/>
  <c r="CI253" i="5"/>
  <c r="CK252" i="5"/>
  <c r="CJ252" i="5"/>
  <c r="CI252" i="5"/>
  <c r="CK251" i="5"/>
  <c r="CJ251" i="5"/>
  <c r="CI251" i="5"/>
  <c r="CK250" i="5"/>
  <c r="CJ250" i="5"/>
  <c r="CI250" i="5"/>
  <c r="CK249" i="5"/>
  <c r="CJ249" i="5"/>
  <c r="CI249" i="5"/>
  <c r="CK248" i="5"/>
  <c r="CJ248" i="5"/>
  <c r="CI248" i="5"/>
  <c r="CK247" i="5"/>
  <c r="CJ247" i="5"/>
  <c r="CI247" i="5"/>
  <c r="CK246" i="5"/>
  <c r="CJ246" i="5"/>
  <c r="CI246" i="5"/>
  <c r="CK245" i="5"/>
  <c r="CJ245" i="5"/>
  <c r="CI245" i="5"/>
  <c r="CK244" i="5"/>
  <c r="CJ244" i="5"/>
  <c r="CI244" i="5"/>
  <c r="CK243" i="5"/>
  <c r="CJ243" i="5"/>
  <c r="CI243" i="5"/>
  <c r="CK242" i="5"/>
  <c r="CJ242" i="5"/>
  <c r="CI242" i="5"/>
  <c r="CK241" i="5"/>
  <c r="CJ241" i="5"/>
  <c r="CI241" i="5"/>
  <c r="CK240" i="5"/>
  <c r="CJ240" i="5"/>
  <c r="CI240" i="5"/>
  <c r="CK239" i="5"/>
  <c r="CJ239" i="5"/>
  <c r="CI239" i="5"/>
  <c r="CK238" i="5"/>
  <c r="CJ238" i="5"/>
  <c r="CI238" i="5"/>
  <c r="CK237" i="5"/>
  <c r="CJ237" i="5"/>
  <c r="CI237" i="5"/>
  <c r="CK236" i="5"/>
  <c r="CJ236" i="5"/>
  <c r="CI236" i="5"/>
  <c r="CK235" i="5"/>
  <c r="CJ235" i="5"/>
  <c r="CI235" i="5"/>
  <c r="CK234" i="5"/>
  <c r="CJ234" i="5"/>
  <c r="CI234" i="5"/>
  <c r="CK233" i="5"/>
  <c r="CJ233" i="5"/>
  <c r="CI233" i="5"/>
  <c r="CK232" i="5"/>
  <c r="CJ232" i="5"/>
  <c r="CI232" i="5"/>
  <c r="CK231" i="5"/>
  <c r="CJ231" i="5"/>
  <c r="CI231" i="5"/>
  <c r="CK230" i="5"/>
  <c r="CJ230" i="5"/>
  <c r="CI230" i="5"/>
  <c r="CK229" i="5"/>
  <c r="CJ229" i="5"/>
  <c r="CI229" i="5"/>
  <c r="CK228" i="5"/>
  <c r="CJ228" i="5"/>
  <c r="CI228" i="5"/>
  <c r="CK227" i="5"/>
  <c r="CJ227" i="5"/>
  <c r="CI227" i="5"/>
  <c r="CK226" i="5"/>
  <c r="CJ226" i="5"/>
  <c r="CI226" i="5"/>
  <c r="CK225" i="5"/>
  <c r="CJ225" i="5"/>
  <c r="CI225" i="5"/>
  <c r="CK224" i="5"/>
  <c r="CJ224" i="5"/>
  <c r="CI224" i="5"/>
  <c r="CK223" i="5"/>
  <c r="CJ223" i="5"/>
  <c r="CI223" i="5"/>
  <c r="CK222" i="5"/>
  <c r="CJ222" i="5"/>
  <c r="CI222" i="5"/>
  <c r="CK221" i="5"/>
  <c r="CJ221" i="5"/>
  <c r="CI221" i="5"/>
  <c r="CK220" i="5"/>
  <c r="CJ220" i="5"/>
  <c r="CI220" i="5"/>
  <c r="CK219" i="5"/>
  <c r="CJ219" i="5"/>
  <c r="CI219" i="5"/>
  <c r="CK218" i="5"/>
  <c r="CJ218" i="5"/>
  <c r="CI218" i="5"/>
  <c r="CK217" i="5"/>
  <c r="CJ217" i="5"/>
  <c r="CI217" i="5"/>
  <c r="CK216" i="5"/>
  <c r="CJ216" i="5"/>
  <c r="CI216" i="5"/>
  <c r="CK215" i="5"/>
  <c r="CJ215" i="5"/>
  <c r="CI215" i="5"/>
  <c r="CK214" i="5"/>
  <c r="CJ214" i="5"/>
  <c r="CI214" i="5"/>
  <c r="CK213" i="5"/>
  <c r="CJ213" i="5"/>
  <c r="CI213" i="5"/>
  <c r="CK212" i="5"/>
  <c r="CJ212" i="5"/>
  <c r="CI212" i="5"/>
  <c r="CK211" i="5"/>
  <c r="CJ211" i="5"/>
  <c r="CI211" i="5"/>
  <c r="CK210" i="5"/>
  <c r="CJ210" i="5"/>
  <c r="CI210" i="5"/>
  <c r="CK209" i="5"/>
  <c r="CJ209" i="5"/>
  <c r="CI209" i="5"/>
  <c r="CK208" i="5"/>
  <c r="CJ208" i="5"/>
  <c r="CI208" i="5"/>
  <c r="CK207" i="5"/>
  <c r="CJ207" i="5"/>
  <c r="CI207" i="5"/>
  <c r="CK206" i="5"/>
  <c r="CJ206" i="5"/>
  <c r="CI206" i="5"/>
  <c r="CK205" i="5"/>
  <c r="CJ205" i="5"/>
  <c r="CI205" i="5"/>
  <c r="CK204" i="5"/>
  <c r="CJ204" i="5"/>
  <c r="CI204" i="5"/>
  <c r="CK203" i="5"/>
  <c r="CJ203" i="5"/>
  <c r="CI203" i="5"/>
  <c r="CK202" i="5"/>
  <c r="CJ202" i="5"/>
  <c r="CI202" i="5"/>
  <c r="CK201" i="5"/>
  <c r="CJ201" i="5"/>
  <c r="CI201" i="5"/>
  <c r="CK200" i="5"/>
  <c r="CJ200" i="5"/>
  <c r="CI200" i="5"/>
  <c r="CK199" i="5"/>
  <c r="CJ199" i="5"/>
  <c r="CI199" i="5"/>
  <c r="CK198" i="5"/>
  <c r="CJ198" i="5"/>
  <c r="CI198" i="5"/>
  <c r="CK197" i="5"/>
  <c r="CJ197" i="5"/>
  <c r="CI197" i="5"/>
  <c r="CK196" i="5"/>
  <c r="CJ196" i="5"/>
  <c r="CI196" i="5"/>
  <c r="CK195" i="5"/>
  <c r="CJ195" i="5"/>
  <c r="CI195" i="5"/>
  <c r="CK194" i="5"/>
  <c r="CJ194" i="5"/>
  <c r="CI194" i="5"/>
  <c r="CK193" i="5"/>
  <c r="CJ193" i="5"/>
  <c r="CI193" i="5"/>
  <c r="CK192" i="5"/>
  <c r="CJ192" i="5"/>
  <c r="CI192" i="5"/>
  <c r="CK191" i="5"/>
  <c r="CJ191" i="5"/>
  <c r="CI191" i="5"/>
  <c r="CK190" i="5"/>
  <c r="CJ190" i="5"/>
  <c r="CI190" i="5"/>
  <c r="CK189" i="5"/>
  <c r="CJ189" i="5"/>
  <c r="CI189" i="5"/>
  <c r="CK188" i="5"/>
  <c r="CJ188" i="5"/>
  <c r="CI188" i="5"/>
  <c r="CK187" i="5"/>
  <c r="CJ187" i="5"/>
  <c r="CI187" i="5"/>
  <c r="CK186" i="5"/>
  <c r="CJ186" i="5"/>
  <c r="CI186" i="5"/>
  <c r="CK185" i="5"/>
  <c r="CJ185" i="5"/>
  <c r="CI185" i="5"/>
  <c r="CK184" i="5"/>
  <c r="CJ184" i="5"/>
  <c r="CI184" i="5"/>
  <c r="CK183" i="5"/>
  <c r="CJ183" i="5"/>
  <c r="CI183" i="5"/>
  <c r="CK182" i="5"/>
  <c r="CJ182" i="5"/>
  <c r="CI182" i="5"/>
  <c r="CK181" i="5"/>
  <c r="CJ181" i="5"/>
  <c r="CI181" i="5"/>
  <c r="CK180" i="5"/>
  <c r="CJ180" i="5"/>
  <c r="CI180" i="5"/>
  <c r="CK179" i="5"/>
  <c r="CJ179" i="5"/>
  <c r="CI179" i="5"/>
  <c r="CK178" i="5"/>
  <c r="CJ178" i="5"/>
  <c r="CI178" i="5"/>
  <c r="CK177" i="5"/>
  <c r="CJ177" i="5"/>
  <c r="CI177" i="5"/>
  <c r="CK176" i="5"/>
  <c r="CJ176" i="5"/>
  <c r="CI176" i="5"/>
  <c r="CK175" i="5"/>
  <c r="CJ175" i="5"/>
  <c r="CI175" i="5"/>
  <c r="CK174" i="5"/>
  <c r="CJ174" i="5"/>
  <c r="CI174" i="5"/>
  <c r="CK173" i="5"/>
  <c r="CJ173" i="5"/>
  <c r="CI173" i="5"/>
  <c r="CK172" i="5"/>
  <c r="CJ172" i="5"/>
  <c r="CI172" i="5"/>
  <c r="CK171" i="5"/>
  <c r="CJ171" i="5"/>
  <c r="CI171" i="5"/>
  <c r="CK170" i="5"/>
  <c r="CJ170" i="5"/>
  <c r="CI170" i="5"/>
  <c r="CK169" i="5"/>
  <c r="CJ169" i="5"/>
  <c r="CI169" i="5"/>
  <c r="CK168" i="5"/>
  <c r="CJ168" i="5"/>
  <c r="CI168" i="5"/>
  <c r="CK167" i="5"/>
  <c r="CJ167" i="5"/>
  <c r="CI167" i="5"/>
  <c r="CK166" i="5"/>
  <c r="CJ166" i="5"/>
  <c r="CI166" i="5"/>
  <c r="CK165" i="5"/>
  <c r="CJ165" i="5"/>
  <c r="CI165" i="5"/>
  <c r="CK164" i="5"/>
  <c r="CJ164" i="5"/>
  <c r="CI164" i="5"/>
  <c r="CK163" i="5"/>
  <c r="CJ163" i="5"/>
  <c r="CI163" i="5"/>
  <c r="CK162" i="5"/>
  <c r="CJ162" i="5"/>
  <c r="CI162" i="5"/>
  <c r="CK161" i="5"/>
  <c r="CJ161" i="5"/>
  <c r="CI161" i="5"/>
  <c r="CK160" i="5"/>
  <c r="CJ160" i="5"/>
  <c r="CI160" i="5"/>
  <c r="CK159" i="5"/>
  <c r="CJ159" i="5"/>
  <c r="CI159" i="5"/>
  <c r="CK158" i="5"/>
  <c r="CJ158" i="5"/>
  <c r="CI158" i="5"/>
  <c r="CK157" i="5"/>
  <c r="CJ157" i="5"/>
  <c r="CI157" i="5"/>
  <c r="CK156" i="5"/>
  <c r="CJ156" i="5"/>
  <c r="CI156" i="5"/>
  <c r="CK155" i="5"/>
  <c r="CJ155" i="5"/>
  <c r="CI155" i="5"/>
  <c r="CK154" i="5"/>
  <c r="CJ154" i="5"/>
  <c r="CI154" i="5"/>
  <c r="CK153" i="5"/>
  <c r="CJ153" i="5"/>
  <c r="CI153" i="5"/>
  <c r="CK152" i="5"/>
  <c r="CJ152" i="5"/>
  <c r="CI152" i="5"/>
  <c r="CK151" i="5"/>
  <c r="CJ151" i="5"/>
  <c r="CI151" i="5"/>
  <c r="CK150" i="5"/>
  <c r="CJ150" i="5"/>
  <c r="CI150" i="5"/>
  <c r="CK149" i="5"/>
  <c r="CJ149" i="5"/>
  <c r="CI149" i="5"/>
  <c r="CK148" i="5"/>
  <c r="CJ148" i="5"/>
  <c r="CI148" i="5"/>
  <c r="CK147" i="5"/>
  <c r="CJ147" i="5"/>
  <c r="CI147" i="5"/>
  <c r="CK146" i="5"/>
  <c r="CJ146" i="5"/>
  <c r="CI146" i="5"/>
  <c r="CK145" i="5"/>
  <c r="CJ145" i="5"/>
  <c r="CI145" i="5"/>
  <c r="CK144" i="5"/>
  <c r="CJ144" i="5"/>
  <c r="CI144" i="5"/>
  <c r="CK143" i="5"/>
  <c r="CJ143" i="5"/>
  <c r="CI143" i="5"/>
  <c r="CK142" i="5"/>
  <c r="CJ142" i="5"/>
  <c r="CI142" i="5"/>
  <c r="CK141" i="5"/>
  <c r="CJ141" i="5"/>
  <c r="CI141" i="5"/>
  <c r="CK140" i="5"/>
  <c r="CJ140" i="5"/>
  <c r="CI140" i="5"/>
  <c r="CK139" i="5"/>
  <c r="CJ139" i="5"/>
  <c r="CI139" i="5"/>
  <c r="CK138" i="5"/>
  <c r="CJ138" i="5"/>
  <c r="CI138" i="5"/>
  <c r="CK137" i="5"/>
  <c r="CJ137" i="5"/>
  <c r="CI137" i="5"/>
  <c r="CK136" i="5"/>
  <c r="CJ136" i="5"/>
  <c r="CI136" i="5"/>
  <c r="CK135" i="5"/>
  <c r="CJ135" i="5"/>
  <c r="CI135" i="5"/>
  <c r="CK134" i="5"/>
  <c r="CJ134" i="5"/>
  <c r="CI134" i="5"/>
  <c r="CK133" i="5"/>
  <c r="CJ133" i="5"/>
  <c r="CI133" i="5"/>
  <c r="CK132" i="5"/>
  <c r="CJ132" i="5"/>
  <c r="CI132" i="5"/>
  <c r="CK131" i="5"/>
  <c r="CJ131" i="5"/>
  <c r="CI131" i="5"/>
  <c r="CK130" i="5"/>
  <c r="CJ130" i="5"/>
  <c r="CI130" i="5"/>
  <c r="CK129" i="5"/>
  <c r="CJ129" i="5"/>
  <c r="CI129" i="5"/>
  <c r="CK128" i="5"/>
  <c r="CJ128" i="5"/>
  <c r="CI128" i="5"/>
  <c r="CK127" i="5"/>
  <c r="CJ127" i="5"/>
  <c r="CI127" i="5"/>
  <c r="CK126" i="5"/>
  <c r="CJ126" i="5"/>
  <c r="CI126" i="5"/>
  <c r="CK125" i="5"/>
  <c r="CJ125" i="5"/>
  <c r="CI125" i="5"/>
  <c r="CK124" i="5"/>
  <c r="CJ124" i="5"/>
  <c r="CI124" i="5"/>
  <c r="CK123" i="5"/>
  <c r="CJ123" i="5"/>
  <c r="CI123" i="5"/>
  <c r="CK122" i="5"/>
  <c r="CJ122" i="5"/>
  <c r="CI122" i="5"/>
  <c r="CK121" i="5"/>
  <c r="CJ121" i="5"/>
  <c r="CI121" i="5"/>
  <c r="CK120" i="5"/>
  <c r="CJ120" i="5"/>
  <c r="CI120" i="5"/>
  <c r="CK119" i="5"/>
  <c r="CJ119" i="5"/>
  <c r="CI119" i="5"/>
  <c r="CK118" i="5"/>
  <c r="CJ118" i="5"/>
  <c r="CI118" i="5"/>
  <c r="CK117" i="5"/>
  <c r="CJ117" i="5"/>
  <c r="CI117" i="5"/>
  <c r="CK116" i="5"/>
  <c r="CJ116" i="5"/>
  <c r="CI116" i="5"/>
  <c r="CK115" i="5"/>
  <c r="CJ115" i="5"/>
  <c r="CI115" i="5"/>
  <c r="CK114" i="5"/>
  <c r="CJ114" i="5"/>
  <c r="CI114" i="5"/>
  <c r="CK113" i="5"/>
  <c r="CJ113" i="5"/>
  <c r="CI113" i="5"/>
  <c r="CK112" i="5"/>
  <c r="CJ112" i="5"/>
  <c r="CI112" i="5"/>
  <c r="CI111" i="5"/>
  <c r="CK110" i="5"/>
  <c r="CJ110" i="5"/>
  <c r="CI110" i="5"/>
  <c r="CJ109" i="5"/>
  <c r="CI109" i="5"/>
  <c r="CK108" i="5"/>
  <c r="CJ108" i="5"/>
  <c r="CI108" i="5"/>
  <c r="CK107" i="5"/>
  <c r="CJ107" i="5"/>
  <c r="CK106" i="5"/>
  <c r="CJ106" i="5"/>
  <c r="CI106" i="5"/>
  <c r="CK105" i="5"/>
  <c r="CJ105" i="5"/>
  <c r="CI105" i="5"/>
  <c r="CK104" i="5"/>
  <c r="CJ104" i="5"/>
  <c r="CI104" i="5"/>
  <c r="CK103" i="5"/>
  <c r="CJ103" i="5"/>
  <c r="CI103" i="5"/>
  <c r="CK102" i="5"/>
  <c r="CJ102" i="5"/>
  <c r="CI102" i="5"/>
  <c r="CK101" i="5"/>
  <c r="CJ101" i="5"/>
  <c r="CI101" i="5"/>
  <c r="CK100" i="5"/>
  <c r="CJ100" i="5"/>
  <c r="CI100" i="5"/>
  <c r="CK99" i="5"/>
  <c r="CJ99" i="5"/>
  <c r="CI99" i="5"/>
  <c r="CK98" i="5"/>
  <c r="CJ98" i="5"/>
  <c r="CI98" i="5"/>
  <c r="CK97" i="5"/>
  <c r="CJ97" i="5"/>
  <c r="CI97" i="5"/>
  <c r="CK96" i="5"/>
  <c r="CJ96" i="5"/>
  <c r="CI96" i="5"/>
  <c r="CK95" i="5"/>
  <c r="CJ95" i="5"/>
  <c r="CI95" i="5"/>
  <c r="CK94" i="5"/>
  <c r="CJ94" i="5"/>
  <c r="CI94" i="5"/>
  <c r="CK93" i="5"/>
  <c r="CJ93" i="5"/>
  <c r="CI93" i="5"/>
  <c r="CK92" i="5"/>
  <c r="CJ92" i="5"/>
  <c r="CI92" i="5"/>
  <c r="CK91" i="5"/>
  <c r="CJ91" i="5"/>
  <c r="CI91" i="5"/>
  <c r="CK90" i="5"/>
  <c r="CJ90" i="5"/>
  <c r="CI90" i="5"/>
  <c r="CK89" i="5"/>
  <c r="CJ89" i="5"/>
  <c r="CI89" i="5"/>
  <c r="CK88" i="5"/>
  <c r="CJ88" i="5"/>
  <c r="CI88" i="5"/>
  <c r="CK87" i="5"/>
  <c r="CJ87" i="5"/>
  <c r="CI87" i="5"/>
  <c r="CK86" i="5"/>
  <c r="CJ86" i="5"/>
  <c r="CI86" i="5"/>
  <c r="CK85" i="5"/>
  <c r="CJ85" i="5"/>
  <c r="CI85" i="5"/>
  <c r="CK84" i="5"/>
  <c r="CJ84" i="5"/>
  <c r="CI84" i="5"/>
  <c r="CK83" i="5"/>
  <c r="CJ83" i="5"/>
  <c r="CI83" i="5"/>
  <c r="CK82" i="5"/>
  <c r="CJ82" i="5"/>
  <c r="CI82" i="5"/>
  <c r="CK81" i="5"/>
  <c r="CJ81" i="5"/>
  <c r="CI81" i="5"/>
  <c r="CK80" i="5"/>
  <c r="CJ80" i="5"/>
  <c r="CI80" i="5"/>
  <c r="CK79" i="5"/>
  <c r="CJ79" i="5"/>
  <c r="CI79" i="5"/>
  <c r="CK78" i="5"/>
  <c r="CJ78" i="5"/>
  <c r="CI78" i="5"/>
  <c r="CK77" i="5"/>
  <c r="CJ77" i="5"/>
  <c r="CI77" i="5"/>
  <c r="CK76" i="5"/>
  <c r="CJ76" i="5"/>
  <c r="CI76" i="5"/>
  <c r="CK75" i="5"/>
  <c r="CJ75" i="5"/>
  <c r="CI75" i="5"/>
  <c r="CK74" i="5"/>
  <c r="CJ74" i="5"/>
  <c r="CI74" i="5"/>
  <c r="CK73" i="5"/>
  <c r="CJ73" i="5"/>
  <c r="CI73" i="5"/>
  <c r="CK72" i="5"/>
  <c r="CJ72" i="5"/>
  <c r="CI72" i="5"/>
  <c r="CK71" i="5"/>
  <c r="CJ71" i="5"/>
  <c r="CI71" i="5"/>
  <c r="CK70" i="5"/>
  <c r="CJ70" i="5"/>
  <c r="CI70" i="5"/>
  <c r="CK69" i="5"/>
  <c r="CJ69" i="5"/>
  <c r="CI69" i="5"/>
  <c r="CK68" i="5"/>
  <c r="CJ68" i="5"/>
  <c r="CI68" i="5"/>
  <c r="CK67" i="5"/>
  <c r="CJ67" i="5"/>
  <c r="CI67" i="5"/>
  <c r="CK66" i="5"/>
  <c r="CJ66" i="5"/>
  <c r="CI66" i="5"/>
  <c r="CK65" i="5"/>
  <c r="CJ65" i="5"/>
  <c r="CI65" i="5"/>
  <c r="CK64" i="5"/>
  <c r="CJ64" i="5"/>
  <c r="CI64" i="5"/>
  <c r="CK63" i="5"/>
  <c r="CJ63" i="5"/>
  <c r="CI63" i="5"/>
  <c r="CK62" i="5"/>
  <c r="CJ62" i="5"/>
  <c r="CI62" i="5"/>
  <c r="CK61" i="5"/>
  <c r="CJ61" i="5"/>
  <c r="CI61" i="5"/>
  <c r="CK60" i="5"/>
  <c r="CJ60" i="5"/>
  <c r="CI60" i="5"/>
  <c r="CK59" i="5"/>
  <c r="CJ59" i="5"/>
  <c r="CI59" i="5"/>
  <c r="CK58" i="5"/>
  <c r="CJ58" i="5"/>
  <c r="CI58" i="5"/>
  <c r="CK57" i="5"/>
  <c r="CJ57" i="5"/>
  <c r="CI57" i="5"/>
  <c r="CK56" i="5"/>
  <c r="CJ56" i="5"/>
  <c r="CI56" i="5"/>
  <c r="CK55" i="5"/>
  <c r="CJ55" i="5"/>
  <c r="CI55" i="5"/>
  <c r="CK54" i="5"/>
  <c r="CJ54" i="5"/>
  <c r="CI54" i="5"/>
  <c r="CK53" i="5"/>
  <c r="CJ53" i="5"/>
  <c r="CI53" i="5"/>
  <c r="CK52" i="5"/>
  <c r="CJ52" i="5"/>
  <c r="CI52" i="5"/>
  <c r="CK51" i="5"/>
  <c r="CJ51" i="5"/>
  <c r="CI51" i="5"/>
  <c r="CK50" i="5"/>
  <c r="CJ50" i="5"/>
  <c r="CI50" i="5"/>
  <c r="CK49" i="5"/>
  <c r="CJ49" i="5"/>
  <c r="CI49" i="5"/>
  <c r="CK48" i="5"/>
  <c r="CJ48" i="5"/>
  <c r="CI48" i="5"/>
  <c r="CK47" i="5"/>
  <c r="CJ47" i="5"/>
  <c r="CI47" i="5"/>
  <c r="CK46" i="5"/>
  <c r="CJ46" i="5"/>
  <c r="CI46" i="5"/>
  <c r="CK45" i="5"/>
  <c r="CJ45" i="5"/>
  <c r="CI45" i="5"/>
  <c r="CK44" i="5"/>
  <c r="CJ44" i="5"/>
  <c r="CI44" i="5"/>
  <c r="CK43" i="5"/>
  <c r="CJ43" i="5"/>
  <c r="CI43" i="5"/>
  <c r="CK42" i="5"/>
  <c r="CJ42" i="5"/>
  <c r="CI42" i="5"/>
  <c r="CK41" i="5"/>
  <c r="CJ41" i="5"/>
  <c r="CI41" i="5"/>
  <c r="CK40" i="5"/>
  <c r="CJ40" i="5"/>
  <c r="CI40" i="5"/>
  <c r="CK39" i="5"/>
  <c r="CJ39" i="5"/>
  <c r="CI39" i="5"/>
  <c r="CK38" i="5"/>
  <c r="CJ38" i="5"/>
  <c r="CI38" i="5"/>
  <c r="CK37" i="5"/>
  <c r="CJ37" i="5"/>
  <c r="CI37" i="5"/>
  <c r="CK36" i="5"/>
  <c r="CJ36" i="5"/>
  <c r="CI36" i="5"/>
  <c r="CK35" i="5"/>
  <c r="CJ35" i="5"/>
  <c r="CI35" i="5"/>
  <c r="CK34" i="5"/>
  <c r="CJ34" i="5"/>
  <c r="CI34" i="5"/>
  <c r="CK33" i="5"/>
  <c r="CJ33" i="5"/>
  <c r="CI33" i="5"/>
  <c r="CK32" i="5"/>
  <c r="CJ32" i="5"/>
  <c r="CI32" i="5"/>
  <c r="CK31" i="5"/>
  <c r="CJ31" i="5"/>
  <c r="CI31" i="5"/>
  <c r="CK30" i="5"/>
  <c r="CJ30" i="5"/>
  <c r="CI30" i="5"/>
  <c r="CK29" i="5"/>
  <c r="CJ29" i="5"/>
  <c r="CI29" i="5"/>
  <c r="CK28" i="5"/>
  <c r="CJ28" i="5"/>
  <c r="CI28" i="5"/>
  <c r="CK27" i="5"/>
  <c r="CJ27" i="5"/>
  <c r="CI27" i="5"/>
  <c r="CK26" i="5"/>
  <c r="CJ26" i="5"/>
  <c r="CI26" i="5"/>
  <c r="CK25" i="5"/>
  <c r="CJ25" i="5"/>
  <c r="CI25" i="5"/>
  <c r="CK24" i="5"/>
  <c r="CJ24" i="5"/>
  <c r="CI24" i="5"/>
  <c r="CK23" i="5"/>
  <c r="CJ23" i="5"/>
  <c r="CI23" i="5"/>
  <c r="CK22" i="5"/>
  <c r="CJ22" i="5"/>
  <c r="CI22" i="5"/>
  <c r="CK21" i="5"/>
  <c r="CJ21" i="5"/>
  <c r="CI21" i="5"/>
  <c r="CK20" i="5"/>
  <c r="CJ20" i="5"/>
  <c r="CI20" i="5"/>
  <c r="CK19" i="5"/>
  <c r="CJ19" i="5"/>
  <c r="CI19" i="5"/>
  <c r="CK18" i="5"/>
  <c r="CJ18" i="5"/>
  <c r="CI18" i="5"/>
  <c r="CK17" i="5"/>
  <c r="CJ17" i="5"/>
  <c r="CI17" i="5"/>
  <c r="CK16" i="5"/>
  <c r="CJ16" i="5"/>
  <c r="CI16" i="5"/>
  <c r="CK15" i="5"/>
  <c r="CJ15" i="5"/>
  <c r="CI15" i="5"/>
  <c r="CK14" i="5"/>
  <c r="CJ14" i="5"/>
  <c r="CI14" i="5"/>
  <c r="CK13" i="5"/>
  <c r="CJ13" i="5"/>
  <c r="CI13" i="5"/>
  <c r="CK12" i="5"/>
  <c r="CJ12" i="5"/>
  <c r="CI12" i="5"/>
  <c r="CK11" i="5"/>
  <c r="CJ11" i="5"/>
  <c r="CI11" i="5"/>
  <c r="CK10" i="5"/>
  <c r="CJ10" i="5"/>
  <c r="CI10" i="5"/>
  <c r="CK9" i="5"/>
  <c r="CJ9" i="5"/>
  <c r="CI9" i="5"/>
  <c r="CK8" i="5"/>
  <c r="CJ8" i="5"/>
  <c r="CI8" i="5"/>
  <c r="CK7" i="5"/>
  <c r="CJ7" i="5"/>
  <c r="CI7" i="5"/>
  <c r="CK6" i="5"/>
  <c r="CJ6" i="5"/>
  <c r="CI6" i="5"/>
  <c r="CK5" i="5"/>
  <c r="CJ5" i="5"/>
  <c r="CI5" i="5"/>
  <c r="AE249" i="1"/>
  <c r="AE244" i="1"/>
  <c r="AE235" i="1"/>
  <c r="AE229" i="1"/>
  <c r="AE228" i="1"/>
  <c r="AE227" i="1"/>
  <c r="AE226" i="1"/>
  <c r="AE225" i="1"/>
  <c r="AE224" i="1"/>
  <c r="AE223" i="1"/>
  <c r="AE222" i="1"/>
  <c r="AE221" i="1"/>
  <c r="AE220" i="1"/>
  <c r="AE219" i="1"/>
  <c r="AE218" i="1"/>
  <c r="AE217" i="1"/>
  <c r="AE216" i="1"/>
  <c r="AE215" i="1"/>
  <c r="AE214" i="1"/>
  <c r="AE213" i="1"/>
  <c r="AE212" i="1"/>
  <c r="AE211" i="1"/>
  <c r="AE210" i="1"/>
  <c r="AE209" i="1"/>
  <c r="AE208" i="1"/>
  <c r="AE207" i="1"/>
  <c r="AE206" i="1"/>
  <c r="AE205" i="1"/>
  <c r="AE204" i="1"/>
  <c r="AE203" i="1"/>
  <c r="AE202" i="1"/>
  <c r="AE201" i="1"/>
  <c r="AE200" i="1"/>
  <c r="AE199" i="1"/>
  <c r="AE198" i="1"/>
  <c r="AE197" i="1"/>
  <c r="AE196" i="1"/>
  <c r="AE195" i="1"/>
  <c r="AE194" i="1"/>
  <c r="AE193" i="1"/>
  <c r="AE192" i="1"/>
  <c r="AE191" i="1"/>
  <c r="AE190" i="1"/>
  <c r="AE189" i="1"/>
  <c r="AE188" i="1"/>
  <c r="AE187" i="1"/>
  <c r="AE186" i="1"/>
  <c r="AE185" i="1"/>
  <c r="AE184" i="1"/>
  <c r="AE183" i="1"/>
  <c r="AE182" i="1"/>
  <c r="AE181" i="1"/>
  <c r="AE180" i="1"/>
  <c r="AE179" i="1"/>
  <c r="AE178" i="1"/>
  <c r="AE177" i="1"/>
  <c r="AE176" i="1"/>
  <c r="AE175" i="1"/>
  <c r="AE174" i="1"/>
  <c r="AE173" i="1"/>
  <c r="AE172" i="1"/>
  <c r="AE171" i="1"/>
  <c r="AE170" i="1"/>
  <c r="AE169" i="1"/>
  <c r="AE168" i="1"/>
  <c r="AE167" i="1"/>
  <c r="AE166" i="1"/>
  <c r="AE165" i="1"/>
  <c r="AE164" i="1"/>
  <c r="AE163" i="1"/>
  <c r="AE162" i="1"/>
  <c r="AE161" i="1"/>
  <c r="AE160" i="1"/>
  <c r="AE159" i="1"/>
  <c r="AE158" i="1"/>
  <c r="AE157" i="1"/>
  <c r="AE156" i="1"/>
  <c r="AE155" i="1"/>
  <c r="AE154" i="1"/>
  <c r="AE153" i="1"/>
  <c r="AE152" i="1"/>
  <c r="AE151" i="1"/>
  <c r="AE150" i="1"/>
  <c r="AE149" i="1"/>
  <c r="AE148" i="1"/>
  <c r="AE147" i="1"/>
  <c r="AE146" i="1"/>
  <c r="AE145" i="1"/>
  <c r="AE144" i="1"/>
  <c r="AE143" i="1"/>
  <c r="AE142" i="1"/>
  <c r="AE141" i="1"/>
  <c r="AE140" i="1"/>
  <c r="AE139" i="1"/>
  <c r="AE138" i="1"/>
  <c r="AE137" i="1"/>
  <c r="AE136" i="1"/>
  <c r="AE135" i="1"/>
  <c r="AE134" i="1"/>
  <c r="AE133" i="1"/>
  <c r="AE132" i="1"/>
  <c r="AE131" i="1"/>
  <c r="AE130" i="1"/>
  <c r="AE129" i="1"/>
  <c r="AE128" i="1"/>
  <c r="AE127" i="1"/>
  <c r="AE126" i="1"/>
  <c r="AE125" i="1"/>
  <c r="AE124" i="1"/>
  <c r="AE123" i="1"/>
  <c r="AE122" i="1"/>
  <c r="AE121" i="1"/>
  <c r="AE120" i="1"/>
  <c r="AE119" i="1"/>
  <c r="AE118" i="1"/>
  <c r="AE117" i="1"/>
  <c r="AE116" i="1"/>
  <c r="AE115" i="1"/>
  <c r="AE114" i="1"/>
  <c r="AE113" i="1"/>
  <c r="AE112" i="1"/>
  <c r="AE111" i="1"/>
  <c r="AE110" i="1"/>
  <c r="AE109" i="1"/>
  <c r="AE108" i="1"/>
  <c r="AE106" i="1"/>
  <c r="AE105" i="1"/>
  <c r="AE104" i="1"/>
  <c r="AE103" i="1"/>
  <c r="AE102" i="1"/>
  <c r="AE101" i="1"/>
  <c r="AE100" i="1"/>
  <c r="AE99" i="1"/>
  <c r="AE98" i="1"/>
  <c r="AE97" i="1"/>
  <c r="AE96" i="1"/>
  <c r="AE95" i="1"/>
  <c r="AE94" i="1"/>
  <c r="AE93" i="1"/>
  <c r="AE92" i="1"/>
  <c r="AE91" i="1"/>
  <c r="AE90" i="1"/>
  <c r="AE89" i="1"/>
  <c r="AE88" i="1"/>
  <c r="AE87" i="1"/>
  <c r="AE86" i="1"/>
  <c r="AE85" i="1"/>
  <c r="AE84" i="1"/>
  <c r="AE83" i="1"/>
  <c r="AE82" i="1"/>
  <c r="AE81" i="1"/>
  <c r="AE80" i="1"/>
  <c r="AE79" i="1"/>
  <c r="AE78" i="1"/>
  <c r="AE77" i="1"/>
  <c r="AE76" i="1"/>
  <c r="AE75" i="1"/>
  <c r="AE74" i="1"/>
  <c r="AE73" i="1"/>
  <c r="AE72" i="1"/>
  <c r="AE71" i="1"/>
  <c r="AE70" i="1"/>
  <c r="AE69" i="1"/>
  <c r="AE68" i="1"/>
  <c r="AE67" i="1"/>
  <c r="AE66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215" i="3"/>
  <c r="AE214" i="3"/>
  <c r="AE213" i="3"/>
  <c r="AE210" i="3"/>
  <c r="AE209" i="3"/>
  <c r="AE208" i="3"/>
  <c r="AE205" i="3"/>
  <c r="AE204" i="3"/>
  <c r="AE203" i="3"/>
  <c r="AE202" i="3"/>
  <c r="AE199" i="3"/>
  <c r="AE198" i="3"/>
  <c r="AE195" i="3"/>
  <c r="AE194" i="3"/>
  <c r="AE193" i="3"/>
  <c r="AE190" i="3"/>
  <c r="AE189" i="3"/>
  <c r="AE186" i="3"/>
  <c r="AE185" i="3"/>
  <c r="AE184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29" i="2"/>
  <c r="AE228" i="2"/>
  <c r="AE227" i="2"/>
  <c r="AE226" i="2"/>
  <c r="AE224" i="2"/>
  <c r="AE223" i="2"/>
  <c r="AE222" i="2"/>
  <c r="AE221" i="2"/>
  <c r="AE219" i="2"/>
  <c r="AE218" i="2"/>
  <c r="AE217" i="2"/>
  <c r="AE214" i="2"/>
  <c r="AE213" i="2"/>
  <c r="AE212" i="2"/>
  <c r="AE209" i="2"/>
  <c r="AE208" i="2"/>
  <c r="AE207" i="2"/>
  <c r="AE206" i="2"/>
  <c r="AE203" i="2"/>
  <c r="AE202" i="2"/>
  <c r="AE199" i="2"/>
  <c r="AE198" i="2"/>
  <c r="AE197" i="2"/>
  <c r="AE194" i="2"/>
  <c r="AE193" i="2"/>
  <c r="AE190" i="2"/>
  <c r="AE189" i="2"/>
  <c r="AE188" i="2"/>
  <c r="AE184" i="2"/>
  <c r="AE171" i="2"/>
  <c r="AE170" i="2"/>
  <c r="AE169" i="2"/>
  <c r="AE168" i="2"/>
  <c r="AE167" i="2"/>
  <c r="AE166" i="2"/>
  <c r="AE165" i="2"/>
  <c r="AE164" i="2"/>
  <c r="AE163" i="2"/>
  <c r="AE162" i="2"/>
  <c r="AE161" i="2"/>
  <c r="AE160" i="2"/>
  <c r="AE159" i="2"/>
  <c r="AE158" i="2"/>
  <c r="AE157" i="2"/>
  <c r="AE156" i="2"/>
  <c r="AE155" i="2"/>
  <c r="AE154" i="2"/>
  <c r="AE153" i="2"/>
  <c r="AE152" i="2"/>
  <c r="AE151" i="2"/>
  <c r="AE150" i="2"/>
  <c r="AE149" i="2"/>
  <c r="AE148" i="2"/>
  <c r="AE147" i="2"/>
  <c r="AE146" i="2"/>
  <c r="AE145" i="2"/>
  <c r="AE144" i="2"/>
  <c r="AE143" i="2"/>
  <c r="AE142" i="2"/>
  <c r="AE141" i="2"/>
  <c r="AE140" i="2"/>
  <c r="AE139" i="2"/>
  <c r="AE138" i="2"/>
  <c r="AE137" i="2"/>
  <c r="AE136" i="2"/>
  <c r="AE135" i="2"/>
  <c r="AE134" i="2"/>
  <c r="AE133" i="2"/>
  <c r="AE132" i="2"/>
  <c r="AE131" i="2"/>
  <c r="AE130" i="2"/>
  <c r="AE129" i="2"/>
  <c r="AE128" i="2"/>
  <c r="AE127" i="2"/>
  <c r="AE126" i="2"/>
  <c r="AE125" i="2"/>
  <c r="AE124" i="2"/>
  <c r="AE123" i="2"/>
  <c r="AE122" i="2"/>
  <c r="AE121" i="2"/>
  <c r="AE120" i="2"/>
  <c r="AE119" i="2"/>
  <c r="AE118" i="2"/>
  <c r="AE117" i="2"/>
  <c r="AE116" i="2"/>
  <c r="AE115" i="2"/>
  <c r="AE114" i="2"/>
  <c r="AE113" i="2"/>
  <c r="AE112" i="2"/>
  <c r="AE111" i="2"/>
  <c r="AE110" i="2"/>
  <c r="AE109" i="2"/>
  <c r="AE108" i="2"/>
  <c r="AE107" i="2"/>
  <c r="AE106" i="2"/>
  <c r="AE105" i="2"/>
  <c r="AE104" i="2"/>
  <c r="AE103" i="2"/>
  <c r="AE102" i="2"/>
  <c r="AE101" i="2"/>
  <c r="AE100" i="2"/>
  <c r="AE99" i="2"/>
  <c r="AE98" i="2"/>
  <c r="AE97" i="2"/>
  <c r="AE96" i="2"/>
  <c r="AE95" i="2"/>
  <c r="AE94" i="2"/>
  <c r="AE93" i="2"/>
  <c r="AE92" i="2"/>
  <c r="AE91" i="2"/>
  <c r="AE90" i="2"/>
  <c r="AE89" i="2"/>
  <c r="AE88" i="2"/>
  <c r="AE87" i="2"/>
  <c r="AE86" i="2"/>
  <c r="AE85" i="2"/>
  <c r="AE84" i="2"/>
  <c r="AE83" i="2"/>
  <c r="AE82" i="2"/>
  <c r="AE81" i="2"/>
  <c r="AE80" i="2"/>
  <c r="AE79" i="2"/>
  <c r="AE78" i="2"/>
  <c r="AE77" i="2"/>
  <c r="AE76" i="2"/>
  <c r="AE75" i="2"/>
  <c r="AE74" i="2"/>
  <c r="AE73" i="2"/>
  <c r="AE72" i="2"/>
  <c r="AE71" i="2"/>
  <c r="AE70" i="2"/>
  <c r="AE69" i="2"/>
  <c r="AE68" i="2"/>
  <c r="AE67" i="2"/>
  <c r="AE66" i="2"/>
  <c r="AE65" i="2"/>
  <c r="AE64" i="2"/>
  <c r="AE63" i="2"/>
  <c r="AE62" i="2"/>
  <c r="AE61" i="2"/>
  <c r="AE60" i="2"/>
  <c r="AE59" i="2"/>
  <c r="AE58" i="2"/>
  <c r="AE57" i="2"/>
  <c r="AE56" i="2"/>
  <c r="AE55" i="2"/>
  <c r="AE54" i="2"/>
  <c r="AE53" i="2"/>
  <c r="AE52" i="2"/>
  <c r="AE51" i="2"/>
  <c r="AE50" i="2"/>
  <c r="AE49" i="2"/>
  <c r="AE48" i="2"/>
  <c r="AE47" i="2"/>
  <c r="AE46" i="2"/>
  <c r="AE45" i="2"/>
  <c r="AE44" i="2"/>
  <c r="AE43" i="2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E3" i="2"/>
  <c r="CF337" i="5"/>
  <c r="CH333" i="5"/>
  <c r="CG333" i="5"/>
  <c r="CF333" i="5"/>
  <c r="CH317" i="5"/>
  <c r="CG317" i="5"/>
  <c r="CF317" i="5"/>
  <c r="CH316" i="5"/>
  <c r="CG316" i="5"/>
  <c r="CF316" i="5"/>
  <c r="CH315" i="5"/>
  <c r="CG315" i="5"/>
  <c r="CF315" i="5"/>
  <c r="CH314" i="5"/>
  <c r="CG314" i="5"/>
  <c r="CF314" i="5"/>
  <c r="CH313" i="5"/>
  <c r="CG313" i="5"/>
  <c r="CF313" i="5"/>
  <c r="CH312" i="5"/>
  <c r="CG312" i="5"/>
  <c r="CF312" i="5"/>
  <c r="CH311" i="5"/>
  <c r="CG311" i="5"/>
  <c r="CF311" i="5"/>
  <c r="CH310" i="5"/>
  <c r="CG310" i="5"/>
  <c r="CF310" i="5"/>
  <c r="CH309" i="5"/>
  <c r="CG309" i="5"/>
  <c r="CF309" i="5"/>
  <c r="CH308" i="5"/>
  <c r="CG308" i="5"/>
  <c r="CF308" i="5"/>
  <c r="CH307" i="5"/>
  <c r="CG307" i="5"/>
  <c r="CF307" i="5"/>
  <c r="CH306" i="5"/>
  <c r="CG306" i="5"/>
  <c r="CF306" i="5"/>
  <c r="CH305" i="5"/>
  <c r="CG305" i="5"/>
  <c r="CF305" i="5"/>
  <c r="CH304" i="5"/>
  <c r="CG304" i="5"/>
  <c r="CF304" i="5"/>
  <c r="CH303" i="5"/>
  <c r="CG303" i="5"/>
  <c r="CF303" i="5"/>
  <c r="CH302" i="5"/>
  <c r="CG302" i="5"/>
  <c r="CF302" i="5"/>
  <c r="CH301" i="5"/>
  <c r="CG301" i="5"/>
  <c r="CF301" i="5"/>
  <c r="CH300" i="5"/>
  <c r="CG300" i="5"/>
  <c r="CF300" i="5"/>
  <c r="CH299" i="5"/>
  <c r="CG299" i="5"/>
  <c r="CF299" i="5"/>
  <c r="CH298" i="5"/>
  <c r="CG298" i="5"/>
  <c r="CF298" i="5"/>
  <c r="CH297" i="5"/>
  <c r="CG297" i="5"/>
  <c r="CF297" i="5"/>
  <c r="CH296" i="5"/>
  <c r="CG296" i="5"/>
  <c r="CF296" i="5"/>
  <c r="CH295" i="5"/>
  <c r="CG295" i="5"/>
  <c r="CF295" i="5"/>
  <c r="CH294" i="5"/>
  <c r="CG294" i="5"/>
  <c r="CF294" i="5"/>
  <c r="CH293" i="5"/>
  <c r="CG293" i="5"/>
  <c r="CF293" i="5"/>
  <c r="CH292" i="5"/>
  <c r="CG292" i="5"/>
  <c r="CH291" i="5"/>
  <c r="CG291" i="5"/>
  <c r="CF291" i="5"/>
  <c r="CH290" i="5"/>
  <c r="CG290" i="5"/>
  <c r="CF290" i="5"/>
  <c r="CH289" i="5"/>
  <c r="CG289" i="5"/>
  <c r="CF289" i="5"/>
  <c r="CH288" i="5"/>
  <c r="CG288" i="5"/>
  <c r="CF288" i="5"/>
  <c r="CH287" i="5"/>
  <c r="CG287" i="5"/>
  <c r="CF287" i="5"/>
  <c r="CH286" i="5"/>
  <c r="CG286" i="5"/>
  <c r="CF286" i="5"/>
  <c r="CH285" i="5"/>
  <c r="CG285" i="5"/>
  <c r="CF285" i="5"/>
  <c r="CH284" i="5"/>
  <c r="CG284" i="5"/>
  <c r="CF284" i="5"/>
  <c r="CH283" i="5"/>
  <c r="CG283" i="5"/>
  <c r="CF283" i="5"/>
  <c r="CH282" i="5"/>
  <c r="CG282" i="5"/>
  <c r="CF282" i="5"/>
  <c r="CH281" i="5"/>
  <c r="CG281" i="5"/>
  <c r="CF281" i="5"/>
  <c r="CH280" i="5"/>
  <c r="CG280" i="5"/>
  <c r="CF280" i="5"/>
  <c r="CH279" i="5"/>
  <c r="CG279" i="5"/>
  <c r="CF279" i="5"/>
  <c r="CH278" i="5"/>
  <c r="CG278" i="5"/>
  <c r="CF278" i="5"/>
  <c r="CH277" i="5"/>
  <c r="CG277" i="5"/>
  <c r="CF277" i="5"/>
  <c r="CH276" i="5"/>
  <c r="CG276" i="5"/>
  <c r="CF276" i="5"/>
  <c r="CH275" i="5"/>
  <c r="CG275" i="5"/>
  <c r="CF275" i="5"/>
  <c r="CH274" i="5"/>
  <c r="CG274" i="5"/>
  <c r="CF274" i="5"/>
  <c r="CH273" i="5"/>
  <c r="CG273" i="5"/>
  <c r="CF273" i="5"/>
  <c r="CH272" i="5"/>
  <c r="CG272" i="5"/>
  <c r="CF272" i="5"/>
  <c r="CH271" i="5"/>
  <c r="CG271" i="5"/>
  <c r="CF271" i="5"/>
  <c r="CH270" i="5"/>
  <c r="CG270" i="5"/>
  <c r="CF270" i="5"/>
  <c r="CH269" i="5"/>
  <c r="CG269" i="5"/>
  <c r="CF269" i="5"/>
  <c r="CH268" i="5"/>
  <c r="CG268" i="5"/>
  <c r="CF268" i="5"/>
  <c r="CH267" i="5"/>
  <c r="CG267" i="5"/>
  <c r="CF267" i="5"/>
  <c r="CH266" i="5"/>
  <c r="CG266" i="5"/>
  <c r="CF266" i="5"/>
  <c r="CH265" i="5"/>
  <c r="CG265" i="5"/>
  <c r="CF265" i="5"/>
  <c r="CH264" i="5"/>
  <c r="CG264" i="5"/>
  <c r="CF264" i="5"/>
  <c r="CH263" i="5"/>
  <c r="CG263" i="5"/>
  <c r="CF263" i="5"/>
  <c r="CH262" i="5"/>
  <c r="CG262" i="5"/>
  <c r="CF262" i="5"/>
  <c r="CH261" i="5"/>
  <c r="CG261" i="5"/>
  <c r="CF261" i="5"/>
  <c r="CH260" i="5"/>
  <c r="CG260" i="5"/>
  <c r="CF260" i="5"/>
  <c r="CH259" i="5"/>
  <c r="CG259" i="5"/>
  <c r="CF259" i="5"/>
  <c r="CH258" i="5"/>
  <c r="CG258" i="5"/>
  <c r="CF258" i="5"/>
  <c r="CH257" i="5"/>
  <c r="CG257" i="5"/>
  <c r="CF257" i="5"/>
  <c r="CH256" i="5"/>
  <c r="CG256" i="5"/>
  <c r="CF256" i="5"/>
  <c r="CH255" i="5"/>
  <c r="CG255" i="5"/>
  <c r="CF255" i="5"/>
  <c r="CH254" i="5"/>
  <c r="CG254" i="5"/>
  <c r="CF254" i="5"/>
  <c r="CH253" i="5"/>
  <c r="CG253" i="5"/>
  <c r="CF253" i="5"/>
  <c r="CH252" i="5"/>
  <c r="CG252" i="5"/>
  <c r="CF252" i="5"/>
  <c r="CH251" i="5"/>
  <c r="CG251" i="5"/>
  <c r="CF251" i="5"/>
  <c r="CH250" i="5"/>
  <c r="CG250" i="5"/>
  <c r="CF250" i="5"/>
  <c r="CH249" i="5"/>
  <c r="CG249" i="5"/>
  <c r="CF249" i="5"/>
  <c r="CH248" i="5"/>
  <c r="CG248" i="5"/>
  <c r="CF248" i="5"/>
  <c r="CH247" i="5"/>
  <c r="CG247" i="5"/>
  <c r="CF247" i="5"/>
  <c r="CH246" i="5"/>
  <c r="CG246" i="5"/>
  <c r="CF246" i="5"/>
  <c r="CH245" i="5"/>
  <c r="CG245" i="5"/>
  <c r="CF245" i="5"/>
  <c r="CH244" i="5"/>
  <c r="CG244" i="5"/>
  <c r="CF244" i="5"/>
  <c r="CH243" i="5"/>
  <c r="CG243" i="5"/>
  <c r="CF243" i="5"/>
  <c r="CH242" i="5"/>
  <c r="CG242" i="5"/>
  <c r="CF242" i="5"/>
  <c r="CH241" i="5"/>
  <c r="CG241" i="5"/>
  <c r="CF241" i="5"/>
  <c r="CH240" i="5"/>
  <c r="CG240" i="5"/>
  <c r="CF240" i="5"/>
  <c r="CH239" i="5"/>
  <c r="CG239" i="5"/>
  <c r="CF239" i="5"/>
  <c r="CH238" i="5"/>
  <c r="CG238" i="5"/>
  <c r="CF238" i="5"/>
  <c r="CH237" i="5"/>
  <c r="CG237" i="5"/>
  <c r="CF237" i="5"/>
  <c r="CH236" i="5"/>
  <c r="CG236" i="5"/>
  <c r="CF236" i="5"/>
  <c r="CH235" i="5"/>
  <c r="CG235" i="5"/>
  <c r="CF235" i="5"/>
  <c r="CH234" i="5"/>
  <c r="CG234" i="5"/>
  <c r="CF234" i="5"/>
  <c r="CH233" i="5"/>
  <c r="CG233" i="5"/>
  <c r="CF233" i="5"/>
  <c r="CH232" i="5"/>
  <c r="CG232" i="5"/>
  <c r="CF232" i="5"/>
  <c r="CH231" i="5"/>
  <c r="CG231" i="5"/>
  <c r="CF231" i="5"/>
  <c r="CH230" i="5"/>
  <c r="CG230" i="5"/>
  <c r="CF230" i="5"/>
  <c r="CH229" i="5"/>
  <c r="CG229" i="5"/>
  <c r="CF229" i="5"/>
  <c r="CH228" i="5"/>
  <c r="CG228" i="5"/>
  <c r="CF228" i="5"/>
  <c r="CH227" i="5"/>
  <c r="CG227" i="5"/>
  <c r="CF227" i="5"/>
  <c r="CH226" i="5"/>
  <c r="CG226" i="5"/>
  <c r="CF226" i="5"/>
  <c r="CH225" i="5"/>
  <c r="CG225" i="5"/>
  <c r="CF225" i="5"/>
  <c r="CH224" i="5"/>
  <c r="CG224" i="5"/>
  <c r="CF224" i="5"/>
  <c r="CH223" i="5"/>
  <c r="CG223" i="5"/>
  <c r="CF223" i="5"/>
  <c r="CH222" i="5"/>
  <c r="CG222" i="5"/>
  <c r="CF222" i="5"/>
  <c r="CH221" i="5"/>
  <c r="CG221" i="5"/>
  <c r="CF221" i="5"/>
  <c r="CH220" i="5"/>
  <c r="CG220" i="5"/>
  <c r="CF220" i="5"/>
  <c r="CH219" i="5"/>
  <c r="CG219" i="5"/>
  <c r="CF219" i="5"/>
  <c r="CH218" i="5"/>
  <c r="CG218" i="5"/>
  <c r="CF218" i="5"/>
  <c r="CH217" i="5"/>
  <c r="CG217" i="5"/>
  <c r="CF217" i="5"/>
  <c r="CH216" i="5"/>
  <c r="CG216" i="5"/>
  <c r="CF216" i="5"/>
  <c r="CH215" i="5"/>
  <c r="CG215" i="5"/>
  <c r="CF215" i="5"/>
  <c r="CH214" i="5"/>
  <c r="CG214" i="5"/>
  <c r="CF214" i="5"/>
  <c r="CH213" i="5"/>
  <c r="CG213" i="5"/>
  <c r="CF213" i="5"/>
  <c r="CH212" i="5"/>
  <c r="CG212" i="5"/>
  <c r="CF212" i="5"/>
  <c r="CH211" i="5"/>
  <c r="CG211" i="5"/>
  <c r="CF211" i="5"/>
  <c r="CH210" i="5"/>
  <c r="CG210" i="5"/>
  <c r="CF210" i="5"/>
  <c r="CH209" i="5"/>
  <c r="CG209" i="5"/>
  <c r="CF209" i="5"/>
  <c r="CH208" i="5"/>
  <c r="CG208" i="5"/>
  <c r="CF208" i="5"/>
  <c r="CH207" i="5"/>
  <c r="CG207" i="5"/>
  <c r="CF207" i="5"/>
  <c r="CH206" i="5"/>
  <c r="CG206" i="5"/>
  <c r="CF206" i="5"/>
  <c r="CH205" i="5"/>
  <c r="CG205" i="5"/>
  <c r="CF205" i="5"/>
  <c r="CH204" i="5"/>
  <c r="CG204" i="5"/>
  <c r="CF204" i="5"/>
  <c r="CH203" i="5"/>
  <c r="CG203" i="5"/>
  <c r="CF203" i="5"/>
  <c r="CH202" i="5"/>
  <c r="CG202" i="5"/>
  <c r="CF202" i="5"/>
  <c r="CH201" i="5"/>
  <c r="CG201" i="5"/>
  <c r="CF201" i="5"/>
  <c r="CH200" i="5"/>
  <c r="CG200" i="5"/>
  <c r="CF200" i="5"/>
  <c r="CH199" i="5"/>
  <c r="CG199" i="5"/>
  <c r="CF199" i="5"/>
  <c r="CH198" i="5"/>
  <c r="CG198" i="5"/>
  <c r="CF198" i="5"/>
  <c r="CH197" i="5"/>
  <c r="CG197" i="5"/>
  <c r="CF197" i="5"/>
  <c r="CH196" i="5"/>
  <c r="CG196" i="5"/>
  <c r="CF196" i="5"/>
  <c r="CH195" i="5"/>
  <c r="CG195" i="5"/>
  <c r="CF195" i="5"/>
  <c r="CH194" i="5"/>
  <c r="CG194" i="5"/>
  <c r="CF194" i="5"/>
  <c r="CH193" i="5"/>
  <c r="CG193" i="5"/>
  <c r="CF193" i="5"/>
  <c r="CH192" i="5"/>
  <c r="CG192" i="5"/>
  <c r="CF192" i="5"/>
  <c r="CH191" i="5"/>
  <c r="CG191" i="5"/>
  <c r="CF191" i="5"/>
  <c r="CH190" i="5"/>
  <c r="CG190" i="5"/>
  <c r="CF190" i="5"/>
  <c r="CH189" i="5"/>
  <c r="CG189" i="5"/>
  <c r="CF189" i="5"/>
  <c r="CH188" i="5"/>
  <c r="CG188" i="5"/>
  <c r="CF188" i="5"/>
  <c r="CH187" i="5"/>
  <c r="CG187" i="5"/>
  <c r="CF187" i="5"/>
  <c r="CH186" i="5"/>
  <c r="CG186" i="5"/>
  <c r="CF186" i="5"/>
  <c r="CH185" i="5"/>
  <c r="CG185" i="5"/>
  <c r="CF185" i="5"/>
  <c r="CH184" i="5"/>
  <c r="CG184" i="5"/>
  <c r="CF184" i="5"/>
  <c r="CH183" i="5"/>
  <c r="CG183" i="5"/>
  <c r="CF183" i="5"/>
  <c r="CH182" i="5"/>
  <c r="CG182" i="5"/>
  <c r="CF182" i="5"/>
  <c r="CH181" i="5"/>
  <c r="CG181" i="5"/>
  <c r="CF181" i="5"/>
  <c r="CH180" i="5"/>
  <c r="CG180" i="5"/>
  <c r="CF180" i="5"/>
  <c r="CH179" i="5"/>
  <c r="CG179" i="5"/>
  <c r="CF179" i="5"/>
  <c r="CH178" i="5"/>
  <c r="CG178" i="5"/>
  <c r="CF178" i="5"/>
  <c r="CH177" i="5"/>
  <c r="CG177" i="5"/>
  <c r="CF177" i="5"/>
  <c r="CH176" i="5"/>
  <c r="CG176" i="5"/>
  <c r="CF176" i="5"/>
  <c r="CH175" i="5"/>
  <c r="CG175" i="5"/>
  <c r="CF175" i="5"/>
  <c r="CH174" i="5"/>
  <c r="CG174" i="5"/>
  <c r="CF174" i="5"/>
  <c r="CH173" i="5"/>
  <c r="CG173" i="5"/>
  <c r="CF173" i="5"/>
  <c r="CH172" i="5"/>
  <c r="CG172" i="5"/>
  <c r="CF172" i="5"/>
  <c r="CH171" i="5"/>
  <c r="CG171" i="5"/>
  <c r="CF171" i="5"/>
  <c r="CH170" i="5"/>
  <c r="CG170" i="5"/>
  <c r="CF170" i="5"/>
  <c r="CH169" i="5"/>
  <c r="CG169" i="5"/>
  <c r="CF169" i="5"/>
  <c r="CH168" i="5"/>
  <c r="CG168" i="5"/>
  <c r="CF168" i="5"/>
  <c r="CH167" i="5"/>
  <c r="CG167" i="5"/>
  <c r="CF167" i="5"/>
  <c r="CH166" i="5"/>
  <c r="CG166" i="5"/>
  <c r="CF166" i="5"/>
  <c r="CH165" i="5"/>
  <c r="CG165" i="5"/>
  <c r="CF165" i="5"/>
  <c r="CH164" i="5"/>
  <c r="CG164" i="5"/>
  <c r="CF164" i="5"/>
  <c r="CH163" i="5"/>
  <c r="CG163" i="5"/>
  <c r="CF163" i="5"/>
  <c r="CH162" i="5"/>
  <c r="CG162" i="5"/>
  <c r="CF162" i="5"/>
  <c r="CH161" i="5"/>
  <c r="CG161" i="5"/>
  <c r="CF161" i="5"/>
  <c r="CH160" i="5"/>
  <c r="CG160" i="5"/>
  <c r="CF160" i="5"/>
  <c r="CH159" i="5"/>
  <c r="CG159" i="5"/>
  <c r="CF159" i="5"/>
  <c r="CH158" i="5"/>
  <c r="CG158" i="5"/>
  <c r="CF158" i="5"/>
  <c r="CH157" i="5"/>
  <c r="CG157" i="5"/>
  <c r="CF157" i="5"/>
  <c r="CH156" i="5"/>
  <c r="CG156" i="5"/>
  <c r="CF156" i="5"/>
  <c r="CH155" i="5"/>
  <c r="CG155" i="5"/>
  <c r="CF155" i="5"/>
  <c r="CH154" i="5"/>
  <c r="CG154" i="5"/>
  <c r="CF154" i="5"/>
  <c r="CH153" i="5"/>
  <c r="CG153" i="5"/>
  <c r="CF153" i="5"/>
  <c r="CH152" i="5"/>
  <c r="CG152" i="5"/>
  <c r="CF152" i="5"/>
  <c r="CH151" i="5"/>
  <c r="CG151" i="5"/>
  <c r="CF151" i="5"/>
  <c r="CH150" i="5"/>
  <c r="CG150" i="5"/>
  <c r="CF150" i="5"/>
  <c r="CH149" i="5"/>
  <c r="CG149" i="5"/>
  <c r="CF149" i="5"/>
  <c r="CH148" i="5"/>
  <c r="CG148" i="5"/>
  <c r="CF148" i="5"/>
  <c r="CH147" i="5"/>
  <c r="CG147" i="5"/>
  <c r="CF147" i="5"/>
  <c r="CH146" i="5"/>
  <c r="CG146" i="5"/>
  <c r="CF146" i="5"/>
  <c r="CH145" i="5"/>
  <c r="CG145" i="5"/>
  <c r="CF145" i="5"/>
  <c r="CH144" i="5"/>
  <c r="CG144" i="5"/>
  <c r="CF144" i="5"/>
  <c r="CH143" i="5"/>
  <c r="CG143" i="5"/>
  <c r="CF143" i="5"/>
  <c r="CH142" i="5"/>
  <c r="CG142" i="5"/>
  <c r="CF142" i="5"/>
  <c r="CH141" i="5"/>
  <c r="CG141" i="5"/>
  <c r="CF141" i="5"/>
  <c r="CH140" i="5"/>
  <c r="CG140" i="5"/>
  <c r="CF140" i="5"/>
  <c r="CH139" i="5"/>
  <c r="CG139" i="5"/>
  <c r="CF139" i="5"/>
  <c r="CH138" i="5"/>
  <c r="CG138" i="5"/>
  <c r="CF138" i="5"/>
  <c r="CH137" i="5"/>
  <c r="CG137" i="5"/>
  <c r="CF137" i="5"/>
  <c r="CH136" i="5"/>
  <c r="CG136" i="5"/>
  <c r="CF136" i="5"/>
  <c r="CH135" i="5"/>
  <c r="CG135" i="5"/>
  <c r="CF135" i="5"/>
  <c r="CH134" i="5"/>
  <c r="CG134" i="5"/>
  <c r="CF134" i="5"/>
  <c r="CH133" i="5"/>
  <c r="CG133" i="5"/>
  <c r="CF133" i="5"/>
  <c r="CH132" i="5"/>
  <c r="CG132" i="5"/>
  <c r="CF132" i="5"/>
  <c r="CH131" i="5"/>
  <c r="CG131" i="5"/>
  <c r="CF131" i="5"/>
  <c r="CH130" i="5"/>
  <c r="CG130" i="5"/>
  <c r="CF130" i="5"/>
  <c r="CH129" i="5"/>
  <c r="CG129" i="5"/>
  <c r="CF129" i="5"/>
  <c r="CH128" i="5"/>
  <c r="CG128" i="5"/>
  <c r="CF128" i="5"/>
  <c r="CH127" i="5"/>
  <c r="CG127" i="5"/>
  <c r="CF127" i="5"/>
  <c r="CH126" i="5"/>
  <c r="CG126" i="5"/>
  <c r="CF126" i="5"/>
  <c r="CH125" i="5"/>
  <c r="CG125" i="5"/>
  <c r="CF125" i="5"/>
  <c r="CH124" i="5"/>
  <c r="CG124" i="5"/>
  <c r="CF124" i="5"/>
  <c r="CH123" i="5"/>
  <c r="CG123" i="5"/>
  <c r="CF123" i="5"/>
  <c r="CH122" i="5"/>
  <c r="CG122" i="5"/>
  <c r="CF122" i="5"/>
  <c r="CH121" i="5"/>
  <c r="CG121" i="5"/>
  <c r="CF121" i="5"/>
  <c r="CH120" i="5"/>
  <c r="CG120" i="5"/>
  <c r="CF120" i="5"/>
  <c r="CH119" i="5"/>
  <c r="CG119" i="5"/>
  <c r="CF119" i="5"/>
  <c r="CH118" i="5"/>
  <c r="CG118" i="5"/>
  <c r="CF118" i="5"/>
  <c r="CH117" i="5"/>
  <c r="CG117" i="5"/>
  <c r="CF117" i="5"/>
  <c r="CH116" i="5"/>
  <c r="CG116" i="5"/>
  <c r="CF116" i="5"/>
  <c r="CH115" i="5"/>
  <c r="CG115" i="5"/>
  <c r="CF115" i="5"/>
  <c r="CH114" i="5"/>
  <c r="CG114" i="5"/>
  <c r="CF114" i="5"/>
  <c r="CH113" i="5"/>
  <c r="CG113" i="5"/>
  <c r="CF113" i="5"/>
  <c r="CH112" i="5"/>
  <c r="CG112" i="5"/>
  <c r="CF112" i="5"/>
  <c r="CF111" i="5"/>
  <c r="CH110" i="5"/>
  <c r="CG110" i="5"/>
  <c r="CF110" i="5"/>
  <c r="CG109" i="5"/>
  <c r="CF109" i="5"/>
  <c r="CH108" i="5"/>
  <c r="CG108" i="5"/>
  <c r="CF108" i="5"/>
  <c r="CH107" i="5"/>
  <c r="CG107" i="5"/>
  <c r="CH106" i="5"/>
  <c r="CG106" i="5"/>
  <c r="CF106" i="5"/>
  <c r="CH105" i="5"/>
  <c r="CG105" i="5"/>
  <c r="CF105" i="5"/>
  <c r="CH104" i="5"/>
  <c r="CG104" i="5"/>
  <c r="CF104" i="5"/>
  <c r="CH103" i="5"/>
  <c r="CG103" i="5"/>
  <c r="CF103" i="5"/>
  <c r="CH102" i="5"/>
  <c r="CG102" i="5"/>
  <c r="CF102" i="5"/>
  <c r="CH101" i="5"/>
  <c r="CG101" i="5"/>
  <c r="CF101" i="5"/>
  <c r="CH100" i="5"/>
  <c r="CG100" i="5"/>
  <c r="CF100" i="5"/>
  <c r="CH99" i="5"/>
  <c r="CG99" i="5"/>
  <c r="CF99" i="5"/>
  <c r="CH98" i="5"/>
  <c r="CG98" i="5"/>
  <c r="CF98" i="5"/>
  <c r="CH97" i="5"/>
  <c r="CG97" i="5"/>
  <c r="CF97" i="5"/>
  <c r="CH96" i="5"/>
  <c r="CG96" i="5"/>
  <c r="CF96" i="5"/>
  <c r="CH95" i="5"/>
  <c r="CG95" i="5"/>
  <c r="CF95" i="5"/>
  <c r="CH94" i="5"/>
  <c r="CG94" i="5"/>
  <c r="CF94" i="5"/>
  <c r="CH93" i="5"/>
  <c r="CG93" i="5"/>
  <c r="CF93" i="5"/>
  <c r="CH92" i="5"/>
  <c r="CG92" i="5"/>
  <c r="CF92" i="5"/>
  <c r="CH91" i="5"/>
  <c r="CG91" i="5"/>
  <c r="CF91" i="5"/>
  <c r="CH90" i="5"/>
  <c r="CG90" i="5"/>
  <c r="CF90" i="5"/>
  <c r="CH89" i="5"/>
  <c r="CG89" i="5"/>
  <c r="CF89" i="5"/>
  <c r="CH88" i="5"/>
  <c r="CG88" i="5"/>
  <c r="CF88" i="5"/>
  <c r="CH87" i="5"/>
  <c r="CG87" i="5"/>
  <c r="CF87" i="5"/>
  <c r="CH86" i="5"/>
  <c r="CG86" i="5"/>
  <c r="CF86" i="5"/>
  <c r="CH85" i="5"/>
  <c r="CG85" i="5"/>
  <c r="CF85" i="5"/>
  <c r="CH84" i="5"/>
  <c r="CG84" i="5"/>
  <c r="CF84" i="5"/>
  <c r="CH83" i="5"/>
  <c r="CG83" i="5"/>
  <c r="CF83" i="5"/>
  <c r="CH82" i="5"/>
  <c r="CG82" i="5"/>
  <c r="CF82" i="5"/>
  <c r="CH81" i="5"/>
  <c r="CG81" i="5"/>
  <c r="CF81" i="5"/>
  <c r="CH80" i="5"/>
  <c r="CG80" i="5"/>
  <c r="CF80" i="5"/>
  <c r="CH79" i="5"/>
  <c r="CG79" i="5"/>
  <c r="CF79" i="5"/>
  <c r="CH78" i="5"/>
  <c r="CG78" i="5"/>
  <c r="CF78" i="5"/>
  <c r="CH77" i="5"/>
  <c r="CG77" i="5"/>
  <c r="CF77" i="5"/>
  <c r="CH76" i="5"/>
  <c r="CG76" i="5"/>
  <c r="CF76" i="5"/>
  <c r="CH75" i="5"/>
  <c r="CG75" i="5"/>
  <c r="CF75" i="5"/>
  <c r="CH74" i="5"/>
  <c r="CG74" i="5"/>
  <c r="CF74" i="5"/>
  <c r="CH73" i="5"/>
  <c r="CG73" i="5"/>
  <c r="CF73" i="5"/>
  <c r="CH72" i="5"/>
  <c r="CG72" i="5"/>
  <c r="CF72" i="5"/>
  <c r="CH71" i="5"/>
  <c r="CG71" i="5"/>
  <c r="CF71" i="5"/>
  <c r="CH70" i="5"/>
  <c r="CG70" i="5"/>
  <c r="CF70" i="5"/>
  <c r="CH69" i="5"/>
  <c r="CG69" i="5"/>
  <c r="CF69" i="5"/>
  <c r="CH68" i="5"/>
  <c r="CG68" i="5"/>
  <c r="CF68" i="5"/>
  <c r="CH67" i="5"/>
  <c r="CG67" i="5"/>
  <c r="CF67" i="5"/>
  <c r="CH66" i="5"/>
  <c r="CG66" i="5"/>
  <c r="CF66" i="5"/>
  <c r="CH65" i="5"/>
  <c r="CG65" i="5"/>
  <c r="CF65" i="5"/>
  <c r="CH64" i="5"/>
  <c r="CG64" i="5"/>
  <c r="CF64" i="5"/>
  <c r="CH63" i="5"/>
  <c r="CG63" i="5"/>
  <c r="CF63" i="5"/>
  <c r="CH62" i="5"/>
  <c r="CG62" i="5"/>
  <c r="CF62" i="5"/>
  <c r="CH61" i="5"/>
  <c r="CG61" i="5"/>
  <c r="CF61" i="5"/>
  <c r="CH60" i="5"/>
  <c r="CG60" i="5"/>
  <c r="CF60" i="5"/>
  <c r="CH59" i="5"/>
  <c r="CG59" i="5"/>
  <c r="CF59" i="5"/>
  <c r="CH58" i="5"/>
  <c r="CG58" i="5"/>
  <c r="CF58" i="5"/>
  <c r="CH57" i="5"/>
  <c r="CG57" i="5"/>
  <c r="CF57" i="5"/>
  <c r="CH56" i="5"/>
  <c r="CG56" i="5"/>
  <c r="CF56" i="5"/>
  <c r="CH55" i="5"/>
  <c r="CG55" i="5"/>
  <c r="CF55" i="5"/>
  <c r="CH54" i="5"/>
  <c r="CG54" i="5"/>
  <c r="CF54" i="5"/>
  <c r="CH53" i="5"/>
  <c r="CG53" i="5"/>
  <c r="CF53" i="5"/>
  <c r="CH52" i="5"/>
  <c r="CG52" i="5"/>
  <c r="CF52" i="5"/>
  <c r="CH51" i="5"/>
  <c r="CG51" i="5"/>
  <c r="CF51" i="5"/>
  <c r="CH50" i="5"/>
  <c r="CG50" i="5"/>
  <c r="CF50" i="5"/>
  <c r="CH49" i="5"/>
  <c r="CG49" i="5"/>
  <c r="CF49" i="5"/>
  <c r="CH48" i="5"/>
  <c r="CG48" i="5"/>
  <c r="CF48" i="5"/>
  <c r="CH47" i="5"/>
  <c r="CG47" i="5"/>
  <c r="CF47" i="5"/>
  <c r="CH46" i="5"/>
  <c r="CG46" i="5"/>
  <c r="CF46" i="5"/>
  <c r="CH45" i="5"/>
  <c r="CG45" i="5"/>
  <c r="CF45" i="5"/>
  <c r="CH44" i="5"/>
  <c r="CG44" i="5"/>
  <c r="CF44" i="5"/>
  <c r="CH43" i="5"/>
  <c r="CG43" i="5"/>
  <c r="CF43" i="5"/>
  <c r="CH42" i="5"/>
  <c r="CG42" i="5"/>
  <c r="CF42" i="5"/>
  <c r="CH41" i="5"/>
  <c r="CG41" i="5"/>
  <c r="CF41" i="5"/>
  <c r="CH40" i="5"/>
  <c r="CG40" i="5"/>
  <c r="CF40" i="5"/>
  <c r="CH39" i="5"/>
  <c r="CG39" i="5"/>
  <c r="CF39" i="5"/>
  <c r="CH38" i="5"/>
  <c r="CG38" i="5"/>
  <c r="CF38" i="5"/>
  <c r="CH37" i="5"/>
  <c r="CG37" i="5"/>
  <c r="CF37" i="5"/>
  <c r="CH36" i="5"/>
  <c r="CG36" i="5"/>
  <c r="CF36" i="5"/>
  <c r="CH35" i="5"/>
  <c r="CG35" i="5"/>
  <c r="CF35" i="5"/>
  <c r="CH34" i="5"/>
  <c r="CG34" i="5"/>
  <c r="CF34" i="5"/>
  <c r="CH33" i="5"/>
  <c r="CG33" i="5"/>
  <c r="CF33" i="5"/>
  <c r="CH32" i="5"/>
  <c r="CG32" i="5"/>
  <c r="CF32" i="5"/>
  <c r="CH31" i="5"/>
  <c r="CG31" i="5"/>
  <c r="CF31" i="5"/>
  <c r="CH30" i="5"/>
  <c r="CG30" i="5"/>
  <c r="CF30" i="5"/>
  <c r="CH29" i="5"/>
  <c r="CG29" i="5"/>
  <c r="CF29" i="5"/>
  <c r="CH28" i="5"/>
  <c r="CG28" i="5"/>
  <c r="CF28" i="5"/>
  <c r="CH27" i="5"/>
  <c r="CG27" i="5"/>
  <c r="CF27" i="5"/>
  <c r="CH26" i="5"/>
  <c r="CG26" i="5"/>
  <c r="CF26" i="5"/>
  <c r="CH25" i="5"/>
  <c r="CG25" i="5"/>
  <c r="CF25" i="5"/>
  <c r="CH24" i="5"/>
  <c r="CG24" i="5"/>
  <c r="CF24" i="5"/>
  <c r="CH23" i="5"/>
  <c r="CG23" i="5"/>
  <c r="CF23" i="5"/>
  <c r="CH22" i="5"/>
  <c r="CG22" i="5"/>
  <c r="CF22" i="5"/>
  <c r="CH21" i="5"/>
  <c r="CG21" i="5"/>
  <c r="CF21" i="5"/>
  <c r="CH20" i="5"/>
  <c r="CG20" i="5"/>
  <c r="CF20" i="5"/>
  <c r="CH19" i="5"/>
  <c r="CG19" i="5"/>
  <c r="CF19" i="5"/>
  <c r="CH18" i="5"/>
  <c r="CG18" i="5"/>
  <c r="CF18" i="5"/>
  <c r="CH17" i="5"/>
  <c r="CG17" i="5"/>
  <c r="CF17" i="5"/>
  <c r="CH16" i="5"/>
  <c r="CG16" i="5"/>
  <c r="CF16" i="5"/>
  <c r="CH15" i="5"/>
  <c r="CG15" i="5"/>
  <c r="CF15" i="5"/>
  <c r="CH14" i="5"/>
  <c r="CG14" i="5"/>
  <c r="CF14" i="5"/>
  <c r="CH13" i="5"/>
  <c r="CG13" i="5"/>
  <c r="CF13" i="5"/>
  <c r="CH12" i="5"/>
  <c r="CG12" i="5"/>
  <c r="CF12" i="5"/>
  <c r="CH11" i="5"/>
  <c r="CG11" i="5"/>
  <c r="CF11" i="5"/>
  <c r="CH10" i="5"/>
  <c r="CG10" i="5"/>
  <c r="CF10" i="5"/>
  <c r="CH9" i="5"/>
  <c r="CG9" i="5"/>
  <c r="CF9" i="5"/>
  <c r="CH8" i="5"/>
  <c r="CG8" i="5"/>
  <c r="CF8" i="5"/>
  <c r="CH7" i="5"/>
  <c r="CG7" i="5"/>
  <c r="CF7" i="5"/>
  <c r="CH6" i="5"/>
  <c r="CG6" i="5"/>
  <c r="CF6" i="5"/>
  <c r="CH5" i="5"/>
  <c r="CG5" i="5"/>
  <c r="CF5" i="5"/>
  <c r="AD249" i="1"/>
  <c r="AD244" i="1"/>
  <c r="AD235" i="1"/>
  <c r="AD229" i="1"/>
  <c r="AD228" i="1"/>
  <c r="AD227" i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AD123" i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D106" i="1"/>
  <c r="AD105" i="1"/>
  <c r="AD104" i="1"/>
  <c r="AD103" i="1"/>
  <c r="AD102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D84" i="1"/>
  <c r="AD83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7" i="1"/>
  <c r="AD66" i="1"/>
  <c r="AD65" i="1"/>
  <c r="AD64" i="1"/>
  <c r="AD63" i="1"/>
  <c r="AD62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215" i="3"/>
  <c r="AD214" i="3"/>
  <c r="AD213" i="3"/>
  <c r="AD210" i="3"/>
  <c r="AD209" i="3"/>
  <c r="AD208" i="3"/>
  <c r="AD205" i="3"/>
  <c r="AD204" i="3"/>
  <c r="AD203" i="3"/>
  <c r="AD202" i="3"/>
  <c r="AD199" i="3"/>
  <c r="AD198" i="3"/>
  <c r="AD195" i="3"/>
  <c r="AD194" i="3"/>
  <c r="AD193" i="3"/>
  <c r="AD190" i="3"/>
  <c r="AD189" i="3"/>
  <c r="AD186" i="3"/>
  <c r="AD185" i="3"/>
  <c r="AD184" i="3"/>
  <c r="AD171" i="3"/>
  <c r="AD170" i="3"/>
  <c r="AD169" i="3"/>
  <c r="AD168" i="3"/>
  <c r="AD167" i="3"/>
  <c r="AD166" i="3"/>
  <c r="AD165" i="3"/>
  <c r="AD164" i="3"/>
  <c r="AD163" i="3"/>
  <c r="AD162" i="3"/>
  <c r="AD161" i="3"/>
  <c r="AD160" i="3"/>
  <c r="AD159" i="3"/>
  <c r="AD158" i="3"/>
  <c r="AD157" i="3"/>
  <c r="AD156" i="3"/>
  <c r="AD155" i="3"/>
  <c r="AD154" i="3"/>
  <c r="AD153" i="3"/>
  <c r="AD152" i="3"/>
  <c r="AD151" i="3"/>
  <c r="AD150" i="3"/>
  <c r="AD149" i="3"/>
  <c r="AD148" i="3"/>
  <c r="AD147" i="3"/>
  <c r="AD146" i="3"/>
  <c r="AD145" i="3"/>
  <c r="AD144" i="3"/>
  <c r="AD143" i="3"/>
  <c r="AD142" i="3"/>
  <c r="AD141" i="3"/>
  <c r="AD140" i="3"/>
  <c r="AD139" i="3"/>
  <c r="AD138" i="3"/>
  <c r="AD137" i="3"/>
  <c r="AD136" i="3"/>
  <c r="AD135" i="3"/>
  <c r="AD134" i="3"/>
  <c r="AD133" i="3"/>
  <c r="AD132" i="3"/>
  <c r="AD131" i="3"/>
  <c r="AD130" i="3"/>
  <c r="AD129" i="3"/>
  <c r="AD128" i="3"/>
  <c r="AD127" i="3"/>
  <c r="AD126" i="3"/>
  <c r="AD125" i="3"/>
  <c r="AD124" i="3"/>
  <c r="AD123" i="3"/>
  <c r="AD122" i="3"/>
  <c r="AD121" i="3"/>
  <c r="AD120" i="3"/>
  <c r="AD119" i="3"/>
  <c r="AD118" i="3"/>
  <c r="AD117" i="3"/>
  <c r="AD116" i="3"/>
  <c r="AD115" i="3"/>
  <c r="AD114" i="3"/>
  <c r="AD113" i="3"/>
  <c r="AD222" i="3" s="1"/>
  <c r="AD112" i="3"/>
  <c r="AD111" i="3"/>
  <c r="AD110" i="3"/>
  <c r="AD109" i="3"/>
  <c r="AD108" i="3"/>
  <c r="AD107" i="3"/>
  <c r="AD106" i="3"/>
  <c r="AD105" i="3"/>
  <c r="AD104" i="3"/>
  <c r="AD103" i="3"/>
  <c r="AD102" i="3"/>
  <c r="AD101" i="3"/>
  <c r="AD100" i="3"/>
  <c r="AD99" i="3"/>
  <c r="AD98" i="3"/>
  <c r="AD97" i="3"/>
  <c r="AD96" i="3"/>
  <c r="AD95" i="3"/>
  <c r="AD94" i="3"/>
  <c r="AD93" i="3"/>
  <c r="AD92" i="3"/>
  <c r="AD91" i="3"/>
  <c r="AD90" i="3"/>
  <c r="AD89" i="3"/>
  <c r="AD88" i="3"/>
  <c r="AD87" i="3"/>
  <c r="AD86" i="3"/>
  <c r="AD85" i="3"/>
  <c r="AD84" i="3"/>
  <c r="AD83" i="3"/>
  <c r="AD82" i="3"/>
  <c r="AD81" i="3"/>
  <c r="AD80" i="3"/>
  <c r="AD79" i="3"/>
  <c r="AD78" i="3"/>
  <c r="AD77" i="3"/>
  <c r="AD76" i="3"/>
  <c r="AD75" i="3"/>
  <c r="AD74" i="3"/>
  <c r="AD73" i="3"/>
  <c r="AD72" i="3"/>
  <c r="AD71" i="3"/>
  <c r="AD70" i="3"/>
  <c r="AD69" i="3"/>
  <c r="AD68" i="3"/>
  <c r="AD67" i="3"/>
  <c r="AD66" i="3"/>
  <c r="AD65" i="3"/>
  <c r="AD64" i="3"/>
  <c r="AD63" i="3"/>
  <c r="AD62" i="3"/>
  <c r="AD61" i="3"/>
  <c r="AD60" i="3"/>
  <c r="AD59" i="3"/>
  <c r="AD58" i="3"/>
  <c r="AD57" i="3"/>
  <c r="AD56" i="3"/>
  <c r="AD55" i="3"/>
  <c r="AD54" i="3"/>
  <c r="AD53" i="3"/>
  <c r="AD52" i="3"/>
  <c r="AD51" i="3"/>
  <c r="AD50" i="3"/>
  <c r="AD49" i="3"/>
  <c r="AD48" i="3"/>
  <c r="AD47" i="3"/>
  <c r="AD46" i="3"/>
  <c r="AD45" i="3"/>
  <c r="AD44" i="3"/>
  <c r="AD43" i="3"/>
  <c r="AD42" i="3"/>
  <c r="AD41" i="3"/>
  <c r="AD40" i="3"/>
  <c r="AD39" i="3"/>
  <c r="AD38" i="3"/>
  <c r="AD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D11" i="3"/>
  <c r="AD10" i="3"/>
  <c r="AD9" i="3"/>
  <c r="AD8" i="3"/>
  <c r="AD7" i="3"/>
  <c r="AD6" i="3"/>
  <c r="AD5" i="3"/>
  <c r="AD4" i="3"/>
  <c r="AD3" i="3"/>
  <c r="AD229" i="2"/>
  <c r="AD228" i="2"/>
  <c r="AD227" i="2"/>
  <c r="AD226" i="2"/>
  <c r="AD224" i="2"/>
  <c r="AD223" i="2"/>
  <c r="AD222" i="2"/>
  <c r="AD221" i="2"/>
  <c r="AD219" i="2"/>
  <c r="AD218" i="2"/>
  <c r="AD217" i="2"/>
  <c r="AD214" i="2"/>
  <c r="AD213" i="2"/>
  <c r="AD212" i="2"/>
  <c r="AD209" i="2"/>
  <c r="AD208" i="2"/>
  <c r="AD207" i="2"/>
  <c r="AD206" i="2"/>
  <c r="AD203" i="2"/>
  <c r="AD202" i="2"/>
  <c r="AD199" i="2"/>
  <c r="AD198" i="2"/>
  <c r="AD197" i="2"/>
  <c r="AD194" i="2"/>
  <c r="AD193" i="2"/>
  <c r="AD190" i="2"/>
  <c r="AD283" i="2" s="1"/>
  <c r="AD189" i="2"/>
  <c r="AD188" i="2"/>
  <c r="AD184" i="2"/>
  <c r="AD171" i="2"/>
  <c r="AD170" i="2"/>
  <c r="AD169" i="2"/>
  <c r="AD168" i="2"/>
  <c r="AD167" i="2"/>
  <c r="AD166" i="2"/>
  <c r="AD165" i="2"/>
  <c r="AD164" i="2"/>
  <c r="AD163" i="2"/>
  <c r="AD162" i="2"/>
  <c r="AD161" i="2"/>
  <c r="AD160" i="2"/>
  <c r="AD159" i="2"/>
  <c r="AD255" i="2" s="1"/>
  <c r="AD158" i="2"/>
  <c r="AD157" i="2"/>
  <c r="AD156" i="2"/>
  <c r="AD155" i="2"/>
  <c r="AD247" i="2" s="1"/>
  <c r="AD154" i="2"/>
  <c r="AD153" i="2"/>
  <c r="AD152" i="2"/>
  <c r="AD151" i="2"/>
  <c r="AD150" i="2"/>
  <c r="AD149" i="2"/>
  <c r="AD148" i="2"/>
  <c r="AD147" i="2"/>
  <c r="AD146" i="2"/>
  <c r="AD145" i="2"/>
  <c r="AD144" i="2"/>
  <c r="AD143" i="2"/>
  <c r="AD142" i="2"/>
  <c r="AD141" i="2"/>
  <c r="AD140" i="2"/>
  <c r="AD139" i="2"/>
  <c r="AD138" i="2"/>
  <c r="AD137" i="2"/>
  <c r="AD136" i="2"/>
  <c r="AD135" i="2"/>
  <c r="AD134" i="2"/>
  <c r="AD133" i="2"/>
  <c r="AD132" i="2"/>
  <c r="AD131" i="2"/>
  <c r="AD130" i="2"/>
  <c r="AD129" i="2"/>
  <c r="AD128" i="2"/>
  <c r="AD127" i="2"/>
  <c r="AD126" i="2"/>
  <c r="AD125" i="2"/>
  <c r="AD124" i="2"/>
  <c r="AD123" i="2"/>
  <c r="AD122" i="2"/>
  <c r="AD121" i="2"/>
  <c r="AD120" i="2"/>
  <c r="AD119" i="2"/>
  <c r="AD118" i="2"/>
  <c r="AD117" i="2"/>
  <c r="AD116" i="2"/>
  <c r="AD115" i="2"/>
  <c r="AD114" i="2"/>
  <c r="AD113" i="2"/>
  <c r="AD112" i="2"/>
  <c r="AD111" i="2"/>
  <c r="AD110" i="2"/>
  <c r="AD109" i="2"/>
  <c r="AD108" i="2"/>
  <c r="AD107" i="2"/>
  <c r="AD243" i="2" s="1"/>
  <c r="AD106" i="2"/>
  <c r="AD105" i="2"/>
  <c r="AD104" i="2"/>
  <c r="AD103" i="2"/>
  <c r="AD102" i="2"/>
  <c r="AD101" i="2"/>
  <c r="AD100" i="2"/>
  <c r="AD99" i="2"/>
  <c r="AD278" i="2" s="1"/>
  <c r="AD98" i="2"/>
  <c r="AD97" i="2"/>
  <c r="AD96" i="2"/>
  <c r="AD95" i="2"/>
  <c r="AD94" i="2"/>
  <c r="AD93" i="2"/>
  <c r="AD92" i="2"/>
  <c r="AD91" i="2"/>
  <c r="AD261" i="2" s="1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259" i="2" s="1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258" i="2" s="1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277" i="2" s="1"/>
  <c r="AD10" i="2"/>
  <c r="AD9" i="2"/>
  <c r="AD8" i="2"/>
  <c r="AD7" i="2"/>
  <c r="AD173" i="2" s="1"/>
  <c r="AD6" i="2"/>
  <c r="AD5" i="2"/>
  <c r="AD4" i="2"/>
  <c r="AD3" i="2"/>
  <c r="AD242" i="2" s="1"/>
  <c r="CN349" i="5"/>
  <c r="CM349" i="5"/>
  <c r="CK349" i="5"/>
  <c r="CJ349" i="5"/>
  <c r="CH349" i="5"/>
  <c r="CG349" i="5"/>
  <c r="CK344" i="5"/>
  <c r="CN343" i="5"/>
  <c r="CJ343" i="5"/>
  <c r="CH343" i="5"/>
  <c r="CN342" i="5"/>
  <c r="CM342" i="5"/>
  <c r="CK342" i="5"/>
  <c r="CJ342" i="5"/>
  <c r="CH342" i="5"/>
  <c r="CG342" i="5"/>
  <c r="CN339" i="5"/>
  <c r="CN344" i="5" s="1"/>
  <c r="CM339" i="5"/>
  <c r="CM344" i="5" s="1"/>
  <c r="CK339" i="5"/>
  <c r="CJ339" i="5"/>
  <c r="CJ344" i="5" s="1"/>
  <c r="CH339" i="5"/>
  <c r="CH344" i="5" s="1"/>
  <c r="CG339" i="5"/>
  <c r="CG344" i="5" s="1"/>
  <c r="CF343" i="5"/>
  <c r="CM343" i="5"/>
  <c r="CK343" i="5"/>
  <c r="CI343" i="5"/>
  <c r="CG343" i="5"/>
  <c r="CN325" i="5"/>
  <c r="CK325" i="5"/>
  <c r="CH325" i="5"/>
  <c r="CK321" i="5"/>
  <c r="CK327" i="5" s="1"/>
  <c r="CG321" i="5"/>
  <c r="CG327" i="5" s="1"/>
  <c r="CN321" i="5"/>
  <c r="CN327" i="5" s="1"/>
  <c r="CM321" i="5"/>
  <c r="CM327" i="5" s="1"/>
  <c r="CL321" i="5"/>
  <c r="CJ321" i="5"/>
  <c r="CJ327" i="5" s="1"/>
  <c r="CI321" i="5"/>
  <c r="CH321" i="5"/>
  <c r="CH327" i="5" s="1"/>
  <c r="CF321" i="5"/>
  <c r="CL349" i="5"/>
  <c r="CI349" i="5"/>
  <c r="CF349" i="5"/>
  <c r="CN347" i="5"/>
  <c r="CM347" i="5"/>
  <c r="CL347" i="5"/>
  <c r="CK347" i="5"/>
  <c r="CJ347" i="5"/>
  <c r="CI347" i="5"/>
  <c r="CH347" i="5"/>
  <c r="CG347" i="5"/>
  <c r="CF347" i="5"/>
  <c r="CN109" i="5"/>
  <c r="CN348" i="5" s="1"/>
  <c r="CM346" i="5"/>
  <c r="CL346" i="5"/>
  <c r="CJ348" i="5"/>
  <c r="CI346" i="5"/>
  <c r="CG348" i="5"/>
  <c r="CF348" i="5"/>
  <c r="CM318" i="5"/>
  <c r="CM326" i="5" s="1"/>
  <c r="CL318" i="5"/>
  <c r="CJ318" i="5"/>
  <c r="CJ326" i="5" s="1"/>
  <c r="CI318" i="5"/>
  <c r="CG318" i="5"/>
  <c r="CG326" i="5" s="1"/>
  <c r="CF318" i="5"/>
  <c r="AF260" i="1"/>
  <c r="AD256" i="1"/>
  <c r="AD234" i="1"/>
  <c r="AD236" i="1" s="1"/>
  <c r="AD240" i="1" s="1"/>
  <c r="AF234" i="1"/>
  <c r="AF236" i="1" s="1"/>
  <c r="AF240" i="1" s="1"/>
  <c r="AE234" i="1"/>
  <c r="AE236" i="1" s="1"/>
  <c r="AE240" i="1" s="1"/>
  <c r="AF262" i="1"/>
  <c r="AE262" i="1"/>
  <c r="AD262" i="1"/>
  <c r="AE260" i="1"/>
  <c r="AD260" i="1"/>
  <c r="AF259" i="1"/>
  <c r="AE261" i="1"/>
  <c r="AD261" i="1"/>
  <c r="AF231" i="1"/>
  <c r="AE231" i="1"/>
  <c r="AD231" i="1"/>
  <c r="AF223" i="3"/>
  <c r="AE223" i="3"/>
  <c r="AD223" i="3"/>
  <c r="AF179" i="3"/>
  <c r="AE179" i="3"/>
  <c r="AD179" i="3"/>
  <c r="AF173" i="3"/>
  <c r="AF225" i="3" s="1"/>
  <c r="AE222" i="3"/>
  <c r="AF221" i="3"/>
  <c r="AE221" i="3"/>
  <c r="AD221" i="3"/>
  <c r="AF219" i="3"/>
  <c r="AE219" i="3"/>
  <c r="AD219" i="3"/>
  <c r="AF220" i="3"/>
  <c r="AE220" i="3"/>
  <c r="AD220" i="3"/>
  <c r="AF177" i="3"/>
  <c r="AE172" i="3"/>
  <c r="AE224" i="3" s="1"/>
  <c r="AD177" i="3"/>
  <c r="AF218" i="3"/>
  <c r="AE218" i="3"/>
  <c r="AD218" i="3"/>
  <c r="AE283" i="2"/>
  <c r="AE280" i="2"/>
  <c r="AF273" i="2"/>
  <c r="AD271" i="2"/>
  <c r="AE268" i="2"/>
  <c r="AD267" i="2"/>
  <c r="AF274" i="2"/>
  <c r="AE274" i="2"/>
  <c r="AD274" i="2"/>
  <c r="AE273" i="2"/>
  <c r="AD273" i="2"/>
  <c r="AF272" i="2"/>
  <c r="AE272" i="2"/>
  <c r="AD272" i="2"/>
  <c r="AF271" i="2"/>
  <c r="AE271" i="2"/>
  <c r="AD245" i="2"/>
  <c r="AF270" i="2"/>
  <c r="AE270" i="2"/>
  <c r="AF269" i="2"/>
  <c r="AE269" i="2"/>
  <c r="AD269" i="2"/>
  <c r="AF275" i="2"/>
  <c r="AE275" i="2"/>
  <c r="AD275" i="2"/>
  <c r="AF268" i="2"/>
  <c r="AF267" i="2"/>
  <c r="AE267" i="2"/>
  <c r="AF248" i="2"/>
  <c r="AE255" i="2"/>
  <c r="AD248" i="2"/>
  <c r="AF247" i="2"/>
  <c r="AE247" i="2"/>
  <c r="AD179" i="2"/>
  <c r="AF281" i="2"/>
  <c r="AE281" i="2"/>
  <c r="AD281" i="2"/>
  <c r="AF260" i="2"/>
  <c r="AE260" i="2"/>
  <c r="AD260" i="2"/>
  <c r="AF280" i="2"/>
  <c r="AE179" i="2"/>
  <c r="AD280" i="2"/>
  <c r="AF253" i="2"/>
  <c r="AE253" i="2"/>
  <c r="AF246" i="2"/>
  <c r="AE174" i="2"/>
  <c r="AE250" i="2" s="1"/>
  <c r="AD246" i="2"/>
  <c r="AF245" i="2"/>
  <c r="AE245" i="2"/>
  <c r="AF243" i="2"/>
  <c r="AE243" i="2"/>
  <c r="AF279" i="2"/>
  <c r="AE279" i="2"/>
  <c r="AD279" i="2"/>
  <c r="AF278" i="2"/>
  <c r="AE278" i="2"/>
  <c r="AE261" i="2"/>
  <c r="AF261" i="2"/>
  <c r="AF256" i="2"/>
  <c r="AE256" i="2"/>
  <c r="AD256" i="2"/>
  <c r="AF259" i="2"/>
  <c r="AE259" i="2"/>
  <c r="AF258" i="2"/>
  <c r="AE258" i="2"/>
  <c r="AF244" i="2"/>
  <c r="AE244" i="2"/>
  <c r="AD244" i="2"/>
  <c r="AF254" i="2"/>
  <c r="AE254" i="2"/>
  <c r="AD254" i="2"/>
  <c r="AF277" i="2"/>
  <c r="AE277" i="2"/>
  <c r="AF276" i="2"/>
  <c r="AE276" i="2"/>
  <c r="AF257" i="2"/>
  <c r="AE257" i="2"/>
  <c r="AA280" i="2"/>
  <c r="AA276" i="2"/>
  <c r="AA268" i="2"/>
  <c r="AA247" i="2"/>
  <c r="AA243" i="2"/>
  <c r="AA229" i="2"/>
  <c r="AA228" i="2"/>
  <c r="AA227" i="2"/>
  <c r="AA226" i="2"/>
  <c r="AA224" i="2"/>
  <c r="AA234" i="2" s="1"/>
  <c r="AA223" i="2"/>
  <c r="AA222" i="2"/>
  <c r="AA221" i="2"/>
  <c r="AA231" i="2" s="1"/>
  <c r="AA219" i="2"/>
  <c r="AA274" i="2" s="1"/>
  <c r="AA218" i="2"/>
  <c r="AA217" i="2"/>
  <c r="AA214" i="2"/>
  <c r="AA273" i="2" s="1"/>
  <c r="AA213" i="2"/>
  <c r="AA212" i="2"/>
  <c r="AA209" i="2"/>
  <c r="AA272" i="2" s="1"/>
  <c r="AA208" i="2"/>
  <c r="AA207" i="2"/>
  <c r="AA206" i="2"/>
  <c r="AA203" i="2"/>
  <c r="AA271" i="2" s="1"/>
  <c r="AA202" i="2"/>
  <c r="AA199" i="2"/>
  <c r="AA270" i="2" s="1"/>
  <c r="AA198" i="2"/>
  <c r="AA269" i="2" s="1"/>
  <c r="AA197" i="2"/>
  <c r="AA194" i="2"/>
  <c r="AA275" i="2" s="1"/>
  <c r="AA193" i="2"/>
  <c r="AA190" i="2"/>
  <c r="AA283" i="2" s="1"/>
  <c r="AA189" i="2"/>
  <c r="AA267" i="2" s="1"/>
  <c r="AA188" i="2"/>
  <c r="AA184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255" i="2" s="1"/>
  <c r="AA155" i="2"/>
  <c r="AA154" i="2"/>
  <c r="AA153" i="2"/>
  <c r="AA152" i="2"/>
  <c r="AA151" i="2"/>
  <c r="AA150" i="2"/>
  <c r="AA149" i="2"/>
  <c r="AA148" i="2"/>
  <c r="AA281" i="2" s="1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260" i="2" s="1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253" i="2" s="1"/>
  <c r="AA112" i="2"/>
  <c r="AA245" i="2" s="1"/>
  <c r="AA111" i="2"/>
  <c r="AA110" i="2"/>
  <c r="AA109" i="2"/>
  <c r="AA108" i="2"/>
  <c r="AA107" i="2"/>
  <c r="AA106" i="2"/>
  <c r="AA279" i="2" s="1"/>
  <c r="AA105" i="2"/>
  <c r="AA104" i="2"/>
  <c r="AA103" i="2"/>
  <c r="AA102" i="2"/>
  <c r="AA101" i="2"/>
  <c r="AA100" i="2"/>
  <c r="AA99" i="2"/>
  <c r="AA278" i="2" s="1"/>
  <c r="AA98" i="2"/>
  <c r="AA97" i="2"/>
  <c r="AA96" i="2"/>
  <c r="AA95" i="2"/>
  <c r="AA94" i="2"/>
  <c r="AA93" i="2"/>
  <c r="AA92" i="2"/>
  <c r="AA91" i="2"/>
  <c r="AA90" i="2"/>
  <c r="AA89" i="2"/>
  <c r="AA261" i="2" s="1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256" i="2" s="1"/>
  <c r="AA73" i="2"/>
  <c r="AA72" i="2"/>
  <c r="AA71" i="2"/>
  <c r="AA70" i="2"/>
  <c r="AA259" i="2" s="1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258" i="2" s="1"/>
  <c r="AA40" i="2"/>
  <c r="AA244" i="2" s="1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254" i="2" s="1"/>
  <c r="AA19" i="2"/>
  <c r="AA18" i="2"/>
  <c r="AA17" i="2"/>
  <c r="AA16" i="2"/>
  <c r="AA15" i="2"/>
  <c r="AA14" i="2"/>
  <c r="AA13" i="2"/>
  <c r="AA12" i="2"/>
  <c r="AA11" i="2"/>
  <c r="AA10" i="2"/>
  <c r="AA277" i="2" s="1"/>
  <c r="AA9" i="2"/>
  <c r="AA8" i="2"/>
  <c r="AA7" i="2"/>
  <c r="AA173" i="2" s="1"/>
  <c r="AA6" i="2"/>
  <c r="AA5" i="2"/>
  <c r="AA257" i="2" s="1"/>
  <c r="AA4" i="2"/>
  <c r="AA3" i="2"/>
  <c r="AA242" i="2" s="1"/>
  <c r="BQ111" i="5"/>
  <c r="BQ107" i="5"/>
  <c r="BS107" i="5" s="1"/>
  <c r="BR107" i="5"/>
  <c r="Y107" i="1"/>
  <c r="Y111" i="1"/>
  <c r="AA262" i="2" l="1"/>
  <c r="AA239" i="2"/>
  <c r="AA285" i="2"/>
  <c r="AA232" i="2"/>
  <c r="AA249" i="2"/>
  <c r="AA175" i="2"/>
  <c r="AA233" i="2"/>
  <c r="AA246" i="2"/>
  <c r="AD257" i="2"/>
  <c r="AE237" i="1"/>
  <c r="AH237" i="1"/>
  <c r="AF237" i="1"/>
  <c r="AI237" i="1"/>
  <c r="AG218" i="3"/>
  <c r="AA174" i="2"/>
  <c r="AA250" i="2" s="1"/>
  <c r="AA248" i="2"/>
  <c r="AD268" i="2"/>
  <c r="AD237" i="1"/>
  <c r="AG237" i="1"/>
  <c r="AJ232" i="1"/>
  <c r="AJ233" i="1" s="1"/>
  <c r="AI232" i="1"/>
  <c r="AI233" i="1" s="1"/>
  <c r="AH232" i="1"/>
  <c r="AH233" i="1" s="1"/>
  <c r="AG232" i="1"/>
  <c r="AG233" i="1" s="1"/>
  <c r="CU324" i="5"/>
  <c r="CU319" i="5"/>
  <c r="CU320" i="5" s="1"/>
  <c r="CU322" i="5"/>
  <c r="CU323" i="5" s="1"/>
  <c r="CV328" i="5"/>
  <c r="CV351" i="5" s="1"/>
  <c r="CX324" i="5"/>
  <c r="CX319" i="5"/>
  <c r="CX320" i="5" s="1"/>
  <c r="CT348" i="5"/>
  <c r="CT346" i="5"/>
  <c r="CY352" i="5"/>
  <c r="CY328" i="5"/>
  <c r="CY351" i="5" s="1"/>
  <c r="CX322" i="5"/>
  <c r="CO324" i="5"/>
  <c r="CO319" i="5"/>
  <c r="CW348" i="5"/>
  <c r="CW346" i="5"/>
  <c r="CO322" i="5"/>
  <c r="CO323" i="5" s="1"/>
  <c r="CP328" i="5"/>
  <c r="CP351" i="5" s="1"/>
  <c r="CT318" i="5"/>
  <c r="CT326" i="5" s="1"/>
  <c r="CX323" i="5"/>
  <c r="CR324" i="5"/>
  <c r="CR319" i="5"/>
  <c r="CR320" i="5" s="1"/>
  <c r="CS328" i="5"/>
  <c r="CS351" i="5" s="1"/>
  <c r="CR322" i="5"/>
  <c r="CR323" i="5" s="1"/>
  <c r="CO320" i="5"/>
  <c r="CW318" i="5"/>
  <c r="CW326" i="5" s="1"/>
  <c r="CZ109" i="5"/>
  <c r="CR343" i="5"/>
  <c r="CR346" i="5"/>
  <c r="CV346" i="5"/>
  <c r="CR348" i="5"/>
  <c r="CV348" i="5"/>
  <c r="CQ109" i="5"/>
  <c r="CQ318" i="5" s="1"/>
  <c r="CQ326" i="5" s="1"/>
  <c r="CU346" i="5"/>
  <c r="CY346" i="5"/>
  <c r="CP346" i="5"/>
  <c r="CX346" i="5"/>
  <c r="CO346" i="5"/>
  <c r="CS346" i="5"/>
  <c r="AJ242" i="1"/>
  <c r="AJ250" i="1"/>
  <c r="AJ251" i="1" s="1"/>
  <c r="AJ252" i="1" s="1"/>
  <c r="AI250" i="1"/>
  <c r="AI251" i="1" s="1"/>
  <c r="AI252" i="1" s="1"/>
  <c r="AH242" i="1"/>
  <c r="AH250" i="1"/>
  <c r="AH251" i="1" s="1"/>
  <c r="AH252" i="1" s="1"/>
  <c r="AG242" i="1"/>
  <c r="AG250" i="1"/>
  <c r="AG251" i="1" s="1"/>
  <c r="AG252" i="1" s="1"/>
  <c r="AJ259" i="1"/>
  <c r="AI259" i="1"/>
  <c r="AH259" i="1"/>
  <c r="AG259" i="1"/>
  <c r="AJ181" i="3"/>
  <c r="AI181" i="3"/>
  <c r="AH181" i="3"/>
  <c r="AG181" i="3"/>
  <c r="AJ172" i="3"/>
  <c r="AJ224" i="3" s="1"/>
  <c r="AJ173" i="3"/>
  <c r="AJ225" i="3" s="1"/>
  <c r="AI172" i="3"/>
  <c r="AI224" i="3" s="1"/>
  <c r="AI173" i="3"/>
  <c r="AI225" i="3" s="1"/>
  <c r="AH172" i="3"/>
  <c r="AH224" i="3" s="1"/>
  <c r="AH173" i="3"/>
  <c r="AH225" i="3" s="1"/>
  <c r="AG172" i="3"/>
  <c r="AG224" i="3" s="1"/>
  <c r="AG173" i="3"/>
  <c r="AG225" i="3" s="1"/>
  <c r="AJ262" i="2"/>
  <c r="AJ285" i="2"/>
  <c r="AI262" i="2"/>
  <c r="AI285" i="2"/>
  <c r="AH262" i="2"/>
  <c r="AH285" i="2"/>
  <c r="AG262" i="2"/>
  <c r="AG285" i="2"/>
  <c r="AJ173" i="2"/>
  <c r="AJ234" i="2" s="1"/>
  <c r="AJ174" i="2"/>
  <c r="AJ250" i="2" s="1"/>
  <c r="AJ177" i="2"/>
  <c r="AJ179" i="2"/>
  <c r="AJ242" i="2"/>
  <c r="AJ246" i="2"/>
  <c r="AJ248" i="2"/>
  <c r="AJ268" i="2"/>
  <c r="AI173" i="2"/>
  <c r="AI174" i="2"/>
  <c r="AI250" i="2" s="1"/>
  <c r="AI177" i="2"/>
  <c r="AI179" i="2"/>
  <c r="AI242" i="2"/>
  <c r="AI246" i="2"/>
  <c r="AI248" i="2"/>
  <c r="AI268" i="2"/>
  <c r="AH173" i="2"/>
  <c r="AH174" i="2"/>
  <c r="AH250" i="2" s="1"/>
  <c r="AH177" i="2"/>
  <c r="AH179" i="2"/>
  <c r="AH242" i="2"/>
  <c r="AH246" i="2"/>
  <c r="AH248" i="2"/>
  <c r="AH268" i="2"/>
  <c r="AG173" i="2"/>
  <c r="AG174" i="2"/>
  <c r="AG250" i="2" s="1"/>
  <c r="AG177" i="2"/>
  <c r="AG179" i="2"/>
  <c r="AG242" i="2"/>
  <c r="AG246" i="2"/>
  <c r="AG248" i="2"/>
  <c r="AG268" i="2"/>
  <c r="CN318" i="5"/>
  <c r="CN326" i="5" s="1"/>
  <c r="AF232" i="1"/>
  <c r="AF233" i="1" s="1"/>
  <c r="AE232" i="1"/>
  <c r="AE236" i="2"/>
  <c r="AE239" i="2"/>
  <c r="AD232" i="1"/>
  <c r="CF324" i="5"/>
  <c r="CF319" i="5"/>
  <c r="CG328" i="5"/>
  <c r="CG351" i="5" s="1"/>
  <c r="CF322" i="5"/>
  <c r="CF323" i="5" s="1"/>
  <c r="CI319" i="5"/>
  <c r="CI320" i="5" s="1"/>
  <c r="CI324" i="5"/>
  <c r="CF320" i="5"/>
  <c r="CL319" i="5"/>
  <c r="CL324" i="5"/>
  <c r="CJ328" i="5"/>
  <c r="CJ351" i="5" s="1"/>
  <c r="CI322" i="5"/>
  <c r="CI323" i="5" s="1"/>
  <c r="CL322" i="5"/>
  <c r="CL323" i="5" s="1"/>
  <c r="CM328" i="5"/>
  <c r="CM351" i="5" s="1"/>
  <c r="CL320" i="5"/>
  <c r="CK109" i="5"/>
  <c r="CK318" i="5" s="1"/>
  <c r="CK326" i="5" s="1"/>
  <c r="CG346" i="5"/>
  <c r="CI348" i="5"/>
  <c r="CM348" i="5"/>
  <c r="CL343" i="5"/>
  <c r="CF346" i="5"/>
  <c r="CJ346" i="5"/>
  <c r="CN346" i="5"/>
  <c r="CL348" i="5"/>
  <c r="CH109" i="5"/>
  <c r="CH318" i="5" s="1"/>
  <c r="AF250" i="1"/>
  <c r="AF251" i="1" s="1"/>
  <c r="AF252" i="1" s="1"/>
  <c r="AD250" i="1"/>
  <c r="AD251" i="1" s="1"/>
  <c r="AD252" i="1" s="1"/>
  <c r="AE233" i="1"/>
  <c r="AE242" i="1"/>
  <c r="AE250" i="1"/>
  <c r="AE251" i="1" s="1"/>
  <c r="AE252" i="1" s="1"/>
  <c r="AD233" i="1"/>
  <c r="AE259" i="1"/>
  <c r="AF256" i="1"/>
  <c r="AD259" i="1"/>
  <c r="AF261" i="1"/>
  <c r="AE256" i="1"/>
  <c r="AF181" i="3"/>
  <c r="AF180" i="3"/>
  <c r="AD181" i="3"/>
  <c r="AD172" i="3"/>
  <c r="AE173" i="3"/>
  <c r="AE225" i="3" s="1"/>
  <c r="AE177" i="3"/>
  <c r="AE178" i="3" s="1"/>
  <c r="AD173" i="3"/>
  <c r="AD225" i="3" s="1"/>
  <c r="AF222" i="3"/>
  <c r="AF172" i="3"/>
  <c r="AF224" i="3" s="1"/>
  <c r="AD249" i="2"/>
  <c r="AE180" i="2"/>
  <c r="AD233" i="2"/>
  <c r="AF285" i="2"/>
  <c r="AD234" i="2"/>
  <c r="AE262" i="2"/>
  <c r="AE285" i="2"/>
  <c r="AD231" i="2"/>
  <c r="AE232" i="2"/>
  <c r="AE237" i="2"/>
  <c r="AD232" i="2"/>
  <c r="AE238" i="2"/>
  <c r="AF173" i="2"/>
  <c r="AF232" i="2" s="1"/>
  <c r="AE177" i="2"/>
  <c r="AE173" i="2"/>
  <c r="AE231" i="2" s="1"/>
  <c r="AF174" i="2"/>
  <c r="AF176" i="3" s="1"/>
  <c r="AD177" i="2"/>
  <c r="AD178" i="2" s="1"/>
  <c r="AF179" i="2"/>
  <c r="AE248" i="2"/>
  <c r="AD253" i="2"/>
  <c r="AD262" i="2" s="1"/>
  <c r="AF255" i="2"/>
  <c r="AF262" i="2" s="1"/>
  <c r="AD276" i="2"/>
  <c r="AD285" i="2" s="1"/>
  <c r="AF242" i="2"/>
  <c r="AF283" i="2"/>
  <c r="AD174" i="2"/>
  <c r="AD250" i="2" s="1"/>
  <c r="AF177" i="2"/>
  <c r="AE242" i="2"/>
  <c r="AE246" i="2"/>
  <c r="AD270" i="2"/>
  <c r="AA179" i="2"/>
  <c r="AA180" i="2" s="1"/>
  <c r="AA177" i="2"/>
  <c r="AA178" i="2" s="1"/>
  <c r="CC337" i="5"/>
  <c r="CE333" i="5"/>
  <c r="CD333" i="5"/>
  <c r="CC333" i="5"/>
  <c r="CE317" i="5"/>
  <c r="CD317" i="5"/>
  <c r="CC317" i="5"/>
  <c r="CE316" i="5"/>
  <c r="CD316" i="5"/>
  <c r="CC316" i="5"/>
  <c r="CE315" i="5"/>
  <c r="CD315" i="5"/>
  <c r="CC315" i="5"/>
  <c r="CE314" i="5"/>
  <c r="CD314" i="5"/>
  <c r="CC314" i="5"/>
  <c r="CE313" i="5"/>
  <c r="CD313" i="5"/>
  <c r="CC313" i="5"/>
  <c r="CE312" i="5"/>
  <c r="CD312" i="5"/>
  <c r="CC312" i="5"/>
  <c r="CE311" i="5"/>
  <c r="CD311" i="5"/>
  <c r="CC311" i="5"/>
  <c r="CE310" i="5"/>
  <c r="CD310" i="5"/>
  <c r="CC310" i="5"/>
  <c r="CE309" i="5"/>
  <c r="CD309" i="5"/>
  <c r="CC309" i="5"/>
  <c r="CE308" i="5"/>
  <c r="CD308" i="5"/>
  <c r="CC308" i="5"/>
  <c r="CE307" i="5"/>
  <c r="CD307" i="5"/>
  <c r="CC307" i="5"/>
  <c r="CE306" i="5"/>
  <c r="CD306" i="5"/>
  <c r="CC306" i="5"/>
  <c r="CE305" i="5"/>
  <c r="CD305" i="5"/>
  <c r="CC305" i="5"/>
  <c r="CE304" i="5"/>
  <c r="CD304" i="5"/>
  <c r="CC304" i="5"/>
  <c r="CE303" i="5"/>
  <c r="CD303" i="5"/>
  <c r="CC303" i="5"/>
  <c r="CE302" i="5"/>
  <c r="CD302" i="5"/>
  <c r="CC302" i="5"/>
  <c r="CE301" i="5"/>
  <c r="CD301" i="5"/>
  <c r="CC301" i="5"/>
  <c r="CE300" i="5"/>
  <c r="CD300" i="5"/>
  <c r="CC300" i="5"/>
  <c r="CE299" i="5"/>
  <c r="CD299" i="5"/>
  <c r="CC299" i="5"/>
  <c r="CE298" i="5"/>
  <c r="CD298" i="5"/>
  <c r="CC298" i="5"/>
  <c r="CE297" i="5"/>
  <c r="CD297" i="5"/>
  <c r="CC297" i="5"/>
  <c r="CE296" i="5"/>
  <c r="CD296" i="5"/>
  <c r="CC296" i="5"/>
  <c r="CE295" i="5"/>
  <c r="CD295" i="5"/>
  <c r="CC295" i="5"/>
  <c r="CE294" i="5"/>
  <c r="CD294" i="5"/>
  <c r="CC294" i="5"/>
  <c r="CE293" i="5"/>
  <c r="CD293" i="5"/>
  <c r="CC293" i="5"/>
  <c r="CE292" i="5"/>
  <c r="CD292" i="5"/>
  <c r="CE291" i="5"/>
  <c r="CD291" i="5"/>
  <c r="CC291" i="5"/>
  <c r="CE290" i="5"/>
  <c r="CD290" i="5"/>
  <c r="CC290" i="5"/>
  <c r="CE289" i="5"/>
  <c r="CD289" i="5"/>
  <c r="CC289" i="5"/>
  <c r="CE288" i="5"/>
  <c r="CD288" i="5"/>
  <c r="CC288" i="5"/>
  <c r="CE287" i="5"/>
  <c r="CD287" i="5"/>
  <c r="CC287" i="5"/>
  <c r="CE286" i="5"/>
  <c r="CD286" i="5"/>
  <c r="CC286" i="5"/>
  <c r="CE285" i="5"/>
  <c r="CD285" i="5"/>
  <c r="CC285" i="5"/>
  <c r="CE284" i="5"/>
  <c r="CD284" i="5"/>
  <c r="CC284" i="5"/>
  <c r="CE283" i="5"/>
  <c r="CD283" i="5"/>
  <c r="CC283" i="5"/>
  <c r="CE282" i="5"/>
  <c r="CD282" i="5"/>
  <c r="CC282" i="5"/>
  <c r="CE281" i="5"/>
  <c r="CD281" i="5"/>
  <c r="CC281" i="5"/>
  <c r="CE280" i="5"/>
  <c r="CD280" i="5"/>
  <c r="CC280" i="5"/>
  <c r="CE279" i="5"/>
  <c r="CD279" i="5"/>
  <c r="CC279" i="5"/>
  <c r="CE278" i="5"/>
  <c r="CD278" i="5"/>
  <c r="CC278" i="5"/>
  <c r="CE277" i="5"/>
  <c r="CD277" i="5"/>
  <c r="CC277" i="5"/>
  <c r="CE276" i="5"/>
  <c r="CD276" i="5"/>
  <c r="CC276" i="5"/>
  <c r="CE275" i="5"/>
  <c r="CD275" i="5"/>
  <c r="CC275" i="5"/>
  <c r="CE274" i="5"/>
  <c r="CD274" i="5"/>
  <c r="CC274" i="5"/>
  <c r="CE273" i="5"/>
  <c r="CD273" i="5"/>
  <c r="CC273" i="5"/>
  <c r="CE272" i="5"/>
  <c r="CD272" i="5"/>
  <c r="CC272" i="5"/>
  <c r="CE271" i="5"/>
  <c r="CD271" i="5"/>
  <c r="CC271" i="5"/>
  <c r="CE270" i="5"/>
  <c r="CD270" i="5"/>
  <c r="CC270" i="5"/>
  <c r="CE269" i="5"/>
  <c r="CD269" i="5"/>
  <c r="CC269" i="5"/>
  <c r="CE268" i="5"/>
  <c r="CD268" i="5"/>
  <c r="CC268" i="5"/>
  <c r="CE267" i="5"/>
  <c r="CD267" i="5"/>
  <c r="CC267" i="5"/>
  <c r="CE266" i="5"/>
  <c r="CD266" i="5"/>
  <c r="CC266" i="5"/>
  <c r="CE265" i="5"/>
  <c r="CD265" i="5"/>
  <c r="CC265" i="5"/>
  <c r="CE264" i="5"/>
  <c r="CD264" i="5"/>
  <c r="CC264" i="5"/>
  <c r="CE263" i="5"/>
  <c r="CD263" i="5"/>
  <c r="CC263" i="5"/>
  <c r="CE262" i="5"/>
  <c r="CD262" i="5"/>
  <c r="CC262" i="5"/>
  <c r="CE261" i="5"/>
  <c r="CD261" i="5"/>
  <c r="CC261" i="5"/>
  <c r="CE260" i="5"/>
  <c r="CD260" i="5"/>
  <c r="CC260" i="5"/>
  <c r="CE259" i="5"/>
  <c r="CD259" i="5"/>
  <c r="CC259" i="5"/>
  <c r="CE258" i="5"/>
  <c r="CD258" i="5"/>
  <c r="CC258" i="5"/>
  <c r="CE257" i="5"/>
  <c r="CD257" i="5"/>
  <c r="CC257" i="5"/>
  <c r="CE256" i="5"/>
  <c r="CD256" i="5"/>
  <c r="CC256" i="5"/>
  <c r="CE255" i="5"/>
  <c r="CD255" i="5"/>
  <c r="CC255" i="5"/>
  <c r="CE254" i="5"/>
  <c r="CD254" i="5"/>
  <c r="CC254" i="5"/>
  <c r="CE253" i="5"/>
  <c r="CD253" i="5"/>
  <c r="CC253" i="5"/>
  <c r="CE252" i="5"/>
  <c r="CD252" i="5"/>
  <c r="CC252" i="5"/>
  <c r="CE251" i="5"/>
  <c r="CD251" i="5"/>
  <c r="CC251" i="5"/>
  <c r="CE250" i="5"/>
  <c r="CD250" i="5"/>
  <c r="CC250" i="5"/>
  <c r="CE249" i="5"/>
  <c r="CD249" i="5"/>
  <c r="CC249" i="5"/>
  <c r="CE248" i="5"/>
  <c r="CD248" i="5"/>
  <c r="CC248" i="5"/>
  <c r="CE247" i="5"/>
  <c r="CD247" i="5"/>
  <c r="CC247" i="5"/>
  <c r="CE246" i="5"/>
  <c r="CD246" i="5"/>
  <c r="CC246" i="5"/>
  <c r="CE245" i="5"/>
  <c r="CD245" i="5"/>
  <c r="CC245" i="5"/>
  <c r="CE244" i="5"/>
  <c r="CD244" i="5"/>
  <c r="CC244" i="5"/>
  <c r="CE243" i="5"/>
  <c r="CD243" i="5"/>
  <c r="CC243" i="5"/>
  <c r="CE242" i="5"/>
  <c r="CD242" i="5"/>
  <c r="CC242" i="5"/>
  <c r="CE241" i="5"/>
  <c r="CD241" i="5"/>
  <c r="CC241" i="5"/>
  <c r="CE240" i="5"/>
  <c r="CD240" i="5"/>
  <c r="CC240" i="5"/>
  <c r="CE239" i="5"/>
  <c r="CD239" i="5"/>
  <c r="CC239" i="5"/>
  <c r="CE238" i="5"/>
  <c r="CD238" i="5"/>
  <c r="CC238" i="5"/>
  <c r="CE237" i="5"/>
  <c r="CD237" i="5"/>
  <c r="CC237" i="5"/>
  <c r="CE236" i="5"/>
  <c r="CD236" i="5"/>
  <c r="CC236" i="5"/>
  <c r="CE235" i="5"/>
  <c r="CD235" i="5"/>
  <c r="CC235" i="5"/>
  <c r="CE234" i="5"/>
  <c r="CD234" i="5"/>
  <c r="CC234" i="5"/>
  <c r="CE233" i="5"/>
  <c r="CD233" i="5"/>
  <c r="CC233" i="5"/>
  <c r="CE232" i="5"/>
  <c r="CD232" i="5"/>
  <c r="CC232" i="5"/>
  <c r="CE231" i="5"/>
  <c r="CD231" i="5"/>
  <c r="CC231" i="5"/>
  <c r="CE230" i="5"/>
  <c r="CD230" i="5"/>
  <c r="CC230" i="5"/>
  <c r="CE229" i="5"/>
  <c r="CD229" i="5"/>
  <c r="CC229" i="5"/>
  <c r="CE228" i="5"/>
  <c r="CD228" i="5"/>
  <c r="CC228" i="5"/>
  <c r="CE227" i="5"/>
  <c r="CD227" i="5"/>
  <c r="CC227" i="5"/>
  <c r="CE226" i="5"/>
  <c r="CD226" i="5"/>
  <c r="CC226" i="5"/>
  <c r="CE225" i="5"/>
  <c r="CD225" i="5"/>
  <c r="CC225" i="5"/>
  <c r="CE224" i="5"/>
  <c r="CD224" i="5"/>
  <c r="CC224" i="5"/>
  <c r="CE223" i="5"/>
  <c r="CD223" i="5"/>
  <c r="CC223" i="5"/>
  <c r="CE222" i="5"/>
  <c r="CD222" i="5"/>
  <c r="CC222" i="5"/>
  <c r="CE221" i="5"/>
  <c r="CD221" i="5"/>
  <c r="CC221" i="5"/>
  <c r="CE220" i="5"/>
  <c r="CD220" i="5"/>
  <c r="CC220" i="5"/>
  <c r="CE219" i="5"/>
  <c r="CD219" i="5"/>
  <c r="CC219" i="5"/>
  <c r="CE218" i="5"/>
  <c r="CD218" i="5"/>
  <c r="CC218" i="5"/>
  <c r="CE217" i="5"/>
  <c r="CD217" i="5"/>
  <c r="CC217" i="5"/>
  <c r="CE216" i="5"/>
  <c r="CD216" i="5"/>
  <c r="CC216" i="5"/>
  <c r="CE215" i="5"/>
  <c r="CD215" i="5"/>
  <c r="CC215" i="5"/>
  <c r="CE214" i="5"/>
  <c r="CD214" i="5"/>
  <c r="CC214" i="5"/>
  <c r="CE213" i="5"/>
  <c r="CD213" i="5"/>
  <c r="CC213" i="5"/>
  <c r="CE212" i="5"/>
  <c r="CD212" i="5"/>
  <c r="CC212" i="5"/>
  <c r="CE211" i="5"/>
  <c r="CD211" i="5"/>
  <c r="CC211" i="5"/>
  <c r="CE210" i="5"/>
  <c r="CD210" i="5"/>
  <c r="CC210" i="5"/>
  <c r="CE209" i="5"/>
  <c r="CD209" i="5"/>
  <c r="CC209" i="5"/>
  <c r="CE208" i="5"/>
  <c r="CD208" i="5"/>
  <c r="CC208" i="5"/>
  <c r="CE207" i="5"/>
  <c r="CD207" i="5"/>
  <c r="CC207" i="5"/>
  <c r="CE206" i="5"/>
  <c r="CD206" i="5"/>
  <c r="CC206" i="5"/>
  <c r="CE205" i="5"/>
  <c r="CD205" i="5"/>
  <c r="CC205" i="5"/>
  <c r="CE204" i="5"/>
  <c r="CD204" i="5"/>
  <c r="CC204" i="5"/>
  <c r="CE203" i="5"/>
  <c r="CD203" i="5"/>
  <c r="CC203" i="5"/>
  <c r="CE202" i="5"/>
  <c r="CD202" i="5"/>
  <c r="CC202" i="5"/>
  <c r="CE201" i="5"/>
  <c r="CD201" i="5"/>
  <c r="CC201" i="5"/>
  <c r="CE200" i="5"/>
  <c r="CD200" i="5"/>
  <c r="CC200" i="5"/>
  <c r="CE199" i="5"/>
  <c r="CD199" i="5"/>
  <c r="CC199" i="5"/>
  <c r="CE198" i="5"/>
  <c r="CD198" i="5"/>
  <c r="CC198" i="5"/>
  <c r="CE197" i="5"/>
  <c r="CD197" i="5"/>
  <c r="CC197" i="5"/>
  <c r="CE196" i="5"/>
  <c r="CD196" i="5"/>
  <c r="CC196" i="5"/>
  <c r="CE195" i="5"/>
  <c r="CD195" i="5"/>
  <c r="CC195" i="5"/>
  <c r="CE194" i="5"/>
  <c r="CD194" i="5"/>
  <c r="CC194" i="5"/>
  <c r="CE193" i="5"/>
  <c r="CD193" i="5"/>
  <c r="CC193" i="5"/>
  <c r="CE192" i="5"/>
  <c r="CD192" i="5"/>
  <c r="CC192" i="5"/>
  <c r="CE191" i="5"/>
  <c r="CD191" i="5"/>
  <c r="CC191" i="5"/>
  <c r="CE190" i="5"/>
  <c r="CD190" i="5"/>
  <c r="CC190" i="5"/>
  <c r="CE189" i="5"/>
  <c r="CD189" i="5"/>
  <c r="CC189" i="5"/>
  <c r="CE188" i="5"/>
  <c r="CD188" i="5"/>
  <c r="CC188" i="5"/>
  <c r="CE187" i="5"/>
  <c r="CD187" i="5"/>
  <c r="CC187" i="5"/>
  <c r="CE186" i="5"/>
  <c r="CD186" i="5"/>
  <c r="CC186" i="5"/>
  <c r="CE185" i="5"/>
  <c r="CD185" i="5"/>
  <c r="CC185" i="5"/>
  <c r="CE184" i="5"/>
  <c r="CD184" i="5"/>
  <c r="CC184" i="5"/>
  <c r="CE183" i="5"/>
  <c r="CD183" i="5"/>
  <c r="CC183" i="5"/>
  <c r="CE182" i="5"/>
  <c r="CD182" i="5"/>
  <c r="CC182" i="5"/>
  <c r="CE181" i="5"/>
  <c r="CD181" i="5"/>
  <c r="CC181" i="5"/>
  <c r="CE180" i="5"/>
  <c r="CD180" i="5"/>
  <c r="CC180" i="5"/>
  <c r="CE179" i="5"/>
  <c r="CD179" i="5"/>
  <c r="CC179" i="5"/>
  <c r="CE178" i="5"/>
  <c r="CD178" i="5"/>
  <c r="CC178" i="5"/>
  <c r="CE177" i="5"/>
  <c r="CD177" i="5"/>
  <c r="CC177" i="5"/>
  <c r="CE176" i="5"/>
  <c r="CD176" i="5"/>
  <c r="CC176" i="5"/>
  <c r="CE175" i="5"/>
  <c r="CD175" i="5"/>
  <c r="CC175" i="5"/>
  <c r="CE174" i="5"/>
  <c r="CD174" i="5"/>
  <c r="CC174" i="5"/>
  <c r="CE173" i="5"/>
  <c r="CD173" i="5"/>
  <c r="CC173" i="5"/>
  <c r="CE172" i="5"/>
  <c r="CD172" i="5"/>
  <c r="CC172" i="5"/>
  <c r="CE171" i="5"/>
  <c r="CD171" i="5"/>
  <c r="CC171" i="5"/>
  <c r="CE170" i="5"/>
  <c r="CD170" i="5"/>
  <c r="CC170" i="5"/>
  <c r="CE169" i="5"/>
  <c r="CD169" i="5"/>
  <c r="CC169" i="5"/>
  <c r="CE168" i="5"/>
  <c r="CD168" i="5"/>
  <c r="CC168" i="5"/>
  <c r="CE167" i="5"/>
  <c r="CD167" i="5"/>
  <c r="CC167" i="5"/>
  <c r="CE166" i="5"/>
  <c r="CD166" i="5"/>
  <c r="CC166" i="5"/>
  <c r="CE165" i="5"/>
  <c r="CD165" i="5"/>
  <c r="CC165" i="5"/>
  <c r="CE164" i="5"/>
  <c r="CD164" i="5"/>
  <c r="CC164" i="5"/>
  <c r="CE163" i="5"/>
  <c r="CD163" i="5"/>
  <c r="CC163" i="5"/>
  <c r="CE162" i="5"/>
  <c r="CD162" i="5"/>
  <c r="CC162" i="5"/>
  <c r="CE161" i="5"/>
  <c r="CD161" i="5"/>
  <c r="CC161" i="5"/>
  <c r="CE160" i="5"/>
  <c r="CD160" i="5"/>
  <c r="CC160" i="5"/>
  <c r="CE159" i="5"/>
  <c r="CD159" i="5"/>
  <c r="CC159" i="5"/>
  <c r="CE158" i="5"/>
  <c r="CD158" i="5"/>
  <c r="CC158" i="5"/>
  <c r="CE157" i="5"/>
  <c r="CD157" i="5"/>
  <c r="CC157" i="5"/>
  <c r="CE156" i="5"/>
  <c r="CD156" i="5"/>
  <c r="CC156" i="5"/>
  <c r="CE155" i="5"/>
  <c r="CD155" i="5"/>
  <c r="CC155" i="5"/>
  <c r="CE154" i="5"/>
  <c r="CD154" i="5"/>
  <c r="CC154" i="5"/>
  <c r="CE153" i="5"/>
  <c r="CD153" i="5"/>
  <c r="CC153" i="5"/>
  <c r="CE152" i="5"/>
  <c r="CD152" i="5"/>
  <c r="CC152" i="5"/>
  <c r="CE151" i="5"/>
  <c r="CD151" i="5"/>
  <c r="CC151" i="5"/>
  <c r="CE150" i="5"/>
  <c r="CD150" i="5"/>
  <c r="CC150" i="5"/>
  <c r="CE149" i="5"/>
  <c r="CD149" i="5"/>
  <c r="CC149" i="5"/>
  <c r="CE148" i="5"/>
  <c r="CD148" i="5"/>
  <c r="CC148" i="5"/>
  <c r="CE147" i="5"/>
  <c r="CD147" i="5"/>
  <c r="CC147" i="5"/>
  <c r="CE146" i="5"/>
  <c r="CD146" i="5"/>
  <c r="CC146" i="5"/>
  <c r="CE145" i="5"/>
  <c r="CD145" i="5"/>
  <c r="CC145" i="5"/>
  <c r="CE144" i="5"/>
  <c r="CD144" i="5"/>
  <c r="CC144" i="5"/>
  <c r="CE143" i="5"/>
  <c r="CD143" i="5"/>
  <c r="CC143" i="5"/>
  <c r="CE142" i="5"/>
  <c r="CD142" i="5"/>
  <c r="CC142" i="5"/>
  <c r="CE141" i="5"/>
  <c r="CD141" i="5"/>
  <c r="CC141" i="5"/>
  <c r="CE140" i="5"/>
  <c r="CD140" i="5"/>
  <c r="CC140" i="5"/>
  <c r="CE139" i="5"/>
  <c r="CD139" i="5"/>
  <c r="CC139" i="5"/>
  <c r="CE138" i="5"/>
  <c r="CD138" i="5"/>
  <c r="CC138" i="5"/>
  <c r="CE137" i="5"/>
  <c r="CD137" i="5"/>
  <c r="CC137" i="5"/>
  <c r="CE136" i="5"/>
  <c r="CD136" i="5"/>
  <c r="CC136" i="5"/>
  <c r="CE135" i="5"/>
  <c r="CD135" i="5"/>
  <c r="CC135" i="5"/>
  <c r="CE134" i="5"/>
  <c r="CD134" i="5"/>
  <c r="CC134" i="5"/>
  <c r="CE133" i="5"/>
  <c r="CD133" i="5"/>
  <c r="CC133" i="5"/>
  <c r="CE132" i="5"/>
  <c r="CD132" i="5"/>
  <c r="CC132" i="5"/>
  <c r="CE131" i="5"/>
  <c r="CD131" i="5"/>
  <c r="CC131" i="5"/>
  <c r="CE130" i="5"/>
  <c r="CD130" i="5"/>
  <c r="CC130" i="5"/>
  <c r="CE129" i="5"/>
  <c r="CD129" i="5"/>
  <c r="CC129" i="5"/>
  <c r="CE128" i="5"/>
  <c r="CD128" i="5"/>
  <c r="CC128" i="5"/>
  <c r="CE127" i="5"/>
  <c r="CD127" i="5"/>
  <c r="CC127" i="5"/>
  <c r="CE126" i="5"/>
  <c r="CD126" i="5"/>
  <c r="CC126" i="5"/>
  <c r="CE125" i="5"/>
  <c r="CD125" i="5"/>
  <c r="CC125" i="5"/>
  <c r="CE124" i="5"/>
  <c r="CD124" i="5"/>
  <c r="CC124" i="5"/>
  <c r="CE123" i="5"/>
  <c r="CD123" i="5"/>
  <c r="CC123" i="5"/>
  <c r="CE122" i="5"/>
  <c r="CD122" i="5"/>
  <c r="CC122" i="5"/>
  <c r="CE121" i="5"/>
  <c r="CD121" i="5"/>
  <c r="CC121" i="5"/>
  <c r="CE120" i="5"/>
  <c r="CD120" i="5"/>
  <c r="CC120" i="5"/>
  <c r="CE119" i="5"/>
  <c r="CD119" i="5"/>
  <c r="CC119" i="5"/>
  <c r="CE118" i="5"/>
  <c r="CD118" i="5"/>
  <c r="CC118" i="5"/>
  <c r="CE117" i="5"/>
  <c r="CD117" i="5"/>
  <c r="CC117" i="5"/>
  <c r="CE116" i="5"/>
  <c r="CD116" i="5"/>
  <c r="CC116" i="5"/>
  <c r="CE115" i="5"/>
  <c r="CD115" i="5"/>
  <c r="CC115" i="5"/>
  <c r="CE114" i="5"/>
  <c r="CD114" i="5"/>
  <c r="CC114" i="5"/>
  <c r="CE113" i="5"/>
  <c r="CD113" i="5"/>
  <c r="CC113" i="5"/>
  <c r="CE112" i="5"/>
  <c r="CD112" i="5"/>
  <c r="CC112" i="5"/>
  <c r="CC111" i="5"/>
  <c r="CE110" i="5"/>
  <c r="CD110" i="5"/>
  <c r="CC110" i="5"/>
  <c r="CD109" i="5"/>
  <c r="CC109" i="5"/>
  <c r="CE108" i="5"/>
  <c r="CD108" i="5"/>
  <c r="CC108" i="5"/>
  <c r="CE107" i="5"/>
  <c r="CD107" i="5"/>
  <c r="CE106" i="5"/>
  <c r="CD106" i="5"/>
  <c r="CC106" i="5"/>
  <c r="CE105" i="5"/>
  <c r="CD105" i="5"/>
  <c r="CC105" i="5"/>
  <c r="CE104" i="5"/>
  <c r="CD104" i="5"/>
  <c r="CC104" i="5"/>
  <c r="CE103" i="5"/>
  <c r="CD103" i="5"/>
  <c r="CC103" i="5"/>
  <c r="CE102" i="5"/>
  <c r="CD102" i="5"/>
  <c r="CC102" i="5"/>
  <c r="CE101" i="5"/>
  <c r="CD101" i="5"/>
  <c r="CC101" i="5"/>
  <c r="CE100" i="5"/>
  <c r="CD100" i="5"/>
  <c r="CC100" i="5"/>
  <c r="CE99" i="5"/>
  <c r="CD99" i="5"/>
  <c r="CC99" i="5"/>
  <c r="CE98" i="5"/>
  <c r="CD98" i="5"/>
  <c r="CC98" i="5"/>
  <c r="CE97" i="5"/>
  <c r="CD97" i="5"/>
  <c r="CC97" i="5"/>
  <c r="CE96" i="5"/>
  <c r="CD96" i="5"/>
  <c r="CC96" i="5"/>
  <c r="CE95" i="5"/>
  <c r="CD95" i="5"/>
  <c r="CC95" i="5"/>
  <c r="CE94" i="5"/>
  <c r="CD94" i="5"/>
  <c r="CC94" i="5"/>
  <c r="CE93" i="5"/>
  <c r="CD93" i="5"/>
  <c r="CC93" i="5"/>
  <c r="CE92" i="5"/>
  <c r="CD92" i="5"/>
  <c r="CC92" i="5"/>
  <c r="CE91" i="5"/>
  <c r="CD91" i="5"/>
  <c r="CC91" i="5"/>
  <c r="CE90" i="5"/>
  <c r="CD90" i="5"/>
  <c r="CC90" i="5"/>
  <c r="CE89" i="5"/>
  <c r="CD89" i="5"/>
  <c r="CC89" i="5"/>
  <c r="CE88" i="5"/>
  <c r="CD88" i="5"/>
  <c r="CC88" i="5"/>
  <c r="CE87" i="5"/>
  <c r="CD87" i="5"/>
  <c r="CC87" i="5"/>
  <c r="CE86" i="5"/>
  <c r="CD86" i="5"/>
  <c r="CC86" i="5"/>
  <c r="CE85" i="5"/>
  <c r="CD85" i="5"/>
  <c r="CC85" i="5"/>
  <c r="CE84" i="5"/>
  <c r="CD84" i="5"/>
  <c r="CC84" i="5"/>
  <c r="CE83" i="5"/>
  <c r="CD83" i="5"/>
  <c r="CC83" i="5"/>
  <c r="CE82" i="5"/>
  <c r="CD82" i="5"/>
  <c r="CC82" i="5"/>
  <c r="CE81" i="5"/>
  <c r="CD81" i="5"/>
  <c r="CC81" i="5"/>
  <c r="CE80" i="5"/>
  <c r="CD80" i="5"/>
  <c r="CC80" i="5"/>
  <c r="CE79" i="5"/>
  <c r="CD79" i="5"/>
  <c r="CC79" i="5"/>
  <c r="CE78" i="5"/>
  <c r="CD78" i="5"/>
  <c r="CC78" i="5"/>
  <c r="CE77" i="5"/>
  <c r="CD77" i="5"/>
  <c r="CC77" i="5"/>
  <c r="CE76" i="5"/>
  <c r="CD76" i="5"/>
  <c r="CC76" i="5"/>
  <c r="CE75" i="5"/>
  <c r="CD75" i="5"/>
  <c r="CC75" i="5"/>
  <c r="CE74" i="5"/>
  <c r="CD74" i="5"/>
  <c r="CC74" i="5"/>
  <c r="CE73" i="5"/>
  <c r="CD73" i="5"/>
  <c r="CC73" i="5"/>
  <c r="CE72" i="5"/>
  <c r="CD72" i="5"/>
  <c r="CC72" i="5"/>
  <c r="CE71" i="5"/>
  <c r="CD71" i="5"/>
  <c r="CC71" i="5"/>
  <c r="CE70" i="5"/>
  <c r="CD70" i="5"/>
  <c r="CC70" i="5"/>
  <c r="CE69" i="5"/>
  <c r="CD69" i="5"/>
  <c r="CC69" i="5"/>
  <c r="CE68" i="5"/>
  <c r="CD68" i="5"/>
  <c r="CC68" i="5"/>
  <c r="CE67" i="5"/>
  <c r="CD67" i="5"/>
  <c r="CC67" i="5"/>
  <c r="CE66" i="5"/>
  <c r="CD66" i="5"/>
  <c r="CC66" i="5"/>
  <c r="CE65" i="5"/>
  <c r="CD65" i="5"/>
  <c r="CC65" i="5"/>
  <c r="CE64" i="5"/>
  <c r="CD64" i="5"/>
  <c r="CC64" i="5"/>
  <c r="CE63" i="5"/>
  <c r="CD63" i="5"/>
  <c r="CC63" i="5"/>
  <c r="CE62" i="5"/>
  <c r="CD62" i="5"/>
  <c r="CC62" i="5"/>
  <c r="CE61" i="5"/>
  <c r="CD61" i="5"/>
  <c r="CC61" i="5"/>
  <c r="CE60" i="5"/>
  <c r="CD60" i="5"/>
  <c r="CC60" i="5"/>
  <c r="CE59" i="5"/>
  <c r="CD59" i="5"/>
  <c r="CC59" i="5"/>
  <c r="CE58" i="5"/>
  <c r="CD58" i="5"/>
  <c r="CC58" i="5"/>
  <c r="CE57" i="5"/>
  <c r="CD57" i="5"/>
  <c r="CC57" i="5"/>
  <c r="CE56" i="5"/>
  <c r="CD56" i="5"/>
  <c r="CC56" i="5"/>
  <c r="CE55" i="5"/>
  <c r="CD55" i="5"/>
  <c r="CC55" i="5"/>
  <c r="CE54" i="5"/>
  <c r="CD54" i="5"/>
  <c r="CC54" i="5"/>
  <c r="CE53" i="5"/>
  <c r="CD53" i="5"/>
  <c r="CC53" i="5"/>
  <c r="CE52" i="5"/>
  <c r="CD52" i="5"/>
  <c r="CC52" i="5"/>
  <c r="CE51" i="5"/>
  <c r="CD51" i="5"/>
  <c r="CC51" i="5"/>
  <c r="CE50" i="5"/>
  <c r="CD50" i="5"/>
  <c r="CC50" i="5"/>
  <c r="CE49" i="5"/>
  <c r="CD49" i="5"/>
  <c r="CC49" i="5"/>
  <c r="CE48" i="5"/>
  <c r="CD48" i="5"/>
  <c r="CC48" i="5"/>
  <c r="CE47" i="5"/>
  <c r="CD47" i="5"/>
  <c r="CC47" i="5"/>
  <c r="CE46" i="5"/>
  <c r="CD46" i="5"/>
  <c r="CC46" i="5"/>
  <c r="CE45" i="5"/>
  <c r="CD45" i="5"/>
  <c r="CC45" i="5"/>
  <c r="CE44" i="5"/>
  <c r="CD44" i="5"/>
  <c r="CC44" i="5"/>
  <c r="CE43" i="5"/>
  <c r="CD43" i="5"/>
  <c r="CC43" i="5"/>
  <c r="CE42" i="5"/>
  <c r="CD42" i="5"/>
  <c r="CC42" i="5"/>
  <c r="CE41" i="5"/>
  <c r="CD41" i="5"/>
  <c r="CC41" i="5"/>
  <c r="CE40" i="5"/>
  <c r="CD40" i="5"/>
  <c r="CC40" i="5"/>
  <c r="CE39" i="5"/>
  <c r="CD39" i="5"/>
  <c r="CC39" i="5"/>
  <c r="CE38" i="5"/>
  <c r="CD38" i="5"/>
  <c r="CC38" i="5"/>
  <c r="CE37" i="5"/>
  <c r="CD37" i="5"/>
  <c r="CC37" i="5"/>
  <c r="CE36" i="5"/>
  <c r="CD36" i="5"/>
  <c r="CC36" i="5"/>
  <c r="CE35" i="5"/>
  <c r="CD35" i="5"/>
  <c r="CC35" i="5"/>
  <c r="CE34" i="5"/>
  <c r="CD34" i="5"/>
  <c r="CC34" i="5"/>
  <c r="CE33" i="5"/>
  <c r="CD33" i="5"/>
  <c r="CC33" i="5"/>
  <c r="CE32" i="5"/>
  <c r="CD32" i="5"/>
  <c r="CC32" i="5"/>
  <c r="CE31" i="5"/>
  <c r="CD31" i="5"/>
  <c r="CC31" i="5"/>
  <c r="CE30" i="5"/>
  <c r="CD30" i="5"/>
  <c r="CC30" i="5"/>
  <c r="CE29" i="5"/>
  <c r="CD29" i="5"/>
  <c r="CC29" i="5"/>
  <c r="CE28" i="5"/>
  <c r="CD28" i="5"/>
  <c r="CC28" i="5"/>
  <c r="CE27" i="5"/>
  <c r="CD27" i="5"/>
  <c r="CC27" i="5"/>
  <c r="CE26" i="5"/>
  <c r="CD26" i="5"/>
  <c r="CC26" i="5"/>
  <c r="CE25" i="5"/>
  <c r="CD25" i="5"/>
  <c r="CC25" i="5"/>
  <c r="CE24" i="5"/>
  <c r="CD24" i="5"/>
  <c r="CC24" i="5"/>
  <c r="CE23" i="5"/>
  <c r="CD23" i="5"/>
  <c r="CC23" i="5"/>
  <c r="CE22" i="5"/>
  <c r="CD22" i="5"/>
  <c r="CC22" i="5"/>
  <c r="CE21" i="5"/>
  <c r="CD21" i="5"/>
  <c r="CC21" i="5"/>
  <c r="CE20" i="5"/>
  <c r="CD20" i="5"/>
  <c r="CC20" i="5"/>
  <c r="CE19" i="5"/>
  <c r="CD19" i="5"/>
  <c r="CC19" i="5"/>
  <c r="CE18" i="5"/>
  <c r="CD18" i="5"/>
  <c r="CC18" i="5"/>
  <c r="CE17" i="5"/>
  <c r="CD17" i="5"/>
  <c r="CC17" i="5"/>
  <c r="CE16" i="5"/>
  <c r="CD16" i="5"/>
  <c r="CC16" i="5"/>
  <c r="CE15" i="5"/>
  <c r="CD15" i="5"/>
  <c r="CC15" i="5"/>
  <c r="CE14" i="5"/>
  <c r="CD14" i="5"/>
  <c r="CC14" i="5"/>
  <c r="CE13" i="5"/>
  <c r="CD13" i="5"/>
  <c r="CC13" i="5"/>
  <c r="CE12" i="5"/>
  <c r="CD12" i="5"/>
  <c r="CC12" i="5"/>
  <c r="CE11" i="5"/>
  <c r="CD11" i="5"/>
  <c r="CC11" i="5"/>
  <c r="CE10" i="5"/>
  <c r="CD10" i="5"/>
  <c r="CC10" i="5"/>
  <c r="CE9" i="5"/>
  <c r="CD9" i="5"/>
  <c r="CC9" i="5"/>
  <c r="CE8" i="5"/>
  <c r="CD8" i="5"/>
  <c r="CC8" i="5"/>
  <c r="CE7" i="5"/>
  <c r="CD7" i="5"/>
  <c r="CC7" i="5"/>
  <c r="CE6" i="5"/>
  <c r="CD6" i="5"/>
  <c r="CC6" i="5"/>
  <c r="CE5" i="5"/>
  <c r="CD5" i="5"/>
  <c r="CC5" i="5"/>
  <c r="AC249" i="1"/>
  <c r="AC244" i="1"/>
  <c r="AC235" i="1"/>
  <c r="AC229" i="1"/>
  <c r="AC228" i="1"/>
  <c r="AC227" i="1"/>
  <c r="AC226" i="1"/>
  <c r="AC225" i="1"/>
  <c r="AC224" i="1"/>
  <c r="AC223" i="1"/>
  <c r="AC222" i="1"/>
  <c r="AC221" i="1"/>
  <c r="AC220" i="1"/>
  <c r="AC219" i="1"/>
  <c r="AC218" i="1"/>
  <c r="AC217" i="1"/>
  <c r="AC216" i="1"/>
  <c r="AC215" i="1"/>
  <c r="AC214" i="1"/>
  <c r="AC213" i="1"/>
  <c r="AC212" i="1"/>
  <c r="AC211" i="1"/>
  <c r="AC210" i="1"/>
  <c r="AC209" i="1"/>
  <c r="AC208" i="1"/>
  <c r="AC207" i="1"/>
  <c r="AC206" i="1"/>
  <c r="AC205" i="1"/>
  <c r="AC204" i="1"/>
  <c r="AC203" i="1"/>
  <c r="AC202" i="1"/>
  <c r="AC201" i="1"/>
  <c r="AC200" i="1"/>
  <c r="AC199" i="1"/>
  <c r="AC198" i="1"/>
  <c r="AC197" i="1"/>
  <c r="AC196" i="1"/>
  <c r="AC195" i="1"/>
  <c r="AC194" i="1"/>
  <c r="AC193" i="1"/>
  <c r="AC192" i="1"/>
  <c r="AC191" i="1"/>
  <c r="AC190" i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215" i="3"/>
  <c r="AC214" i="3"/>
  <c r="AC213" i="3"/>
  <c r="AC210" i="3"/>
  <c r="AC209" i="3"/>
  <c r="AC208" i="3"/>
  <c r="AC205" i="3"/>
  <c r="AC204" i="3"/>
  <c r="AC203" i="3"/>
  <c r="AC202" i="3"/>
  <c r="AC199" i="3"/>
  <c r="AC198" i="3"/>
  <c r="AC195" i="3"/>
  <c r="AC194" i="3"/>
  <c r="AC193" i="3"/>
  <c r="AC190" i="3"/>
  <c r="AC189" i="3"/>
  <c r="AC186" i="3"/>
  <c r="AC185" i="3"/>
  <c r="AC184" i="3"/>
  <c r="AC171" i="3"/>
  <c r="AC170" i="3"/>
  <c r="AC169" i="3"/>
  <c r="AC168" i="3"/>
  <c r="AC167" i="3"/>
  <c r="AC166" i="3"/>
  <c r="AC165" i="3"/>
  <c r="AC164" i="3"/>
  <c r="AC163" i="3"/>
  <c r="AC162" i="3"/>
  <c r="AC161" i="3"/>
  <c r="AC160" i="3"/>
  <c r="AC159" i="3"/>
  <c r="AC158" i="3"/>
  <c r="AC157" i="3"/>
  <c r="AC156" i="3"/>
  <c r="AC155" i="3"/>
  <c r="AC154" i="3"/>
  <c r="AC153" i="3"/>
  <c r="AC152" i="3"/>
  <c r="AC151" i="3"/>
  <c r="AC150" i="3"/>
  <c r="AC149" i="3"/>
  <c r="AC148" i="3"/>
  <c r="AC147" i="3"/>
  <c r="AC146" i="3"/>
  <c r="AC145" i="3"/>
  <c r="AC144" i="3"/>
  <c r="AC143" i="3"/>
  <c r="AC142" i="3"/>
  <c r="AC141" i="3"/>
  <c r="AC140" i="3"/>
  <c r="AC139" i="3"/>
  <c r="AC138" i="3"/>
  <c r="AC137" i="3"/>
  <c r="AC136" i="3"/>
  <c r="AC135" i="3"/>
  <c r="AC134" i="3"/>
  <c r="AC133" i="3"/>
  <c r="AC132" i="3"/>
  <c r="AC131" i="3"/>
  <c r="AC130" i="3"/>
  <c r="AC129" i="3"/>
  <c r="AC128" i="3"/>
  <c r="AC127" i="3"/>
  <c r="AC126" i="3"/>
  <c r="AC125" i="3"/>
  <c r="AC124" i="3"/>
  <c r="AC123" i="3"/>
  <c r="AC122" i="3"/>
  <c r="AC121" i="3"/>
  <c r="AC120" i="3"/>
  <c r="AC119" i="3"/>
  <c r="AC118" i="3"/>
  <c r="AC117" i="3"/>
  <c r="AC116" i="3"/>
  <c r="AC115" i="3"/>
  <c r="AC114" i="3"/>
  <c r="AC113" i="3"/>
  <c r="AC112" i="3"/>
  <c r="AC111" i="3"/>
  <c r="AC110" i="3"/>
  <c r="AC109" i="3"/>
  <c r="AC108" i="3"/>
  <c r="AC107" i="3"/>
  <c r="AC106" i="3"/>
  <c r="AC105" i="3"/>
  <c r="AC104" i="3"/>
  <c r="AC103" i="3"/>
  <c r="AC102" i="3"/>
  <c r="AC101" i="3"/>
  <c r="AC100" i="3"/>
  <c r="AC99" i="3"/>
  <c r="AC98" i="3"/>
  <c r="AC97" i="3"/>
  <c r="AC96" i="3"/>
  <c r="AC95" i="3"/>
  <c r="AC94" i="3"/>
  <c r="AC93" i="3"/>
  <c r="AC92" i="3"/>
  <c r="AC91" i="3"/>
  <c r="AC90" i="3"/>
  <c r="AC89" i="3"/>
  <c r="AC88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6" i="3"/>
  <c r="AC55" i="3"/>
  <c r="AC54" i="3"/>
  <c r="AC53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C13" i="3"/>
  <c r="AC12" i="3"/>
  <c r="AC11" i="3"/>
  <c r="AC10" i="3"/>
  <c r="AC9" i="3"/>
  <c r="AC8" i="3"/>
  <c r="AC7" i="3"/>
  <c r="AC6" i="3"/>
  <c r="AC5" i="3"/>
  <c r="AC4" i="3"/>
  <c r="AC3" i="3"/>
  <c r="AC229" i="2"/>
  <c r="AC228" i="2"/>
  <c r="AC227" i="2"/>
  <c r="AC226" i="2"/>
  <c r="AC224" i="2"/>
  <c r="AC223" i="2"/>
  <c r="AC222" i="2"/>
  <c r="AC221" i="2"/>
  <c r="AC219" i="2"/>
  <c r="AC218" i="2"/>
  <c r="AC217" i="2"/>
  <c r="AC214" i="2"/>
  <c r="AC213" i="2"/>
  <c r="AC212" i="2"/>
  <c r="AC209" i="2"/>
  <c r="AC208" i="2"/>
  <c r="AC207" i="2"/>
  <c r="AC206" i="2"/>
  <c r="AC203" i="2"/>
  <c r="AC202" i="2"/>
  <c r="AC199" i="2"/>
  <c r="AC198" i="2"/>
  <c r="AC197" i="2"/>
  <c r="AC194" i="2"/>
  <c r="AC193" i="2"/>
  <c r="AC190" i="2"/>
  <c r="AC189" i="2"/>
  <c r="AC188" i="2"/>
  <c r="AC184" i="2"/>
  <c r="AC171" i="2"/>
  <c r="AC170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7" i="2"/>
  <c r="AC156" i="2"/>
  <c r="AC155" i="2"/>
  <c r="AC154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40" i="2"/>
  <c r="AC139" i="2"/>
  <c r="AC138" i="2"/>
  <c r="AC137" i="2"/>
  <c r="AC136" i="2"/>
  <c r="AC135" i="2"/>
  <c r="AC134" i="2"/>
  <c r="AC133" i="2"/>
  <c r="AC132" i="2"/>
  <c r="AC131" i="2"/>
  <c r="AC130" i="2"/>
  <c r="AC129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3" i="2"/>
  <c r="AC112" i="2"/>
  <c r="AC111" i="2"/>
  <c r="AC110" i="2"/>
  <c r="AC109" i="2"/>
  <c r="AC108" i="2"/>
  <c r="AC107" i="2"/>
  <c r="AC106" i="2"/>
  <c r="AC105" i="2"/>
  <c r="AC104" i="2"/>
  <c r="AC103" i="2"/>
  <c r="AC102" i="2"/>
  <c r="AC101" i="2"/>
  <c r="AC100" i="2"/>
  <c r="AC99" i="2"/>
  <c r="AC98" i="2"/>
  <c r="AC97" i="2"/>
  <c r="AC96" i="2"/>
  <c r="AC95" i="2"/>
  <c r="AC94" i="2"/>
  <c r="AC93" i="2"/>
  <c r="AC92" i="2"/>
  <c r="AC91" i="2"/>
  <c r="AC90" i="2"/>
  <c r="AC89" i="2"/>
  <c r="AC88" i="2"/>
  <c r="AC87" i="2"/>
  <c r="AC86" i="2"/>
  <c r="AC85" i="2"/>
  <c r="AC84" i="2"/>
  <c r="AC83" i="2"/>
  <c r="AC82" i="2"/>
  <c r="AC81" i="2"/>
  <c r="AC80" i="2"/>
  <c r="AC79" i="2"/>
  <c r="AC78" i="2"/>
  <c r="AC77" i="2"/>
  <c r="AC76" i="2"/>
  <c r="AC75" i="2"/>
  <c r="AC74" i="2"/>
  <c r="AC73" i="2"/>
  <c r="AC72" i="2"/>
  <c r="AC71" i="2"/>
  <c r="AC70" i="2"/>
  <c r="AC69" i="2"/>
  <c r="AC68" i="2"/>
  <c r="AC67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3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C3" i="2"/>
  <c r="BZ337" i="5"/>
  <c r="CB333" i="5"/>
  <c r="CA333" i="5"/>
  <c r="BZ333" i="5"/>
  <c r="CB317" i="5"/>
  <c r="CA317" i="5"/>
  <c r="BZ317" i="5"/>
  <c r="CB316" i="5"/>
  <c r="CA316" i="5"/>
  <c r="BZ316" i="5"/>
  <c r="CB315" i="5"/>
  <c r="CA315" i="5"/>
  <c r="BZ315" i="5"/>
  <c r="CB314" i="5"/>
  <c r="CA314" i="5"/>
  <c r="BZ314" i="5"/>
  <c r="CB313" i="5"/>
  <c r="CA313" i="5"/>
  <c r="BZ313" i="5"/>
  <c r="CB312" i="5"/>
  <c r="CA312" i="5"/>
  <c r="BZ312" i="5"/>
  <c r="CB311" i="5"/>
  <c r="CA311" i="5"/>
  <c r="BZ311" i="5"/>
  <c r="CB310" i="5"/>
  <c r="CA310" i="5"/>
  <c r="BZ310" i="5"/>
  <c r="CB309" i="5"/>
  <c r="CA309" i="5"/>
  <c r="BZ309" i="5"/>
  <c r="CB308" i="5"/>
  <c r="CA308" i="5"/>
  <c r="BZ308" i="5"/>
  <c r="CB307" i="5"/>
  <c r="CA307" i="5"/>
  <c r="BZ307" i="5"/>
  <c r="CB306" i="5"/>
  <c r="CA306" i="5"/>
  <c r="BZ306" i="5"/>
  <c r="CB305" i="5"/>
  <c r="CA305" i="5"/>
  <c r="BZ305" i="5"/>
  <c r="CB304" i="5"/>
  <c r="CA304" i="5"/>
  <c r="BZ304" i="5"/>
  <c r="CB303" i="5"/>
  <c r="CA303" i="5"/>
  <c r="BZ303" i="5"/>
  <c r="CB302" i="5"/>
  <c r="CA302" i="5"/>
  <c r="BZ302" i="5"/>
  <c r="CB301" i="5"/>
  <c r="CA301" i="5"/>
  <c r="BZ301" i="5"/>
  <c r="CB300" i="5"/>
  <c r="CA300" i="5"/>
  <c r="BZ300" i="5"/>
  <c r="CB299" i="5"/>
  <c r="CA299" i="5"/>
  <c r="BZ299" i="5"/>
  <c r="CB298" i="5"/>
  <c r="CA298" i="5"/>
  <c r="BZ298" i="5"/>
  <c r="CB297" i="5"/>
  <c r="CA297" i="5"/>
  <c r="BZ297" i="5"/>
  <c r="CB296" i="5"/>
  <c r="CA296" i="5"/>
  <c r="BZ296" i="5"/>
  <c r="CB295" i="5"/>
  <c r="CA295" i="5"/>
  <c r="BZ295" i="5"/>
  <c r="CB294" i="5"/>
  <c r="CA294" i="5"/>
  <c r="BZ294" i="5"/>
  <c r="CB293" i="5"/>
  <c r="CA293" i="5"/>
  <c r="BZ293" i="5"/>
  <c r="CB292" i="5"/>
  <c r="CA292" i="5"/>
  <c r="CB291" i="5"/>
  <c r="CA291" i="5"/>
  <c r="BZ291" i="5"/>
  <c r="CB290" i="5"/>
  <c r="CA290" i="5"/>
  <c r="BZ290" i="5"/>
  <c r="CB289" i="5"/>
  <c r="CA289" i="5"/>
  <c r="BZ289" i="5"/>
  <c r="CB288" i="5"/>
  <c r="CA288" i="5"/>
  <c r="BZ288" i="5"/>
  <c r="CB287" i="5"/>
  <c r="CA287" i="5"/>
  <c r="BZ287" i="5"/>
  <c r="CB286" i="5"/>
  <c r="CA286" i="5"/>
  <c r="BZ286" i="5"/>
  <c r="CB285" i="5"/>
  <c r="CA285" i="5"/>
  <c r="BZ285" i="5"/>
  <c r="CB284" i="5"/>
  <c r="CA284" i="5"/>
  <c r="BZ284" i="5"/>
  <c r="CB283" i="5"/>
  <c r="CA283" i="5"/>
  <c r="BZ283" i="5"/>
  <c r="CB282" i="5"/>
  <c r="CA282" i="5"/>
  <c r="BZ282" i="5"/>
  <c r="CB281" i="5"/>
  <c r="CA281" i="5"/>
  <c r="BZ281" i="5"/>
  <c r="CB280" i="5"/>
  <c r="CA280" i="5"/>
  <c r="BZ280" i="5"/>
  <c r="CB279" i="5"/>
  <c r="CA279" i="5"/>
  <c r="BZ279" i="5"/>
  <c r="CB278" i="5"/>
  <c r="CA278" i="5"/>
  <c r="BZ278" i="5"/>
  <c r="CB277" i="5"/>
  <c r="CA277" i="5"/>
  <c r="BZ277" i="5"/>
  <c r="CB276" i="5"/>
  <c r="CA276" i="5"/>
  <c r="BZ276" i="5"/>
  <c r="CB275" i="5"/>
  <c r="CA275" i="5"/>
  <c r="BZ275" i="5"/>
  <c r="CB274" i="5"/>
  <c r="CA274" i="5"/>
  <c r="BZ274" i="5"/>
  <c r="CB273" i="5"/>
  <c r="CA273" i="5"/>
  <c r="BZ273" i="5"/>
  <c r="CB272" i="5"/>
  <c r="CA272" i="5"/>
  <c r="BZ272" i="5"/>
  <c r="CB271" i="5"/>
  <c r="CA271" i="5"/>
  <c r="BZ271" i="5"/>
  <c r="CB270" i="5"/>
  <c r="CA270" i="5"/>
  <c r="BZ270" i="5"/>
  <c r="CB269" i="5"/>
  <c r="CA269" i="5"/>
  <c r="BZ269" i="5"/>
  <c r="CB268" i="5"/>
  <c r="CA268" i="5"/>
  <c r="BZ268" i="5"/>
  <c r="CB267" i="5"/>
  <c r="CA267" i="5"/>
  <c r="BZ267" i="5"/>
  <c r="CB266" i="5"/>
  <c r="CA266" i="5"/>
  <c r="BZ266" i="5"/>
  <c r="CB265" i="5"/>
  <c r="CA265" i="5"/>
  <c r="BZ265" i="5"/>
  <c r="CB264" i="5"/>
  <c r="CA264" i="5"/>
  <c r="BZ264" i="5"/>
  <c r="CB263" i="5"/>
  <c r="CA263" i="5"/>
  <c r="BZ263" i="5"/>
  <c r="CB262" i="5"/>
  <c r="CA262" i="5"/>
  <c r="BZ262" i="5"/>
  <c r="CB261" i="5"/>
  <c r="CA261" i="5"/>
  <c r="BZ261" i="5"/>
  <c r="CB260" i="5"/>
  <c r="CA260" i="5"/>
  <c r="BZ260" i="5"/>
  <c r="CB259" i="5"/>
  <c r="CA259" i="5"/>
  <c r="BZ259" i="5"/>
  <c r="CB258" i="5"/>
  <c r="CA258" i="5"/>
  <c r="BZ258" i="5"/>
  <c r="CB257" i="5"/>
  <c r="CA257" i="5"/>
  <c r="BZ257" i="5"/>
  <c r="CB256" i="5"/>
  <c r="CA256" i="5"/>
  <c r="BZ256" i="5"/>
  <c r="CB255" i="5"/>
  <c r="CA255" i="5"/>
  <c r="BZ255" i="5"/>
  <c r="CB254" i="5"/>
  <c r="CA254" i="5"/>
  <c r="BZ254" i="5"/>
  <c r="CB253" i="5"/>
  <c r="CA253" i="5"/>
  <c r="BZ253" i="5"/>
  <c r="CB252" i="5"/>
  <c r="CA252" i="5"/>
  <c r="BZ252" i="5"/>
  <c r="CB251" i="5"/>
  <c r="CA251" i="5"/>
  <c r="BZ251" i="5"/>
  <c r="CB250" i="5"/>
  <c r="CA250" i="5"/>
  <c r="BZ250" i="5"/>
  <c r="CB249" i="5"/>
  <c r="CA249" i="5"/>
  <c r="BZ249" i="5"/>
  <c r="CB248" i="5"/>
  <c r="CA248" i="5"/>
  <c r="BZ248" i="5"/>
  <c r="CB247" i="5"/>
  <c r="CA247" i="5"/>
  <c r="BZ247" i="5"/>
  <c r="CB246" i="5"/>
  <c r="CA246" i="5"/>
  <c r="BZ246" i="5"/>
  <c r="CB245" i="5"/>
  <c r="CA245" i="5"/>
  <c r="BZ245" i="5"/>
  <c r="CB244" i="5"/>
  <c r="CA244" i="5"/>
  <c r="BZ244" i="5"/>
  <c r="CB243" i="5"/>
  <c r="CA243" i="5"/>
  <c r="BZ243" i="5"/>
  <c r="CB242" i="5"/>
  <c r="CA242" i="5"/>
  <c r="BZ242" i="5"/>
  <c r="CB241" i="5"/>
  <c r="CA241" i="5"/>
  <c r="BZ241" i="5"/>
  <c r="CB240" i="5"/>
  <c r="CA240" i="5"/>
  <c r="BZ240" i="5"/>
  <c r="CB239" i="5"/>
  <c r="CA239" i="5"/>
  <c r="BZ239" i="5"/>
  <c r="CB238" i="5"/>
  <c r="CA238" i="5"/>
  <c r="BZ238" i="5"/>
  <c r="CB237" i="5"/>
  <c r="CA237" i="5"/>
  <c r="BZ237" i="5"/>
  <c r="CB236" i="5"/>
  <c r="CA236" i="5"/>
  <c r="BZ236" i="5"/>
  <c r="CB235" i="5"/>
  <c r="CA235" i="5"/>
  <c r="BZ235" i="5"/>
  <c r="CB234" i="5"/>
  <c r="CA234" i="5"/>
  <c r="BZ234" i="5"/>
  <c r="CB233" i="5"/>
  <c r="CA233" i="5"/>
  <c r="BZ233" i="5"/>
  <c r="CB232" i="5"/>
  <c r="CA232" i="5"/>
  <c r="BZ232" i="5"/>
  <c r="CB231" i="5"/>
  <c r="CA231" i="5"/>
  <c r="BZ231" i="5"/>
  <c r="CB230" i="5"/>
  <c r="CA230" i="5"/>
  <c r="BZ230" i="5"/>
  <c r="CB229" i="5"/>
  <c r="CA229" i="5"/>
  <c r="BZ229" i="5"/>
  <c r="CB228" i="5"/>
  <c r="CA228" i="5"/>
  <c r="BZ228" i="5"/>
  <c r="CB227" i="5"/>
  <c r="CA227" i="5"/>
  <c r="BZ227" i="5"/>
  <c r="CB226" i="5"/>
  <c r="CA226" i="5"/>
  <c r="BZ226" i="5"/>
  <c r="CB225" i="5"/>
  <c r="CA225" i="5"/>
  <c r="BZ225" i="5"/>
  <c r="CB224" i="5"/>
  <c r="CA224" i="5"/>
  <c r="BZ224" i="5"/>
  <c r="CB223" i="5"/>
  <c r="CA223" i="5"/>
  <c r="BZ223" i="5"/>
  <c r="CB222" i="5"/>
  <c r="CA222" i="5"/>
  <c r="BZ222" i="5"/>
  <c r="CB221" i="5"/>
  <c r="CA221" i="5"/>
  <c r="BZ221" i="5"/>
  <c r="CB220" i="5"/>
  <c r="CA220" i="5"/>
  <c r="BZ220" i="5"/>
  <c r="CB219" i="5"/>
  <c r="CA219" i="5"/>
  <c r="BZ219" i="5"/>
  <c r="CB218" i="5"/>
  <c r="CA218" i="5"/>
  <c r="BZ218" i="5"/>
  <c r="CB217" i="5"/>
  <c r="CA217" i="5"/>
  <c r="BZ217" i="5"/>
  <c r="CB216" i="5"/>
  <c r="CA216" i="5"/>
  <c r="BZ216" i="5"/>
  <c r="CB215" i="5"/>
  <c r="CA215" i="5"/>
  <c r="BZ215" i="5"/>
  <c r="CB214" i="5"/>
  <c r="CA214" i="5"/>
  <c r="BZ214" i="5"/>
  <c r="CB213" i="5"/>
  <c r="CA213" i="5"/>
  <c r="BZ213" i="5"/>
  <c r="CB212" i="5"/>
  <c r="CA212" i="5"/>
  <c r="BZ212" i="5"/>
  <c r="CB211" i="5"/>
  <c r="CA211" i="5"/>
  <c r="BZ211" i="5"/>
  <c r="CB210" i="5"/>
  <c r="CA210" i="5"/>
  <c r="BZ210" i="5"/>
  <c r="CB209" i="5"/>
  <c r="CA209" i="5"/>
  <c r="BZ209" i="5"/>
  <c r="CB208" i="5"/>
  <c r="CA208" i="5"/>
  <c r="BZ208" i="5"/>
  <c r="CB207" i="5"/>
  <c r="CA207" i="5"/>
  <c r="BZ207" i="5"/>
  <c r="CB206" i="5"/>
  <c r="CA206" i="5"/>
  <c r="BZ206" i="5"/>
  <c r="CB205" i="5"/>
  <c r="CA205" i="5"/>
  <c r="BZ205" i="5"/>
  <c r="CB204" i="5"/>
  <c r="CA204" i="5"/>
  <c r="BZ204" i="5"/>
  <c r="CB203" i="5"/>
  <c r="CA203" i="5"/>
  <c r="BZ203" i="5"/>
  <c r="CB202" i="5"/>
  <c r="CA202" i="5"/>
  <c r="BZ202" i="5"/>
  <c r="CB201" i="5"/>
  <c r="CA201" i="5"/>
  <c r="BZ201" i="5"/>
  <c r="CB200" i="5"/>
  <c r="CA200" i="5"/>
  <c r="BZ200" i="5"/>
  <c r="CB199" i="5"/>
  <c r="CA199" i="5"/>
  <c r="BZ199" i="5"/>
  <c r="CB198" i="5"/>
  <c r="CA198" i="5"/>
  <c r="BZ198" i="5"/>
  <c r="CB197" i="5"/>
  <c r="CA197" i="5"/>
  <c r="BZ197" i="5"/>
  <c r="CB196" i="5"/>
  <c r="CA196" i="5"/>
  <c r="BZ196" i="5"/>
  <c r="CB195" i="5"/>
  <c r="CA195" i="5"/>
  <c r="BZ195" i="5"/>
  <c r="CB194" i="5"/>
  <c r="CA194" i="5"/>
  <c r="BZ194" i="5"/>
  <c r="CB193" i="5"/>
  <c r="CA193" i="5"/>
  <c r="BZ193" i="5"/>
  <c r="CB192" i="5"/>
  <c r="CA192" i="5"/>
  <c r="BZ192" i="5"/>
  <c r="CB191" i="5"/>
  <c r="CA191" i="5"/>
  <c r="BZ191" i="5"/>
  <c r="CB190" i="5"/>
  <c r="CA190" i="5"/>
  <c r="BZ190" i="5"/>
  <c r="CB189" i="5"/>
  <c r="CA189" i="5"/>
  <c r="BZ189" i="5"/>
  <c r="CB188" i="5"/>
  <c r="CA188" i="5"/>
  <c r="BZ188" i="5"/>
  <c r="CB187" i="5"/>
  <c r="CA187" i="5"/>
  <c r="BZ187" i="5"/>
  <c r="CB186" i="5"/>
  <c r="CA186" i="5"/>
  <c r="BZ186" i="5"/>
  <c r="CB185" i="5"/>
  <c r="CA185" i="5"/>
  <c r="BZ185" i="5"/>
  <c r="CB184" i="5"/>
  <c r="CA184" i="5"/>
  <c r="BZ184" i="5"/>
  <c r="CB183" i="5"/>
  <c r="CA183" i="5"/>
  <c r="BZ183" i="5"/>
  <c r="CB182" i="5"/>
  <c r="CA182" i="5"/>
  <c r="BZ182" i="5"/>
  <c r="CB181" i="5"/>
  <c r="CA181" i="5"/>
  <c r="BZ181" i="5"/>
  <c r="CB180" i="5"/>
  <c r="CA180" i="5"/>
  <c r="BZ180" i="5"/>
  <c r="CB179" i="5"/>
  <c r="CA179" i="5"/>
  <c r="BZ179" i="5"/>
  <c r="CB178" i="5"/>
  <c r="CA178" i="5"/>
  <c r="BZ178" i="5"/>
  <c r="CB177" i="5"/>
  <c r="CA177" i="5"/>
  <c r="BZ177" i="5"/>
  <c r="CB176" i="5"/>
  <c r="CA176" i="5"/>
  <c r="BZ176" i="5"/>
  <c r="CB175" i="5"/>
  <c r="CA175" i="5"/>
  <c r="BZ175" i="5"/>
  <c r="CB174" i="5"/>
  <c r="CA174" i="5"/>
  <c r="BZ174" i="5"/>
  <c r="CB173" i="5"/>
  <c r="CA173" i="5"/>
  <c r="BZ173" i="5"/>
  <c r="CB172" i="5"/>
  <c r="CA172" i="5"/>
  <c r="BZ172" i="5"/>
  <c r="CB171" i="5"/>
  <c r="CA171" i="5"/>
  <c r="BZ171" i="5"/>
  <c r="CB170" i="5"/>
  <c r="CA170" i="5"/>
  <c r="BZ170" i="5"/>
  <c r="CB169" i="5"/>
  <c r="CA169" i="5"/>
  <c r="BZ169" i="5"/>
  <c r="CB168" i="5"/>
  <c r="CA168" i="5"/>
  <c r="BZ168" i="5"/>
  <c r="CB167" i="5"/>
  <c r="CA167" i="5"/>
  <c r="BZ167" i="5"/>
  <c r="CB166" i="5"/>
  <c r="CA166" i="5"/>
  <c r="BZ166" i="5"/>
  <c r="CB165" i="5"/>
  <c r="CA165" i="5"/>
  <c r="BZ165" i="5"/>
  <c r="CB164" i="5"/>
  <c r="CA164" i="5"/>
  <c r="BZ164" i="5"/>
  <c r="CB163" i="5"/>
  <c r="CA163" i="5"/>
  <c r="BZ163" i="5"/>
  <c r="CB162" i="5"/>
  <c r="CA162" i="5"/>
  <c r="BZ162" i="5"/>
  <c r="CB161" i="5"/>
  <c r="CA161" i="5"/>
  <c r="BZ161" i="5"/>
  <c r="CB160" i="5"/>
  <c r="CA160" i="5"/>
  <c r="BZ160" i="5"/>
  <c r="CB159" i="5"/>
  <c r="CA159" i="5"/>
  <c r="BZ159" i="5"/>
  <c r="CB158" i="5"/>
  <c r="CA158" i="5"/>
  <c r="BZ158" i="5"/>
  <c r="CB157" i="5"/>
  <c r="CA157" i="5"/>
  <c r="BZ157" i="5"/>
  <c r="CB156" i="5"/>
  <c r="CA156" i="5"/>
  <c r="BZ156" i="5"/>
  <c r="CB155" i="5"/>
  <c r="CA155" i="5"/>
  <c r="BZ155" i="5"/>
  <c r="CB154" i="5"/>
  <c r="CA154" i="5"/>
  <c r="BZ154" i="5"/>
  <c r="CB153" i="5"/>
  <c r="CA153" i="5"/>
  <c r="BZ153" i="5"/>
  <c r="CB152" i="5"/>
  <c r="CA152" i="5"/>
  <c r="BZ152" i="5"/>
  <c r="CB151" i="5"/>
  <c r="CA151" i="5"/>
  <c r="BZ151" i="5"/>
  <c r="CB150" i="5"/>
  <c r="CA150" i="5"/>
  <c r="BZ150" i="5"/>
  <c r="CB149" i="5"/>
  <c r="CA149" i="5"/>
  <c r="BZ149" i="5"/>
  <c r="CB148" i="5"/>
  <c r="CA148" i="5"/>
  <c r="BZ148" i="5"/>
  <c r="CB147" i="5"/>
  <c r="CA147" i="5"/>
  <c r="BZ147" i="5"/>
  <c r="CB146" i="5"/>
  <c r="CA146" i="5"/>
  <c r="BZ146" i="5"/>
  <c r="CB145" i="5"/>
  <c r="CA145" i="5"/>
  <c r="BZ145" i="5"/>
  <c r="CB144" i="5"/>
  <c r="CA144" i="5"/>
  <c r="BZ144" i="5"/>
  <c r="CB143" i="5"/>
  <c r="CA143" i="5"/>
  <c r="BZ143" i="5"/>
  <c r="CB142" i="5"/>
  <c r="CA142" i="5"/>
  <c r="BZ142" i="5"/>
  <c r="CB141" i="5"/>
  <c r="CA141" i="5"/>
  <c r="BZ141" i="5"/>
  <c r="CB140" i="5"/>
  <c r="CA140" i="5"/>
  <c r="BZ140" i="5"/>
  <c r="CB139" i="5"/>
  <c r="CA139" i="5"/>
  <c r="BZ139" i="5"/>
  <c r="CB138" i="5"/>
  <c r="CA138" i="5"/>
  <c r="BZ138" i="5"/>
  <c r="CB137" i="5"/>
  <c r="CA137" i="5"/>
  <c r="BZ137" i="5"/>
  <c r="CB136" i="5"/>
  <c r="CA136" i="5"/>
  <c r="BZ136" i="5"/>
  <c r="CB135" i="5"/>
  <c r="CA135" i="5"/>
  <c r="BZ135" i="5"/>
  <c r="CB134" i="5"/>
  <c r="CA134" i="5"/>
  <c r="BZ134" i="5"/>
  <c r="CB133" i="5"/>
  <c r="CA133" i="5"/>
  <c r="BZ133" i="5"/>
  <c r="CB132" i="5"/>
  <c r="CA132" i="5"/>
  <c r="BZ132" i="5"/>
  <c r="CB131" i="5"/>
  <c r="CA131" i="5"/>
  <c r="BZ131" i="5"/>
  <c r="CB130" i="5"/>
  <c r="CA130" i="5"/>
  <c r="BZ130" i="5"/>
  <c r="CB129" i="5"/>
  <c r="CA129" i="5"/>
  <c r="BZ129" i="5"/>
  <c r="CB128" i="5"/>
  <c r="CA128" i="5"/>
  <c r="BZ128" i="5"/>
  <c r="CB127" i="5"/>
  <c r="CA127" i="5"/>
  <c r="BZ127" i="5"/>
  <c r="CB126" i="5"/>
  <c r="CA126" i="5"/>
  <c r="BZ126" i="5"/>
  <c r="CB125" i="5"/>
  <c r="CA125" i="5"/>
  <c r="BZ125" i="5"/>
  <c r="CB124" i="5"/>
  <c r="CA124" i="5"/>
  <c r="BZ124" i="5"/>
  <c r="CB123" i="5"/>
  <c r="CA123" i="5"/>
  <c r="BZ123" i="5"/>
  <c r="CB122" i="5"/>
  <c r="CA122" i="5"/>
  <c r="BZ122" i="5"/>
  <c r="CB121" i="5"/>
  <c r="CA121" i="5"/>
  <c r="BZ121" i="5"/>
  <c r="CB120" i="5"/>
  <c r="CA120" i="5"/>
  <c r="BZ120" i="5"/>
  <c r="CB119" i="5"/>
  <c r="CA119" i="5"/>
  <c r="BZ119" i="5"/>
  <c r="CB118" i="5"/>
  <c r="CA118" i="5"/>
  <c r="BZ118" i="5"/>
  <c r="CB117" i="5"/>
  <c r="CA117" i="5"/>
  <c r="BZ117" i="5"/>
  <c r="CB116" i="5"/>
  <c r="CA116" i="5"/>
  <c r="BZ116" i="5"/>
  <c r="CB115" i="5"/>
  <c r="CA115" i="5"/>
  <c r="BZ115" i="5"/>
  <c r="CB114" i="5"/>
  <c r="CA114" i="5"/>
  <c r="BZ114" i="5"/>
  <c r="CB113" i="5"/>
  <c r="CA113" i="5"/>
  <c r="BZ113" i="5"/>
  <c r="CB112" i="5"/>
  <c r="CA112" i="5"/>
  <c r="BZ112" i="5"/>
  <c r="BZ111" i="5"/>
  <c r="CB110" i="5"/>
  <c r="CA110" i="5"/>
  <c r="BZ110" i="5"/>
  <c r="CA109" i="5"/>
  <c r="BZ109" i="5"/>
  <c r="CB108" i="5"/>
  <c r="CA108" i="5"/>
  <c r="BZ108" i="5"/>
  <c r="CB107" i="5"/>
  <c r="CA107" i="5"/>
  <c r="CB106" i="5"/>
  <c r="CA106" i="5"/>
  <c r="BZ106" i="5"/>
  <c r="CB105" i="5"/>
  <c r="CA105" i="5"/>
  <c r="BZ105" i="5"/>
  <c r="CB104" i="5"/>
  <c r="CA104" i="5"/>
  <c r="BZ104" i="5"/>
  <c r="CB103" i="5"/>
  <c r="CA103" i="5"/>
  <c r="BZ103" i="5"/>
  <c r="CB102" i="5"/>
  <c r="CA102" i="5"/>
  <c r="BZ102" i="5"/>
  <c r="CB101" i="5"/>
  <c r="CA101" i="5"/>
  <c r="BZ101" i="5"/>
  <c r="CB100" i="5"/>
  <c r="CA100" i="5"/>
  <c r="BZ100" i="5"/>
  <c r="CB99" i="5"/>
  <c r="CA99" i="5"/>
  <c r="BZ99" i="5"/>
  <c r="CB98" i="5"/>
  <c r="CA98" i="5"/>
  <c r="BZ98" i="5"/>
  <c r="CB97" i="5"/>
  <c r="CA97" i="5"/>
  <c r="BZ97" i="5"/>
  <c r="CB96" i="5"/>
  <c r="CA96" i="5"/>
  <c r="BZ96" i="5"/>
  <c r="CB95" i="5"/>
  <c r="CA95" i="5"/>
  <c r="BZ95" i="5"/>
  <c r="CB94" i="5"/>
  <c r="CA94" i="5"/>
  <c r="BZ94" i="5"/>
  <c r="CB93" i="5"/>
  <c r="CA93" i="5"/>
  <c r="BZ93" i="5"/>
  <c r="CB92" i="5"/>
  <c r="CA92" i="5"/>
  <c r="BZ92" i="5"/>
  <c r="CB91" i="5"/>
  <c r="CA91" i="5"/>
  <c r="BZ91" i="5"/>
  <c r="CB90" i="5"/>
  <c r="CA90" i="5"/>
  <c r="BZ90" i="5"/>
  <c r="CB89" i="5"/>
  <c r="CA89" i="5"/>
  <c r="BZ89" i="5"/>
  <c r="CB88" i="5"/>
  <c r="CA88" i="5"/>
  <c r="BZ88" i="5"/>
  <c r="CB87" i="5"/>
  <c r="CA87" i="5"/>
  <c r="BZ87" i="5"/>
  <c r="CB86" i="5"/>
  <c r="CA86" i="5"/>
  <c r="BZ86" i="5"/>
  <c r="CB85" i="5"/>
  <c r="CA85" i="5"/>
  <c r="BZ85" i="5"/>
  <c r="CB84" i="5"/>
  <c r="CA84" i="5"/>
  <c r="BZ84" i="5"/>
  <c r="CB83" i="5"/>
  <c r="CA83" i="5"/>
  <c r="BZ83" i="5"/>
  <c r="CB82" i="5"/>
  <c r="CA82" i="5"/>
  <c r="BZ82" i="5"/>
  <c r="CB81" i="5"/>
  <c r="CA81" i="5"/>
  <c r="BZ81" i="5"/>
  <c r="CB80" i="5"/>
  <c r="CA80" i="5"/>
  <c r="BZ80" i="5"/>
  <c r="CB79" i="5"/>
  <c r="CA79" i="5"/>
  <c r="BZ79" i="5"/>
  <c r="CB78" i="5"/>
  <c r="CA78" i="5"/>
  <c r="BZ78" i="5"/>
  <c r="CB77" i="5"/>
  <c r="CA77" i="5"/>
  <c r="BZ77" i="5"/>
  <c r="CB76" i="5"/>
  <c r="CA76" i="5"/>
  <c r="BZ76" i="5"/>
  <c r="CB75" i="5"/>
  <c r="CA75" i="5"/>
  <c r="BZ75" i="5"/>
  <c r="CB74" i="5"/>
  <c r="CA74" i="5"/>
  <c r="BZ74" i="5"/>
  <c r="CB73" i="5"/>
  <c r="CA73" i="5"/>
  <c r="BZ73" i="5"/>
  <c r="CB72" i="5"/>
  <c r="CA72" i="5"/>
  <c r="BZ72" i="5"/>
  <c r="CB71" i="5"/>
  <c r="CA71" i="5"/>
  <c r="BZ71" i="5"/>
  <c r="CB70" i="5"/>
  <c r="CA70" i="5"/>
  <c r="BZ70" i="5"/>
  <c r="CB69" i="5"/>
  <c r="CA69" i="5"/>
  <c r="BZ69" i="5"/>
  <c r="CB68" i="5"/>
  <c r="CA68" i="5"/>
  <c r="BZ68" i="5"/>
  <c r="CB67" i="5"/>
  <c r="CA67" i="5"/>
  <c r="BZ67" i="5"/>
  <c r="CB66" i="5"/>
  <c r="CA66" i="5"/>
  <c r="BZ66" i="5"/>
  <c r="CB65" i="5"/>
  <c r="CA65" i="5"/>
  <c r="BZ65" i="5"/>
  <c r="CB64" i="5"/>
  <c r="CA64" i="5"/>
  <c r="BZ64" i="5"/>
  <c r="CB63" i="5"/>
  <c r="CA63" i="5"/>
  <c r="BZ63" i="5"/>
  <c r="CB62" i="5"/>
  <c r="CA62" i="5"/>
  <c r="BZ62" i="5"/>
  <c r="CB61" i="5"/>
  <c r="CA61" i="5"/>
  <c r="BZ61" i="5"/>
  <c r="CB60" i="5"/>
  <c r="CA60" i="5"/>
  <c r="BZ60" i="5"/>
  <c r="CB59" i="5"/>
  <c r="CA59" i="5"/>
  <c r="BZ59" i="5"/>
  <c r="CB58" i="5"/>
  <c r="CA58" i="5"/>
  <c r="BZ58" i="5"/>
  <c r="CB57" i="5"/>
  <c r="CA57" i="5"/>
  <c r="BZ57" i="5"/>
  <c r="CB56" i="5"/>
  <c r="CA56" i="5"/>
  <c r="BZ56" i="5"/>
  <c r="CB55" i="5"/>
  <c r="CA55" i="5"/>
  <c r="BZ55" i="5"/>
  <c r="CB54" i="5"/>
  <c r="CA54" i="5"/>
  <c r="BZ54" i="5"/>
  <c r="CB53" i="5"/>
  <c r="CA53" i="5"/>
  <c r="BZ53" i="5"/>
  <c r="CB52" i="5"/>
  <c r="CA52" i="5"/>
  <c r="BZ52" i="5"/>
  <c r="CB51" i="5"/>
  <c r="CA51" i="5"/>
  <c r="BZ51" i="5"/>
  <c r="CB50" i="5"/>
  <c r="CA50" i="5"/>
  <c r="BZ50" i="5"/>
  <c r="CB49" i="5"/>
  <c r="CA49" i="5"/>
  <c r="BZ49" i="5"/>
  <c r="CB48" i="5"/>
  <c r="CA48" i="5"/>
  <c r="BZ48" i="5"/>
  <c r="CB47" i="5"/>
  <c r="CA47" i="5"/>
  <c r="BZ47" i="5"/>
  <c r="CB46" i="5"/>
  <c r="CA46" i="5"/>
  <c r="BZ46" i="5"/>
  <c r="CB45" i="5"/>
  <c r="CA45" i="5"/>
  <c r="BZ45" i="5"/>
  <c r="CB44" i="5"/>
  <c r="CA44" i="5"/>
  <c r="BZ44" i="5"/>
  <c r="CB43" i="5"/>
  <c r="CA43" i="5"/>
  <c r="BZ43" i="5"/>
  <c r="CB42" i="5"/>
  <c r="CA42" i="5"/>
  <c r="BZ42" i="5"/>
  <c r="CB41" i="5"/>
  <c r="CA41" i="5"/>
  <c r="BZ41" i="5"/>
  <c r="CB40" i="5"/>
  <c r="CA40" i="5"/>
  <c r="BZ40" i="5"/>
  <c r="CB39" i="5"/>
  <c r="CA39" i="5"/>
  <c r="BZ39" i="5"/>
  <c r="CB38" i="5"/>
  <c r="CA38" i="5"/>
  <c r="BZ38" i="5"/>
  <c r="CB37" i="5"/>
  <c r="CA37" i="5"/>
  <c r="BZ37" i="5"/>
  <c r="CB36" i="5"/>
  <c r="CA36" i="5"/>
  <c r="BZ36" i="5"/>
  <c r="CB35" i="5"/>
  <c r="CA35" i="5"/>
  <c r="BZ35" i="5"/>
  <c r="CB34" i="5"/>
  <c r="CA34" i="5"/>
  <c r="BZ34" i="5"/>
  <c r="CB33" i="5"/>
  <c r="CA33" i="5"/>
  <c r="BZ33" i="5"/>
  <c r="CB32" i="5"/>
  <c r="CA32" i="5"/>
  <c r="BZ32" i="5"/>
  <c r="CB31" i="5"/>
  <c r="CA31" i="5"/>
  <c r="BZ31" i="5"/>
  <c r="CB30" i="5"/>
  <c r="CA30" i="5"/>
  <c r="BZ30" i="5"/>
  <c r="CB29" i="5"/>
  <c r="CA29" i="5"/>
  <c r="BZ29" i="5"/>
  <c r="CB28" i="5"/>
  <c r="CA28" i="5"/>
  <c r="BZ28" i="5"/>
  <c r="CB27" i="5"/>
  <c r="CA27" i="5"/>
  <c r="BZ27" i="5"/>
  <c r="CB26" i="5"/>
  <c r="CA26" i="5"/>
  <c r="BZ26" i="5"/>
  <c r="CB25" i="5"/>
  <c r="CA25" i="5"/>
  <c r="BZ25" i="5"/>
  <c r="CB24" i="5"/>
  <c r="CA24" i="5"/>
  <c r="BZ24" i="5"/>
  <c r="CB23" i="5"/>
  <c r="CA23" i="5"/>
  <c r="BZ23" i="5"/>
  <c r="CB22" i="5"/>
  <c r="CA22" i="5"/>
  <c r="BZ22" i="5"/>
  <c r="CB21" i="5"/>
  <c r="CA21" i="5"/>
  <c r="BZ21" i="5"/>
  <c r="CB20" i="5"/>
  <c r="CA20" i="5"/>
  <c r="BZ20" i="5"/>
  <c r="CB19" i="5"/>
  <c r="CA19" i="5"/>
  <c r="BZ19" i="5"/>
  <c r="CB18" i="5"/>
  <c r="CA18" i="5"/>
  <c r="BZ18" i="5"/>
  <c r="CB17" i="5"/>
  <c r="CA17" i="5"/>
  <c r="BZ17" i="5"/>
  <c r="CB16" i="5"/>
  <c r="CA16" i="5"/>
  <c r="BZ16" i="5"/>
  <c r="CB15" i="5"/>
  <c r="CA15" i="5"/>
  <c r="BZ15" i="5"/>
  <c r="CB14" i="5"/>
  <c r="CA14" i="5"/>
  <c r="BZ14" i="5"/>
  <c r="CB13" i="5"/>
  <c r="CA13" i="5"/>
  <c r="BZ13" i="5"/>
  <c r="CB12" i="5"/>
  <c r="CA12" i="5"/>
  <c r="BZ12" i="5"/>
  <c r="CB11" i="5"/>
  <c r="CA11" i="5"/>
  <c r="BZ11" i="5"/>
  <c r="CB10" i="5"/>
  <c r="CA10" i="5"/>
  <c r="BZ10" i="5"/>
  <c r="CB9" i="5"/>
  <c r="CA9" i="5"/>
  <c r="BZ9" i="5"/>
  <c r="CB8" i="5"/>
  <c r="CA8" i="5"/>
  <c r="BZ8" i="5"/>
  <c r="CB7" i="5"/>
  <c r="CA7" i="5"/>
  <c r="BZ7" i="5"/>
  <c r="CB6" i="5"/>
  <c r="CA6" i="5"/>
  <c r="BZ6" i="5"/>
  <c r="CB5" i="5"/>
  <c r="CA5" i="5"/>
  <c r="BZ5" i="5"/>
  <c r="AB249" i="1"/>
  <c r="AB244" i="1"/>
  <c r="AB235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7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215" i="3"/>
  <c r="AB214" i="3"/>
  <c r="AB213" i="3"/>
  <c r="AB210" i="3"/>
  <c r="AB209" i="3"/>
  <c r="AB208" i="3"/>
  <c r="AB205" i="3"/>
  <c r="AB204" i="3"/>
  <c r="AB203" i="3"/>
  <c r="AB202" i="3"/>
  <c r="AB199" i="3"/>
  <c r="AB198" i="3"/>
  <c r="AB195" i="3"/>
  <c r="AB194" i="3"/>
  <c r="AB193" i="3"/>
  <c r="AB190" i="3"/>
  <c r="AB189" i="3"/>
  <c r="AB186" i="3"/>
  <c r="AB185" i="3"/>
  <c r="AB184" i="3"/>
  <c r="AB171" i="3"/>
  <c r="AB170" i="3"/>
  <c r="AB169" i="3"/>
  <c r="AB168" i="3"/>
  <c r="AB167" i="3"/>
  <c r="AB166" i="3"/>
  <c r="AB165" i="3"/>
  <c r="AB164" i="3"/>
  <c r="AB163" i="3"/>
  <c r="AB162" i="3"/>
  <c r="AB161" i="3"/>
  <c r="AB160" i="3"/>
  <c r="AB159" i="3"/>
  <c r="AB158" i="3"/>
  <c r="AB157" i="3"/>
  <c r="AB156" i="3"/>
  <c r="AB155" i="3"/>
  <c r="AB154" i="3"/>
  <c r="AB153" i="3"/>
  <c r="AB152" i="3"/>
  <c r="AB151" i="3"/>
  <c r="AB150" i="3"/>
  <c r="AB149" i="3"/>
  <c r="AB148" i="3"/>
  <c r="AB147" i="3"/>
  <c r="AB146" i="3"/>
  <c r="AB145" i="3"/>
  <c r="AB144" i="3"/>
  <c r="AB143" i="3"/>
  <c r="AB142" i="3"/>
  <c r="AB141" i="3"/>
  <c r="AB140" i="3"/>
  <c r="AB139" i="3"/>
  <c r="AB138" i="3"/>
  <c r="AB137" i="3"/>
  <c r="AB136" i="3"/>
  <c r="AB135" i="3"/>
  <c r="AB134" i="3"/>
  <c r="AB133" i="3"/>
  <c r="AB132" i="3"/>
  <c r="AB131" i="3"/>
  <c r="AB130" i="3"/>
  <c r="AB129" i="3"/>
  <c r="AB128" i="3"/>
  <c r="AB127" i="3"/>
  <c r="AB126" i="3"/>
  <c r="AB125" i="3"/>
  <c r="AB124" i="3"/>
  <c r="AB123" i="3"/>
  <c r="AB122" i="3"/>
  <c r="AB121" i="3"/>
  <c r="AB120" i="3"/>
  <c r="AB119" i="3"/>
  <c r="AB118" i="3"/>
  <c r="AB117" i="3"/>
  <c r="AB116" i="3"/>
  <c r="AB115" i="3"/>
  <c r="AB114" i="3"/>
  <c r="AB113" i="3"/>
  <c r="AB112" i="3"/>
  <c r="AB111" i="3"/>
  <c r="AB110" i="3"/>
  <c r="AB109" i="3"/>
  <c r="AB108" i="3"/>
  <c r="AB107" i="3"/>
  <c r="AB106" i="3"/>
  <c r="AB105" i="3"/>
  <c r="AB104" i="3"/>
  <c r="AB103" i="3"/>
  <c r="AB102" i="3"/>
  <c r="AB101" i="3"/>
  <c r="AB100" i="3"/>
  <c r="AB99" i="3"/>
  <c r="AB98" i="3"/>
  <c r="AB97" i="3"/>
  <c r="AB96" i="3"/>
  <c r="AB95" i="3"/>
  <c r="AB94" i="3"/>
  <c r="AB93" i="3"/>
  <c r="AB92" i="3"/>
  <c r="AB91" i="3"/>
  <c r="AB90" i="3"/>
  <c r="AB89" i="3"/>
  <c r="AB88" i="3"/>
  <c r="AB87" i="3"/>
  <c r="AB86" i="3"/>
  <c r="AB85" i="3"/>
  <c r="AB84" i="3"/>
  <c r="AB83" i="3"/>
  <c r="AB82" i="3"/>
  <c r="AB81" i="3"/>
  <c r="AB80" i="3"/>
  <c r="AB79" i="3"/>
  <c r="AB78" i="3"/>
  <c r="AB77" i="3"/>
  <c r="AB76" i="3"/>
  <c r="AB75" i="3"/>
  <c r="AB74" i="3"/>
  <c r="AB73" i="3"/>
  <c r="AB72" i="3"/>
  <c r="AB71" i="3"/>
  <c r="AB70" i="3"/>
  <c r="AB69" i="3"/>
  <c r="AB68" i="3"/>
  <c r="AB67" i="3"/>
  <c r="AB66" i="3"/>
  <c r="AB65" i="3"/>
  <c r="AB64" i="3"/>
  <c r="AB63" i="3"/>
  <c r="AB62" i="3"/>
  <c r="AB61" i="3"/>
  <c r="AB60" i="3"/>
  <c r="AB59" i="3"/>
  <c r="AB58" i="3"/>
  <c r="AB57" i="3"/>
  <c r="AB56" i="3"/>
  <c r="AB55" i="3"/>
  <c r="AB54" i="3"/>
  <c r="AB53" i="3"/>
  <c r="AB52" i="3"/>
  <c r="AB51" i="3"/>
  <c r="AB50" i="3"/>
  <c r="AB49" i="3"/>
  <c r="AB48" i="3"/>
  <c r="AB47" i="3"/>
  <c r="AB46" i="3"/>
  <c r="AB45" i="3"/>
  <c r="AB44" i="3"/>
  <c r="AB43" i="3"/>
  <c r="AB42" i="3"/>
  <c r="AB41" i="3"/>
  <c r="AB40" i="3"/>
  <c r="AB39" i="3"/>
  <c r="AB38" i="3"/>
  <c r="AB37" i="3"/>
  <c r="AB36" i="3"/>
  <c r="AB35" i="3"/>
  <c r="AB34" i="3"/>
  <c r="AB33" i="3"/>
  <c r="AB32" i="3"/>
  <c r="AB31" i="3"/>
  <c r="AB30" i="3"/>
  <c r="AB29" i="3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B12" i="3"/>
  <c r="AB11" i="3"/>
  <c r="AB10" i="3"/>
  <c r="AB9" i="3"/>
  <c r="AB8" i="3"/>
  <c r="AB7" i="3"/>
  <c r="AB6" i="3"/>
  <c r="AB5" i="3"/>
  <c r="AB4" i="3"/>
  <c r="AB3" i="3"/>
  <c r="AB229" i="2"/>
  <c r="AB228" i="2"/>
  <c r="AB227" i="2"/>
  <c r="AB226" i="2"/>
  <c r="AB224" i="2"/>
  <c r="AB223" i="2"/>
  <c r="AB222" i="2"/>
  <c r="AB221" i="2"/>
  <c r="AB219" i="2"/>
  <c r="AB218" i="2"/>
  <c r="AB217" i="2"/>
  <c r="AB214" i="2"/>
  <c r="AB213" i="2"/>
  <c r="AB212" i="2"/>
  <c r="AB209" i="2"/>
  <c r="AB208" i="2"/>
  <c r="AB207" i="2"/>
  <c r="AB206" i="2"/>
  <c r="AB203" i="2"/>
  <c r="AB202" i="2"/>
  <c r="AB199" i="2"/>
  <c r="AB198" i="2"/>
  <c r="AB197" i="2"/>
  <c r="AB194" i="2"/>
  <c r="AB193" i="2"/>
  <c r="AB190" i="2"/>
  <c r="AB189" i="2"/>
  <c r="AB188" i="2"/>
  <c r="AB184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BW337" i="5"/>
  <c r="BY333" i="5"/>
  <c r="BX333" i="5"/>
  <c r="BW333" i="5"/>
  <c r="BY317" i="5"/>
  <c r="BX317" i="5"/>
  <c r="BW317" i="5"/>
  <c r="BY316" i="5"/>
  <c r="BX316" i="5"/>
  <c r="BW316" i="5"/>
  <c r="BY315" i="5"/>
  <c r="BX315" i="5"/>
  <c r="BW315" i="5"/>
  <c r="BY314" i="5"/>
  <c r="BX314" i="5"/>
  <c r="BW314" i="5"/>
  <c r="BY313" i="5"/>
  <c r="BX313" i="5"/>
  <c r="BW313" i="5"/>
  <c r="BY312" i="5"/>
  <c r="BX312" i="5"/>
  <c r="BW312" i="5"/>
  <c r="BY311" i="5"/>
  <c r="BX311" i="5"/>
  <c r="BW311" i="5"/>
  <c r="BY310" i="5"/>
  <c r="BX310" i="5"/>
  <c r="BW310" i="5"/>
  <c r="BY309" i="5"/>
  <c r="BX309" i="5"/>
  <c r="BW309" i="5"/>
  <c r="BY308" i="5"/>
  <c r="BX308" i="5"/>
  <c r="BW308" i="5"/>
  <c r="BY307" i="5"/>
  <c r="BX307" i="5"/>
  <c r="BW307" i="5"/>
  <c r="BY306" i="5"/>
  <c r="BX306" i="5"/>
  <c r="BW306" i="5"/>
  <c r="BY305" i="5"/>
  <c r="BX305" i="5"/>
  <c r="BW305" i="5"/>
  <c r="BY304" i="5"/>
  <c r="BX304" i="5"/>
  <c r="BW304" i="5"/>
  <c r="BY303" i="5"/>
  <c r="BX303" i="5"/>
  <c r="BW303" i="5"/>
  <c r="BY302" i="5"/>
  <c r="BX302" i="5"/>
  <c r="BW302" i="5"/>
  <c r="BY301" i="5"/>
  <c r="BX301" i="5"/>
  <c r="BW301" i="5"/>
  <c r="BY300" i="5"/>
  <c r="BX300" i="5"/>
  <c r="BW300" i="5"/>
  <c r="BY299" i="5"/>
  <c r="BX299" i="5"/>
  <c r="BW299" i="5"/>
  <c r="BY298" i="5"/>
  <c r="BX298" i="5"/>
  <c r="BW298" i="5"/>
  <c r="BY297" i="5"/>
  <c r="BX297" i="5"/>
  <c r="BW297" i="5"/>
  <c r="BY296" i="5"/>
  <c r="BX296" i="5"/>
  <c r="BW296" i="5"/>
  <c r="BY295" i="5"/>
  <c r="BX295" i="5"/>
  <c r="BW295" i="5"/>
  <c r="BY294" i="5"/>
  <c r="BX294" i="5"/>
  <c r="BW294" i="5"/>
  <c r="BY293" i="5"/>
  <c r="BX293" i="5"/>
  <c r="BW293" i="5"/>
  <c r="BY292" i="5"/>
  <c r="BX292" i="5"/>
  <c r="BY291" i="5"/>
  <c r="BX291" i="5"/>
  <c r="BW291" i="5"/>
  <c r="BY290" i="5"/>
  <c r="BX290" i="5"/>
  <c r="BW290" i="5"/>
  <c r="BY289" i="5"/>
  <c r="BX289" i="5"/>
  <c r="BW289" i="5"/>
  <c r="BY288" i="5"/>
  <c r="BX288" i="5"/>
  <c r="BW288" i="5"/>
  <c r="BY287" i="5"/>
  <c r="BX287" i="5"/>
  <c r="BW287" i="5"/>
  <c r="BY286" i="5"/>
  <c r="BX286" i="5"/>
  <c r="BW286" i="5"/>
  <c r="BY285" i="5"/>
  <c r="BX285" i="5"/>
  <c r="BW285" i="5"/>
  <c r="BY284" i="5"/>
  <c r="BX284" i="5"/>
  <c r="BW284" i="5"/>
  <c r="BY283" i="5"/>
  <c r="BX283" i="5"/>
  <c r="BW283" i="5"/>
  <c r="BY282" i="5"/>
  <c r="BX282" i="5"/>
  <c r="BW282" i="5"/>
  <c r="BY281" i="5"/>
  <c r="BX281" i="5"/>
  <c r="BW281" i="5"/>
  <c r="BY280" i="5"/>
  <c r="BX280" i="5"/>
  <c r="BW280" i="5"/>
  <c r="BY279" i="5"/>
  <c r="BX279" i="5"/>
  <c r="BW279" i="5"/>
  <c r="BY278" i="5"/>
  <c r="BX278" i="5"/>
  <c r="BW278" i="5"/>
  <c r="BY277" i="5"/>
  <c r="BX277" i="5"/>
  <c r="BW277" i="5"/>
  <c r="BY276" i="5"/>
  <c r="BX276" i="5"/>
  <c r="BW276" i="5"/>
  <c r="BY275" i="5"/>
  <c r="BX275" i="5"/>
  <c r="BW275" i="5"/>
  <c r="BY274" i="5"/>
  <c r="BX274" i="5"/>
  <c r="BW274" i="5"/>
  <c r="BY273" i="5"/>
  <c r="BX273" i="5"/>
  <c r="BW273" i="5"/>
  <c r="BY272" i="5"/>
  <c r="BX272" i="5"/>
  <c r="BW272" i="5"/>
  <c r="BY271" i="5"/>
  <c r="BX271" i="5"/>
  <c r="BW271" i="5"/>
  <c r="BY270" i="5"/>
  <c r="BX270" i="5"/>
  <c r="BW270" i="5"/>
  <c r="BY269" i="5"/>
  <c r="BX269" i="5"/>
  <c r="BW269" i="5"/>
  <c r="BY268" i="5"/>
  <c r="BX268" i="5"/>
  <c r="BW268" i="5"/>
  <c r="BY267" i="5"/>
  <c r="BX267" i="5"/>
  <c r="BW267" i="5"/>
  <c r="BY266" i="5"/>
  <c r="BX266" i="5"/>
  <c r="BW266" i="5"/>
  <c r="BY265" i="5"/>
  <c r="BX265" i="5"/>
  <c r="BW265" i="5"/>
  <c r="BY264" i="5"/>
  <c r="BX264" i="5"/>
  <c r="BW264" i="5"/>
  <c r="BY263" i="5"/>
  <c r="BX263" i="5"/>
  <c r="BW263" i="5"/>
  <c r="BY262" i="5"/>
  <c r="BX262" i="5"/>
  <c r="BW262" i="5"/>
  <c r="BY261" i="5"/>
  <c r="BX261" i="5"/>
  <c r="BW261" i="5"/>
  <c r="BY260" i="5"/>
  <c r="BX260" i="5"/>
  <c r="BW260" i="5"/>
  <c r="BY259" i="5"/>
  <c r="BX259" i="5"/>
  <c r="BW259" i="5"/>
  <c r="BY258" i="5"/>
  <c r="BX258" i="5"/>
  <c r="BW258" i="5"/>
  <c r="BY257" i="5"/>
  <c r="BX257" i="5"/>
  <c r="BW257" i="5"/>
  <c r="BY256" i="5"/>
  <c r="BX256" i="5"/>
  <c r="BW256" i="5"/>
  <c r="BY255" i="5"/>
  <c r="BX255" i="5"/>
  <c r="BW255" i="5"/>
  <c r="BY254" i="5"/>
  <c r="BX254" i="5"/>
  <c r="BW254" i="5"/>
  <c r="BY253" i="5"/>
  <c r="BX253" i="5"/>
  <c r="BW253" i="5"/>
  <c r="BY252" i="5"/>
  <c r="BX252" i="5"/>
  <c r="BW252" i="5"/>
  <c r="BY251" i="5"/>
  <c r="BX251" i="5"/>
  <c r="BW251" i="5"/>
  <c r="BY250" i="5"/>
  <c r="BX250" i="5"/>
  <c r="BW250" i="5"/>
  <c r="BY249" i="5"/>
  <c r="BX249" i="5"/>
  <c r="BW249" i="5"/>
  <c r="BY248" i="5"/>
  <c r="BX248" i="5"/>
  <c r="BW248" i="5"/>
  <c r="BY247" i="5"/>
  <c r="BX247" i="5"/>
  <c r="BW247" i="5"/>
  <c r="BY246" i="5"/>
  <c r="BX246" i="5"/>
  <c r="BW246" i="5"/>
  <c r="BY245" i="5"/>
  <c r="BX245" i="5"/>
  <c r="BW245" i="5"/>
  <c r="BY244" i="5"/>
  <c r="BX244" i="5"/>
  <c r="BW244" i="5"/>
  <c r="BY243" i="5"/>
  <c r="BX243" i="5"/>
  <c r="BW243" i="5"/>
  <c r="BY242" i="5"/>
  <c r="BX242" i="5"/>
  <c r="BW242" i="5"/>
  <c r="BY241" i="5"/>
  <c r="BX241" i="5"/>
  <c r="BW241" i="5"/>
  <c r="BY240" i="5"/>
  <c r="BX240" i="5"/>
  <c r="BW240" i="5"/>
  <c r="BY239" i="5"/>
  <c r="BX239" i="5"/>
  <c r="BW239" i="5"/>
  <c r="BY238" i="5"/>
  <c r="BX238" i="5"/>
  <c r="BW238" i="5"/>
  <c r="BY237" i="5"/>
  <c r="BX237" i="5"/>
  <c r="BW237" i="5"/>
  <c r="BY236" i="5"/>
  <c r="BX236" i="5"/>
  <c r="BW236" i="5"/>
  <c r="BY235" i="5"/>
  <c r="BX235" i="5"/>
  <c r="BW235" i="5"/>
  <c r="BY234" i="5"/>
  <c r="BX234" i="5"/>
  <c r="BW234" i="5"/>
  <c r="BY233" i="5"/>
  <c r="BX233" i="5"/>
  <c r="BW233" i="5"/>
  <c r="BY232" i="5"/>
  <c r="BX232" i="5"/>
  <c r="BW232" i="5"/>
  <c r="BY231" i="5"/>
  <c r="BX231" i="5"/>
  <c r="BW231" i="5"/>
  <c r="BY230" i="5"/>
  <c r="BX230" i="5"/>
  <c r="BW230" i="5"/>
  <c r="BY229" i="5"/>
  <c r="BX229" i="5"/>
  <c r="BW229" i="5"/>
  <c r="BY228" i="5"/>
  <c r="BX228" i="5"/>
  <c r="BW228" i="5"/>
  <c r="BY227" i="5"/>
  <c r="BX227" i="5"/>
  <c r="BW227" i="5"/>
  <c r="BY226" i="5"/>
  <c r="BX226" i="5"/>
  <c r="BW226" i="5"/>
  <c r="BY225" i="5"/>
  <c r="BX225" i="5"/>
  <c r="BW225" i="5"/>
  <c r="BY224" i="5"/>
  <c r="BX224" i="5"/>
  <c r="BW224" i="5"/>
  <c r="BY223" i="5"/>
  <c r="BX223" i="5"/>
  <c r="BW223" i="5"/>
  <c r="BY222" i="5"/>
  <c r="BX222" i="5"/>
  <c r="BW222" i="5"/>
  <c r="BY221" i="5"/>
  <c r="BX221" i="5"/>
  <c r="BW221" i="5"/>
  <c r="BY220" i="5"/>
  <c r="BX220" i="5"/>
  <c r="BW220" i="5"/>
  <c r="BY219" i="5"/>
  <c r="BX219" i="5"/>
  <c r="BW219" i="5"/>
  <c r="BY218" i="5"/>
  <c r="BX218" i="5"/>
  <c r="BW218" i="5"/>
  <c r="BY217" i="5"/>
  <c r="BX217" i="5"/>
  <c r="BW217" i="5"/>
  <c r="BY216" i="5"/>
  <c r="BX216" i="5"/>
  <c r="BW216" i="5"/>
  <c r="BY215" i="5"/>
  <c r="BX215" i="5"/>
  <c r="BW215" i="5"/>
  <c r="BY214" i="5"/>
  <c r="BX214" i="5"/>
  <c r="BW214" i="5"/>
  <c r="BY213" i="5"/>
  <c r="BX213" i="5"/>
  <c r="BW213" i="5"/>
  <c r="BY212" i="5"/>
  <c r="BX212" i="5"/>
  <c r="BW212" i="5"/>
  <c r="BY211" i="5"/>
  <c r="BX211" i="5"/>
  <c r="BW211" i="5"/>
  <c r="BY210" i="5"/>
  <c r="BX210" i="5"/>
  <c r="BW210" i="5"/>
  <c r="BY209" i="5"/>
  <c r="BX209" i="5"/>
  <c r="BW209" i="5"/>
  <c r="BY208" i="5"/>
  <c r="BX208" i="5"/>
  <c r="BW208" i="5"/>
  <c r="BY207" i="5"/>
  <c r="BX207" i="5"/>
  <c r="BW207" i="5"/>
  <c r="BY206" i="5"/>
  <c r="BX206" i="5"/>
  <c r="BW206" i="5"/>
  <c r="BY205" i="5"/>
  <c r="BX205" i="5"/>
  <c r="BW205" i="5"/>
  <c r="BY204" i="5"/>
  <c r="BX204" i="5"/>
  <c r="BW204" i="5"/>
  <c r="BY203" i="5"/>
  <c r="BX203" i="5"/>
  <c r="BW203" i="5"/>
  <c r="BY202" i="5"/>
  <c r="BX202" i="5"/>
  <c r="BW202" i="5"/>
  <c r="BY201" i="5"/>
  <c r="BX201" i="5"/>
  <c r="BW201" i="5"/>
  <c r="BY200" i="5"/>
  <c r="BX200" i="5"/>
  <c r="BW200" i="5"/>
  <c r="BY199" i="5"/>
  <c r="BX199" i="5"/>
  <c r="BW199" i="5"/>
  <c r="BY198" i="5"/>
  <c r="BX198" i="5"/>
  <c r="BW198" i="5"/>
  <c r="BY197" i="5"/>
  <c r="BX197" i="5"/>
  <c r="BW197" i="5"/>
  <c r="BY196" i="5"/>
  <c r="BX196" i="5"/>
  <c r="BW196" i="5"/>
  <c r="BY195" i="5"/>
  <c r="BX195" i="5"/>
  <c r="BW195" i="5"/>
  <c r="BY194" i="5"/>
  <c r="BX194" i="5"/>
  <c r="BW194" i="5"/>
  <c r="BY193" i="5"/>
  <c r="BX193" i="5"/>
  <c r="BW193" i="5"/>
  <c r="BY192" i="5"/>
  <c r="BX192" i="5"/>
  <c r="BW192" i="5"/>
  <c r="BY191" i="5"/>
  <c r="BX191" i="5"/>
  <c r="BW191" i="5"/>
  <c r="BY190" i="5"/>
  <c r="BX190" i="5"/>
  <c r="BW190" i="5"/>
  <c r="BY189" i="5"/>
  <c r="BX189" i="5"/>
  <c r="BW189" i="5"/>
  <c r="BY188" i="5"/>
  <c r="BX188" i="5"/>
  <c r="BW188" i="5"/>
  <c r="BY187" i="5"/>
  <c r="BX187" i="5"/>
  <c r="BW187" i="5"/>
  <c r="BY186" i="5"/>
  <c r="BX186" i="5"/>
  <c r="BW186" i="5"/>
  <c r="BY185" i="5"/>
  <c r="BX185" i="5"/>
  <c r="BW185" i="5"/>
  <c r="BY184" i="5"/>
  <c r="BX184" i="5"/>
  <c r="BW184" i="5"/>
  <c r="BY183" i="5"/>
  <c r="BX183" i="5"/>
  <c r="BW183" i="5"/>
  <c r="BY182" i="5"/>
  <c r="BX182" i="5"/>
  <c r="BW182" i="5"/>
  <c r="BY181" i="5"/>
  <c r="BX181" i="5"/>
  <c r="BW181" i="5"/>
  <c r="BY180" i="5"/>
  <c r="BX180" i="5"/>
  <c r="BW180" i="5"/>
  <c r="BY179" i="5"/>
  <c r="BX179" i="5"/>
  <c r="BW179" i="5"/>
  <c r="BY178" i="5"/>
  <c r="BX178" i="5"/>
  <c r="BW178" i="5"/>
  <c r="BY177" i="5"/>
  <c r="BX177" i="5"/>
  <c r="BW177" i="5"/>
  <c r="BY176" i="5"/>
  <c r="BX176" i="5"/>
  <c r="BW176" i="5"/>
  <c r="BY175" i="5"/>
  <c r="BX175" i="5"/>
  <c r="BW175" i="5"/>
  <c r="BY174" i="5"/>
  <c r="BX174" i="5"/>
  <c r="BW174" i="5"/>
  <c r="BY173" i="5"/>
  <c r="BX173" i="5"/>
  <c r="BW173" i="5"/>
  <c r="BY172" i="5"/>
  <c r="BX172" i="5"/>
  <c r="BW172" i="5"/>
  <c r="BY171" i="5"/>
  <c r="BX171" i="5"/>
  <c r="BW171" i="5"/>
  <c r="BY170" i="5"/>
  <c r="BX170" i="5"/>
  <c r="BW170" i="5"/>
  <c r="BY169" i="5"/>
  <c r="BX169" i="5"/>
  <c r="BW169" i="5"/>
  <c r="BY168" i="5"/>
  <c r="BX168" i="5"/>
  <c r="BW168" i="5"/>
  <c r="BY167" i="5"/>
  <c r="BX167" i="5"/>
  <c r="BW167" i="5"/>
  <c r="BY166" i="5"/>
  <c r="BX166" i="5"/>
  <c r="BW166" i="5"/>
  <c r="BY165" i="5"/>
  <c r="BX165" i="5"/>
  <c r="BW165" i="5"/>
  <c r="BY164" i="5"/>
  <c r="BX164" i="5"/>
  <c r="BW164" i="5"/>
  <c r="BY163" i="5"/>
  <c r="BX163" i="5"/>
  <c r="BW163" i="5"/>
  <c r="BY162" i="5"/>
  <c r="BX162" i="5"/>
  <c r="BW162" i="5"/>
  <c r="BY161" i="5"/>
  <c r="BX161" i="5"/>
  <c r="BW161" i="5"/>
  <c r="BY160" i="5"/>
  <c r="BX160" i="5"/>
  <c r="BW160" i="5"/>
  <c r="BY159" i="5"/>
  <c r="BX159" i="5"/>
  <c r="BW159" i="5"/>
  <c r="BY158" i="5"/>
  <c r="BX158" i="5"/>
  <c r="BW158" i="5"/>
  <c r="BY157" i="5"/>
  <c r="BX157" i="5"/>
  <c r="BW157" i="5"/>
  <c r="BY156" i="5"/>
  <c r="BX156" i="5"/>
  <c r="BW156" i="5"/>
  <c r="BY155" i="5"/>
  <c r="BX155" i="5"/>
  <c r="BW155" i="5"/>
  <c r="BY154" i="5"/>
  <c r="BX154" i="5"/>
  <c r="BW154" i="5"/>
  <c r="BY153" i="5"/>
  <c r="BX153" i="5"/>
  <c r="BW153" i="5"/>
  <c r="BY152" i="5"/>
  <c r="BX152" i="5"/>
  <c r="BW152" i="5"/>
  <c r="BY151" i="5"/>
  <c r="BX151" i="5"/>
  <c r="BW151" i="5"/>
  <c r="BY150" i="5"/>
  <c r="BX150" i="5"/>
  <c r="BW150" i="5"/>
  <c r="BY149" i="5"/>
  <c r="BX149" i="5"/>
  <c r="BW149" i="5"/>
  <c r="BY148" i="5"/>
  <c r="BX148" i="5"/>
  <c r="BW148" i="5"/>
  <c r="BY147" i="5"/>
  <c r="BX147" i="5"/>
  <c r="BW147" i="5"/>
  <c r="BY146" i="5"/>
  <c r="BX146" i="5"/>
  <c r="BW146" i="5"/>
  <c r="BY145" i="5"/>
  <c r="BX145" i="5"/>
  <c r="BW145" i="5"/>
  <c r="BY144" i="5"/>
  <c r="BX144" i="5"/>
  <c r="BW144" i="5"/>
  <c r="BY143" i="5"/>
  <c r="BX143" i="5"/>
  <c r="BW143" i="5"/>
  <c r="BY142" i="5"/>
  <c r="BX142" i="5"/>
  <c r="BW142" i="5"/>
  <c r="BY141" i="5"/>
  <c r="BX141" i="5"/>
  <c r="BW141" i="5"/>
  <c r="BY140" i="5"/>
  <c r="BX140" i="5"/>
  <c r="BW140" i="5"/>
  <c r="BY139" i="5"/>
  <c r="BX139" i="5"/>
  <c r="BW139" i="5"/>
  <c r="BY138" i="5"/>
  <c r="BX138" i="5"/>
  <c r="BW138" i="5"/>
  <c r="BY137" i="5"/>
  <c r="BX137" i="5"/>
  <c r="BW137" i="5"/>
  <c r="BY136" i="5"/>
  <c r="BX136" i="5"/>
  <c r="BW136" i="5"/>
  <c r="BY135" i="5"/>
  <c r="BX135" i="5"/>
  <c r="BW135" i="5"/>
  <c r="BY134" i="5"/>
  <c r="BX134" i="5"/>
  <c r="BW134" i="5"/>
  <c r="BY133" i="5"/>
  <c r="BX133" i="5"/>
  <c r="BW133" i="5"/>
  <c r="BY132" i="5"/>
  <c r="BX132" i="5"/>
  <c r="BW132" i="5"/>
  <c r="BY131" i="5"/>
  <c r="BX131" i="5"/>
  <c r="BW131" i="5"/>
  <c r="BY130" i="5"/>
  <c r="BX130" i="5"/>
  <c r="BW130" i="5"/>
  <c r="BY129" i="5"/>
  <c r="BX129" i="5"/>
  <c r="BW129" i="5"/>
  <c r="BY128" i="5"/>
  <c r="BX128" i="5"/>
  <c r="BW128" i="5"/>
  <c r="BY127" i="5"/>
  <c r="BX127" i="5"/>
  <c r="BW127" i="5"/>
  <c r="BY126" i="5"/>
  <c r="BX126" i="5"/>
  <c r="BW126" i="5"/>
  <c r="BY125" i="5"/>
  <c r="BX125" i="5"/>
  <c r="BW125" i="5"/>
  <c r="BY124" i="5"/>
  <c r="BX124" i="5"/>
  <c r="BW124" i="5"/>
  <c r="BY123" i="5"/>
  <c r="BX123" i="5"/>
  <c r="BW123" i="5"/>
  <c r="BY122" i="5"/>
  <c r="BX122" i="5"/>
  <c r="BW122" i="5"/>
  <c r="BY121" i="5"/>
  <c r="BX121" i="5"/>
  <c r="BW121" i="5"/>
  <c r="BY120" i="5"/>
  <c r="BX120" i="5"/>
  <c r="BW120" i="5"/>
  <c r="BY119" i="5"/>
  <c r="BX119" i="5"/>
  <c r="BW119" i="5"/>
  <c r="BY118" i="5"/>
  <c r="BX118" i="5"/>
  <c r="BW118" i="5"/>
  <c r="BY117" i="5"/>
  <c r="BX117" i="5"/>
  <c r="BW117" i="5"/>
  <c r="BY116" i="5"/>
  <c r="BX116" i="5"/>
  <c r="BW116" i="5"/>
  <c r="BY115" i="5"/>
  <c r="BX115" i="5"/>
  <c r="BW115" i="5"/>
  <c r="BY114" i="5"/>
  <c r="BX114" i="5"/>
  <c r="BW114" i="5"/>
  <c r="BY113" i="5"/>
  <c r="BX113" i="5"/>
  <c r="BW113" i="5"/>
  <c r="BY112" i="5"/>
  <c r="BX112" i="5"/>
  <c r="BW112" i="5"/>
  <c r="BW111" i="5"/>
  <c r="BY110" i="5"/>
  <c r="BX110" i="5"/>
  <c r="BW110" i="5"/>
  <c r="BX109" i="5"/>
  <c r="BW109" i="5"/>
  <c r="BY108" i="5"/>
  <c r="BX108" i="5"/>
  <c r="BW108" i="5"/>
  <c r="BY107" i="5"/>
  <c r="BX107" i="5"/>
  <c r="BY106" i="5"/>
  <c r="BX106" i="5"/>
  <c r="BW106" i="5"/>
  <c r="BY105" i="5"/>
  <c r="BX105" i="5"/>
  <c r="BW105" i="5"/>
  <c r="BY104" i="5"/>
  <c r="BX104" i="5"/>
  <c r="BW104" i="5"/>
  <c r="BY103" i="5"/>
  <c r="BX103" i="5"/>
  <c r="BW103" i="5"/>
  <c r="BY102" i="5"/>
  <c r="BX102" i="5"/>
  <c r="BW102" i="5"/>
  <c r="BY101" i="5"/>
  <c r="BX101" i="5"/>
  <c r="BW101" i="5"/>
  <c r="BY100" i="5"/>
  <c r="BX100" i="5"/>
  <c r="BW100" i="5"/>
  <c r="BY99" i="5"/>
  <c r="BX99" i="5"/>
  <c r="BW99" i="5"/>
  <c r="BY98" i="5"/>
  <c r="BX98" i="5"/>
  <c r="BW98" i="5"/>
  <c r="BY97" i="5"/>
  <c r="BX97" i="5"/>
  <c r="BW97" i="5"/>
  <c r="BY96" i="5"/>
  <c r="BX96" i="5"/>
  <c r="BW96" i="5"/>
  <c r="BY95" i="5"/>
  <c r="BX95" i="5"/>
  <c r="BW95" i="5"/>
  <c r="BY94" i="5"/>
  <c r="BX94" i="5"/>
  <c r="BW94" i="5"/>
  <c r="BY93" i="5"/>
  <c r="BX93" i="5"/>
  <c r="BW93" i="5"/>
  <c r="BY92" i="5"/>
  <c r="BX92" i="5"/>
  <c r="BW92" i="5"/>
  <c r="BY91" i="5"/>
  <c r="BX91" i="5"/>
  <c r="BW91" i="5"/>
  <c r="BY90" i="5"/>
  <c r="BX90" i="5"/>
  <c r="BW90" i="5"/>
  <c r="BY89" i="5"/>
  <c r="BX89" i="5"/>
  <c r="BW89" i="5"/>
  <c r="BY88" i="5"/>
  <c r="BX88" i="5"/>
  <c r="BW88" i="5"/>
  <c r="BY87" i="5"/>
  <c r="BX87" i="5"/>
  <c r="BW87" i="5"/>
  <c r="BY86" i="5"/>
  <c r="BX86" i="5"/>
  <c r="BW86" i="5"/>
  <c r="BY85" i="5"/>
  <c r="BX85" i="5"/>
  <c r="BW85" i="5"/>
  <c r="BY84" i="5"/>
  <c r="BX84" i="5"/>
  <c r="BW84" i="5"/>
  <c r="BY83" i="5"/>
  <c r="BX83" i="5"/>
  <c r="BW83" i="5"/>
  <c r="BY82" i="5"/>
  <c r="BX82" i="5"/>
  <c r="BW82" i="5"/>
  <c r="BY81" i="5"/>
  <c r="BX81" i="5"/>
  <c r="BW81" i="5"/>
  <c r="BY80" i="5"/>
  <c r="BX80" i="5"/>
  <c r="BW80" i="5"/>
  <c r="BY79" i="5"/>
  <c r="BX79" i="5"/>
  <c r="BW79" i="5"/>
  <c r="BY78" i="5"/>
  <c r="BX78" i="5"/>
  <c r="BW78" i="5"/>
  <c r="BY77" i="5"/>
  <c r="BX77" i="5"/>
  <c r="BW77" i="5"/>
  <c r="BY76" i="5"/>
  <c r="BX76" i="5"/>
  <c r="BW76" i="5"/>
  <c r="BY75" i="5"/>
  <c r="BX75" i="5"/>
  <c r="BW75" i="5"/>
  <c r="BY74" i="5"/>
  <c r="BX74" i="5"/>
  <c r="BW74" i="5"/>
  <c r="BY73" i="5"/>
  <c r="BX73" i="5"/>
  <c r="BW73" i="5"/>
  <c r="BY72" i="5"/>
  <c r="BX72" i="5"/>
  <c r="BW72" i="5"/>
  <c r="BY71" i="5"/>
  <c r="BX71" i="5"/>
  <c r="BW71" i="5"/>
  <c r="BY70" i="5"/>
  <c r="BX70" i="5"/>
  <c r="BW70" i="5"/>
  <c r="BY69" i="5"/>
  <c r="BX69" i="5"/>
  <c r="BW69" i="5"/>
  <c r="BY68" i="5"/>
  <c r="BX68" i="5"/>
  <c r="BW68" i="5"/>
  <c r="BY67" i="5"/>
  <c r="BX67" i="5"/>
  <c r="BW67" i="5"/>
  <c r="BY66" i="5"/>
  <c r="BX66" i="5"/>
  <c r="BW66" i="5"/>
  <c r="BY65" i="5"/>
  <c r="BX65" i="5"/>
  <c r="BW65" i="5"/>
  <c r="BY64" i="5"/>
  <c r="BX64" i="5"/>
  <c r="BW64" i="5"/>
  <c r="BY63" i="5"/>
  <c r="BX63" i="5"/>
  <c r="BW63" i="5"/>
  <c r="BY62" i="5"/>
  <c r="BX62" i="5"/>
  <c r="BW62" i="5"/>
  <c r="BY61" i="5"/>
  <c r="BX61" i="5"/>
  <c r="BW61" i="5"/>
  <c r="BY60" i="5"/>
  <c r="BX60" i="5"/>
  <c r="BW60" i="5"/>
  <c r="BY59" i="5"/>
  <c r="BX59" i="5"/>
  <c r="BW59" i="5"/>
  <c r="BY58" i="5"/>
  <c r="BX58" i="5"/>
  <c r="BW58" i="5"/>
  <c r="BY57" i="5"/>
  <c r="BX57" i="5"/>
  <c r="BW57" i="5"/>
  <c r="BY56" i="5"/>
  <c r="BX56" i="5"/>
  <c r="BW56" i="5"/>
  <c r="BY55" i="5"/>
  <c r="BX55" i="5"/>
  <c r="BW55" i="5"/>
  <c r="BY54" i="5"/>
  <c r="BX54" i="5"/>
  <c r="BW54" i="5"/>
  <c r="BY53" i="5"/>
  <c r="BX53" i="5"/>
  <c r="BW53" i="5"/>
  <c r="BY52" i="5"/>
  <c r="BX52" i="5"/>
  <c r="BW52" i="5"/>
  <c r="BY51" i="5"/>
  <c r="BX51" i="5"/>
  <c r="BW51" i="5"/>
  <c r="BY50" i="5"/>
  <c r="BX50" i="5"/>
  <c r="BW50" i="5"/>
  <c r="BY49" i="5"/>
  <c r="BX49" i="5"/>
  <c r="BW49" i="5"/>
  <c r="BY48" i="5"/>
  <c r="BX48" i="5"/>
  <c r="BW48" i="5"/>
  <c r="BY47" i="5"/>
  <c r="BX47" i="5"/>
  <c r="BW47" i="5"/>
  <c r="BY46" i="5"/>
  <c r="BX46" i="5"/>
  <c r="BW46" i="5"/>
  <c r="BY45" i="5"/>
  <c r="BX45" i="5"/>
  <c r="BW45" i="5"/>
  <c r="BY44" i="5"/>
  <c r="BX44" i="5"/>
  <c r="BW44" i="5"/>
  <c r="BY43" i="5"/>
  <c r="BX43" i="5"/>
  <c r="BW43" i="5"/>
  <c r="BY42" i="5"/>
  <c r="BX42" i="5"/>
  <c r="BW42" i="5"/>
  <c r="BY41" i="5"/>
  <c r="BX41" i="5"/>
  <c r="BW41" i="5"/>
  <c r="BY40" i="5"/>
  <c r="BX40" i="5"/>
  <c r="BW40" i="5"/>
  <c r="BY39" i="5"/>
  <c r="BX39" i="5"/>
  <c r="BW39" i="5"/>
  <c r="BY38" i="5"/>
  <c r="BX38" i="5"/>
  <c r="BW38" i="5"/>
  <c r="BY37" i="5"/>
  <c r="BX37" i="5"/>
  <c r="BW37" i="5"/>
  <c r="BY36" i="5"/>
  <c r="BX36" i="5"/>
  <c r="BW36" i="5"/>
  <c r="BY35" i="5"/>
  <c r="BX35" i="5"/>
  <c r="BW35" i="5"/>
  <c r="BY34" i="5"/>
  <c r="BX34" i="5"/>
  <c r="BW34" i="5"/>
  <c r="BY33" i="5"/>
  <c r="BX33" i="5"/>
  <c r="BW33" i="5"/>
  <c r="BY32" i="5"/>
  <c r="BX32" i="5"/>
  <c r="BW32" i="5"/>
  <c r="BY31" i="5"/>
  <c r="BX31" i="5"/>
  <c r="BW31" i="5"/>
  <c r="BY30" i="5"/>
  <c r="BX30" i="5"/>
  <c r="BW30" i="5"/>
  <c r="BY29" i="5"/>
  <c r="BX29" i="5"/>
  <c r="BW29" i="5"/>
  <c r="BY28" i="5"/>
  <c r="BX28" i="5"/>
  <c r="BW28" i="5"/>
  <c r="BY27" i="5"/>
  <c r="BX27" i="5"/>
  <c r="BW27" i="5"/>
  <c r="BY26" i="5"/>
  <c r="BX26" i="5"/>
  <c r="BW26" i="5"/>
  <c r="BY25" i="5"/>
  <c r="BX25" i="5"/>
  <c r="BW25" i="5"/>
  <c r="BY24" i="5"/>
  <c r="BX24" i="5"/>
  <c r="BW24" i="5"/>
  <c r="BY23" i="5"/>
  <c r="BX23" i="5"/>
  <c r="BW23" i="5"/>
  <c r="BY22" i="5"/>
  <c r="BX22" i="5"/>
  <c r="BW22" i="5"/>
  <c r="BY21" i="5"/>
  <c r="BX21" i="5"/>
  <c r="BW21" i="5"/>
  <c r="BY20" i="5"/>
  <c r="BX20" i="5"/>
  <c r="BW20" i="5"/>
  <c r="BY19" i="5"/>
  <c r="BX19" i="5"/>
  <c r="BW19" i="5"/>
  <c r="BY18" i="5"/>
  <c r="BX18" i="5"/>
  <c r="BW18" i="5"/>
  <c r="BY17" i="5"/>
  <c r="BX17" i="5"/>
  <c r="BW17" i="5"/>
  <c r="BY16" i="5"/>
  <c r="BX16" i="5"/>
  <c r="BW16" i="5"/>
  <c r="BY15" i="5"/>
  <c r="BX15" i="5"/>
  <c r="BW15" i="5"/>
  <c r="BY14" i="5"/>
  <c r="BX14" i="5"/>
  <c r="BW14" i="5"/>
  <c r="BY13" i="5"/>
  <c r="BX13" i="5"/>
  <c r="BW13" i="5"/>
  <c r="BY12" i="5"/>
  <c r="BX12" i="5"/>
  <c r="BW12" i="5"/>
  <c r="BY11" i="5"/>
  <c r="BX11" i="5"/>
  <c r="BW11" i="5"/>
  <c r="BY10" i="5"/>
  <c r="BX10" i="5"/>
  <c r="BW10" i="5"/>
  <c r="BY9" i="5"/>
  <c r="BX9" i="5"/>
  <c r="BW9" i="5"/>
  <c r="BY8" i="5"/>
  <c r="BX8" i="5"/>
  <c r="BW8" i="5"/>
  <c r="BY7" i="5"/>
  <c r="BX7" i="5"/>
  <c r="BW7" i="5"/>
  <c r="BY6" i="5"/>
  <c r="BX6" i="5"/>
  <c r="BW6" i="5"/>
  <c r="BY5" i="5"/>
  <c r="BX5" i="5"/>
  <c r="BW5" i="5"/>
  <c r="AA249" i="1"/>
  <c r="AA244" i="1"/>
  <c r="AA235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215" i="3"/>
  <c r="AA214" i="3"/>
  <c r="AA213" i="3"/>
  <c r="AA210" i="3"/>
  <c r="AA209" i="3"/>
  <c r="AA208" i="3"/>
  <c r="AA205" i="3"/>
  <c r="AA204" i="3"/>
  <c r="AA203" i="3"/>
  <c r="AA202" i="3"/>
  <c r="AA199" i="3"/>
  <c r="AA198" i="3"/>
  <c r="AA195" i="3"/>
  <c r="AA194" i="3"/>
  <c r="AA193" i="3"/>
  <c r="AA190" i="3"/>
  <c r="AA189" i="3"/>
  <c r="AA186" i="3"/>
  <c r="AA185" i="3"/>
  <c r="AA184" i="3"/>
  <c r="AA171" i="3"/>
  <c r="AA170" i="3"/>
  <c r="AA169" i="3"/>
  <c r="AA168" i="3"/>
  <c r="AA167" i="3"/>
  <c r="AA166" i="3"/>
  <c r="AA165" i="3"/>
  <c r="AA164" i="3"/>
  <c r="AA163" i="3"/>
  <c r="AA162" i="3"/>
  <c r="AA161" i="3"/>
  <c r="AA160" i="3"/>
  <c r="AA159" i="3"/>
  <c r="AA158" i="3"/>
  <c r="AA157" i="3"/>
  <c r="AA156" i="3"/>
  <c r="AA155" i="3"/>
  <c r="AA154" i="3"/>
  <c r="AA153" i="3"/>
  <c r="AA152" i="3"/>
  <c r="AA151" i="3"/>
  <c r="AA150" i="3"/>
  <c r="AA149" i="3"/>
  <c r="AA148" i="3"/>
  <c r="AA147" i="3"/>
  <c r="AA146" i="3"/>
  <c r="AA145" i="3"/>
  <c r="AA144" i="3"/>
  <c r="AA143" i="3"/>
  <c r="AA142" i="3"/>
  <c r="AA141" i="3"/>
  <c r="AA140" i="3"/>
  <c r="AA139" i="3"/>
  <c r="AA138" i="3"/>
  <c r="AA137" i="3"/>
  <c r="AA136" i="3"/>
  <c r="AA135" i="3"/>
  <c r="AA134" i="3"/>
  <c r="AA133" i="3"/>
  <c r="AA132" i="3"/>
  <c r="AA131" i="3"/>
  <c r="AA130" i="3"/>
  <c r="AA129" i="3"/>
  <c r="AA128" i="3"/>
  <c r="AA127" i="3"/>
  <c r="AA126" i="3"/>
  <c r="AA125" i="3"/>
  <c r="AA124" i="3"/>
  <c r="AA123" i="3"/>
  <c r="AA122" i="3"/>
  <c r="AA121" i="3"/>
  <c r="AA120" i="3"/>
  <c r="AA119" i="3"/>
  <c r="AA118" i="3"/>
  <c r="AA117" i="3"/>
  <c r="AA116" i="3"/>
  <c r="AA115" i="3"/>
  <c r="AA114" i="3"/>
  <c r="AA113" i="3"/>
  <c r="AA112" i="3"/>
  <c r="AA111" i="3"/>
  <c r="AA110" i="3"/>
  <c r="AA109" i="3"/>
  <c r="AA108" i="3"/>
  <c r="AA107" i="3"/>
  <c r="AA106" i="3"/>
  <c r="AA105" i="3"/>
  <c r="AA104" i="3"/>
  <c r="AA103" i="3"/>
  <c r="AA102" i="3"/>
  <c r="AA101" i="3"/>
  <c r="AA100" i="3"/>
  <c r="AA99" i="3"/>
  <c r="AA98" i="3"/>
  <c r="AA97" i="3"/>
  <c r="AA96" i="3"/>
  <c r="AA95" i="3"/>
  <c r="AA94" i="3"/>
  <c r="AA93" i="3"/>
  <c r="AA92" i="3"/>
  <c r="AA91" i="3"/>
  <c r="AA90" i="3"/>
  <c r="AA89" i="3"/>
  <c r="AA88" i="3"/>
  <c r="AA87" i="3"/>
  <c r="AA86" i="3"/>
  <c r="AA85" i="3"/>
  <c r="AA84" i="3"/>
  <c r="AA83" i="3"/>
  <c r="AA82" i="3"/>
  <c r="AA81" i="3"/>
  <c r="AA80" i="3"/>
  <c r="AA79" i="3"/>
  <c r="AA78" i="3"/>
  <c r="AA77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AA5" i="3"/>
  <c r="AA4" i="3"/>
  <c r="AA3" i="3"/>
  <c r="BT337" i="5"/>
  <c r="BV333" i="5"/>
  <c r="BU333" i="5"/>
  <c r="BT333" i="5"/>
  <c r="BV317" i="5"/>
  <c r="BU317" i="5"/>
  <c r="BT317" i="5"/>
  <c r="BV316" i="5"/>
  <c r="BU316" i="5"/>
  <c r="BT316" i="5"/>
  <c r="BV315" i="5"/>
  <c r="BU315" i="5"/>
  <c r="BT315" i="5"/>
  <c r="BV314" i="5"/>
  <c r="BU314" i="5"/>
  <c r="BT314" i="5"/>
  <c r="BV313" i="5"/>
  <c r="BU313" i="5"/>
  <c r="BT313" i="5"/>
  <c r="BV312" i="5"/>
  <c r="BU312" i="5"/>
  <c r="BT312" i="5"/>
  <c r="BV311" i="5"/>
  <c r="BU311" i="5"/>
  <c r="BT311" i="5"/>
  <c r="BV310" i="5"/>
  <c r="BU310" i="5"/>
  <c r="BT310" i="5"/>
  <c r="BV309" i="5"/>
  <c r="BU309" i="5"/>
  <c r="BT309" i="5"/>
  <c r="BV308" i="5"/>
  <c r="BU308" i="5"/>
  <c r="BT308" i="5"/>
  <c r="BV307" i="5"/>
  <c r="BU307" i="5"/>
  <c r="BT307" i="5"/>
  <c r="BV306" i="5"/>
  <c r="BU306" i="5"/>
  <c r="BT306" i="5"/>
  <c r="BV305" i="5"/>
  <c r="BU305" i="5"/>
  <c r="BT305" i="5"/>
  <c r="BV304" i="5"/>
  <c r="BU304" i="5"/>
  <c r="BT304" i="5"/>
  <c r="BV303" i="5"/>
  <c r="BU303" i="5"/>
  <c r="BT303" i="5"/>
  <c r="BV302" i="5"/>
  <c r="BU302" i="5"/>
  <c r="BT302" i="5"/>
  <c r="BV301" i="5"/>
  <c r="BU301" i="5"/>
  <c r="BT301" i="5"/>
  <c r="BV300" i="5"/>
  <c r="BU300" i="5"/>
  <c r="BT300" i="5"/>
  <c r="BV299" i="5"/>
  <c r="BU299" i="5"/>
  <c r="BT299" i="5"/>
  <c r="BV298" i="5"/>
  <c r="BU298" i="5"/>
  <c r="BT298" i="5"/>
  <c r="BV297" i="5"/>
  <c r="BU297" i="5"/>
  <c r="BT297" i="5"/>
  <c r="BV296" i="5"/>
  <c r="BU296" i="5"/>
  <c r="BT296" i="5"/>
  <c r="BV295" i="5"/>
  <c r="BU295" i="5"/>
  <c r="BT295" i="5"/>
  <c r="BV294" i="5"/>
  <c r="BU294" i="5"/>
  <c r="BT294" i="5"/>
  <c r="BV293" i="5"/>
  <c r="BU293" i="5"/>
  <c r="BT293" i="5"/>
  <c r="BV292" i="5"/>
  <c r="BU292" i="5"/>
  <c r="BV291" i="5"/>
  <c r="BU291" i="5"/>
  <c r="BT291" i="5"/>
  <c r="BV290" i="5"/>
  <c r="BU290" i="5"/>
  <c r="BT290" i="5"/>
  <c r="BV289" i="5"/>
  <c r="BU289" i="5"/>
  <c r="BT289" i="5"/>
  <c r="BV288" i="5"/>
  <c r="BU288" i="5"/>
  <c r="BT288" i="5"/>
  <c r="BV287" i="5"/>
  <c r="BU287" i="5"/>
  <c r="BT287" i="5"/>
  <c r="BV286" i="5"/>
  <c r="BU286" i="5"/>
  <c r="BT286" i="5"/>
  <c r="BV285" i="5"/>
  <c r="BU285" i="5"/>
  <c r="BT285" i="5"/>
  <c r="BV284" i="5"/>
  <c r="BU284" i="5"/>
  <c r="BT284" i="5"/>
  <c r="BV283" i="5"/>
  <c r="BU283" i="5"/>
  <c r="BT283" i="5"/>
  <c r="BV282" i="5"/>
  <c r="BU282" i="5"/>
  <c r="BT282" i="5"/>
  <c r="BV281" i="5"/>
  <c r="BU281" i="5"/>
  <c r="BT281" i="5"/>
  <c r="BV280" i="5"/>
  <c r="BU280" i="5"/>
  <c r="BT280" i="5"/>
  <c r="BV279" i="5"/>
  <c r="BU279" i="5"/>
  <c r="BT279" i="5"/>
  <c r="BV278" i="5"/>
  <c r="BU278" i="5"/>
  <c r="BT278" i="5"/>
  <c r="BV277" i="5"/>
  <c r="BU277" i="5"/>
  <c r="BT277" i="5"/>
  <c r="BV276" i="5"/>
  <c r="BU276" i="5"/>
  <c r="BT276" i="5"/>
  <c r="BV275" i="5"/>
  <c r="BU275" i="5"/>
  <c r="BT275" i="5"/>
  <c r="BV274" i="5"/>
  <c r="BU274" i="5"/>
  <c r="BT274" i="5"/>
  <c r="BV273" i="5"/>
  <c r="BU273" i="5"/>
  <c r="BT273" i="5"/>
  <c r="BV272" i="5"/>
  <c r="BU272" i="5"/>
  <c r="BT272" i="5"/>
  <c r="BV271" i="5"/>
  <c r="BU271" i="5"/>
  <c r="BT271" i="5"/>
  <c r="BV270" i="5"/>
  <c r="BU270" i="5"/>
  <c r="BT270" i="5"/>
  <c r="BV269" i="5"/>
  <c r="BU269" i="5"/>
  <c r="BT269" i="5"/>
  <c r="BV268" i="5"/>
  <c r="BU268" i="5"/>
  <c r="BT268" i="5"/>
  <c r="BV267" i="5"/>
  <c r="BU267" i="5"/>
  <c r="BT267" i="5"/>
  <c r="BV266" i="5"/>
  <c r="BU266" i="5"/>
  <c r="BT266" i="5"/>
  <c r="BV265" i="5"/>
  <c r="BU265" i="5"/>
  <c r="BT265" i="5"/>
  <c r="BV264" i="5"/>
  <c r="BU264" i="5"/>
  <c r="BT264" i="5"/>
  <c r="BV263" i="5"/>
  <c r="BU263" i="5"/>
  <c r="BT263" i="5"/>
  <c r="BV262" i="5"/>
  <c r="BU262" i="5"/>
  <c r="BT262" i="5"/>
  <c r="BV261" i="5"/>
  <c r="BU261" i="5"/>
  <c r="BT261" i="5"/>
  <c r="BV260" i="5"/>
  <c r="BU260" i="5"/>
  <c r="BT260" i="5"/>
  <c r="BV259" i="5"/>
  <c r="BU259" i="5"/>
  <c r="BT259" i="5"/>
  <c r="BV258" i="5"/>
  <c r="BU258" i="5"/>
  <c r="BT258" i="5"/>
  <c r="BV257" i="5"/>
  <c r="BU257" i="5"/>
  <c r="BT257" i="5"/>
  <c r="BV256" i="5"/>
  <c r="BU256" i="5"/>
  <c r="BT256" i="5"/>
  <c r="BV255" i="5"/>
  <c r="BU255" i="5"/>
  <c r="BT255" i="5"/>
  <c r="BV254" i="5"/>
  <c r="BU254" i="5"/>
  <c r="BT254" i="5"/>
  <c r="BV253" i="5"/>
  <c r="BU253" i="5"/>
  <c r="BT253" i="5"/>
  <c r="BV252" i="5"/>
  <c r="BU252" i="5"/>
  <c r="BT252" i="5"/>
  <c r="BV251" i="5"/>
  <c r="BU251" i="5"/>
  <c r="BT251" i="5"/>
  <c r="BV250" i="5"/>
  <c r="BU250" i="5"/>
  <c r="BT250" i="5"/>
  <c r="BV249" i="5"/>
  <c r="BU249" i="5"/>
  <c r="BT249" i="5"/>
  <c r="BV248" i="5"/>
  <c r="BU248" i="5"/>
  <c r="BT248" i="5"/>
  <c r="BV247" i="5"/>
  <c r="BU247" i="5"/>
  <c r="BT247" i="5"/>
  <c r="BV246" i="5"/>
  <c r="BU246" i="5"/>
  <c r="BT246" i="5"/>
  <c r="BV245" i="5"/>
  <c r="BU245" i="5"/>
  <c r="BT245" i="5"/>
  <c r="BV244" i="5"/>
  <c r="BU244" i="5"/>
  <c r="BT244" i="5"/>
  <c r="BV243" i="5"/>
  <c r="BU243" i="5"/>
  <c r="BT243" i="5"/>
  <c r="BV242" i="5"/>
  <c r="BU242" i="5"/>
  <c r="BT242" i="5"/>
  <c r="BV241" i="5"/>
  <c r="BU241" i="5"/>
  <c r="BT241" i="5"/>
  <c r="BV240" i="5"/>
  <c r="BU240" i="5"/>
  <c r="BT240" i="5"/>
  <c r="BV239" i="5"/>
  <c r="BU239" i="5"/>
  <c r="BT239" i="5"/>
  <c r="BV238" i="5"/>
  <c r="BU238" i="5"/>
  <c r="BT238" i="5"/>
  <c r="BV237" i="5"/>
  <c r="BU237" i="5"/>
  <c r="BT237" i="5"/>
  <c r="BV236" i="5"/>
  <c r="BU236" i="5"/>
  <c r="BT236" i="5"/>
  <c r="BV235" i="5"/>
  <c r="BU235" i="5"/>
  <c r="BT235" i="5"/>
  <c r="BV234" i="5"/>
  <c r="BU234" i="5"/>
  <c r="BT234" i="5"/>
  <c r="BV233" i="5"/>
  <c r="BU233" i="5"/>
  <c r="BT233" i="5"/>
  <c r="BV232" i="5"/>
  <c r="BU232" i="5"/>
  <c r="BT232" i="5"/>
  <c r="BV231" i="5"/>
  <c r="BU231" i="5"/>
  <c r="BT231" i="5"/>
  <c r="BV230" i="5"/>
  <c r="BU230" i="5"/>
  <c r="BT230" i="5"/>
  <c r="BV229" i="5"/>
  <c r="BU229" i="5"/>
  <c r="BT229" i="5"/>
  <c r="BV228" i="5"/>
  <c r="BU228" i="5"/>
  <c r="BT228" i="5"/>
  <c r="BV227" i="5"/>
  <c r="BU227" i="5"/>
  <c r="BT227" i="5"/>
  <c r="BV226" i="5"/>
  <c r="BU226" i="5"/>
  <c r="BT226" i="5"/>
  <c r="BV225" i="5"/>
  <c r="BU225" i="5"/>
  <c r="BT225" i="5"/>
  <c r="BV224" i="5"/>
  <c r="BU224" i="5"/>
  <c r="BT224" i="5"/>
  <c r="BV223" i="5"/>
  <c r="BU223" i="5"/>
  <c r="BT223" i="5"/>
  <c r="BV222" i="5"/>
  <c r="BU222" i="5"/>
  <c r="BT222" i="5"/>
  <c r="BV221" i="5"/>
  <c r="BU221" i="5"/>
  <c r="BT221" i="5"/>
  <c r="BV220" i="5"/>
  <c r="BU220" i="5"/>
  <c r="BT220" i="5"/>
  <c r="BV219" i="5"/>
  <c r="BU219" i="5"/>
  <c r="BT219" i="5"/>
  <c r="BV218" i="5"/>
  <c r="BU218" i="5"/>
  <c r="BT218" i="5"/>
  <c r="BV217" i="5"/>
  <c r="BU217" i="5"/>
  <c r="BT217" i="5"/>
  <c r="BV216" i="5"/>
  <c r="BU216" i="5"/>
  <c r="BT216" i="5"/>
  <c r="BV215" i="5"/>
  <c r="BU215" i="5"/>
  <c r="BT215" i="5"/>
  <c r="BV214" i="5"/>
  <c r="BU214" i="5"/>
  <c r="BT214" i="5"/>
  <c r="BV213" i="5"/>
  <c r="BU213" i="5"/>
  <c r="BT213" i="5"/>
  <c r="BV212" i="5"/>
  <c r="BU212" i="5"/>
  <c r="BT212" i="5"/>
  <c r="BV211" i="5"/>
  <c r="BU211" i="5"/>
  <c r="BT211" i="5"/>
  <c r="BV210" i="5"/>
  <c r="BU210" i="5"/>
  <c r="BT210" i="5"/>
  <c r="BV209" i="5"/>
  <c r="BU209" i="5"/>
  <c r="BT209" i="5"/>
  <c r="BV208" i="5"/>
  <c r="BU208" i="5"/>
  <c r="BT208" i="5"/>
  <c r="BV207" i="5"/>
  <c r="BU207" i="5"/>
  <c r="BT207" i="5"/>
  <c r="BV206" i="5"/>
  <c r="BU206" i="5"/>
  <c r="BT206" i="5"/>
  <c r="BV205" i="5"/>
  <c r="BU205" i="5"/>
  <c r="BT205" i="5"/>
  <c r="BV204" i="5"/>
  <c r="BU204" i="5"/>
  <c r="BT204" i="5"/>
  <c r="BV203" i="5"/>
  <c r="BU203" i="5"/>
  <c r="BT203" i="5"/>
  <c r="BV202" i="5"/>
  <c r="BU202" i="5"/>
  <c r="BT202" i="5"/>
  <c r="BV201" i="5"/>
  <c r="BU201" i="5"/>
  <c r="BT201" i="5"/>
  <c r="BV200" i="5"/>
  <c r="BU200" i="5"/>
  <c r="BT200" i="5"/>
  <c r="BV199" i="5"/>
  <c r="BU199" i="5"/>
  <c r="BT199" i="5"/>
  <c r="BV198" i="5"/>
  <c r="BU198" i="5"/>
  <c r="BT198" i="5"/>
  <c r="BV197" i="5"/>
  <c r="BU197" i="5"/>
  <c r="BT197" i="5"/>
  <c r="BV196" i="5"/>
  <c r="BU196" i="5"/>
  <c r="BT196" i="5"/>
  <c r="BV195" i="5"/>
  <c r="BU195" i="5"/>
  <c r="BT195" i="5"/>
  <c r="BV194" i="5"/>
  <c r="BU194" i="5"/>
  <c r="BT194" i="5"/>
  <c r="BV193" i="5"/>
  <c r="BU193" i="5"/>
  <c r="BT193" i="5"/>
  <c r="BV192" i="5"/>
  <c r="BU192" i="5"/>
  <c r="BT192" i="5"/>
  <c r="BV191" i="5"/>
  <c r="BU191" i="5"/>
  <c r="BT191" i="5"/>
  <c r="BV190" i="5"/>
  <c r="BU190" i="5"/>
  <c r="BT190" i="5"/>
  <c r="BV189" i="5"/>
  <c r="BU189" i="5"/>
  <c r="BT189" i="5"/>
  <c r="BV188" i="5"/>
  <c r="BU188" i="5"/>
  <c r="BT188" i="5"/>
  <c r="BV187" i="5"/>
  <c r="BU187" i="5"/>
  <c r="BT187" i="5"/>
  <c r="BV186" i="5"/>
  <c r="BU186" i="5"/>
  <c r="BT186" i="5"/>
  <c r="BV185" i="5"/>
  <c r="BU185" i="5"/>
  <c r="BT185" i="5"/>
  <c r="BV184" i="5"/>
  <c r="BU184" i="5"/>
  <c r="BT184" i="5"/>
  <c r="BV183" i="5"/>
  <c r="BU183" i="5"/>
  <c r="BT183" i="5"/>
  <c r="BV182" i="5"/>
  <c r="BU182" i="5"/>
  <c r="BT182" i="5"/>
  <c r="BV181" i="5"/>
  <c r="BU181" i="5"/>
  <c r="BT181" i="5"/>
  <c r="BV180" i="5"/>
  <c r="BU180" i="5"/>
  <c r="BT180" i="5"/>
  <c r="BV179" i="5"/>
  <c r="BU179" i="5"/>
  <c r="BT179" i="5"/>
  <c r="BV178" i="5"/>
  <c r="BU178" i="5"/>
  <c r="BT178" i="5"/>
  <c r="BV177" i="5"/>
  <c r="BU177" i="5"/>
  <c r="BT177" i="5"/>
  <c r="BV176" i="5"/>
  <c r="BU176" i="5"/>
  <c r="BT176" i="5"/>
  <c r="BV175" i="5"/>
  <c r="BU175" i="5"/>
  <c r="BT175" i="5"/>
  <c r="BV174" i="5"/>
  <c r="BU174" i="5"/>
  <c r="BT174" i="5"/>
  <c r="BV173" i="5"/>
  <c r="BU173" i="5"/>
  <c r="BT173" i="5"/>
  <c r="BV172" i="5"/>
  <c r="BU172" i="5"/>
  <c r="BT172" i="5"/>
  <c r="BV171" i="5"/>
  <c r="BU171" i="5"/>
  <c r="BT171" i="5"/>
  <c r="BV170" i="5"/>
  <c r="BU170" i="5"/>
  <c r="BT170" i="5"/>
  <c r="BV169" i="5"/>
  <c r="BU169" i="5"/>
  <c r="BT169" i="5"/>
  <c r="BV168" i="5"/>
  <c r="BU168" i="5"/>
  <c r="BT168" i="5"/>
  <c r="BV167" i="5"/>
  <c r="BU167" i="5"/>
  <c r="BT167" i="5"/>
  <c r="BV166" i="5"/>
  <c r="BU166" i="5"/>
  <c r="BT166" i="5"/>
  <c r="BV165" i="5"/>
  <c r="BU165" i="5"/>
  <c r="BT165" i="5"/>
  <c r="BV164" i="5"/>
  <c r="BU164" i="5"/>
  <c r="BT164" i="5"/>
  <c r="BV163" i="5"/>
  <c r="BU163" i="5"/>
  <c r="BT163" i="5"/>
  <c r="BV162" i="5"/>
  <c r="BU162" i="5"/>
  <c r="BT162" i="5"/>
  <c r="BV161" i="5"/>
  <c r="BU161" i="5"/>
  <c r="BT161" i="5"/>
  <c r="BV160" i="5"/>
  <c r="BU160" i="5"/>
  <c r="BT160" i="5"/>
  <c r="BV159" i="5"/>
  <c r="BU159" i="5"/>
  <c r="BT159" i="5"/>
  <c r="BV158" i="5"/>
  <c r="BU158" i="5"/>
  <c r="BT158" i="5"/>
  <c r="BV157" i="5"/>
  <c r="BU157" i="5"/>
  <c r="BT157" i="5"/>
  <c r="BV156" i="5"/>
  <c r="BU156" i="5"/>
  <c r="BT156" i="5"/>
  <c r="BV155" i="5"/>
  <c r="BU155" i="5"/>
  <c r="BT155" i="5"/>
  <c r="BV154" i="5"/>
  <c r="BU154" i="5"/>
  <c r="BT154" i="5"/>
  <c r="BV153" i="5"/>
  <c r="BU153" i="5"/>
  <c r="BT153" i="5"/>
  <c r="BV152" i="5"/>
  <c r="BU152" i="5"/>
  <c r="BT152" i="5"/>
  <c r="BV151" i="5"/>
  <c r="BU151" i="5"/>
  <c r="BT151" i="5"/>
  <c r="BV150" i="5"/>
  <c r="BU150" i="5"/>
  <c r="BT150" i="5"/>
  <c r="BV149" i="5"/>
  <c r="BU149" i="5"/>
  <c r="BT149" i="5"/>
  <c r="BV148" i="5"/>
  <c r="BU148" i="5"/>
  <c r="BT148" i="5"/>
  <c r="BV147" i="5"/>
  <c r="BU147" i="5"/>
  <c r="BT147" i="5"/>
  <c r="BV146" i="5"/>
  <c r="BU146" i="5"/>
  <c r="BT146" i="5"/>
  <c r="BV145" i="5"/>
  <c r="BU145" i="5"/>
  <c r="BT145" i="5"/>
  <c r="BV144" i="5"/>
  <c r="BU144" i="5"/>
  <c r="BT144" i="5"/>
  <c r="BV143" i="5"/>
  <c r="BU143" i="5"/>
  <c r="BT143" i="5"/>
  <c r="BV142" i="5"/>
  <c r="BU142" i="5"/>
  <c r="BT142" i="5"/>
  <c r="BV141" i="5"/>
  <c r="BU141" i="5"/>
  <c r="BT141" i="5"/>
  <c r="BV140" i="5"/>
  <c r="BU140" i="5"/>
  <c r="BT140" i="5"/>
  <c r="BV139" i="5"/>
  <c r="BU139" i="5"/>
  <c r="BT139" i="5"/>
  <c r="BV138" i="5"/>
  <c r="BU138" i="5"/>
  <c r="BT138" i="5"/>
  <c r="BV137" i="5"/>
  <c r="BU137" i="5"/>
  <c r="BT137" i="5"/>
  <c r="BV136" i="5"/>
  <c r="BU136" i="5"/>
  <c r="BT136" i="5"/>
  <c r="BV135" i="5"/>
  <c r="BU135" i="5"/>
  <c r="BT135" i="5"/>
  <c r="BV134" i="5"/>
  <c r="BU134" i="5"/>
  <c r="BT134" i="5"/>
  <c r="BV133" i="5"/>
  <c r="BU133" i="5"/>
  <c r="BT133" i="5"/>
  <c r="BV132" i="5"/>
  <c r="BU132" i="5"/>
  <c r="BT132" i="5"/>
  <c r="BV131" i="5"/>
  <c r="BU131" i="5"/>
  <c r="BT131" i="5"/>
  <c r="BV130" i="5"/>
  <c r="BU130" i="5"/>
  <c r="BT130" i="5"/>
  <c r="BV129" i="5"/>
  <c r="BU129" i="5"/>
  <c r="BT129" i="5"/>
  <c r="BV128" i="5"/>
  <c r="BU128" i="5"/>
  <c r="BT128" i="5"/>
  <c r="BV127" i="5"/>
  <c r="BU127" i="5"/>
  <c r="BT127" i="5"/>
  <c r="BV126" i="5"/>
  <c r="BU126" i="5"/>
  <c r="BT126" i="5"/>
  <c r="BV125" i="5"/>
  <c r="BU125" i="5"/>
  <c r="BT125" i="5"/>
  <c r="BV124" i="5"/>
  <c r="BU124" i="5"/>
  <c r="BT124" i="5"/>
  <c r="BV123" i="5"/>
  <c r="BU123" i="5"/>
  <c r="BT123" i="5"/>
  <c r="BV122" i="5"/>
  <c r="BU122" i="5"/>
  <c r="BT122" i="5"/>
  <c r="BV121" i="5"/>
  <c r="BU121" i="5"/>
  <c r="BT121" i="5"/>
  <c r="BV120" i="5"/>
  <c r="BU120" i="5"/>
  <c r="BT120" i="5"/>
  <c r="BV119" i="5"/>
  <c r="BU119" i="5"/>
  <c r="BT119" i="5"/>
  <c r="BV118" i="5"/>
  <c r="BU118" i="5"/>
  <c r="BT118" i="5"/>
  <c r="BV117" i="5"/>
  <c r="BU117" i="5"/>
  <c r="BT117" i="5"/>
  <c r="BV116" i="5"/>
  <c r="BU116" i="5"/>
  <c r="BT116" i="5"/>
  <c r="BV115" i="5"/>
  <c r="BU115" i="5"/>
  <c r="BT115" i="5"/>
  <c r="BV114" i="5"/>
  <c r="BU114" i="5"/>
  <c r="BT114" i="5"/>
  <c r="BV113" i="5"/>
  <c r="BU113" i="5"/>
  <c r="BT113" i="5"/>
  <c r="BV112" i="5"/>
  <c r="BU112" i="5"/>
  <c r="BT112" i="5"/>
  <c r="BT111" i="5"/>
  <c r="BV110" i="5"/>
  <c r="BU110" i="5"/>
  <c r="BT110" i="5"/>
  <c r="BU109" i="5"/>
  <c r="BT109" i="5"/>
  <c r="BV108" i="5"/>
  <c r="BU108" i="5"/>
  <c r="BT108" i="5"/>
  <c r="BV107" i="5"/>
  <c r="BU107" i="5"/>
  <c r="BV106" i="5"/>
  <c r="BU106" i="5"/>
  <c r="BT106" i="5"/>
  <c r="BV105" i="5"/>
  <c r="BU105" i="5"/>
  <c r="BT105" i="5"/>
  <c r="BV104" i="5"/>
  <c r="BU104" i="5"/>
  <c r="BT104" i="5"/>
  <c r="BV103" i="5"/>
  <c r="BU103" i="5"/>
  <c r="BT103" i="5"/>
  <c r="BV102" i="5"/>
  <c r="BU102" i="5"/>
  <c r="BT102" i="5"/>
  <c r="BV101" i="5"/>
  <c r="BU101" i="5"/>
  <c r="BT101" i="5"/>
  <c r="BV100" i="5"/>
  <c r="BU100" i="5"/>
  <c r="BT100" i="5"/>
  <c r="BV99" i="5"/>
  <c r="BU99" i="5"/>
  <c r="BT99" i="5"/>
  <c r="BV98" i="5"/>
  <c r="BU98" i="5"/>
  <c r="BT98" i="5"/>
  <c r="BV97" i="5"/>
  <c r="BU97" i="5"/>
  <c r="BT97" i="5"/>
  <c r="BV96" i="5"/>
  <c r="BU96" i="5"/>
  <c r="BT96" i="5"/>
  <c r="BV95" i="5"/>
  <c r="BU95" i="5"/>
  <c r="BT95" i="5"/>
  <c r="BV94" i="5"/>
  <c r="BU94" i="5"/>
  <c r="BT94" i="5"/>
  <c r="BV93" i="5"/>
  <c r="BU93" i="5"/>
  <c r="BT93" i="5"/>
  <c r="BV92" i="5"/>
  <c r="BU92" i="5"/>
  <c r="BT92" i="5"/>
  <c r="BV91" i="5"/>
  <c r="BU91" i="5"/>
  <c r="BT91" i="5"/>
  <c r="BV90" i="5"/>
  <c r="BU90" i="5"/>
  <c r="BT90" i="5"/>
  <c r="BV89" i="5"/>
  <c r="BU89" i="5"/>
  <c r="BT89" i="5"/>
  <c r="BV88" i="5"/>
  <c r="BU88" i="5"/>
  <c r="BT88" i="5"/>
  <c r="BV87" i="5"/>
  <c r="BU87" i="5"/>
  <c r="BT87" i="5"/>
  <c r="BV86" i="5"/>
  <c r="BU86" i="5"/>
  <c r="BT86" i="5"/>
  <c r="BV85" i="5"/>
  <c r="BU85" i="5"/>
  <c r="BT85" i="5"/>
  <c r="BV84" i="5"/>
  <c r="BU84" i="5"/>
  <c r="BT84" i="5"/>
  <c r="BV83" i="5"/>
  <c r="BU83" i="5"/>
  <c r="BT83" i="5"/>
  <c r="BV82" i="5"/>
  <c r="BU82" i="5"/>
  <c r="BT82" i="5"/>
  <c r="BV81" i="5"/>
  <c r="BU81" i="5"/>
  <c r="BT81" i="5"/>
  <c r="BV80" i="5"/>
  <c r="BU80" i="5"/>
  <c r="BT80" i="5"/>
  <c r="BV79" i="5"/>
  <c r="BU79" i="5"/>
  <c r="BT79" i="5"/>
  <c r="BV78" i="5"/>
  <c r="BU78" i="5"/>
  <c r="BT78" i="5"/>
  <c r="BV77" i="5"/>
  <c r="BU77" i="5"/>
  <c r="BT77" i="5"/>
  <c r="BV76" i="5"/>
  <c r="BU76" i="5"/>
  <c r="BT76" i="5"/>
  <c r="BV75" i="5"/>
  <c r="BU75" i="5"/>
  <c r="BT75" i="5"/>
  <c r="BV74" i="5"/>
  <c r="BU74" i="5"/>
  <c r="BT74" i="5"/>
  <c r="BV73" i="5"/>
  <c r="BU73" i="5"/>
  <c r="BT73" i="5"/>
  <c r="BV72" i="5"/>
  <c r="BU72" i="5"/>
  <c r="BT72" i="5"/>
  <c r="BV71" i="5"/>
  <c r="BU71" i="5"/>
  <c r="BT71" i="5"/>
  <c r="BV70" i="5"/>
  <c r="BU70" i="5"/>
  <c r="BT70" i="5"/>
  <c r="BV69" i="5"/>
  <c r="BU69" i="5"/>
  <c r="BT69" i="5"/>
  <c r="BV68" i="5"/>
  <c r="BU68" i="5"/>
  <c r="BT68" i="5"/>
  <c r="BV67" i="5"/>
  <c r="BU67" i="5"/>
  <c r="BT67" i="5"/>
  <c r="BV66" i="5"/>
  <c r="BU66" i="5"/>
  <c r="BT66" i="5"/>
  <c r="BV65" i="5"/>
  <c r="BU65" i="5"/>
  <c r="BT65" i="5"/>
  <c r="BV64" i="5"/>
  <c r="BU64" i="5"/>
  <c r="BT64" i="5"/>
  <c r="BV63" i="5"/>
  <c r="BU63" i="5"/>
  <c r="BT63" i="5"/>
  <c r="BV62" i="5"/>
  <c r="BU62" i="5"/>
  <c r="BT62" i="5"/>
  <c r="BV61" i="5"/>
  <c r="BU61" i="5"/>
  <c r="BT61" i="5"/>
  <c r="BV60" i="5"/>
  <c r="BU60" i="5"/>
  <c r="BT60" i="5"/>
  <c r="BV59" i="5"/>
  <c r="BU59" i="5"/>
  <c r="BT59" i="5"/>
  <c r="BV58" i="5"/>
  <c r="BU58" i="5"/>
  <c r="BT58" i="5"/>
  <c r="BV57" i="5"/>
  <c r="BU57" i="5"/>
  <c r="BT57" i="5"/>
  <c r="BV56" i="5"/>
  <c r="BU56" i="5"/>
  <c r="BT56" i="5"/>
  <c r="BV55" i="5"/>
  <c r="BU55" i="5"/>
  <c r="BT55" i="5"/>
  <c r="BV54" i="5"/>
  <c r="BU54" i="5"/>
  <c r="BT54" i="5"/>
  <c r="BV53" i="5"/>
  <c r="BU53" i="5"/>
  <c r="BT53" i="5"/>
  <c r="BV52" i="5"/>
  <c r="BU52" i="5"/>
  <c r="BT52" i="5"/>
  <c r="BV51" i="5"/>
  <c r="BU51" i="5"/>
  <c r="BT51" i="5"/>
  <c r="BV50" i="5"/>
  <c r="BU50" i="5"/>
  <c r="BT50" i="5"/>
  <c r="BV49" i="5"/>
  <c r="BU49" i="5"/>
  <c r="BT49" i="5"/>
  <c r="BV48" i="5"/>
  <c r="BU48" i="5"/>
  <c r="BT48" i="5"/>
  <c r="BV47" i="5"/>
  <c r="BU47" i="5"/>
  <c r="BT47" i="5"/>
  <c r="BV46" i="5"/>
  <c r="BU46" i="5"/>
  <c r="BT46" i="5"/>
  <c r="BV45" i="5"/>
  <c r="BU45" i="5"/>
  <c r="BT45" i="5"/>
  <c r="BV44" i="5"/>
  <c r="BU44" i="5"/>
  <c r="BT44" i="5"/>
  <c r="BV43" i="5"/>
  <c r="BU43" i="5"/>
  <c r="BT43" i="5"/>
  <c r="BV42" i="5"/>
  <c r="BU42" i="5"/>
  <c r="BT42" i="5"/>
  <c r="BV41" i="5"/>
  <c r="BU41" i="5"/>
  <c r="BT41" i="5"/>
  <c r="BV40" i="5"/>
  <c r="BU40" i="5"/>
  <c r="BT40" i="5"/>
  <c r="BV39" i="5"/>
  <c r="BU39" i="5"/>
  <c r="BT39" i="5"/>
  <c r="BV38" i="5"/>
  <c r="BU38" i="5"/>
  <c r="BT38" i="5"/>
  <c r="BV37" i="5"/>
  <c r="BU37" i="5"/>
  <c r="BT37" i="5"/>
  <c r="BV36" i="5"/>
  <c r="BU36" i="5"/>
  <c r="BT36" i="5"/>
  <c r="BV35" i="5"/>
  <c r="BU35" i="5"/>
  <c r="BT35" i="5"/>
  <c r="BV34" i="5"/>
  <c r="BU34" i="5"/>
  <c r="BT34" i="5"/>
  <c r="BV33" i="5"/>
  <c r="BU33" i="5"/>
  <c r="BT33" i="5"/>
  <c r="BV32" i="5"/>
  <c r="BU32" i="5"/>
  <c r="BT32" i="5"/>
  <c r="BV31" i="5"/>
  <c r="BU31" i="5"/>
  <c r="BT31" i="5"/>
  <c r="BV30" i="5"/>
  <c r="BU30" i="5"/>
  <c r="BT30" i="5"/>
  <c r="BV29" i="5"/>
  <c r="BU29" i="5"/>
  <c r="BT29" i="5"/>
  <c r="BV28" i="5"/>
  <c r="BU28" i="5"/>
  <c r="BT28" i="5"/>
  <c r="BV27" i="5"/>
  <c r="BU27" i="5"/>
  <c r="BT27" i="5"/>
  <c r="BV26" i="5"/>
  <c r="BU26" i="5"/>
  <c r="BT26" i="5"/>
  <c r="BV25" i="5"/>
  <c r="BU25" i="5"/>
  <c r="BT25" i="5"/>
  <c r="BV24" i="5"/>
  <c r="BU24" i="5"/>
  <c r="BT24" i="5"/>
  <c r="BV23" i="5"/>
  <c r="BU23" i="5"/>
  <c r="BT23" i="5"/>
  <c r="BV22" i="5"/>
  <c r="BU22" i="5"/>
  <c r="BT22" i="5"/>
  <c r="BV21" i="5"/>
  <c r="BU21" i="5"/>
  <c r="BT21" i="5"/>
  <c r="BV20" i="5"/>
  <c r="BU20" i="5"/>
  <c r="BT20" i="5"/>
  <c r="BV19" i="5"/>
  <c r="BU19" i="5"/>
  <c r="BT19" i="5"/>
  <c r="BV18" i="5"/>
  <c r="BU18" i="5"/>
  <c r="BT18" i="5"/>
  <c r="BV17" i="5"/>
  <c r="BU17" i="5"/>
  <c r="BT17" i="5"/>
  <c r="BV16" i="5"/>
  <c r="BU16" i="5"/>
  <c r="BT16" i="5"/>
  <c r="BV15" i="5"/>
  <c r="BU15" i="5"/>
  <c r="BT15" i="5"/>
  <c r="BV14" i="5"/>
  <c r="BU14" i="5"/>
  <c r="BT14" i="5"/>
  <c r="BV13" i="5"/>
  <c r="BU13" i="5"/>
  <c r="BT13" i="5"/>
  <c r="BV12" i="5"/>
  <c r="BU12" i="5"/>
  <c r="BT12" i="5"/>
  <c r="BV11" i="5"/>
  <c r="BU11" i="5"/>
  <c r="BT11" i="5"/>
  <c r="BV10" i="5"/>
  <c r="BU10" i="5"/>
  <c r="BT10" i="5"/>
  <c r="BV9" i="5"/>
  <c r="BU9" i="5"/>
  <c r="BT9" i="5"/>
  <c r="BV8" i="5"/>
  <c r="BU8" i="5"/>
  <c r="BT8" i="5"/>
  <c r="BV7" i="5"/>
  <c r="BU7" i="5"/>
  <c r="BT7" i="5"/>
  <c r="BV6" i="5"/>
  <c r="BU6" i="5"/>
  <c r="BT6" i="5"/>
  <c r="BV5" i="5"/>
  <c r="BU5" i="5"/>
  <c r="BT5" i="5"/>
  <c r="Z249" i="1"/>
  <c r="Z244" i="1"/>
  <c r="Z235" i="1"/>
  <c r="Z229" i="1"/>
  <c r="Z228" i="1"/>
  <c r="Z227" i="1"/>
  <c r="Z226" i="1"/>
  <c r="Z225" i="1"/>
  <c r="Z224" i="1"/>
  <c r="Z223" i="1"/>
  <c r="Z222" i="1"/>
  <c r="Z221" i="1"/>
  <c r="Z220" i="1"/>
  <c r="Z219" i="1"/>
  <c r="Z218" i="1"/>
  <c r="Z217" i="1"/>
  <c r="Z216" i="1"/>
  <c r="Z215" i="1"/>
  <c r="Z214" i="1"/>
  <c r="Z213" i="1"/>
  <c r="Z212" i="1"/>
  <c r="Z211" i="1"/>
  <c r="Z210" i="1"/>
  <c r="Z209" i="1"/>
  <c r="Z208" i="1"/>
  <c r="Z207" i="1"/>
  <c r="Z206" i="1"/>
  <c r="Z205" i="1"/>
  <c r="Z204" i="1"/>
  <c r="Z203" i="1"/>
  <c r="Z202" i="1"/>
  <c r="Z201" i="1"/>
  <c r="Z200" i="1"/>
  <c r="Z199" i="1"/>
  <c r="Z198" i="1"/>
  <c r="Z197" i="1"/>
  <c r="Z196" i="1"/>
  <c r="Z195" i="1"/>
  <c r="Z194" i="1"/>
  <c r="Z193" i="1"/>
  <c r="Z192" i="1"/>
  <c r="Z191" i="1"/>
  <c r="Z190" i="1"/>
  <c r="Z189" i="1"/>
  <c r="Z188" i="1"/>
  <c r="Z187" i="1"/>
  <c r="Z186" i="1"/>
  <c r="Z185" i="1"/>
  <c r="Z184" i="1"/>
  <c r="Z183" i="1"/>
  <c r="Z182" i="1"/>
  <c r="Z181" i="1"/>
  <c r="Z180" i="1"/>
  <c r="Z179" i="1"/>
  <c r="Z178" i="1"/>
  <c r="Z177" i="1"/>
  <c r="Z176" i="1"/>
  <c r="Z175" i="1"/>
  <c r="Z174" i="1"/>
  <c r="Z173" i="1"/>
  <c r="Z172" i="1"/>
  <c r="Z171" i="1"/>
  <c r="Z170" i="1"/>
  <c r="Z169" i="1"/>
  <c r="Z168" i="1"/>
  <c r="Z167" i="1"/>
  <c r="Z166" i="1"/>
  <c r="Z165" i="1"/>
  <c r="Z164" i="1"/>
  <c r="Z163" i="1"/>
  <c r="Z162" i="1"/>
  <c r="Z161" i="1"/>
  <c r="Z160" i="1"/>
  <c r="Z159" i="1"/>
  <c r="Z158" i="1"/>
  <c r="Z157" i="1"/>
  <c r="Z156" i="1"/>
  <c r="Z155" i="1"/>
  <c r="Z154" i="1"/>
  <c r="Z153" i="1"/>
  <c r="Z152" i="1"/>
  <c r="Z151" i="1"/>
  <c r="Z150" i="1"/>
  <c r="Z149" i="1"/>
  <c r="Z148" i="1"/>
  <c r="Z147" i="1"/>
  <c r="Z146" i="1"/>
  <c r="Z145" i="1"/>
  <c r="Z144" i="1"/>
  <c r="Z143" i="1"/>
  <c r="Z142" i="1"/>
  <c r="Z141" i="1"/>
  <c r="Z140" i="1"/>
  <c r="Z139" i="1"/>
  <c r="Z138" i="1"/>
  <c r="Z137" i="1"/>
  <c r="Z136" i="1"/>
  <c r="Z135" i="1"/>
  <c r="Z134" i="1"/>
  <c r="Z133" i="1"/>
  <c r="Z132" i="1"/>
  <c r="Z131" i="1"/>
  <c r="Z130" i="1"/>
  <c r="Z129" i="1"/>
  <c r="Z128" i="1"/>
  <c r="Z127" i="1"/>
  <c r="Z126" i="1"/>
  <c r="Z125" i="1"/>
  <c r="Z124" i="1"/>
  <c r="Z123" i="1"/>
  <c r="Z122" i="1"/>
  <c r="Z121" i="1"/>
  <c r="Z120" i="1"/>
  <c r="Z119" i="1"/>
  <c r="Z118" i="1"/>
  <c r="Z117" i="1"/>
  <c r="Z116" i="1"/>
  <c r="Z115" i="1"/>
  <c r="Z114" i="1"/>
  <c r="Z113" i="1"/>
  <c r="Z112" i="1"/>
  <c r="Z111" i="1"/>
  <c r="Z110" i="1"/>
  <c r="Z109" i="1"/>
  <c r="Z108" i="1"/>
  <c r="Z106" i="1"/>
  <c r="Z105" i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215" i="3"/>
  <c r="Z214" i="3"/>
  <c r="Z213" i="3"/>
  <c r="Z210" i="3"/>
  <c r="Z209" i="3"/>
  <c r="Z208" i="3"/>
  <c r="Z205" i="3"/>
  <c r="Z204" i="3"/>
  <c r="Z203" i="3"/>
  <c r="Z202" i="3"/>
  <c r="Z199" i="3"/>
  <c r="Z198" i="3"/>
  <c r="Z195" i="3"/>
  <c r="Z194" i="3"/>
  <c r="Z193" i="3"/>
  <c r="Z190" i="3"/>
  <c r="Z189" i="3"/>
  <c r="Z186" i="3"/>
  <c r="Z185" i="3"/>
  <c r="Z184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Z4" i="3"/>
  <c r="Z3" i="3"/>
  <c r="Z229" i="2"/>
  <c r="Z228" i="2"/>
  <c r="Z227" i="2"/>
  <c r="Z226" i="2"/>
  <c r="Z224" i="2"/>
  <c r="Z223" i="2"/>
  <c r="Z222" i="2"/>
  <c r="Z221" i="2"/>
  <c r="Z219" i="2"/>
  <c r="Z218" i="2"/>
  <c r="Z217" i="2"/>
  <c r="Z214" i="2"/>
  <c r="Z213" i="2"/>
  <c r="Z212" i="2"/>
  <c r="Z209" i="2"/>
  <c r="Z208" i="2"/>
  <c r="Z207" i="2"/>
  <c r="Z206" i="2"/>
  <c r="Z203" i="2"/>
  <c r="Z202" i="2"/>
  <c r="Z199" i="2"/>
  <c r="Z198" i="2"/>
  <c r="Z197" i="2"/>
  <c r="Z194" i="2"/>
  <c r="Z193" i="2"/>
  <c r="Z190" i="2"/>
  <c r="Z189" i="2"/>
  <c r="Z188" i="2"/>
  <c r="Z184" i="2"/>
  <c r="Z171" i="2"/>
  <c r="Z170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7" i="2"/>
  <c r="Z156" i="2"/>
  <c r="Z155" i="2"/>
  <c r="Z154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9" i="2"/>
  <c r="Z138" i="2"/>
  <c r="Z137" i="2"/>
  <c r="Z136" i="2"/>
  <c r="Z135" i="2"/>
  <c r="Z134" i="2"/>
  <c r="Z133" i="2"/>
  <c r="Z132" i="2"/>
  <c r="Z131" i="2"/>
  <c r="Z130" i="2"/>
  <c r="Z129" i="2"/>
  <c r="Z128" i="2"/>
  <c r="Z127" i="2"/>
  <c r="Z126" i="2"/>
  <c r="Z125" i="2"/>
  <c r="Z124" i="2"/>
  <c r="Z123" i="2"/>
  <c r="Z122" i="2"/>
  <c r="Z121" i="2"/>
  <c r="Z120" i="2"/>
  <c r="Z119" i="2"/>
  <c r="Z118" i="2"/>
  <c r="Z117" i="2"/>
  <c r="Z116" i="2"/>
  <c r="Z115" i="2"/>
  <c r="Z114" i="2"/>
  <c r="Z113" i="2"/>
  <c r="Z112" i="2"/>
  <c r="Z111" i="2"/>
  <c r="Z110" i="2"/>
  <c r="Z109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6" i="2"/>
  <c r="Z95" i="2"/>
  <c r="Z94" i="2"/>
  <c r="Z93" i="2"/>
  <c r="Z92" i="2"/>
  <c r="Z91" i="2"/>
  <c r="Z90" i="2"/>
  <c r="Z89" i="2"/>
  <c r="Z88" i="2"/>
  <c r="Z87" i="2"/>
  <c r="Z86" i="2"/>
  <c r="Z85" i="2"/>
  <c r="Z84" i="2"/>
  <c r="Z83" i="2"/>
  <c r="Z82" i="2"/>
  <c r="Z81" i="2"/>
  <c r="Z80" i="2"/>
  <c r="Z79" i="2"/>
  <c r="Z78" i="2"/>
  <c r="Z77" i="2"/>
  <c r="Z76" i="2"/>
  <c r="Z75" i="2"/>
  <c r="Z74" i="2"/>
  <c r="Z73" i="2"/>
  <c r="Z72" i="2"/>
  <c r="Z71" i="2"/>
  <c r="Z70" i="2"/>
  <c r="Z69" i="2"/>
  <c r="Z68" i="2"/>
  <c r="Z67" i="2"/>
  <c r="Z66" i="2"/>
  <c r="Z65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BQ337" i="5"/>
  <c r="BS333" i="5"/>
  <c r="BR333" i="5"/>
  <c r="BQ333" i="5"/>
  <c r="BS317" i="5"/>
  <c r="BR317" i="5"/>
  <c r="BQ317" i="5"/>
  <c r="BS316" i="5"/>
  <c r="BR316" i="5"/>
  <c r="BQ316" i="5"/>
  <c r="BS315" i="5"/>
  <c r="BR315" i="5"/>
  <c r="BQ315" i="5"/>
  <c r="BS314" i="5"/>
  <c r="BR314" i="5"/>
  <c r="BQ314" i="5"/>
  <c r="BS313" i="5"/>
  <c r="BR313" i="5"/>
  <c r="BQ313" i="5"/>
  <c r="BS312" i="5"/>
  <c r="BR312" i="5"/>
  <c r="BQ312" i="5"/>
  <c r="BS311" i="5"/>
  <c r="BR311" i="5"/>
  <c r="BQ311" i="5"/>
  <c r="BS310" i="5"/>
  <c r="BR310" i="5"/>
  <c r="BQ310" i="5"/>
  <c r="BS309" i="5"/>
  <c r="BR309" i="5"/>
  <c r="BQ309" i="5"/>
  <c r="BS308" i="5"/>
  <c r="BR308" i="5"/>
  <c r="BQ308" i="5"/>
  <c r="BS307" i="5"/>
  <c r="BR307" i="5"/>
  <c r="BQ307" i="5"/>
  <c r="BS306" i="5"/>
  <c r="BR306" i="5"/>
  <c r="BQ306" i="5"/>
  <c r="BS305" i="5"/>
  <c r="BR305" i="5"/>
  <c r="BQ305" i="5"/>
  <c r="BS304" i="5"/>
  <c r="BR304" i="5"/>
  <c r="BQ304" i="5"/>
  <c r="BS303" i="5"/>
  <c r="BR303" i="5"/>
  <c r="BQ303" i="5"/>
  <c r="BS302" i="5"/>
  <c r="BR302" i="5"/>
  <c r="BQ302" i="5"/>
  <c r="BS301" i="5"/>
  <c r="BR301" i="5"/>
  <c r="BQ301" i="5"/>
  <c r="BS300" i="5"/>
  <c r="BR300" i="5"/>
  <c r="BQ300" i="5"/>
  <c r="BS299" i="5"/>
  <c r="BR299" i="5"/>
  <c r="BQ299" i="5"/>
  <c r="BS298" i="5"/>
  <c r="BR298" i="5"/>
  <c r="BQ298" i="5"/>
  <c r="BS297" i="5"/>
  <c r="BR297" i="5"/>
  <c r="BQ297" i="5"/>
  <c r="BS296" i="5"/>
  <c r="BR296" i="5"/>
  <c r="BQ296" i="5"/>
  <c r="BS295" i="5"/>
  <c r="BR295" i="5"/>
  <c r="BQ295" i="5"/>
  <c r="BS294" i="5"/>
  <c r="BR294" i="5"/>
  <c r="BQ294" i="5"/>
  <c r="BS293" i="5"/>
  <c r="BR293" i="5"/>
  <c r="BQ293" i="5"/>
  <c r="BS292" i="5"/>
  <c r="BR292" i="5"/>
  <c r="BS291" i="5"/>
  <c r="BR291" i="5"/>
  <c r="BQ291" i="5"/>
  <c r="BS290" i="5"/>
  <c r="BR290" i="5"/>
  <c r="BQ290" i="5"/>
  <c r="BS289" i="5"/>
  <c r="BR289" i="5"/>
  <c r="BQ289" i="5"/>
  <c r="BS288" i="5"/>
  <c r="BR288" i="5"/>
  <c r="BQ288" i="5"/>
  <c r="BS287" i="5"/>
  <c r="BR287" i="5"/>
  <c r="BQ287" i="5"/>
  <c r="BS286" i="5"/>
  <c r="BR286" i="5"/>
  <c r="BQ286" i="5"/>
  <c r="BS285" i="5"/>
  <c r="BR285" i="5"/>
  <c r="BQ285" i="5"/>
  <c r="BS284" i="5"/>
  <c r="BR284" i="5"/>
  <c r="BQ284" i="5"/>
  <c r="BS283" i="5"/>
  <c r="BR283" i="5"/>
  <c r="BQ283" i="5"/>
  <c r="BS282" i="5"/>
  <c r="BR282" i="5"/>
  <c r="BQ282" i="5"/>
  <c r="BS281" i="5"/>
  <c r="BR281" i="5"/>
  <c r="BQ281" i="5"/>
  <c r="BS280" i="5"/>
  <c r="BR280" i="5"/>
  <c r="BQ280" i="5"/>
  <c r="BS279" i="5"/>
  <c r="BR279" i="5"/>
  <c r="BQ279" i="5"/>
  <c r="BS278" i="5"/>
  <c r="BR278" i="5"/>
  <c r="BQ278" i="5"/>
  <c r="BS277" i="5"/>
  <c r="BR277" i="5"/>
  <c r="BQ277" i="5"/>
  <c r="BS276" i="5"/>
  <c r="BR276" i="5"/>
  <c r="BQ276" i="5"/>
  <c r="BS275" i="5"/>
  <c r="BR275" i="5"/>
  <c r="BQ275" i="5"/>
  <c r="BS274" i="5"/>
  <c r="BR274" i="5"/>
  <c r="BQ274" i="5"/>
  <c r="BS273" i="5"/>
  <c r="BR273" i="5"/>
  <c r="BQ273" i="5"/>
  <c r="BS272" i="5"/>
  <c r="BR272" i="5"/>
  <c r="BQ272" i="5"/>
  <c r="BS271" i="5"/>
  <c r="BR271" i="5"/>
  <c r="BQ271" i="5"/>
  <c r="BS270" i="5"/>
  <c r="BR270" i="5"/>
  <c r="BQ270" i="5"/>
  <c r="BS269" i="5"/>
  <c r="BR269" i="5"/>
  <c r="BQ269" i="5"/>
  <c r="BS268" i="5"/>
  <c r="BR268" i="5"/>
  <c r="BQ268" i="5"/>
  <c r="BS267" i="5"/>
  <c r="BR267" i="5"/>
  <c r="BQ267" i="5"/>
  <c r="BS266" i="5"/>
  <c r="BR266" i="5"/>
  <c r="BQ266" i="5"/>
  <c r="BS265" i="5"/>
  <c r="BR265" i="5"/>
  <c r="BQ265" i="5"/>
  <c r="BS264" i="5"/>
  <c r="BR264" i="5"/>
  <c r="BQ264" i="5"/>
  <c r="BS263" i="5"/>
  <c r="BR263" i="5"/>
  <c r="BQ263" i="5"/>
  <c r="BS262" i="5"/>
  <c r="BR262" i="5"/>
  <c r="BQ262" i="5"/>
  <c r="BS261" i="5"/>
  <c r="BR261" i="5"/>
  <c r="BQ261" i="5"/>
  <c r="BS260" i="5"/>
  <c r="BR260" i="5"/>
  <c r="BQ260" i="5"/>
  <c r="BS259" i="5"/>
  <c r="BR259" i="5"/>
  <c r="BQ259" i="5"/>
  <c r="BS258" i="5"/>
  <c r="BR258" i="5"/>
  <c r="BQ258" i="5"/>
  <c r="BS257" i="5"/>
  <c r="BR257" i="5"/>
  <c r="BQ257" i="5"/>
  <c r="BS256" i="5"/>
  <c r="BR256" i="5"/>
  <c r="BQ256" i="5"/>
  <c r="BS255" i="5"/>
  <c r="BR255" i="5"/>
  <c r="BQ255" i="5"/>
  <c r="BS254" i="5"/>
  <c r="BR254" i="5"/>
  <c r="BQ254" i="5"/>
  <c r="BS253" i="5"/>
  <c r="BR253" i="5"/>
  <c r="BQ253" i="5"/>
  <c r="BS252" i="5"/>
  <c r="BR252" i="5"/>
  <c r="BQ252" i="5"/>
  <c r="BS251" i="5"/>
  <c r="BR251" i="5"/>
  <c r="BQ251" i="5"/>
  <c r="BS250" i="5"/>
  <c r="BR250" i="5"/>
  <c r="BQ250" i="5"/>
  <c r="BS249" i="5"/>
  <c r="BR249" i="5"/>
  <c r="BQ249" i="5"/>
  <c r="BS248" i="5"/>
  <c r="BR248" i="5"/>
  <c r="BQ248" i="5"/>
  <c r="BS247" i="5"/>
  <c r="BR247" i="5"/>
  <c r="BQ247" i="5"/>
  <c r="BS246" i="5"/>
  <c r="BR246" i="5"/>
  <c r="BQ246" i="5"/>
  <c r="BS245" i="5"/>
  <c r="BR245" i="5"/>
  <c r="BQ245" i="5"/>
  <c r="BS244" i="5"/>
  <c r="BR244" i="5"/>
  <c r="BQ244" i="5"/>
  <c r="BS243" i="5"/>
  <c r="BR243" i="5"/>
  <c r="BQ243" i="5"/>
  <c r="BS242" i="5"/>
  <c r="BR242" i="5"/>
  <c r="BQ242" i="5"/>
  <c r="BS241" i="5"/>
  <c r="BR241" i="5"/>
  <c r="BQ241" i="5"/>
  <c r="BS240" i="5"/>
  <c r="BR240" i="5"/>
  <c r="BQ240" i="5"/>
  <c r="BS239" i="5"/>
  <c r="BR239" i="5"/>
  <c r="BQ239" i="5"/>
  <c r="BS238" i="5"/>
  <c r="BR238" i="5"/>
  <c r="BQ238" i="5"/>
  <c r="BS237" i="5"/>
  <c r="BR237" i="5"/>
  <c r="BQ237" i="5"/>
  <c r="BS236" i="5"/>
  <c r="BR236" i="5"/>
  <c r="BQ236" i="5"/>
  <c r="BS235" i="5"/>
  <c r="BR235" i="5"/>
  <c r="BQ235" i="5"/>
  <c r="BS234" i="5"/>
  <c r="BR234" i="5"/>
  <c r="BQ234" i="5"/>
  <c r="BS233" i="5"/>
  <c r="BR233" i="5"/>
  <c r="BQ233" i="5"/>
  <c r="BS232" i="5"/>
  <c r="BR232" i="5"/>
  <c r="BQ232" i="5"/>
  <c r="BS231" i="5"/>
  <c r="BR231" i="5"/>
  <c r="BQ231" i="5"/>
  <c r="BS230" i="5"/>
  <c r="BR230" i="5"/>
  <c r="BQ230" i="5"/>
  <c r="BS229" i="5"/>
  <c r="BR229" i="5"/>
  <c r="BQ229" i="5"/>
  <c r="BS228" i="5"/>
  <c r="BR228" i="5"/>
  <c r="BQ228" i="5"/>
  <c r="BS227" i="5"/>
  <c r="BR227" i="5"/>
  <c r="BQ227" i="5"/>
  <c r="BS226" i="5"/>
  <c r="BR226" i="5"/>
  <c r="BQ226" i="5"/>
  <c r="BS225" i="5"/>
  <c r="BR225" i="5"/>
  <c r="BQ225" i="5"/>
  <c r="BS224" i="5"/>
  <c r="BR224" i="5"/>
  <c r="BQ224" i="5"/>
  <c r="BS223" i="5"/>
  <c r="BR223" i="5"/>
  <c r="BQ223" i="5"/>
  <c r="BS222" i="5"/>
  <c r="BR222" i="5"/>
  <c r="BQ222" i="5"/>
  <c r="BS221" i="5"/>
  <c r="BR221" i="5"/>
  <c r="BQ221" i="5"/>
  <c r="BS220" i="5"/>
  <c r="BR220" i="5"/>
  <c r="BQ220" i="5"/>
  <c r="BS219" i="5"/>
  <c r="BR219" i="5"/>
  <c r="BQ219" i="5"/>
  <c r="BS218" i="5"/>
  <c r="BR218" i="5"/>
  <c r="BQ218" i="5"/>
  <c r="BS217" i="5"/>
  <c r="BR217" i="5"/>
  <c r="BQ217" i="5"/>
  <c r="BS216" i="5"/>
  <c r="BR216" i="5"/>
  <c r="BQ216" i="5"/>
  <c r="BS215" i="5"/>
  <c r="BR215" i="5"/>
  <c r="BQ215" i="5"/>
  <c r="BS214" i="5"/>
  <c r="BR214" i="5"/>
  <c r="BQ214" i="5"/>
  <c r="BS213" i="5"/>
  <c r="BR213" i="5"/>
  <c r="BQ213" i="5"/>
  <c r="BS212" i="5"/>
  <c r="BR212" i="5"/>
  <c r="BQ212" i="5"/>
  <c r="BS211" i="5"/>
  <c r="BR211" i="5"/>
  <c r="BQ211" i="5"/>
  <c r="BS210" i="5"/>
  <c r="BR210" i="5"/>
  <c r="BQ210" i="5"/>
  <c r="BS209" i="5"/>
  <c r="BR209" i="5"/>
  <c r="BQ209" i="5"/>
  <c r="BS208" i="5"/>
  <c r="BR208" i="5"/>
  <c r="BQ208" i="5"/>
  <c r="BS207" i="5"/>
  <c r="BR207" i="5"/>
  <c r="BQ207" i="5"/>
  <c r="BS206" i="5"/>
  <c r="BR206" i="5"/>
  <c r="BQ206" i="5"/>
  <c r="BS205" i="5"/>
  <c r="BR205" i="5"/>
  <c r="BQ205" i="5"/>
  <c r="BS204" i="5"/>
  <c r="BR204" i="5"/>
  <c r="BQ204" i="5"/>
  <c r="BS203" i="5"/>
  <c r="BR203" i="5"/>
  <c r="BQ203" i="5"/>
  <c r="BS202" i="5"/>
  <c r="BR202" i="5"/>
  <c r="BQ202" i="5"/>
  <c r="BS201" i="5"/>
  <c r="BR201" i="5"/>
  <c r="BQ201" i="5"/>
  <c r="BS200" i="5"/>
  <c r="BR200" i="5"/>
  <c r="BQ200" i="5"/>
  <c r="BS199" i="5"/>
  <c r="BR199" i="5"/>
  <c r="BQ199" i="5"/>
  <c r="BS198" i="5"/>
  <c r="BR198" i="5"/>
  <c r="BQ198" i="5"/>
  <c r="BS197" i="5"/>
  <c r="BR197" i="5"/>
  <c r="BQ197" i="5"/>
  <c r="BS196" i="5"/>
  <c r="BR196" i="5"/>
  <c r="BQ196" i="5"/>
  <c r="BS195" i="5"/>
  <c r="BR195" i="5"/>
  <c r="BQ195" i="5"/>
  <c r="BS194" i="5"/>
  <c r="BR194" i="5"/>
  <c r="BQ194" i="5"/>
  <c r="BS193" i="5"/>
  <c r="BR193" i="5"/>
  <c r="BQ193" i="5"/>
  <c r="BS192" i="5"/>
  <c r="BR192" i="5"/>
  <c r="BQ192" i="5"/>
  <c r="BS191" i="5"/>
  <c r="BR191" i="5"/>
  <c r="BQ191" i="5"/>
  <c r="BS190" i="5"/>
  <c r="BR190" i="5"/>
  <c r="BQ190" i="5"/>
  <c r="BS189" i="5"/>
  <c r="BR189" i="5"/>
  <c r="BQ189" i="5"/>
  <c r="BS188" i="5"/>
  <c r="BR188" i="5"/>
  <c r="BQ188" i="5"/>
  <c r="BS187" i="5"/>
  <c r="BR187" i="5"/>
  <c r="BQ187" i="5"/>
  <c r="BS186" i="5"/>
  <c r="BR186" i="5"/>
  <c r="BQ186" i="5"/>
  <c r="BS185" i="5"/>
  <c r="BR185" i="5"/>
  <c r="BQ185" i="5"/>
  <c r="BS184" i="5"/>
  <c r="BR184" i="5"/>
  <c r="BQ184" i="5"/>
  <c r="BS183" i="5"/>
  <c r="BR183" i="5"/>
  <c r="BQ183" i="5"/>
  <c r="BS182" i="5"/>
  <c r="BR182" i="5"/>
  <c r="BQ182" i="5"/>
  <c r="BS181" i="5"/>
  <c r="BR181" i="5"/>
  <c r="BQ181" i="5"/>
  <c r="BS180" i="5"/>
  <c r="BR180" i="5"/>
  <c r="BQ180" i="5"/>
  <c r="BS179" i="5"/>
  <c r="BR179" i="5"/>
  <c r="BQ179" i="5"/>
  <c r="BS178" i="5"/>
  <c r="BR178" i="5"/>
  <c r="BQ178" i="5"/>
  <c r="BS177" i="5"/>
  <c r="BR177" i="5"/>
  <c r="BQ177" i="5"/>
  <c r="BS176" i="5"/>
  <c r="BR176" i="5"/>
  <c r="BQ176" i="5"/>
  <c r="BS175" i="5"/>
  <c r="BR175" i="5"/>
  <c r="BQ175" i="5"/>
  <c r="BS174" i="5"/>
  <c r="BR174" i="5"/>
  <c r="BQ174" i="5"/>
  <c r="BS173" i="5"/>
  <c r="BR173" i="5"/>
  <c r="BQ173" i="5"/>
  <c r="BS172" i="5"/>
  <c r="BR172" i="5"/>
  <c r="BQ172" i="5"/>
  <c r="BS171" i="5"/>
  <c r="BR171" i="5"/>
  <c r="BQ171" i="5"/>
  <c r="BS170" i="5"/>
  <c r="BR170" i="5"/>
  <c r="BQ170" i="5"/>
  <c r="BS169" i="5"/>
  <c r="BR169" i="5"/>
  <c r="BQ169" i="5"/>
  <c r="BS168" i="5"/>
  <c r="BR168" i="5"/>
  <c r="BQ168" i="5"/>
  <c r="BS167" i="5"/>
  <c r="BR167" i="5"/>
  <c r="BQ167" i="5"/>
  <c r="BS166" i="5"/>
  <c r="BR166" i="5"/>
  <c r="BQ166" i="5"/>
  <c r="BS165" i="5"/>
  <c r="BR165" i="5"/>
  <c r="BQ165" i="5"/>
  <c r="BS164" i="5"/>
  <c r="BR164" i="5"/>
  <c r="BQ164" i="5"/>
  <c r="BS163" i="5"/>
  <c r="BR163" i="5"/>
  <c r="BQ163" i="5"/>
  <c r="BS162" i="5"/>
  <c r="BR162" i="5"/>
  <c r="BQ162" i="5"/>
  <c r="BS161" i="5"/>
  <c r="BR161" i="5"/>
  <c r="BQ161" i="5"/>
  <c r="BS160" i="5"/>
  <c r="BR160" i="5"/>
  <c r="BQ160" i="5"/>
  <c r="BS159" i="5"/>
  <c r="BR159" i="5"/>
  <c r="BQ159" i="5"/>
  <c r="BS158" i="5"/>
  <c r="BR158" i="5"/>
  <c r="BQ158" i="5"/>
  <c r="BS157" i="5"/>
  <c r="BR157" i="5"/>
  <c r="BQ157" i="5"/>
  <c r="BS156" i="5"/>
  <c r="BR156" i="5"/>
  <c r="BQ156" i="5"/>
  <c r="BS155" i="5"/>
  <c r="BR155" i="5"/>
  <c r="BQ155" i="5"/>
  <c r="BS154" i="5"/>
  <c r="BR154" i="5"/>
  <c r="BQ154" i="5"/>
  <c r="BS153" i="5"/>
  <c r="BR153" i="5"/>
  <c r="BQ153" i="5"/>
  <c r="BS152" i="5"/>
  <c r="BR152" i="5"/>
  <c r="BQ152" i="5"/>
  <c r="BS151" i="5"/>
  <c r="BR151" i="5"/>
  <c r="BQ151" i="5"/>
  <c r="BS150" i="5"/>
  <c r="BR150" i="5"/>
  <c r="BQ150" i="5"/>
  <c r="BS149" i="5"/>
  <c r="BR149" i="5"/>
  <c r="BQ149" i="5"/>
  <c r="BS148" i="5"/>
  <c r="BR148" i="5"/>
  <c r="BQ148" i="5"/>
  <c r="BS147" i="5"/>
  <c r="BR147" i="5"/>
  <c r="BQ147" i="5"/>
  <c r="BS146" i="5"/>
  <c r="BR146" i="5"/>
  <c r="BQ146" i="5"/>
  <c r="BS145" i="5"/>
  <c r="BR145" i="5"/>
  <c r="BQ145" i="5"/>
  <c r="BS144" i="5"/>
  <c r="BR144" i="5"/>
  <c r="BQ144" i="5"/>
  <c r="BS143" i="5"/>
  <c r="BR143" i="5"/>
  <c r="BQ143" i="5"/>
  <c r="BS142" i="5"/>
  <c r="BR142" i="5"/>
  <c r="BQ142" i="5"/>
  <c r="BS141" i="5"/>
  <c r="BR141" i="5"/>
  <c r="BQ141" i="5"/>
  <c r="BS140" i="5"/>
  <c r="BR140" i="5"/>
  <c r="BQ140" i="5"/>
  <c r="BS139" i="5"/>
  <c r="BR139" i="5"/>
  <c r="BQ139" i="5"/>
  <c r="BS138" i="5"/>
  <c r="BR138" i="5"/>
  <c r="BQ138" i="5"/>
  <c r="BS137" i="5"/>
  <c r="BR137" i="5"/>
  <c r="BQ137" i="5"/>
  <c r="BS136" i="5"/>
  <c r="BR136" i="5"/>
  <c r="BQ136" i="5"/>
  <c r="BS135" i="5"/>
  <c r="BR135" i="5"/>
  <c r="BQ135" i="5"/>
  <c r="BS134" i="5"/>
  <c r="BR134" i="5"/>
  <c r="BQ134" i="5"/>
  <c r="BS133" i="5"/>
  <c r="BR133" i="5"/>
  <c r="BQ133" i="5"/>
  <c r="BS132" i="5"/>
  <c r="BR132" i="5"/>
  <c r="BQ132" i="5"/>
  <c r="BS131" i="5"/>
  <c r="BR131" i="5"/>
  <c r="BQ131" i="5"/>
  <c r="BS130" i="5"/>
  <c r="BR130" i="5"/>
  <c r="BQ130" i="5"/>
  <c r="BS129" i="5"/>
  <c r="BR129" i="5"/>
  <c r="BQ129" i="5"/>
  <c r="BS128" i="5"/>
  <c r="BR128" i="5"/>
  <c r="BQ128" i="5"/>
  <c r="BS127" i="5"/>
  <c r="BR127" i="5"/>
  <c r="BQ127" i="5"/>
  <c r="BS126" i="5"/>
  <c r="BR126" i="5"/>
  <c r="BQ126" i="5"/>
  <c r="BS125" i="5"/>
  <c r="BR125" i="5"/>
  <c r="BQ125" i="5"/>
  <c r="BS124" i="5"/>
  <c r="BR124" i="5"/>
  <c r="BQ124" i="5"/>
  <c r="BS123" i="5"/>
  <c r="BR123" i="5"/>
  <c r="BQ123" i="5"/>
  <c r="BS122" i="5"/>
  <c r="BR122" i="5"/>
  <c r="BQ122" i="5"/>
  <c r="BS121" i="5"/>
  <c r="BR121" i="5"/>
  <c r="BQ121" i="5"/>
  <c r="BS120" i="5"/>
  <c r="BR120" i="5"/>
  <c r="BQ120" i="5"/>
  <c r="BS119" i="5"/>
  <c r="BR119" i="5"/>
  <c r="BQ119" i="5"/>
  <c r="BS118" i="5"/>
  <c r="BR118" i="5"/>
  <c r="BQ118" i="5"/>
  <c r="BS117" i="5"/>
  <c r="BR117" i="5"/>
  <c r="BQ117" i="5"/>
  <c r="BS116" i="5"/>
  <c r="BR116" i="5"/>
  <c r="BQ116" i="5"/>
  <c r="BS115" i="5"/>
  <c r="BR115" i="5"/>
  <c r="BQ115" i="5"/>
  <c r="BS114" i="5"/>
  <c r="BR114" i="5"/>
  <c r="BQ114" i="5"/>
  <c r="BS113" i="5"/>
  <c r="BR113" i="5"/>
  <c r="BQ113" i="5"/>
  <c r="BS112" i="5"/>
  <c r="BR112" i="5"/>
  <c r="BQ112" i="5"/>
  <c r="BS110" i="5"/>
  <c r="BR110" i="5"/>
  <c r="BQ110" i="5"/>
  <c r="BR109" i="5"/>
  <c r="BQ109" i="5"/>
  <c r="BS108" i="5"/>
  <c r="BR108" i="5"/>
  <c r="BQ108" i="5"/>
  <c r="BS106" i="5"/>
  <c r="BR106" i="5"/>
  <c r="BQ106" i="5"/>
  <c r="BS105" i="5"/>
  <c r="BR105" i="5"/>
  <c r="BQ105" i="5"/>
  <c r="BS104" i="5"/>
  <c r="BR104" i="5"/>
  <c r="BQ104" i="5"/>
  <c r="BS103" i="5"/>
  <c r="BR103" i="5"/>
  <c r="BQ103" i="5"/>
  <c r="BS102" i="5"/>
  <c r="BR102" i="5"/>
  <c r="BQ102" i="5"/>
  <c r="BS101" i="5"/>
  <c r="BR101" i="5"/>
  <c r="BQ101" i="5"/>
  <c r="BS100" i="5"/>
  <c r="BR100" i="5"/>
  <c r="BQ100" i="5"/>
  <c r="BS99" i="5"/>
  <c r="BR99" i="5"/>
  <c r="BQ99" i="5"/>
  <c r="BS98" i="5"/>
  <c r="BR98" i="5"/>
  <c r="BQ98" i="5"/>
  <c r="BS97" i="5"/>
  <c r="BR97" i="5"/>
  <c r="BQ97" i="5"/>
  <c r="BS96" i="5"/>
  <c r="BR96" i="5"/>
  <c r="BQ96" i="5"/>
  <c r="BS95" i="5"/>
  <c r="BR95" i="5"/>
  <c r="BQ95" i="5"/>
  <c r="BS94" i="5"/>
  <c r="BR94" i="5"/>
  <c r="BQ94" i="5"/>
  <c r="BS93" i="5"/>
  <c r="BR93" i="5"/>
  <c r="BQ93" i="5"/>
  <c r="BS92" i="5"/>
  <c r="BR92" i="5"/>
  <c r="BQ92" i="5"/>
  <c r="BS91" i="5"/>
  <c r="BR91" i="5"/>
  <c r="BQ91" i="5"/>
  <c r="BS90" i="5"/>
  <c r="BR90" i="5"/>
  <c r="BQ90" i="5"/>
  <c r="BS89" i="5"/>
  <c r="BR89" i="5"/>
  <c r="BQ89" i="5"/>
  <c r="BS88" i="5"/>
  <c r="BR88" i="5"/>
  <c r="BQ88" i="5"/>
  <c r="BS87" i="5"/>
  <c r="BR87" i="5"/>
  <c r="BQ87" i="5"/>
  <c r="BS86" i="5"/>
  <c r="BR86" i="5"/>
  <c r="BQ86" i="5"/>
  <c r="BS85" i="5"/>
  <c r="BR85" i="5"/>
  <c r="BQ85" i="5"/>
  <c r="BS84" i="5"/>
  <c r="BR84" i="5"/>
  <c r="BQ84" i="5"/>
  <c r="BS83" i="5"/>
  <c r="BR83" i="5"/>
  <c r="BQ83" i="5"/>
  <c r="BS82" i="5"/>
  <c r="BR82" i="5"/>
  <c r="BQ82" i="5"/>
  <c r="BS81" i="5"/>
  <c r="BR81" i="5"/>
  <c r="BQ81" i="5"/>
  <c r="BS80" i="5"/>
  <c r="BR80" i="5"/>
  <c r="BQ80" i="5"/>
  <c r="BS79" i="5"/>
  <c r="BR79" i="5"/>
  <c r="BQ79" i="5"/>
  <c r="BS78" i="5"/>
  <c r="BR78" i="5"/>
  <c r="BQ78" i="5"/>
  <c r="BS77" i="5"/>
  <c r="BR77" i="5"/>
  <c r="BQ77" i="5"/>
  <c r="BS76" i="5"/>
  <c r="BR76" i="5"/>
  <c r="BQ76" i="5"/>
  <c r="BS75" i="5"/>
  <c r="BR75" i="5"/>
  <c r="BQ75" i="5"/>
  <c r="BS74" i="5"/>
  <c r="BR74" i="5"/>
  <c r="BQ74" i="5"/>
  <c r="BS73" i="5"/>
  <c r="BR73" i="5"/>
  <c r="BQ73" i="5"/>
  <c r="BS72" i="5"/>
  <c r="BR72" i="5"/>
  <c r="BQ72" i="5"/>
  <c r="BS71" i="5"/>
  <c r="BR71" i="5"/>
  <c r="BQ71" i="5"/>
  <c r="BS70" i="5"/>
  <c r="BR70" i="5"/>
  <c r="BQ70" i="5"/>
  <c r="BS69" i="5"/>
  <c r="BR69" i="5"/>
  <c r="BQ69" i="5"/>
  <c r="BS68" i="5"/>
  <c r="BR68" i="5"/>
  <c r="BQ68" i="5"/>
  <c r="BS67" i="5"/>
  <c r="BR67" i="5"/>
  <c r="BQ67" i="5"/>
  <c r="BS66" i="5"/>
  <c r="BR66" i="5"/>
  <c r="BQ66" i="5"/>
  <c r="BS65" i="5"/>
  <c r="BR65" i="5"/>
  <c r="BQ65" i="5"/>
  <c r="BS64" i="5"/>
  <c r="BR64" i="5"/>
  <c r="BQ64" i="5"/>
  <c r="BS63" i="5"/>
  <c r="BR63" i="5"/>
  <c r="BQ63" i="5"/>
  <c r="BS62" i="5"/>
  <c r="BR62" i="5"/>
  <c r="BQ62" i="5"/>
  <c r="BS61" i="5"/>
  <c r="BR61" i="5"/>
  <c r="BQ61" i="5"/>
  <c r="BS60" i="5"/>
  <c r="BR60" i="5"/>
  <c r="BQ60" i="5"/>
  <c r="BS59" i="5"/>
  <c r="BR59" i="5"/>
  <c r="BQ59" i="5"/>
  <c r="BS58" i="5"/>
  <c r="BR58" i="5"/>
  <c r="BQ58" i="5"/>
  <c r="BS57" i="5"/>
  <c r="BR57" i="5"/>
  <c r="BQ57" i="5"/>
  <c r="BS56" i="5"/>
  <c r="BR56" i="5"/>
  <c r="BQ56" i="5"/>
  <c r="BS55" i="5"/>
  <c r="BR55" i="5"/>
  <c r="BQ55" i="5"/>
  <c r="BS54" i="5"/>
  <c r="BR54" i="5"/>
  <c r="BQ54" i="5"/>
  <c r="BS53" i="5"/>
  <c r="BR53" i="5"/>
  <c r="BQ53" i="5"/>
  <c r="BS52" i="5"/>
  <c r="BR52" i="5"/>
  <c r="BQ52" i="5"/>
  <c r="BS51" i="5"/>
  <c r="BR51" i="5"/>
  <c r="BQ51" i="5"/>
  <c r="BS50" i="5"/>
  <c r="BR50" i="5"/>
  <c r="BQ50" i="5"/>
  <c r="BS49" i="5"/>
  <c r="BR49" i="5"/>
  <c r="BQ49" i="5"/>
  <c r="BS48" i="5"/>
  <c r="BR48" i="5"/>
  <c r="BQ48" i="5"/>
  <c r="BS47" i="5"/>
  <c r="BR47" i="5"/>
  <c r="BQ47" i="5"/>
  <c r="BS46" i="5"/>
  <c r="BR46" i="5"/>
  <c r="BQ46" i="5"/>
  <c r="BS45" i="5"/>
  <c r="BR45" i="5"/>
  <c r="BQ45" i="5"/>
  <c r="BS44" i="5"/>
  <c r="BR44" i="5"/>
  <c r="BQ44" i="5"/>
  <c r="BS43" i="5"/>
  <c r="BR43" i="5"/>
  <c r="BQ43" i="5"/>
  <c r="BS42" i="5"/>
  <c r="BR42" i="5"/>
  <c r="BQ42" i="5"/>
  <c r="BS41" i="5"/>
  <c r="BR41" i="5"/>
  <c r="BQ41" i="5"/>
  <c r="BS40" i="5"/>
  <c r="BR40" i="5"/>
  <c r="BQ40" i="5"/>
  <c r="BS39" i="5"/>
  <c r="BR39" i="5"/>
  <c r="BQ39" i="5"/>
  <c r="BS38" i="5"/>
  <c r="BR38" i="5"/>
  <c r="BQ38" i="5"/>
  <c r="BS37" i="5"/>
  <c r="BR37" i="5"/>
  <c r="BQ37" i="5"/>
  <c r="BS36" i="5"/>
  <c r="BR36" i="5"/>
  <c r="BQ36" i="5"/>
  <c r="BS35" i="5"/>
  <c r="BR35" i="5"/>
  <c r="BQ35" i="5"/>
  <c r="BS34" i="5"/>
  <c r="BR34" i="5"/>
  <c r="BQ34" i="5"/>
  <c r="BS33" i="5"/>
  <c r="BR33" i="5"/>
  <c r="BQ33" i="5"/>
  <c r="BS32" i="5"/>
  <c r="BR32" i="5"/>
  <c r="BQ32" i="5"/>
  <c r="BS31" i="5"/>
  <c r="BR31" i="5"/>
  <c r="BQ31" i="5"/>
  <c r="BS30" i="5"/>
  <c r="BR30" i="5"/>
  <c r="BQ30" i="5"/>
  <c r="BS29" i="5"/>
  <c r="BR29" i="5"/>
  <c r="BQ29" i="5"/>
  <c r="BS28" i="5"/>
  <c r="BR28" i="5"/>
  <c r="BQ28" i="5"/>
  <c r="BS27" i="5"/>
  <c r="BR27" i="5"/>
  <c r="BQ27" i="5"/>
  <c r="BS26" i="5"/>
  <c r="BR26" i="5"/>
  <c r="BQ26" i="5"/>
  <c r="BS25" i="5"/>
  <c r="BR25" i="5"/>
  <c r="BQ25" i="5"/>
  <c r="BS24" i="5"/>
  <c r="BR24" i="5"/>
  <c r="BQ24" i="5"/>
  <c r="BS23" i="5"/>
  <c r="BR23" i="5"/>
  <c r="BQ23" i="5"/>
  <c r="BS22" i="5"/>
  <c r="BR22" i="5"/>
  <c r="BQ22" i="5"/>
  <c r="BS21" i="5"/>
  <c r="BR21" i="5"/>
  <c r="BQ21" i="5"/>
  <c r="BS20" i="5"/>
  <c r="BR20" i="5"/>
  <c r="BQ20" i="5"/>
  <c r="BS19" i="5"/>
  <c r="BR19" i="5"/>
  <c r="BQ19" i="5"/>
  <c r="BS18" i="5"/>
  <c r="BR18" i="5"/>
  <c r="BQ18" i="5"/>
  <c r="BS17" i="5"/>
  <c r="BR17" i="5"/>
  <c r="BQ17" i="5"/>
  <c r="BS16" i="5"/>
  <c r="BR16" i="5"/>
  <c r="BQ16" i="5"/>
  <c r="BS15" i="5"/>
  <c r="BR15" i="5"/>
  <c r="BQ15" i="5"/>
  <c r="BS14" i="5"/>
  <c r="BR14" i="5"/>
  <c r="BQ14" i="5"/>
  <c r="BS13" i="5"/>
  <c r="BR13" i="5"/>
  <c r="BQ13" i="5"/>
  <c r="BS12" i="5"/>
  <c r="BR12" i="5"/>
  <c r="BQ12" i="5"/>
  <c r="BS11" i="5"/>
  <c r="BR11" i="5"/>
  <c r="BQ11" i="5"/>
  <c r="BS10" i="5"/>
  <c r="BR10" i="5"/>
  <c r="BQ10" i="5"/>
  <c r="BS9" i="5"/>
  <c r="BR9" i="5"/>
  <c r="BQ9" i="5"/>
  <c r="BS8" i="5"/>
  <c r="BR8" i="5"/>
  <c r="BQ8" i="5"/>
  <c r="BS7" i="5"/>
  <c r="BR7" i="5"/>
  <c r="BQ7" i="5"/>
  <c r="BS6" i="5"/>
  <c r="BR6" i="5"/>
  <c r="BQ6" i="5"/>
  <c r="BS5" i="5"/>
  <c r="BR5" i="5"/>
  <c r="BQ5" i="5"/>
  <c r="Y249" i="1"/>
  <c r="Y244" i="1"/>
  <c r="Y235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0" i="1"/>
  <c r="Y109" i="1"/>
  <c r="Y108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215" i="3"/>
  <c r="Y214" i="3"/>
  <c r="Y213" i="3"/>
  <c r="Y210" i="3"/>
  <c r="Y209" i="3"/>
  <c r="Y208" i="3"/>
  <c r="Y205" i="3"/>
  <c r="Y204" i="3"/>
  <c r="Y203" i="3"/>
  <c r="Y202" i="3"/>
  <c r="Y199" i="3"/>
  <c r="Y198" i="3"/>
  <c r="Y195" i="3"/>
  <c r="Y194" i="3"/>
  <c r="Y193" i="3"/>
  <c r="Y190" i="3"/>
  <c r="Y189" i="3"/>
  <c r="Y186" i="3"/>
  <c r="Y185" i="3"/>
  <c r="Y184" i="3"/>
  <c r="Y171" i="3"/>
  <c r="Y170" i="3"/>
  <c r="Y169" i="3"/>
  <c r="Y168" i="3"/>
  <c r="Y167" i="3"/>
  <c r="Y166" i="3"/>
  <c r="Y165" i="3"/>
  <c r="Y164" i="3"/>
  <c r="Y163" i="3"/>
  <c r="Y162" i="3"/>
  <c r="Y161" i="3"/>
  <c r="Y160" i="3"/>
  <c r="Y159" i="3"/>
  <c r="Y158" i="3"/>
  <c r="Y157" i="3"/>
  <c r="Y156" i="3"/>
  <c r="Y155" i="3"/>
  <c r="Y154" i="3"/>
  <c r="Y153" i="3"/>
  <c r="Y152" i="3"/>
  <c r="Y151" i="3"/>
  <c r="Y150" i="3"/>
  <c r="Y149" i="3"/>
  <c r="Y148" i="3"/>
  <c r="Y147" i="3"/>
  <c r="Y146" i="3"/>
  <c r="Y145" i="3"/>
  <c r="Y144" i="3"/>
  <c r="Y143" i="3"/>
  <c r="Y142" i="3"/>
  <c r="Y141" i="3"/>
  <c r="Y140" i="3"/>
  <c r="Y139" i="3"/>
  <c r="Y138" i="3"/>
  <c r="Y137" i="3"/>
  <c r="Y136" i="3"/>
  <c r="Y135" i="3"/>
  <c r="Y134" i="3"/>
  <c r="Y133" i="3"/>
  <c r="Y132" i="3"/>
  <c r="Y131" i="3"/>
  <c r="Y130" i="3"/>
  <c r="Y129" i="3"/>
  <c r="Y128" i="3"/>
  <c r="Y127" i="3"/>
  <c r="Y126" i="3"/>
  <c r="Y125" i="3"/>
  <c r="Y124" i="3"/>
  <c r="Y123" i="3"/>
  <c r="Y122" i="3"/>
  <c r="Y121" i="3"/>
  <c r="Y120" i="3"/>
  <c r="Y119" i="3"/>
  <c r="Y118" i="3"/>
  <c r="Y117" i="3"/>
  <c r="Y116" i="3"/>
  <c r="Y115" i="3"/>
  <c r="Y114" i="3"/>
  <c r="Y113" i="3"/>
  <c r="Y112" i="3"/>
  <c r="Y111" i="3"/>
  <c r="Y110" i="3"/>
  <c r="Y109" i="3"/>
  <c r="Y108" i="3"/>
  <c r="Y107" i="3"/>
  <c r="Y106" i="3"/>
  <c r="Y105" i="3"/>
  <c r="Y104" i="3"/>
  <c r="Y103" i="3"/>
  <c r="Y102" i="3"/>
  <c r="Y10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12" i="3"/>
  <c r="Y11" i="3"/>
  <c r="Y10" i="3"/>
  <c r="Y9" i="3"/>
  <c r="Y8" i="3"/>
  <c r="Y7" i="3"/>
  <c r="Y6" i="3"/>
  <c r="Y5" i="3"/>
  <c r="Y4" i="3"/>
  <c r="Y3" i="3"/>
  <c r="Y229" i="2"/>
  <c r="Y228" i="2"/>
  <c r="Y227" i="2"/>
  <c r="Y226" i="2"/>
  <c r="Y224" i="2"/>
  <c r="Y223" i="2"/>
  <c r="Y222" i="2"/>
  <c r="Y221" i="2"/>
  <c r="Y219" i="2"/>
  <c r="Y218" i="2"/>
  <c r="Y217" i="2"/>
  <c r="Y214" i="2"/>
  <c r="Y213" i="2"/>
  <c r="Y212" i="2"/>
  <c r="Y209" i="2"/>
  <c r="Y208" i="2"/>
  <c r="Y207" i="2"/>
  <c r="Y206" i="2"/>
  <c r="Y203" i="2"/>
  <c r="Y202" i="2"/>
  <c r="Y199" i="2"/>
  <c r="Y198" i="2"/>
  <c r="Y197" i="2"/>
  <c r="Y194" i="2"/>
  <c r="Y193" i="2"/>
  <c r="Y190" i="2"/>
  <c r="Y189" i="2"/>
  <c r="Y188" i="2"/>
  <c r="Y184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Y3" i="2"/>
  <c r="BN337" i="5"/>
  <c r="BP333" i="5"/>
  <c r="BO333" i="5"/>
  <c r="BN333" i="5"/>
  <c r="BP317" i="5"/>
  <c r="BO317" i="5"/>
  <c r="BN317" i="5"/>
  <c r="BP316" i="5"/>
  <c r="BO316" i="5"/>
  <c r="BN316" i="5"/>
  <c r="BP315" i="5"/>
  <c r="BO315" i="5"/>
  <c r="BN315" i="5"/>
  <c r="BP314" i="5"/>
  <c r="BO314" i="5"/>
  <c r="BN314" i="5"/>
  <c r="BP313" i="5"/>
  <c r="BO313" i="5"/>
  <c r="BN313" i="5"/>
  <c r="BP312" i="5"/>
  <c r="BO312" i="5"/>
  <c r="BN312" i="5"/>
  <c r="BP311" i="5"/>
  <c r="BO311" i="5"/>
  <c r="BN311" i="5"/>
  <c r="BP310" i="5"/>
  <c r="BO310" i="5"/>
  <c r="BN310" i="5"/>
  <c r="BP309" i="5"/>
  <c r="BO309" i="5"/>
  <c r="BN309" i="5"/>
  <c r="BP308" i="5"/>
  <c r="BO308" i="5"/>
  <c r="BN308" i="5"/>
  <c r="BP307" i="5"/>
  <c r="BO307" i="5"/>
  <c r="BN307" i="5"/>
  <c r="BP306" i="5"/>
  <c r="BO306" i="5"/>
  <c r="BN306" i="5"/>
  <c r="BP305" i="5"/>
  <c r="BO305" i="5"/>
  <c r="BN305" i="5"/>
  <c r="BP304" i="5"/>
  <c r="BO304" i="5"/>
  <c r="BN304" i="5"/>
  <c r="BP303" i="5"/>
  <c r="BO303" i="5"/>
  <c r="BN303" i="5"/>
  <c r="BP302" i="5"/>
  <c r="BO302" i="5"/>
  <c r="BN302" i="5"/>
  <c r="BP301" i="5"/>
  <c r="BO301" i="5"/>
  <c r="BN301" i="5"/>
  <c r="BP300" i="5"/>
  <c r="BO300" i="5"/>
  <c r="BN300" i="5"/>
  <c r="BP299" i="5"/>
  <c r="BO299" i="5"/>
  <c r="BN299" i="5"/>
  <c r="BP298" i="5"/>
  <c r="BO298" i="5"/>
  <c r="BN298" i="5"/>
  <c r="BP297" i="5"/>
  <c r="BO297" i="5"/>
  <c r="BN297" i="5"/>
  <c r="BP296" i="5"/>
  <c r="BO296" i="5"/>
  <c r="BN296" i="5"/>
  <c r="BP295" i="5"/>
  <c r="BO295" i="5"/>
  <c r="BN295" i="5"/>
  <c r="BP294" i="5"/>
  <c r="BO294" i="5"/>
  <c r="BN294" i="5"/>
  <c r="BP293" i="5"/>
  <c r="BO293" i="5"/>
  <c r="BN293" i="5"/>
  <c r="BP292" i="5"/>
  <c r="BO292" i="5"/>
  <c r="BP291" i="5"/>
  <c r="BO291" i="5"/>
  <c r="BN291" i="5"/>
  <c r="BP290" i="5"/>
  <c r="BO290" i="5"/>
  <c r="BN290" i="5"/>
  <c r="BP289" i="5"/>
  <c r="BO289" i="5"/>
  <c r="BN289" i="5"/>
  <c r="BP288" i="5"/>
  <c r="BO288" i="5"/>
  <c r="BN288" i="5"/>
  <c r="BP287" i="5"/>
  <c r="BO287" i="5"/>
  <c r="BN287" i="5"/>
  <c r="BP286" i="5"/>
  <c r="BO286" i="5"/>
  <c r="BN286" i="5"/>
  <c r="BP285" i="5"/>
  <c r="BO285" i="5"/>
  <c r="BN285" i="5"/>
  <c r="BP284" i="5"/>
  <c r="BO284" i="5"/>
  <c r="BN284" i="5"/>
  <c r="BP283" i="5"/>
  <c r="BO283" i="5"/>
  <c r="BN283" i="5"/>
  <c r="BP282" i="5"/>
  <c r="BO282" i="5"/>
  <c r="BN282" i="5"/>
  <c r="BP281" i="5"/>
  <c r="BO281" i="5"/>
  <c r="BN281" i="5"/>
  <c r="BP280" i="5"/>
  <c r="BO280" i="5"/>
  <c r="BN280" i="5"/>
  <c r="BP279" i="5"/>
  <c r="BO279" i="5"/>
  <c r="BN279" i="5"/>
  <c r="BP278" i="5"/>
  <c r="BO278" i="5"/>
  <c r="BN278" i="5"/>
  <c r="BP277" i="5"/>
  <c r="BO277" i="5"/>
  <c r="BN277" i="5"/>
  <c r="BP276" i="5"/>
  <c r="BO276" i="5"/>
  <c r="BN276" i="5"/>
  <c r="BP275" i="5"/>
  <c r="BO275" i="5"/>
  <c r="BN275" i="5"/>
  <c r="BP274" i="5"/>
  <c r="BO274" i="5"/>
  <c r="BN274" i="5"/>
  <c r="BP273" i="5"/>
  <c r="BO273" i="5"/>
  <c r="BN273" i="5"/>
  <c r="BP272" i="5"/>
  <c r="BO272" i="5"/>
  <c r="BN272" i="5"/>
  <c r="BP271" i="5"/>
  <c r="BO271" i="5"/>
  <c r="BN271" i="5"/>
  <c r="BP270" i="5"/>
  <c r="BO270" i="5"/>
  <c r="BN270" i="5"/>
  <c r="BP269" i="5"/>
  <c r="BO269" i="5"/>
  <c r="BN269" i="5"/>
  <c r="BP268" i="5"/>
  <c r="BO268" i="5"/>
  <c r="BN268" i="5"/>
  <c r="BP267" i="5"/>
  <c r="BO267" i="5"/>
  <c r="BN267" i="5"/>
  <c r="BP266" i="5"/>
  <c r="BO266" i="5"/>
  <c r="BN266" i="5"/>
  <c r="BP265" i="5"/>
  <c r="BO265" i="5"/>
  <c r="BN265" i="5"/>
  <c r="BP264" i="5"/>
  <c r="BO264" i="5"/>
  <c r="BN264" i="5"/>
  <c r="BP263" i="5"/>
  <c r="BO263" i="5"/>
  <c r="BN263" i="5"/>
  <c r="BP262" i="5"/>
  <c r="BO262" i="5"/>
  <c r="BN262" i="5"/>
  <c r="BP261" i="5"/>
  <c r="BO261" i="5"/>
  <c r="BN261" i="5"/>
  <c r="BP260" i="5"/>
  <c r="BO260" i="5"/>
  <c r="BN260" i="5"/>
  <c r="BP259" i="5"/>
  <c r="BO259" i="5"/>
  <c r="BN259" i="5"/>
  <c r="BP258" i="5"/>
  <c r="BO258" i="5"/>
  <c r="BN258" i="5"/>
  <c r="BP257" i="5"/>
  <c r="BO257" i="5"/>
  <c r="BN257" i="5"/>
  <c r="BP256" i="5"/>
  <c r="BO256" i="5"/>
  <c r="BN256" i="5"/>
  <c r="BP255" i="5"/>
  <c r="BO255" i="5"/>
  <c r="BN255" i="5"/>
  <c r="BP254" i="5"/>
  <c r="BO254" i="5"/>
  <c r="BN254" i="5"/>
  <c r="BP253" i="5"/>
  <c r="BO253" i="5"/>
  <c r="BN253" i="5"/>
  <c r="BP252" i="5"/>
  <c r="BO252" i="5"/>
  <c r="BN252" i="5"/>
  <c r="BP251" i="5"/>
  <c r="BO251" i="5"/>
  <c r="BN251" i="5"/>
  <c r="BP250" i="5"/>
  <c r="BO250" i="5"/>
  <c r="BN250" i="5"/>
  <c r="BP249" i="5"/>
  <c r="BO249" i="5"/>
  <c r="BN249" i="5"/>
  <c r="BP248" i="5"/>
  <c r="BO248" i="5"/>
  <c r="BN248" i="5"/>
  <c r="BP247" i="5"/>
  <c r="BO247" i="5"/>
  <c r="BN247" i="5"/>
  <c r="BP246" i="5"/>
  <c r="BO246" i="5"/>
  <c r="BN246" i="5"/>
  <c r="BP245" i="5"/>
  <c r="BO245" i="5"/>
  <c r="BN245" i="5"/>
  <c r="BP244" i="5"/>
  <c r="BO244" i="5"/>
  <c r="BN244" i="5"/>
  <c r="BP243" i="5"/>
  <c r="BO243" i="5"/>
  <c r="BN243" i="5"/>
  <c r="BP242" i="5"/>
  <c r="BO242" i="5"/>
  <c r="BN242" i="5"/>
  <c r="BP241" i="5"/>
  <c r="BO241" i="5"/>
  <c r="BN241" i="5"/>
  <c r="BP240" i="5"/>
  <c r="BO240" i="5"/>
  <c r="BN240" i="5"/>
  <c r="BP239" i="5"/>
  <c r="BO239" i="5"/>
  <c r="BN239" i="5"/>
  <c r="BP238" i="5"/>
  <c r="BO238" i="5"/>
  <c r="BN238" i="5"/>
  <c r="BP237" i="5"/>
  <c r="BO237" i="5"/>
  <c r="BN237" i="5"/>
  <c r="BP236" i="5"/>
  <c r="BO236" i="5"/>
  <c r="BN236" i="5"/>
  <c r="BP235" i="5"/>
  <c r="BO235" i="5"/>
  <c r="BN235" i="5"/>
  <c r="BP234" i="5"/>
  <c r="BO234" i="5"/>
  <c r="BN234" i="5"/>
  <c r="BP233" i="5"/>
  <c r="BO233" i="5"/>
  <c r="BN233" i="5"/>
  <c r="BP232" i="5"/>
  <c r="BO232" i="5"/>
  <c r="BN232" i="5"/>
  <c r="BP231" i="5"/>
  <c r="BO231" i="5"/>
  <c r="BN231" i="5"/>
  <c r="BP230" i="5"/>
  <c r="BO230" i="5"/>
  <c r="BN230" i="5"/>
  <c r="BP229" i="5"/>
  <c r="BO229" i="5"/>
  <c r="BN229" i="5"/>
  <c r="BP228" i="5"/>
  <c r="BO228" i="5"/>
  <c r="BN228" i="5"/>
  <c r="BP227" i="5"/>
  <c r="BO227" i="5"/>
  <c r="BN227" i="5"/>
  <c r="BP226" i="5"/>
  <c r="BO226" i="5"/>
  <c r="BN226" i="5"/>
  <c r="BP225" i="5"/>
  <c r="BO225" i="5"/>
  <c r="BN225" i="5"/>
  <c r="BP224" i="5"/>
  <c r="BO224" i="5"/>
  <c r="BN224" i="5"/>
  <c r="BP223" i="5"/>
  <c r="BO223" i="5"/>
  <c r="BN223" i="5"/>
  <c r="BP222" i="5"/>
  <c r="BO222" i="5"/>
  <c r="BN222" i="5"/>
  <c r="BP221" i="5"/>
  <c r="BO221" i="5"/>
  <c r="BN221" i="5"/>
  <c r="BP220" i="5"/>
  <c r="BO220" i="5"/>
  <c r="BN220" i="5"/>
  <c r="BP219" i="5"/>
  <c r="BO219" i="5"/>
  <c r="BN219" i="5"/>
  <c r="BP218" i="5"/>
  <c r="BO218" i="5"/>
  <c r="BN218" i="5"/>
  <c r="BP217" i="5"/>
  <c r="BO217" i="5"/>
  <c r="BN217" i="5"/>
  <c r="BP216" i="5"/>
  <c r="BO216" i="5"/>
  <c r="BN216" i="5"/>
  <c r="BP215" i="5"/>
  <c r="BO215" i="5"/>
  <c r="BN215" i="5"/>
  <c r="BP214" i="5"/>
  <c r="BO214" i="5"/>
  <c r="BN214" i="5"/>
  <c r="BP213" i="5"/>
  <c r="BO213" i="5"/>
  <c r="BN213" i="5"/>
  <c r="BP212" i="5"/>
  <c r="BO212" i="5"/>
  <c r="BN212" i="5"/>
  <c r="BP211" i="5"/>
  <c r="BO211" i="5"/>
  <c r="BN211" i="5"/>
  <c r="BP210" i="5"/>
  <c r="BO210" i="5"/>
  <c r="BN210" i="5"/>
  <c r="BP209" i="5"/>
  <c r="BO209" i="5"/>
  <c r="BN209" i="5"/>
  <c r="BP208" i="5"/>
  <c r="BO208" i="5"/>
  <c r="BN208" i="5"/>
  <c r="BP207" i="5"/>
  <c r="BO207" i="5"/>
  <c r="BN207" i="5"/>
  <c r="BP206" i="5"/>
  <c r="BO206" i="5"/>
  <c r="BN206" i="5"/>
  <c r="BP205" i="5"/>
  <c r="BO205" i="5"/>
  <c r="BN205" i="5"/>
  <c r="BP204" i="5"/>
  <c r="BO204" i="5"/>
  <c r="BN204" i="5"/>
  <c r="BP203" i="5"/>
  <c r="BO203" i="5"/>
  <c r="BN203" i="5"/>
  <c r="BP202" i="5"/>
  <c r="BO202" i="5"/>
  <c r="BN202" i="5"/>
  <c r="BP201" i="5"/>
  <c r="BO201" i="5"/>
  <c r="BN201" i="5"/>
  <c r="BP200" i="5"/>
  <c r="BO200" i="5"/>
  <c r="BN200" i="5"/>
  <c r="BP199" i="5"/>
  <c r="BO199" i="5"/>
  <c r="BN199" i="5"/>
  <c r="BP198" i="5"/>
  <c r="BO198" i="5"/>
  <c r="BN198" i="5"/>
  <c r="BP197" i="5"/>
  <c r="BO197" i="5"/>
  <c r="BN197" i="5"/>
  <c r="BP196" i="5"/>
  <c r="BO196" i="5"/>
  <c r="BN196" i="5"/>
  <c r="BP195" i="5"/>
  <c r="BO195" i="5"/>
  <c r="BN195" i="5"/>
  <c r="BP194" i="5"/>
  <c r="BO194" i="5"/>
  <c r="BN194" i="5"/>
  <c r="BP193" i="5"/>
  <c r="BO193" i="5"/>
  <c r="BN193" i="5"/>
  <c r="BP192" i="5"/>
  <c r="BO192" i="5"/>
  <c r="BN192" i="5"/>
  <c r="BP191" i="5"/>
  <c r="BO191" i="5"/>
  <c r="BN191" i="5"/>
  <c r="BP190" i="5"/>
  <c r="BO190" i="5"/>
  <c r="BN190" i="5"/>
  <c r="BP189" i="5"/>
  <c r="BO189" i="5"/>
  <c r="BN189" i="5"/>
  <c r="BP188" i="5"/>
  <c r="BO188" i="5"/>
  <c r="BN188" i="5"/>
  <c r="BP187" i="5"/>
  <c r="BO187" i="5"/>
  <c r="BN187" i="5"/>
  <c r="BP186" i="5"/>
  <c r="BO186" i="5"/>
  <c r="BN186" i="5"/>
  <c r="BP185" i="5"/>
  <c r="BO185" i="5"/>
  <c r="BN185" i="5"/>
  <c r="BP184" i="5"/>
  <c r="BO184" i="5"/>
  <c r="BN184" i="5"/>
  <c r="BP183" i="5"/>
  <c r="BO183" i="5"/>
  <c r="BN183" i="5"/>
  <c r="BP182" i="5"/>
  <c r="BO182" i="5"/>
  <c r="BN182" i="5"/>
  <c r="BP181" i="5"/>
  <c r="BO181" i="5"/>
  <c r="BN181" i="5"/>
  <c r="BP180" i="5"/>
  <c r="BO180" i="5"/>
  <c r="BN180" i="5"/>
  <c r="BP179" i="5"/>
  <c r="BO179" i="5"/>
  <c r="BN179" i="5"/>
  <c r="BP178" i="5"/>
  <c r="BO178" i="5"/>
  <c r="BN178" i="5"/>
  <c r="BP177" i="5"/>
  <c r="BO177" i="5"/>
  <c r="BN177" i="5"/>
  <c r="BP176" i="5"/>
  <c r="BO176" i="5"/>
  <c r="BN176" i="5"/>
  <c r="BP175" i="5"/>
  <c r="BO175" i="5"/>
  <c r="BN175" i="5"/>
  <c r="BP174" i="5"/>
  <c r="BO174" i="5"/>
  <c r="BN174" i="5"/>
  <c r="BP173" i="5"/>
  <c r="BO173" i="5"/>
  <c r="BN173" i="5"/>
  <c r="BP172" i="5"/>
  <c r="BO172" i="5"/>
  <c r="BN172" i="5"/>
  <c r="BP171" i="5"/>
  <c r="BO171" i="5"/>
  <c r="BN171" i="5"/>
  <c r="BP170" i="5"/>
  <c r="BO170" i="5"/>
  <c r="BN170" i="5"/>
  <c r="BP169" i="5"/>
  <c r="BO169" i="5"/>
  <c r="BN169" i="5"/>
  <c r="BP168" i="5"/>
  <c r="BO168" i="5"/>
  <c r="BN168" i="5"/>
  <c r="BP167" i="5"/>
  <c r="BO167" i="5"/>
  <c r="BN167" i="5"/>
  <c r="BP166" i="5"/>
  <c r="BO166" i="5"/>
  <c r="BN166" i="5"/>
  <c r="BP165" i="5"/>
  <c r="BO165" i="5"/>
  <c r="BN165" i="5"/>
  <c r="BP164" i="5"/>
  <c r="BO164" i="5"/>
  <c r="BN164" i="5"/>
  <c r="BP163" i="5"/>
  <c r="BO163" i="5"/>
  <c r="BN163" i="5"/>
  <c r="BP162" i="5"/>
  <c r="BO162" i="5"/>
  <c r="BN162" i="5"/>
  <c r="BP161" i="5"/>
  <c r="BO161" i="5"/>
  <c r="BN161" i="5"/>
  <c r="BP160" i="5"/>
  <c r="BO160" i="5"/>
  <c r="BN160" i="5"/>
  <c r="BP159" i="5"/>
  <c r="BO159" i="5"/>
  <c r="BN159" i="5"/>
  <c r="BP158" i="5"/>
  <c r="BO158" i="5"/>
  <c r="BN158" i="5"/>
  <c r="BP157" i="5"/>
  <c r="BO157" i="5"/>
  <c r="BN157" i="5"/>
  <c r="BP156" i="5"/>
  <c r="BO156" i="5"/>
  <c r="BN156" i="5"/>
  <c r="BP155" i="5"/>
  <c r="BO155" i="5"/>
  <c r="BN155" i="5"/>
  <c r="BP154" i="5"/>
  <c r="BO154" i="5"/>
  <c r="BN154" i="5"/>
  <c r="BP153" i="5"/>
  <c r="BO153" i="5"/>
  <c r="BN153" i="5"/>
  <c r="BP152" i="5"/>
  <c r="BO152" i="5"/>
  <c r="BN152" i="5"/>
  <c r="BP151" i="5"/>
  <c r="BO151" i="5"/>
  <c r="BN151" i="5"/>
  <c r="BP150" i="5"/>
  <c r="BO150" i="5"/>
  <c r="BN150" i="5"/>
  <c r="BP149" i="5"/>
  <c r="BO149" i="5"/>
  <c r="BN149" i="5"/>
  <c r="BP148" i="5"/>
  <c r="BO148" i="5"/>
  <c r="BN148" i="5"/>
  <c r="BP147" i="5"/>
  <c r="BO147" i="5"/>
  <c r="BN147" i="5"/>
  <c r="BP146" i="5"/>
  <c r="BO146" i="5"/>
  <c r="BN146" i="5"/>
  <c r="BP145" i="5"/>
  <c r="BO145" i="5"/>
  <c r="BN145" i="5"/>
  <c r="BP144" i="5"/>
  <c r="BO144" i="5"/>
  <c r="BN144" i="5"/>
  <c r="BP143" i="5"/>
  <c r="BO143" i="5"/>
  <c r="BN143" i="5"/>
  <c r="BP142" i="5"/>
  <c r="BO142" i="5"/>
  <c r="BN142" i="5"/>
  <c r="BP141" i="5"/>
  <c r="BO141" i="5"/>
  <c r="BN141" i="5"/>
  <c r="BP140" i="5"/>
  <c r="BO140" i="5"/>
  <c r="BN140" i="5"/>
  <c r="BP139" i="5"/>
  <c r="BO139" i="5"/>
  <c r="BN139" i="5"/>
  <c r="BP138" i="5"/>
  <c r="BO138" i="5"/>
  <c r="BN138" i="5"/>
  <c r="BP137" i="5"/>
  <c r="BO137" i="5"/>
  <c r="BN137" i="5"/>
  <c r="BP136" i="5"/>
  <c r="BO136" i="5"/>
  <c r="BN136" i="5"/>
  <c r="BP135" i="5"/>
  <c r="BO135" i="5"/>
  <c r="BN135" i="5"/>
  <c r="BP134" i="5"/>
  <c r="BO134" i="5"/>
  <c r="BN134" i="5"/>
  <c r="BP133" i="5"/>
  <c r="BO133" i="5"/>
  <c r="BN133" i="5"/>
  <c r="BP132" i="5"/>
  <c r="BO132" i="5"/>
  <c r="BN132" i="5"/>
  <c r="BP131" i="5"/>
  <c r="BO131" i="5"/>
  <c r="BN131" i="5"/>
  <c r="BP130" i="5"/>
  <c r="BO130" i="5"/>
  <c r="BN130" i="5"/>
  <c r="BP129" i="5"/>
  <c r="BO129" i="5"/>
  <c r="BN129" i="5"/>
  <c r="BP128" i="5"/>
  <c r="BO128" i="5"/>
  <c r="BN128" i="5"/>
  <c r="BP127" i="5"/>
  <c r="BO127" i="5"/>
  <c r="BN127" i="5"/>
  <c r="BP126" i="5"/>
  <c r="BO126" i="5"/>
  <c r="BN126" i="5"/>
  <c r="BP125" i="5"/>
  <c r="BO125" i="5"/>
  <c r="BN125" i="5"/>
  <c r="BP124" i="5"/>
  <c r="BO124" i="5"/>
  <c r="BN124" i="5"/>
  <c r="BP123" i="5"/>
  <c r="BO123" i="5"/>
  <c r="BN123" i="5"/>
  <c r="BP122" i="5"/>
  <c r="BO122" i="5"/>
  <c r="BN122" i="5"/>
  <c r="BP121" i="5"/>
  <c r="BO121" i="5"/>
  <c r="BN121" i="5"/>
  <c r="BP120" i="5"/>
  <c r="BO120" i="5"/>
  <c r="BN120" i="5"/>
  <c r="BP119" i="5"/>
  <c r="BO119" i="5"/>
  <c r="BN119" i="5"/>
  <c r="BP118" i="5"/>
  <c r="BO118" i="5"/>
  <c r="BN118" i="5"/>
  <c r="BP117" i="5"/>
  <c r="BO117" i="5"/>
  <c r="BN117" i="5"/>
  <c r="BP116" i="5"/>
  <c r="BO116" i="5"/>
  <c r="BN116" i="5"/>
  <c r="BP115" i="5"/>
  <c r="BO115" i="5"/>
  <c r="BN115" i="5"/>
  <c r="BP114" i="5"/>
  <c r="BO114" i="5"/>
  <c r="BN114" i="5"/>
  <c r="BP113" i="5"/>
  <c r="BO113" i="5"/>
  <c r="BN113" i="5"/>
  <c r="BP112" i="5"/>
  <c r="BO112" i="5"/>
  <c r="BN112" i="5"/>
  <c r="BN111" i="5"/>
  <c r="BP110" i="5"/>
  <c r="BO110" i="5"/>
  <c r="BN110" i="5"/>
  <c r="BO109" i="5"/>
  <c r="BN109" i="5"/>
  <c r="BP108" i="5"/>
  <c r="BO108" i="5"/>
  <c r="BN108" i="5"/>
  <c r="BP107" i="5"/>
  <c r="BO107" i="5"/>
  <c r="BP106" i="5"/>
  <c r="BO106" i="5"/>
  <c r="BN106" i="5"/>
  <c r="BP105" i="5"/>
  <c r="BO105" i="5"/>
  <c r="BN105" i="5"/>
  <c r="BP104" i="5"/>
  <c r="BO104" i="5"/>
  <c r="BN104" i="5"/>
  <c r="BP103" i="5"/>
  <c r="BO103" i="5"/>
  <c r="BN103" i="5"/>
  <c r="BP102" i="5"/>
  <c r="BO102" i="5"/>
  <c r="BN102" i="5"/>
  <c r="BP101" i="5"/>
  <c r="BO101" i="5"/>
  <c r="BN101" i="5"/>
  <c r="BP100" i="5"/>
  <c r="BO100" i="5"/>
  <c r="BN100" i="5"/>
  <c r="BP99" i="5"/>
  <c r="BO99" i="5"/>
  <c r="BN99" i="5"/>
  <c r="BP98" i="5"/>
  <c r="BO98" i="5"/>
  <c r="BN98" i="5"/>
  <c r="BP97" i="5"/>
  <c r="BO97" i="5"/>
  <c r="BN97" i="5"/>
  <c r="BP96" i="5"/>
  <c r="BO96" i="5"/>
  <c r="BN96" i="5"/>
  <c r="BP95" i="5"/>
  <c r="BO95" i="5"/>
  <c r="BN95" i="5"/>
  <c r="BP94" i="5"/>
  <c r="BO94" i="5"/>
  <c r="BN94" i="5"/>
  <c r="BP93" i="5"/>
  <c r="BO93" i="5"/>
  <c r="BN93" i="5"/>
  <c r="BP92" i="5"/>
  <c r="BO92" i="5"/>
  <c r="BN92" i="5"/>
  <c r="BP91" i="5"/>
  <c r="BO91" i="5"/>
  <c r="BN91" i="5"/>
  <c r="BP90" i="5"/>
  <c r="BO90" i="5"/>
  <c r="BN90" i="5"/>
  <c r="BP89" i="5"/>
  <c r="BO89" i="5"/>
  <c r="BN89" i="5"/>
  <c r="BP88" i="5"/>
  <c r="BO88" i="5"/>
  <c r="BN88" i="5"/>
  <c r="BP87" i="5"/>
  <c r="BO87" i="5"/>
  <c r="BN87" i="5"/>
  <c r="BP86" i="5"/>
  <c r="BO86" i="5"/>
  <c r="BN86" i="5"/>
  <c r="BP85" i="5"/>
  <c r="BO85" i="5"/>
  <c r="BN85" i="5"/>
  <c r="BP84" i="5"/>
  <c r="BO84" i="5"/>
  <c r="BN84" i="5"/>
  <c r="BP83" i="5"/>
  <c r="BO83" i="5"/>
  <c r="BN83" i="5"/>
  <c r="BP82" i="5"/>
  <c r="BO82" i="5"/>
  <c r="BN82" i="5"/>
  <c r="BP81" i="5"/>
  <c r="BO81" i="5"/>
  <c r="BN81" i="5"/>
  <c r="BP80" i="5"/>
  <c r="BO80" i="5"/>
  <c r="BN80" i="5"/>
  <c r="BP79" i="5"/>
  <c r="BO79" i="5"/>
  <c r="BN79" i="5"/>
  <c r="BP78" i="5"/>
  <c r="BO78" i="5"/>
  <c r="BN78" i="5"/>
  <c r="BP77" i="5"/>
  <c r="BO77" i="5"/>
  <c r="BN77" i="5"/>
  <c r="BP76" i="5"/>
  <c r="BO76" i="5"/>
  <c r="BN76" i="5"/>
  <c r="BP75" i="5"/>
  <c r="BO75" i="5"/>
  <c r="BN75" i="5"/>
  <c r="BP74" i="5"/>
  <c r="BO74" i="5"/>
  <c r="BN74" i="5"/>
  <c r="BP73" i="5"/>
  <c r="BO73" i="5"/>
  <c r="BN73" i="5"/>
  <c r="BP72" i="5"/>
  <c r="BO72" i="5"/>
  <c r="BN72" i="5"/>
  <c r="BP71" i="5"/>
  <c r="BO71" i="5"/>
  <c r="BN71" i="5"/>
  <c r="BP70" i="5"/>
  <c r="BO70" i="5"/>
  <c r="BN70" i="5"/>
  <c r="BP69" i="5"/>
  <c r="BO69" i="5"/>
  <c r="BN69" i="5"/>
  <c r="BP68" i="5"/>
  <c r="BO68" i="5"/>
  <c r="BN68" i="5"/>
  <c r="BP67" i="5"/>
  <c r="BO67" i="5"/>
  <c r="BN67" i="5"/>
  <c r="BP66" i="5"/>
  <c r="BO66" i="5"/>
  <c r="BN66" i="5"/>
  <c r="BP65" i="5"/>
  <c r="BO65" i="5"/>
  <c r="BN65" i="5"/>
  <c r="BP64" i="5"/>
  <c r="BO64" i="5"/>
  <c r="BN64" i="5"/>
  <c r="BP63" i="5"/>
  <c r="BO63" i="5"/>
  <c r="BN63" i="5"/>
  <c r="BP62" i="5"/>
  <c r="BO62" i="5"/>
  <c r="BN62" i="5"/>
  <c r="BP61" i="5"/>
  <c r="BO61" i="5"/>
  <c r="BN61" i="5"/>
  <c r="BP60" i="5"/>
  <c r="BO60" i="5"/>
  <c r="BN60" i="5"/>
  <c r="BP59" i="5"/>
  <c r="BO59" i="5"/>
  <c r="BN59" i="5"/>
  <c r="BP58" i="5"/>
  <c r="BO58" i="5"/>
  <c r="BN58" i="5"/>
  <c r="BP57" i="5"/>
  <c r="BO57" i="5"/>
  <c r="BN57" i="5"/>
  <c r="BP56" i="5"/>
  <c r="BO56" i="5"/>
  <c r="BN56" i="5"/>
  <c r="BP55" i="5"/>
  <c r="BO55" i="5"/>
  <c r="BN55" i="5"/>
  <c r="BP54" i="5"/>
  <c r="BO54" i="5"/>
  <c r="BN54" i="5"/>
  <c r="BP53" i="5"/>
  <c r="BO53" i="5"/>
  <c r="BN53" i="5"/>
  <c r="BP52" i="5"/>
  <c r="BO52" i="5"/>
  <c r="BN52" i="5"/>
  <c r="BP51" i="5"/>
  <c r="BO51" i="5"/>
  <c r="BN51" i="5"/>
  <c r="BP50" i="5"/>
  <c r="BO50" i="5"/>
  <c r="BN50" i="5"/>
  <c r="BP49" i="5"/>
  <c r="BO49" i="5"/>
  <c r="BN49" i="5"/>
  <c r="BP48" i="5"/>
  <c r="BO48" i="5"/>
  <c r="BN48" i="5"/>
  <c r="BP47" i="5"/>
  <c r="BO47" i="5"/>
  <c r="BN47" i="5"/>
  <c r="BP46" i="5"/>
  <c r="BO46" i="5"/>
  <c r="BN46" i="5"/>
  <c r="BP45" i="5"/>
  <c r="BO45" i="5"/>
  <c r="BN45" i="5"/>
  <c r="BP44" i="5"/>
  <c r="BO44" i="5"/>
  <c r="BN44" i="5"/>
  <c r="BP43" i="5"/>
  <c r="BO43" i="5"/>
  <c r="BN43" i="5"/>
  <c r="BP42" i="5"/>
  <c r="BO42" i="5"/>
  <c r="BN42" i="5"/>
  <c r="BP41" i="5"/>
  <c r="BO41" i="5"/>
  <c r="BN41" i="5"/>
  <c r="BP40" i="5"/>
  <c r="BO40" i="5"/>
  <c r="BN40" i="5"/>
  <c r="BP39" i="5"/>
  <c r="BO39" i="5"/>
  <c r="BN39" i="5"/>
  <c r="BP38" i="5"/>
  <c r="BO38" i="5"/>
  <c r="BN38" i="5"/>
  <c r="BP37" i="5"/>
  <c r="BO37" i="5"/>
  <c r="BN37" i="5"/>
  <c r="BP36" i="5"/>
  <c r="BO36" i="5"/>
  <c r="BN36" i="5"/>
  <c r="BP35" i="5"/>
  <c r="BO35" i="5"/>
  <c r="BN35" i="5"/>
  <c r="BP34" i="5"/>
  <c r="BO34" i="5"/>
  <c r="BN34" i="5"/>
  <c r="BP33" i="5"/>
  <c r="BO33" i="5"/>
  <c r="BN33" i="5"/>
  <c r="BP32" i="5"/>
  <c r="BO32" i="5"/>
  <c r="BN32" i="5"/>
  <c r="BP31" i="5"/>
  <c r="BO31" i="5"/>
  <c r="BN31" i="5"/>
  <c r="BP30" i="5"/>
  <c r="BO30" i="5"/>
  <c r="BN30" i="5"/>
  <c r="BP29" i="5"/>
  <c r="BO29" i="5"/>
  <c r="BN29" i="5"/>
  <c r="BP28" i="5"/>
  <c r="BO28" i="5"/>
  <c r="BN28" i="5"/>
  <c r="BP27" i="5"/>
  <c r="BO27" i="5"/>
  <c r="BN27" i="5"/>
  <c r="BP26" i="5"/>
  <c r="BO26" i="5"/>
  <c r="BN26" i="5"/>
  <c r="BP25" i="5"/>
  <c r="BO25" i="5"/>
  <c r="BN25" i="5"/>
  <c r="BP24" i="5"/>
  <c r="BO24" i="5"/>
  <c r="BN24" i="5"/>
  <c r="BP23" i="5"/>
  <c r="BO23" i="5"/>
  <c r="BN23" i="5"/>
  <c r="BP22" i="5"/>
  <c r="BO22" i="5"/>
  <c r="BN22" i="5"/>
  <c r="BP21" i="5"/>
  <c r="BO21" i="5"/>
  <c r="BN21" i="5"/>
  <c r="BP20" i="5"/>
  <c r="BO20" i="5"/>
  <c r="BN20" i="5"/>
  <c r="BP19" i="5"/>
  <c r="BO19" i="5"/>
  <c r="BN19" i="5"/>
  <c r="BP18" i="5"/>
  <c r="BO18" i="5"/>
  <c r="BN18" i="5"/>
  <c r="BP17" i="5"/>
  <c r="BO17" i="5"/>
  <c r="BN17" i="5"/>
  <c r="BP16" i="5"/>
  <c r="BO16" i="5"/>
  <c r="BN16" i="5"/>
  <c r="BP15" i="5"/>
  <c r="BO15" i="5"/>
  <c r="BN15" i="5"/>
  <c r="BP14" i="5"/>
  <c r="BO14" i="5"/>
  <c r="BN14" i="5"/>
  <c r="BP13" i="5"/>
  <c r="BO13" i="5"/>
  <c r="BN13" i="5"/>
  <c r="BP12" i="5"/>
  <c r="BO12" i="5"/>
  <c r="BN12" i="5"/>
  <c r="BP11" i="5"/>
  <c r="BO11" i="5"/>
  <c r="BN11" i="5"/>
  <c r="BP10" i="5"/>
  <c r="BO10" i="5"/>
  <c r="BN10" i="5"/>
  <c r="BP9" i="5"/>
  <c r="BO9" i="5"/>
  <c r="BN9" i="5"/>
  <c r="BP8" i="5"/>
  <c r="BO8" i="5"/>
  <c r="BN8" i="5"/>
  <c r="BP7" i="5"/>
  <c r="BO7" i="5"/>
  <c r="BN7" i="5"/>
  <c r="BP6" i="5"/>
  <c r="BO6" i="5"/>
  <c r="BN6" i="5"/>
  <c r="BP5" i="5"/>
  <c r="BO5" i="5"/>
  <c r="BN5" i="5"/>
  <c r="X249" i="1"/>
  <c r="X244" i="1"/>
  <c r="X235" i="1"/>
  <c r="X229" i="1"/>
  <c r="X228" i="1"/>
  <c r="X227" i="1"/>
  <c r="X226" i="1"/>
  <c r="X225" i="1"/>
  <c r="X224" i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X215" i="3"/>
  <c r="X214" i="3"/>
  <c r="X213" i="3"/>
  <c r="X210" i="3"/>
  <c r="X209" i="3"/>
  <c r="X208" i="3"/>
  <c r="X205" i="3"/>
  <c r="X204" i="3"/>
  <c r="X203" i="3"/>
  <c r="X202" i="3"/>
  <c r="X199" i="3"/>
  <c r="X198" i="3"/>
  <c r="X195" i="3"/>
  <c r="X194" i="3"/>
  <c r="X193" i="3"/>
  <c r="X190" i="3"/>
  <c r="X189" i="3"/>
  <c r="X186" i="3"/>
  <c r="X185" i="3"/>
  <c r="X184" i="3"/>
  <c r="X171" i="3"/>
  <c r="X170" i="3"/>
  <c r="X169" i="3"/>
  <c r="X168" i="3"/>
  <c r="X167" i="3"/>
  <c r="X166" i="3"/>
  <c r="X165" i="3"/>
  <c r="X164" i="3"/>
  <c r="X163" i="3"/>
  <c r="X162" i="3"/>
  <c r="X161" i="3"/>
  <c r="X160" i="3"/>
  <c r="X159" i="3"/>
  <c r="X158" i="3"/>
  <c r="X157" i="3"/>
  <c r="X156" i="3"/>
  <c r="X155" i="3"/>
  <c r="X154" i="3"/>
  <c r="X153" i="3"/>
  <c r="X152" i="3"/>
  <c r="X151" i="3"/>
  <c r="X150" i="3"/>
  <c r="X149" i="3"/>
  <c r="X148" i="3"/>
  <c r="X147" i="3"/>
  <c r="X146" i="3"/>
  <c r="X145" i="3"/>
  <c r="X144" i="3"/>
  <c r="X143" i="3"/>
  <c r="X142" i="3"/>
  <c r="X141" i="3"/>
  <c r="X140" i="3"/>
  <c r="X139" i="3"/>
  <c r="X138" i="3"/>
  <c r="X137" i="3"/>
  <c r="X136" i="3"/>
  <c r="X135" i="3"/>
  <c r="X134" i="3"/>
  <c r="X133" i="3"/>
  <c r="X132" i="3"/>
  <c r="X131" i="3"/>
  <c r="X130" i="3"/>
  <c r="X129" i="3"/>
  <c r="X128" i="3"/>
  <c r="X127" i="3"/>
  <c r="X126" i="3"/>
  <c r="X125" i="3"/>
  <c r="X124" i="3"/>
  <c r="X123" i="3"/>
  <c r="X122" i="3"/>
  <c r="X121" i="3"/>
  <c r="X120" i="3"/>
  <c r="X119" i="3"/>
  <c r="X118" i="3"/>
  <c r="X117" i="3"/>
  <c r="X116" i="3"/>
  <c r="X115" i="3"/>
  <c r="X114" i="3"/>
  <c r="X113" i="3"/>
  <c r="X112" i="3"/>
  <c r="X111" i="3"/>
  <c r="X110" i="3"/>
  <c r="X109" i="3"/>
  <c r="X108" i="3"/>
  <c r="X107" i="3"/>
  <c r="X106" i="3"/>
  <c r="X105" i="3"/>
  <c r="X104" i="3"/>
  <c r="X103" i="3"/>
  <c r="X102" i="3"/>
  <c r="X101" i="3"/>
  <c r="X100" i="3"/>
  <c r="X99" i="3"/>
  <c r="X98" i="3"/>
  <c r="X97" i="3"/>
  <c r="X96" i="3"/>
  <c r="X95" i="3"/>
  <c r="X94" i="3"/>
  <c r="X93" i="3"/>
  <c r="X92" i="3"/>
  <c r="X91" i="3"/>
  <c r="X90" i="3"/>
  <c r="X89" i="3"/>
  <c r="X88" i="3"/>
  <c r="X87" i="3"/>
  <c r="X86" i="3"/>
  <c r="X85" i="3"/>
  <c r="X84" i="3"/>
  <c r="X83" i="3"/>
  <c r="X82" i="3"/>
  <c r="X81" i="3"/>
  <c r="X80" i="3"/>
  <c r="X79" i="3"/>
  <c r="X78" i="3"/>
  <c r="X77" i="3"/>
  <c r="X76" i="3"/>
  <c r="X75" i="3"/>
  <c r="X74" i="3"/>
  <c r="X73" i="3"/>
  <c r="X72" i="3"/>
  <c r="X71" i="3"/>
  <c r="X70" i="3"/>
  <c r="X69" i="3"/>
  <c r="X68" i="3"/>
  <c r="X67" i="3"/>
  <c r="X66" i="3"/>
  <c r="X65" i="3"/>
  <c r="X64" i="3"/>
  <c r="X63" i="3"/>
  <c r="X62" i="3"/>
  <c r="X61" i="3"/>
  <c r="X60" i="3"/>
  <c r="X59" i="3"/>
  <c r="X58" i="3"/>
  <c r="X57" i="3"/>
  <c r="X56" i="3"/>
  <c r="X55" i="3"/>
  <c r="X54" i="3"/>
  <c r="X53" i="3"/>
  <c r="X52" i="3"/>
  <c r="X51" i="3"/>
  <c r="X50" i="3"/>
  <c r="X49" i="3"/>
  <c r="X48" i="3"/>
  <c r="X47" i="3"/>
  <c r="X46" i="3"/>
  <c r="X45" i="3"/>
  <c r="X44" i="3"/>
  <c r="X43" i="3"/>
  <c r="X42" i="3"/>
  <c r="X41" i="3"/>
  <c r="X40" i="3"/>
  <c r="X39" i="3"/>
  <c r="X38" i="3"/>
  <c r="X37" i="3"/>
  <c r="X36" i="3"/>
  <c r="X35" i="3"/>
  <c r="X34" i="3"/>
  <c r="X33" i="3"/>
  <c r="X32" i="3"/>
  <c r="X31" i="3"/>
  <c r="X30" i="3"/>
  <c r="X29" i="3"/>
  <c r="X28" i="3"/>
  <c r="X27" i="3"/>
  <c r="X26" i="3"/>
  <c r="X25" i="3"/>
  <c r="X24" i="3"/>
  <c r="X23" i="3"/>
  <c r="X22" i="3"/>
  <c r="X21" i="3"/>
  <c r="X20" i="3"/>
  <c r="X19" i="3"/>
  <c r="X18" i="3"/>
  <c r="X17" i="3"/>
  <c r="X16" i="3"/>
  <c r="X15" i="3"/>
  <c r="X14" i="3"/>
  <c r="X13" i="3"/>
  <c r="X12" i="3"/>
  <c r="X11" i="3"/>
  <c r="X10" i="3"/>
  <c r="X9" i="3"/>
  <c r="X8" i="3"/>
  <c r="X7" i="3"/>
  <c r="X6" i="3"/>
  <c r="X5" i="3"/>
  <c r="X4" i="3"/>
  <c r="X3" i="3"/>
  <c r="X229" i="2"/>
  <c r="X228" i="2"/>
  <c r="X227" i="2"/>
  <c r="X226" i="2"/>
  <c r="X224" i="2"/>
  <c r="X223" i="2"/>
  <c r="X222" i="2"/>
  <c r="X221" i="2"/>
  <c r="X219" i="2"/>
  <c r="X218" i="2"/>
  <c r="X217" i="2"/>
  <c r="X214" i="2"/>
  <c r="X213" i="2"/>
  <c r="X212" i="2"/>
  <c r="X209" i="2"/>
  <c r="X208" i="2"/>
  <c r="X207" i="2"/>
  <c r="X206" i="2"/>
  <c r="X203" i="2"/>
  <c r="X202" i="2"/>
  <c r="X199" i="2"/>
  <c r="X198" i="2"/>
  <c r="X197" i="2"/>
  <c r="X194" i="2"/>
  <c r="X193" i="2"/>
  <c r="X190" i="2"/>
  <c r="X189" i="2"/>
  <c r="X188" i="2"/>
  <c r="X184" i="2"/>
  <c r="X171" i="2"/>
  <c r="X170" i="2"/>
  <c r="X169" i="2"/>
  <c r="X168" i="2"/>
  <c r="X167" i="2"/>
  <c r="X166" i="2"/>
  <c r="X165" i="2"/>
  <c r="X164" i="2"/>
  <c r="X163" i="2"/>
  <c r="X162" i="2"/>
  <c r="X161" i="2"/>
  <c r="X160" i="2"/>
  <c r="X159" i="2"/>
  <c r="X158" i="2"/>
  <c r="X157" i="2"/>
  <c r="X156" i="2"/>
  <c r="X155" i="2"/>
  <c r="X154" i="2"/>
  <c r="X153" i="2"/>
  <c r="X152" i="2"/>
  <c r="X151" i="2"/>
  <c r="X150" i="2"/>
  <c r="X149" i="2"/>
  <c r="X148" i="2"/>
  <c r="X147" i="2"/>
  <c r="X146" i="2"/>
  <c r="X145" i="2"/>
  <c r="X144" i="2"/>
  <c r="X143" i="2"/>
  <c r="X142" i="2"/>
  <c r="X141" i="2"/>
  <c r="X140" i="2"/>
  <c r="X139" i="2"/>
  <c r="X138" i="2"/>
  <c r="X137" i="2"/>
  <c r="X136" i="2"/>
  <c r="X135" i="2"/>
  <c r="X134" i="2"/>
  <c r="X133" i="2"/>
  <c r="X132" i="2"/>
  <c r="X131" i="2"/>
  <c r="X130" i="2"/>
  <c r="X129" i="2"/>
  <c r="X128" i="2"/>
  <c r="X127" i="2"/>
  <c r="X126" i="2"/>
  <c r="X125" i="2"/>
  <c r="X124" i="2"/>
  <c r="X123" i="2"/>
  <c r="X122" i="2"/>
  <c r="X121" i="2"/>
  <c r="X120" i="2"/>
  <c r="X119" i="2"/>
  <c r="X118" i="2"/>
  <c r="X117" i="2"/>
  <c r="X116" i="2"/>
  <c r="X115" i="2"/>
  <c r="X114" i="2"/>
  <c r="X113" i="2"/>
  <c r="X112" i="2"/>
  <c r="X111" i="2"/>
  <c r="X110" i="2"/>
  <c r="X109" i="2"/>
  <c r="X108" i="2"/>
  <c r="X107" i="2"/>
  <c r="X106" i="2"/>
  <c r="X105" i="2"/>
  <c r="X104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X50" i="2"/>
  <c r="X49" i="2"/>
  <c r="X48" i="2"/>
  <c r="X47" i="2"/>
  <c r="X46" i="2"/>
  <c r="X45" i="2"/>
  <c r="X44" i="2"/>
  <c r="X43" i="2"/>
  <c r="X42" i="2"/>
  <c r="X41" i="2"/>
  <c r="X40" i="2"/>
  <c r="X39" i="2"/>
  <c r="X38" i="2"/>
  <c r="X37" i="2"/>
  <c r="X36" i="2"/>
  <c r="X35" i="2"/>
  <c r="X34" i="2"/>
  <c r="X33" i="2"/>
  <c r="X32" i="2"/>
  <c r="X31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X8" i="2"/>
  <c r="X7" i="2"/>
  <c r="X6" i="2"/>
  <c r="X5" i="2"/>
  <c r="X4" i="2"/>
  <c r="X3" i="2"/>
  <c r="BK337" i="5"/>
  <c r="BM333" i="5"/>
  <c r="BL333" i="5"/>
  <c r="BK333" i="5"/>
  <c r="BM317" i="5"/>
  <c r="BL317" i="5"/>
  <c r="BK317" i="5"/>
  <c r="BM316" i="5"/>
  <c r="BL316" i="5"/>
  <c r="BK316" i="5"/>
  <c r="BM315" i="5"/>
  <c r="BL315" i="5"/>
  <c r="BK315" i="5"/>
  <c r="BM314" i="5"/>
  <c r="BL314" i="5"/>
  <c r="BK314" i="5"/>
  <c r="BM313" i="5"/>
  <c r="BL313" i="5"/>
  <c r="BK313" i="5"/>
  <c r="BM312" i="5"/>
  <c r="BL312" i="5"/>
  <c r="BK312" i="5"/>
  <c r="BM311" i="5"/>
  <c r="BL311" i="5"/>
  <c r="BK311" i="5"/>
  <c r="BM310" i="5"/>
  <c r="BL310" i="5"/>
  <c r="BK310" i="5"/>
  <c r="BM309" i="5"/>
  <c r="BL309" i="5"/>
  <c r="BK309" i="5"/>
  <c r="BM308" i="5"/>
  <c r="BL308" i="5"/>
  <c r="BK308" i="5"/>
  <c r="BM307" i="5"/>
  <c r="BL307" i="5"/>
  <c r="BK307" i="5"/>
  <c r="BM306" i="5"/>
  <c r="BL306" i="5"/>
  <c r="BK306" i="5"/>
  <c r="BM305" i="5"/>
  <c r="BL305" i="5"/>
  <c r="BK305" i="5"/>
  <c r="BM304" i="5"/>
  <c r="BL304" i="5"/>
  <c r="BK304" i="5"/>
  <c r="BM303" i="5"/>
  <c r="BL303" i="5"/>
  <c r="BK303" i="5"/>
  <c r="BM302" i="5"/>
  <c r="BL302" i="5"/>
  <c r="BK302" i="5"/>
  <c r="BM301" i="5"/>
  <c r="BL301" i="5"/>
  <c r="BK301" i="5"/>
  <c r="BM300" i="5"/>
  <c r="BL300" i="5"/>
  <c r="BK300" i="5"/>
  <c r="BM299" i="5"/>
  <c r="BL299" i="5"/>
  <c r="BK299" i="5"/>
  <c r="BM298" i="5"/>
  <c r="BL298" i="5"/>
  <c r="BK298" i="5"/>
  <c r="BM297" i="5"/>
  <c r="BL297" i="5"/>
  <c r="BK297" i="5"/>
  <c r="BM296" i="5"/>
  <c r="BL296" i="5"/>
  <c r="BK296" i="5"/>
  <c r="BM295" i="5"/>
  <c r="BL295" i="5"/>
  <c r="BK295" i="5"/>
  <c r="BM294" i="5"/>
  <c r="BL294" i="5"/>
  <c r="BK294" i="5"/>
  <c r="BM293" i="5"/>
  <c r="BL293" i="5"/>
  <c r="BK293" i="5"/>
  <c r="BM292" i="5"/>
  <c r="BL292" i="5"/>
  <c r="BM291" i="5"/>
  <c r="BL291" i="5"/>
  <c r="BK291" i="5"/>
  <c r="BM290" i="5"/>
  <c r="BL290" i="5"/>
  <c r="BK290" i="5"/>
  <c r="BM289" i="5"/>
  <c r="BL289" i="5"/>
  <c r="BK289" i="5"/>
  <c r="BM288" i="5"/>
  <c r="BL288" i="5"/>
  <c r="BK288" i="5"/>
  <c r="BM287" i="5"/>
  <c r="BL287" i="5"/>
  <c r="BK287" i="5"/>
  <c r="BM286" i="5"/>
  <c r="BL286" i="5"/>
  <c r="BK286" i="5"/>
  <c r="BM285" i="5"/>
  <c r="BL285" i="5"/>
  <c r="BK285" i="5"/>
  <c r="BM284" i="5"/>
  <c r="BL284" i="5"/>
  <c r="BK284" i="5"/>
  <c r="BM283" i="5"/>
  <c r="BL283" i="5"/>
  <c r="BK283" i="5"/>
  <c r="BM282" i="5"/>
  <c r="BL282" i="5"/>
  <c r="BK282" i="5"/>
  <c r="BM281" i="5"/>
  <c r="BL281" i="5"/>
  <c r="BK281" i="5"/>
  <c r="BM280" i="5"/>
  <c r="BL280" i="5"/>
  <c r="BK280" i="5"/>
  <c r="BM279" i="5"/>
  <c r="BL279" i="5"/>
  <c r="BK279" i="5"/>
  <c r="BM278" i="5"/>
  <c r="BL278" i="5"/>
  <c r="BK278" i="5"/>
  <c r="BM277" i="5"/>
  <c r="BL277" i="5"/>
  <c r="BK277" i="5"/>
  <c r="BM276" i="5"/>
  <c r="BL276" i="5"/>
  <c r="BK276" i="5"/>
  <c r="BM275" i="5"/>
  <c r="BL275" i="5"/>
  <c r="BK275" i="5"/>
  <c r="BM274" i="5"/>
  <c r="BL274" i="5"/>
  <c r="BK274" i="5"/>
  <c r="BM273" i="5"/>
  <c r="BL273" i="5"/>
  <c r="BK273" i="5"/>
  <c r="BM272" i="5"/>
  <c r="BL272" i="5"/>
  <c r="BK272" i="5"/>
  <c r="BM271" i="5"/>
  <c r="BL271" i="5"/>
  <c r="BK271" i="5"/>
  <c r="BM270" i="5"/>
  <c r="BL270" i="5"/>
  <c r="BK270" i="5"/>
  <c r="BM269" i="5"/>
  <c r="BL269" i="5"/>
  <c r="BK269" i="5"/>
  <c r="BM268" i="5"/>
  <c r="BL268" i="5"/>
  <c r="BK268" i="5"/>
  <c r="BM267" i="5"/>
  <c r="BL267" i="5"/>
  <c r="BK267" i="5"/>
  <c r="BM266" i="5"/>
  <c r="BL266" i="5"/>
  <c r="BK266" i="5"/>
  <c r="BM265" i="5"/>
  <c r="BL265" i="5"/>
  <c r="BK265" i="5"/>
  <c r="BM264" i="5"/>
  <c r="BL264" i="5"/>
  <c r="BK264" i="5"/>
  <c r="BM263" i="5"/>
  <c r="BL263" i="5"/>
  <c r="BK263" i="5"/>
  <c r="BM262" i="5"/>
  <c r="BL262" i="5"/>
  <c r="BK262" i="5"/>
  <c r="BM261" i="5"/>
  <c r="BL261" i="5"/>
  <c r="BK261" i="5"/>
  <c r="BM260" i="5"/>
  <c r="BL260" i="5"/>
  <c r="BK260" i="5"/>
  <c r="BM259" i="5"/>
  <c r="BL259" i="5"/>
  <c r="BK259" i="5"/>
  <c r="BM258" i="5"/>
  <c r="BL258" i="5"/>
  <c r="BK258" i="5"/>
  <c r="BM257" i="5"/>
  <c r="BL257" i="5"/>
  <c r="BK257" i="5"/>
  <c r="BM256" i="5"/>
  <c r="BL256" i="5"/>
  <c r="BK256" i="5"/>
  <c r="BM255" i="5"/>
  <c r="BL255" i="5"/>
  <c r="BK255" i="5"/>
  <c r="BM254" i="5"/>
  <c r="BL254" i="5"/>
  <c r="BK254" i="5"/>
  <c r="BM253" i="5"/>
  <c r="BL253" i="5"/>
  <c r="BK253" i="5"/>
  <c r="BM252" i="5"/>
  <c r="BL252" i="5"/>
  <c r="BK252" i="5"/>
  <c r="BM251" i="5"/>
  <c r="BL251" i="5"/>
  <c r="BK251" i="5"/>
  <c r="BM250" i="5"/>
  <c r="BL250" i="5"/>
  <c r="BK250" i="5"/>
  <c r="BM249" i="5"/>
  <c r="BL249" i="5"/>
  <c r="BK249" i="5"/>
  <c r="BM248" i="5"/>
  <c r="BL248" i="5"/>
  <c r="BK248" i="5"/>
  <c r="BM247" i="5"/>
  <c r="BL247" i="5"/>
  <c r="BK247" i="5"/>
  <c r="BM246" i="5"/>
  <c r="BL246" i="5"/>
  <c r="BK246" i="5"/>
  <c r="BM245" i="5"/>
  <c r="BL245" i="5"/>
  <c r="BK245" i="5"/>
  <c r="BM244" i="5"/>
  <c r="BL244" i="5"/>
  <c r="BK244" i="5"/>
  <c r="BM243" i="5"/>
  <c r="BL243" i="5"/>
  <c r="BK243" i="5"/>
  <c r="BM242" i="5"/>
  <c r="BL242" i="5"/>
  <c r="BK242" i="5"/>
  <c r="BM241" i="5"/>
  <c r="BL241" i="5"/>
  <c r="BK241" i="5"/>
  <c r="BM240" i="5"/>
  <c r="BL240" i="5"/>
  <c r="BK240" i="5"/>
  <c r="BM239" i="5"/>
  <c r="BL239" i="5"/>
  <c r="BK239" i="5"/>
  <c r="BM238" i="5"/>
  <c r="BL238" i="5"/>
  <c r="BK238" i="5"/>
  <c r="BM237" i="5"/>
  <c r="BL237" i="5"/>
  <c r="BK237" i="5"/>
  <c r="BM236" i="5"/>
  <c r="BL236" i="5"/>
  <c r="BK236" i="5"/>
  <c r="BM235" i="5"/>
  <c r="BL235" i="5"/>
  <c r="BK235" i="5"/>
  <c r="BM234" i="5"/>
  <c r="BL234" i="5"/>
  <c r="BK234" i="5"/>
  <c r="BM233" i="5"/>
  <c r="BL233" i="5"/>
  <c r="BK233" i="5"/>
  <c r="BM232" i="5"/>
  <c r="BL232" i="5"/>
  <c r="BK232" i="5"/>
  <c r="BM231" i="5"/>
  <c r="BL231" i="5"/>
  <c r="BK231" i="5"/>
  <c r="BM230" i="5"/>
  <c r="BL230" i="5"/>
  <c r="BK230" i="5"/>
  <c r="BM229" i="5"/>
  <c r="BL229" i="5"/>
  <c r="BK229" i="5"/>
  <c r="BM228" i="5"/>
  <c r="BL228" i="5"/>
  <c r="BK228" i="5"/>
  <c r="BM227" i="5"/>
  <c r="BL227" i="5"/>
  <c r="BK227" i="5"/>
  <c r="BM226" i="5"/>
  <c r="BL226" i="5"/>
  <c r="BK226" i="5"/>
  <c r="BM225" i="5"/>
  <c r="BL225" i="5"/>
  <c r="BK225" i="5"/>
  <c r="BM224" i="5"/>
  <c r="BL224" i="5"/>
  <c r="BK224" i="5"/>
  <c r="BM223" i="5"/>
  <c r="BL223" i="5"/>
  <c r="BK223" i="5"/>
  <c r="BM222" i="5"/>
  <c r="BL222" i="5"/>
  <c r="BK222" i="5"/>
  <c r="BM221" i="5"/>
  <c r="BL221" i="5"/>
  <c r="BK221" i="5"/>
  <c r="BM220" i="5"/>
  <c r="BL220" i="5"/>
  <c r="BK220" i="5"/>
  <c r="BM219" i="5"/>
  <c r="BL219" i="5"/>
  <c r="BK219" i="5"/>
  <c r="BM218" i="5"/>
  <c r="BL218" i="5"/>
  <c r="BK218" i="5"/>
  <c r="BM217" i="5"/>
  <c r="BL217" i="5"/>
  <c r="BK217" i="5"/>
  <c r="BM216" i="5"/>
  <c r="BL216" i="5"/>
  <c r="BK216" i="5"/>
  <c r="BM215" i="5"/>
  <c r="BL215" i="5"/>
  <c r="BK215" i="5"/>
  <c r="BM214" i="5"/>
  <c r="BL214" i="5"/>
  <c r="BK214" i="5"/>
  <c r="BM213" i="5"/>
  <c r="BL213" i="5"/>
  <c r="BK213" i="5"/>
  <c r="BM212" i="5"/>
  <c r="BL212" i="5"/>
  <c r="BK212" i="5"/>
  <c r="BM211" i="5"/>
  <c r="BL211" i="5"/>
  <c r="BK211" i="5"/>
  <c r="BM210" i="5"/>
  <c r="BL210" i="5"/>
  <c r="BK210" i="5"/>
  <c r="BM209" i="5"/>
  <c r="BL209" i="5"/>
  <c r="BK209" i="5"/>
  <c r="BM208" i="5"/>
  <c r="BL208" i="5"/>
  <c r="BK208" i="5"/>
  <c r="BM207" i="5"/>
  <c r="BL207" i="5"/>
  <c r="BK207" i="5"/>
  <c r="BM206" i="5"/>
  <c r="BL206" i="5"/>
  <c r="BK206" i="5"/>
  <c r="BM205" i="5"/>
  <c r="BL205" i="5"/>
  <c r="BK205" i="5"/>
  <c r="BM204" i="5"/>
  <c r="BL204" i="5"/>
  <c r="BK204" i="5"/>
  <c r="BM203" i="5"/>
  <c r="BL203" i="5"/>
  <c r="BK203" i="5"/>
  <c r="BM202" i="5"/>
  <c r="BL202" i="5"/>
  <c r="BK202" i="5"/>
  <c r="BM201" i="5"/>
  <c r="BL201" i="5"/>
  <c r="BK201" i="5"/>
  <c r="BM200" i="5"/>
  <c r="BL200" i="5"/>
  <c r="BK200" i="5"/>
  <c r="BM199" i="5"/>
  <c r="BL199" i="5"/>
  <c r="BK199" i="5"/>
  <c r="BM198" i="5"/>
  <c r="BL198" i="5"/>
  <c r="BK198" i="5"/>
  <c r="BM197" i="5"/>
  <c r="BL197" i="5"/>
  <c r="BK197" i="5"/>
  <c r="BM196" i="5"/>
  <c r="BL196" i="5"/>
  <c r="BK196" i="5"/>
  <c r="BM195" i="5"/>
  <c r="BL195" i="5"/>
  <c r="BK195" i="5"/>
  <c r="BM194" i="5"/>
  <c r="BL194" i="5"/>
  <c r="BK194" i="5"/>
  <c r="BM193" i="5"/>
  <c r="BL193" i="5"/>
  <c r="BK193" i="5"/>
  <c r="BM192" i="5"/>
  <c r="BL192" i="5"/>
  <c r="BK192" i="5"/>
  <c r="BM191" i="5"/>
  <c r="BL191" i="5"/>
  <c r="BK191" i="5"/>
  <c r="BM190" i="5"/>
  <c r="BL190" i="5"/>
  <c r="BK190" i="5"/>
  <c r="BM189" i="5"/>
  <c r="BL189" i="5"/>
  <c r="BK189" i="5"/>
  <c r="BM188" i="5"/>
  <c r="BL188" i="5"/>
  <c r="BK188" i="5"/>
  <c r="BM187" i="5"/>
  <c r="BL187" i="5"/>
  <c r="BK187" i="5"/>
  <c r="BM186" i="5"/>
  <c r="BL186" i="5"/>
  <c r="BK186" i="5"/>
  <c r="BM185" i="5"/>
  <c r="BL185" i="5"/>
  <c r="BK185" i="5"/>
  <c r="BM184" i="5"/>
  <c r="BL184" i="5"/>
  <c r="BK184" i="5"/>
  <c r="BM183" i="5"/>
  <c r="BL183" i="5"/>
  <c r="BK183" i="5"/>
  <c r="BM182" i="5"/>
  <c r="BL182" i="5"/>
  <c r="BK182" i="5"/>
  <c r="BM181" i="5"/>
  <c r="BL181" i="5"/>
  <c r="BK181" i="5"/>
  <c r="BM180" i="5"/>
  <c r="BL180" i="5"/>
  <c r="BK180" i="5"/>
  <c r="BM179" i="5"/>
  <c r="BL179" i="5"/>
  <c r="BK179" i="5"/>
  <c r="BM178" i="5"/>
  <c r="BL178" i="5"/>
  <c r="BK178" i="5"/>
  <c r="BM177" i="5"/>
  <c r="BL177" i="5"/>
  <c r="BK177" i="5"/>
  <c r="BM176" i="5"/>
  <c r="BL176" i="5"/>
  <c r="BK176" i="5"/>
  <c r="BM175" i="5"/>
  <c r="BL175" i="5"/>
  <c r="BK175" i="5"/>
  <c r="BM174" i="5"/>
  <c r="BL174" i="5"/>
  <c r="BK174" i="5"/>
  <c r="BM173" i="5"/>
  <c r="BL173" i="5"/>
  <c r="BK173" i="5"/>
  <c r="BM172" i="5"/>
  <c r="BL172" i="5"/>
  <c r="BK172" i="5"/>
  <c r="BM171" i="5"/>
  <c r="BL171" i="5"/>
  <c r="BK171" i="5"/>
  <c r="BM170" i="5"/>
  <c r="BL170" i="5"/>
  <c r="BK170" i="5"/>
  <c r="BM169" i="5"/>
  <c r="BL169" i="5"/>
  <c r="BK169" i="5"/>
  <c r="BM168" i="5"/>
  <c r="BL168" i="5"/>
  <c r="BK168" i="5"/>
  <c r="BM167" i="5"/>
  <c r="BL167" i="5"/>
  <c r="BK167" i="5"/>
  <c r="BM166" i="5"/>
  <c r="BL166" i="5"/>
  <c r="BK166" i="5"/>
  <c r="BM165" i="5"/>
  <c r="BL165" i="5"/>
  <c r="BK165" i="5"/>
  <c r="BM164" i="5"/>
  <c r="BL164" i="5"/>
  <c r="BK164" i="5"/>
  <c r="BM163" i="5"/>
  <c r="BL163" i="5"/>
  <c r="BK163" i="5"/>
  <c r="BM162" i="5"/>
  <c r="BL162" i="5"/>
  <c r="BK162" i="5"/>
  <c r="BM161" i="5"/>
  <c r="BL161" i="5"/>
  <c r="BK161" i="5"/>
  <c r="BM160" i="5"/>
  <c r="BL160" i="5"/>
  <c r="BK160" i="5"/>
  <c r="BM159" i="5"/>
  <c r="BL159" i="5"/>
  <c r="BK159" i="5"/>
  <c r="BM158" i="5"/>
  <c r="BL158" i="5"/>
  <c r="BK158" i="5"/>
  <c r="BM157" i="5"/>
  <c r="BL157" i="5"/>
  <c r="BK157" i="5"/>
  <c r="BM156" i="5"/>
  <c r="BL156" i="5"/>
  <c r="BK156" i="5"/>
  <c r="BM155" i="5"/>
  <c r="BL155" i="5"/>
  <c r="BK155" i="5"/>
  <c r="BM154" i="5"/>
  <c r="BL154" i="5"/>
  <c r="BK154" i="5"/>
  <c r="BM153" i="5"/>
  <c r="BL153" i="5"/>
  <c r="BK153" i="5"/>
  <c r="BM152" i="5"/>
  <c r="BL152" i="5"/>
  <c r="BK152" i="5"/>
  <c r="BM151" i="5"/>
  <c r="BL151" i="5"/>
  <c r="BK151" i="5"/>
  <c r="BM150" i="5"/>
  <c r="BL150" i="5"/>
  <c r="BK150" i="5"/>
  <c r="BM149" i="5"/>
  <c r="BL149" i="5"/>
  <c r="BK149" i="5"/>
  <c r="BM148" i="5"/>
  <c r="BL148" i="5"/>
  <c r="BK148" i="5"/>
  <c r="BM147" i="5"/>
  <c r="BL147" i="5"/>
  <c r="BK147" i="5"/>
  <c r="BM146" i="5"/>
  <c r="BL146" i="5"/>
  <c r="BK146" i="5"/>
  <c r="BM145" i="5"/>
  <c r="BL145" i="5"/>
  <c r="BK145" i="5"/>
  <c r="BM144" i="5"/>
  <c r="BL144" i="5"/>
  <c r="BK144" i="5"/>
  <c r="BM143" i="5"/>
  <c r="BL143" i="5"/>
  <c r="BK143" i="5"/>
  <c r="BM142" i="5"/>
  <c r="BL142" i="5"/>
  <c r="BK142" i="5"/>
  <c r="BM141" i="5"/>
  <c r="BL141" i="5"/>
  <c r="BK141" i="5"/>
  <c r="BM140" i="5"/>
  <c r="BL140" i="5"/>
  <c r="BK140" i="5"/>
  <c r="BM139" i="5"/>
  <c r="BL139" i="5"/>
  <c r="BK139" i="5"/>
  <c r="BM138" i="5"/>
  <c r="BL138" i="5"/>
  <c r="BK138" i="5"/>
  <c r="BM137" i="5"/>
  <c r="BL137" i="5"/>
  <c r="BK137" i="5"/>
  <c r="BM136" i="5"/>
  <c r="BL136" i="5"/>
  <c r="BK136" i="5"/>
  <c r="BM135" i="5"/>
  <c r="BL135" i="5"/>
  <c r="BK135" i="5"/>
  <c r="BM134" i="5"/>
  <c r="BL134" i="5"/>
  <c r="BK134" i="5"/>
  <c r="BM133" i="5"/>
  <c r="BL133" i="5"/>
  <c r="BK133" i="5"/>
  <c r="BM132" i="5"/>
  <c r="BL132" i="5"/>
  <c r="BK132" i="5"/>
  <c r="BM131" i="5"/>
  <c r="BL131" i="5"/>
  <c r="BK131" i="5"/>
  <c r="BM130" i="5"/>
  <c r="BL130" i="5"/>
  <c r="BK130" i="5"/>
  <c r="BM129" i="5"/>
  <c r="BL129" i="5"/>
  <c r="BK129" i="5"/>
  <c r="BM128" i="5"/>
  <c r="BL128" i="5"/>
  <c r="BK128" i="5"/>
  <c r="BM127" i="5"/>
  <c r="BL127" i="5"/>
  <c r="BK127" i="5"/>
  <c r="BM126" i="5"/>
  <c r="BL126" i="5"/>
  <c r="BK126" i="5"/>
  <c r="BM125" i="5"/>
  <c r="BL125" i="5"/>
  <c r="BK125" i="5"/>
  <c r="BM124" i="5"/>
  <c r="BL124" i="5"/>
  <c r="BK124" i="5"/>
  <c r="BM123" i="5"/>
  <c r="BL123" i="5"/>
  <c r="BK123" i="5"/>
  <c r="BM122" i="5"/>
  <c r="BL122" i="5"/>
  <c r="BK122" i="5"/>
  <c r="BM121" i="5"/>
  <c r="BL121" i="5"/>
  <c r="BK121" i="5"/>
  <c r="BM120" i="5"/>
  <c r="BL120" i="5"/>
  <c r="BK120" i="5"/>
  <c r="BM119" i="5"/>
  <c r="BL119" i="5"/>
  <c r="BK119" i="5"/>
  <c r="BM118" i="5"/>
  <c r="BL118" i="5"/>
  <c r="BK118" i="5"/>
  <c r="BM117" i="5"/>
  <c r="BL117" i="5"/>
  <c r="BK117" i="5"/>
  <c r="BM116" i="5"/>
  <c r="BL116" i="5"/>
  <c r="BK116" i="5"/>
  <c r="BM115" i="5"/>
  <c r="BL115" i="5"/>
  <c r="BK115" i="5"/>
  <c r="BM114" i="5"/>
  <c r="BL114" i="5"/>
  <c r="BK114" i="5"/>
  <c r="BM113" i="5"/>
  <c r="BL113" i="5"/>
  <c r="BK113" i="5"/>
  <c r="BM112" i="5"/>
  <c r="BL112" i="5"/>
  <c r="BK112" i="5"/>
  <c r="BK111" i="5"/>
  <c r="BM110" i="5"/>
  <c r="BL110" i="5"/>
  <c r="BK110" i="5"/>
  <c r="BL109" i="5"/>
  <c r="BK109" i="5"/>
  <c r="BM108" i="5"/>
  <c r="BL108" i="5"/>
  <c r="BK108" i="5"/>
  <c r="BM107" i="5"/>
  <c r="BL107" i="5"/>
  <c r="BM106" i="5"/>
  <c r="BL106" i="5"/>
  <c r="BK106" i="5"/>
  <c r="BM105" i="5"/>
  <c r="BL105" i="5"/>
  <c r="BK105" i="5"/>
  <c r="BM104" i="5"/>
  <c r="BL104" i="5"/>
  <c r="BK104" i="5"/>
  <c r="BM103" i="5"/>
  <c r="BL103" i="5"/>
  <c r="BK103" i="5"/>
  <c r="BM102" i="5"/>
  <c r="BL102" i="5"/>
  <c r="BK102" i="5"/>
  <c r="BM101" i="5"/>
  <c r="BL101" i="5"/>
  <c r="BK101" i="5"/>
  <c r="BM100" i="5"/>
  <c r="BL100" i="5"/>
  <c r="BK100" i="5"/>
  <c r="BM99" i="5"/>
  <c r="BL99" i="5"/>
  <c r="BK99" i="5"/>
  <c r="BM98" i="5"/>
  <c r="BL98" i="5"/>
  <c r="BK98" i="5"/>
  <c r="BM97" i="5"/>
  <c r="BL97" i="5"/>
  <c r="BK97" i="5"/>
  <c r="BM96" i="5"/>
  <c r="BL96" i="5"/>
  <c r="BK96" i="5"/>
  <c r="BM95" i="5"/>
  <c r="BL95" i="5"/>
  <c r="BK95" i="5"/>
  <c r="BM94" i="5"/>
  <c r="BL94" i="5"/>
  <c r="BK94" i="5"/>
  <c r="BM93" i="5"/>
  <c r="BL93" i="5"/>
  <c r="BK93" i="5"/>
  <c r="BM92" i="5"/>
  <c r="BL92" i="5"/>
  <c r="BK92" i="5"/>
  <c r="BM91" i="5"/>
  <c r="BL91" i="5"/>
  <c r="BK91" i="5"/>
  <c r="BM90" i="5"/>
  <c r="BL90" i="5"/>
  <c r="BK90" i="5"/>
  <c r="BM89" i="5"/>
  <c r="BL89" i="5"/>
  <c r="BK89" i="5"/>
  <c r="BM88" i="5"/>
  <c r="BL88" i="5"/>
  <c r="BK88" i="5"/>
  <c r="BM87" i="5"/>
  <c r="BL87" i="5"/>
  <c r="BK87" i="5"/>
  <c r="BM86" i="5"/>
  <c r="BL86" i="5"/>
  <c r="BK86" i="5"/>
  <c r="BM85" i="5"/>
  <c r="BL85" i="5"/>
  <c r="BK85" i="5"/>
  <c r="BM84" i="5"/>
  <c r="BL84" i="5"/>
  <c r="BK84" i="5"/>
  <c r="BM83" i="5"/>
  <c r="BL83" i="5"/>
  <c r="BK83" i="5"/>
  <c r="BM82" i="5"/>
  <c r="BL82" i="5"/>
  <c r="BK82" i="5"/>
  <c r="BM81" i="5"/>
  <c r="BL81" i="5"/>
  <c r="BK81" i="5"/>
  <c r="BM80" i="5"/>
  <c r="BL80" i="5"/>
  <c r="BK80" i="5"/>
  <c r="BM79" i="5"/>
  <c r="BL79" i="5"/>
  <c r="BK79" i="5"/>
  <c r="BM78" i="5"/>
  <c r="BL78" i="5"/>
  <c r="BK78" i="5"/>
  <c r="BM77" i="5"/>
  <c r="BL77" i="5"/>
  <c r="BK77" i="5"/>
  <c r="BM76" i="5"/>
  <c r="BL76" i="5"/>
  <c r="BK76" i="5"/>
  <c r="BM75" i="5"/>
  <c r="BL75" i="5"/>
  <c r="BK75" i="5"/>
  <c r="BM74" i="5"/>
  <c r="BL74" i="5"/>
  <c r="BK74" i="5"/>
  <c r="BM73" i="5"/>
  <c r="BL73" i="5"/>
  <c r="BK73" i="5"/>
  <c r="BM72" i="5"/>
  <c r="BL72" i="5"/>
  <c r="BK72" i="5"/>
  <c r="BM71" i="5"/>
  <c r="BL71" i="5"/>
  <c r="BK71" i="5"/>
  <c r="BM70" i="5"/>
  <c r="BL70" i="5"/>
  <c r="BK70" i="5"/>
  <c r="BM69" i="5"/>
  <c r="BL69" i="5"/>
  <c r="BK69" i="5"/>
  <c r="BM68" i="5"/>
  <c r="BL68" i="5"/>
  <c r="BK68" i="5"/>
  <c r="BM67" i="5"/>
  <c r="BL67" i="5"/>
  <c r="BK67" i="5"/>
  <c r="BM66" i="5"/>
  <c r="BL66" i="5"/>
  <c r="BK66" i="5"/>
  <c r="BM65" i="5"/>
  <c r="BL65" i="5"/>
  <c r="BK65" i="5"/>
  <c r="BM64" i="5"/>
  <c r="BL64" i="5"/>
  <c r="BK64" i="5"/>
  <c r="BM63" i="5"/>
  <c r="BL63" i="5"/>
  <c r="BK63" i="5"/>
  <c r="BM62" i="5"/>
  <c r="BL62" i="5"/>
  <c r="BK62" i="5"/>
  <c r="BM61" i="5"/>
  <c r="BL61" i="5"/>
  <c r="BK61" i="5"/>
  <c r="BM60" i="5"/>
  <c r="BL60" i="5"/>
  <c r="BK60" i="5"/>
  <c r="BM59" i="5"/>
  <c r="BL59" i="5"/>
  <c r="BK59" i="5"/>
  <c r="BM58" i="5"/>
  <c r="BL58" i="5"/>
  <c r="BK58" i="5"/>
  <c r="BM57" i="5"/>
  <c r="BL57" i="5"/>
  <c r="BK57" i="5"/>
  <c r="BM56" i="5"/>
  <c r="BL56" i="5"/>
  <c r="BK56" i="5"/>
  <c r="BM55" i="5"/>
  <c r="BL55" i="5"/>
  <c r="BK55" i="5"/>
  <c r="BM54" i="5"/>
  <c r="BL54" i="5"/>
  <c r="BK54" i="5"/>
  <c r="BM53" i="5"/>
  <c r="BL53" i="5"/>
  <c r="BK53" i="5"/>
  <c r="BM52" i="5"/>
  <c r="BL52" i="5"/>
  <c r="BK52" i="5"/>
  <c r="BM51" i="5"/>
  <c r="BL51" i="5"/>
  <c r="BK51" i="5"/>
  <c r="BM50" i="5"/>
  <c r="BL50" i="5"/>
  <c r="BK50" i="5"/>
  <c r="BM49" i="5"/>
  <c r="BL49" i="5"/>
  <c r="BK49" i="5"/>
  <c r="BM48" i="5"/>
  <c r="BL48" i="5"/>
  <c r="BK48" i="5"/>
  <c r="BM47" i="5"/>
  <c r="BL47" i="5"/>
  <c r="BK47" i="5"/>
  <c r="BM46" i="5"/>
  <c r="BL46" i="5"/>
  <c r="BK46" i="5"/>
  <c r="BM45" i="5"/>
  <c r="BL45" i="5"/>
  <c r="BK45" i="5"/>
  <c r="BM44" i="5"/>
  <c r="BL44" i="5"/>
  <c r="BK44" i="5"/>
  <c r="BM43" i="5"/>
  <c r="BL43" i="5"/>
  <c r="BK43" i="5"/>
  <c r="BM42" i="5"/>
  <c r="BL42" i="5"/>
  <c r="BK42" i="5"/>
  <c r="BM41" i="5"/>
  <c r="BL41" i="5"/>
  <c r="BK41" i="5"/>
  <c r="BM40" i="5"/>
  <c r="BL40" i="5"/>
  <c r="BK40" i="5"/>
  <c r="BM39" i="5"/>
  <c r="BL39" i="5"/>
  <c r="BK39" i="5"/>
  <c r="BM38" i="5"/>
  <c r="BL38" i="5"/>
  <c r="BK38" i="5"/>
  <c r="BM37" i="5"/>
  <c r="BL37" i="5"/>
  <c r="BK37" i="5"/>
  <c r="BM36" i="5"/>
  <c r="BL36" i="5"/>
  <c r="BK36" i="5"/>
  <c r="BM35" i="5"/>
  <c r="BL35" i="5"/>
  <c r="BK35" i="5"/>
  <c r="BM34" i="5"/>
  <c r="BL34" i="5"/>
  <c r="BK34" i="5"/>
  <c r="BM33" i="5"/>
  <c r="BL33" i="5"/>
  <c r="BK33" i="5"/>
  <c r="BM32" i="5"/>
  <c r="BL32" i="5"/>
  <c r="BK32" i="5"/>
  <c r="BM31" i="5"/>
  <c r="BL31" i="5"/>
  <c r="BK31" i="5"/>
  <c r="BM30" i="5"/>
  <c r="BL30" i="5"/>
  <c r="BK30" i="5"/>
  <c r="BM29" i="5"/>
  <c r="BL29" i="5"/>
  <c r="BK29" i="5"/>
  <c r="BM28" i="5"/>
  <c r="BL28" i="5"/>
  <c r="BK28" i="5"/>
  <c r="BM27" i="5"/>
  <c r="BL27" i="5"/>
  <c r="BK27" i="5"/>
  <c r="BM26" i="5"/>
  <c r="BL26" i="5"/>
  <c r="BK26" i="5"/>
  <c r="BM25" i="5"/>
  <c r="BL25" i="5"/>
  <c r="BK25" i="5"/>
  <c r="BM24" i="5"/>
  <c r="BL24" i="5"/>
  <c r="BK24" i="5"/>
  <c r="BM23" i="5"/>
  <c r="BL23" i="5"/>
  <c r="BK23" i="5"/>
  <c r="BM22" i="5"/>
  <c r="BL22" i="5"/>
  <c r="BK22" i="5"/>
  <c r="BM21" i="5"/>
  <c r="BL21" i="5"/>
  <c r="BK21" i="5"/>
  <c r="BM20" i="5"/>
  <c r="BL20" i="5"/>
  <c r="BK20" i="5"/>
  <c r="BM19" i="5"/>
  <c r="BL19" i="5"/>
  <c r="BK19" i="5"/>
  <c r="BM18" i="5"/>
  <c r="BL18" i="5"/>
  <c r="BK18" i="5"/>
  <c r="BM17" i="5"/>
  <c r="BL17" i="5"/>
  <c r="BK17" i="5"/>
  <c r="BM16" i="5"/>
  <c r="BL16" i="5"/>
  <c r="BK16" i="5"/>
  <c r="BM15" i="5"/>
  <c r="BL15" i="5"/>
  <c r="BK15" i="5"/>
  <c r="BM14" i="5"/>
  <c r="BL14" i="5"/>
  <c r="BK14" i="5"/>
  <c r="BM13" i="5"/>
  <c r="BL13" i="5"/>
  <c r="BK13" i="5"/>
  <c r="BM12" i="5"/>
  <c r="BL12" i="5"/>
  <c r="BK12" i="5"/>
  <c r="BM11" i="5"/>
  <c r="BL11" i="5"/>
  <c r="BK11" i="5"/>
  <c r="BM10" i="5"/>
  <c r="BL10" i="5"/>
  <c r="BK10" i="5"/>
  <c r="BM9" i="5"/>
  <c r="BL9" i="5"/>
  <c r="BK9" i="5"/>
  <c r="BM8" i="5"/>
  <c r="BL8" i="5"/>
  <c r="BK8" i="5"/>
  <c r="BM7" i="5"/>
  <c r="BL7" i="5"/>
  <c r="BK7" i="5"/>
  <c r="BM6" i="5"/>
  <c r="BL6" i="5"/>
  <c r="BK6" i="5"/>
  <c r="BM5" i="5"/>
  <c r="BL5" i="5"/>
  <c r="BK5" i="5"/>
  <c r="W249" i="1"/>
  <c r="W244" i="1"/>
  <c r="W235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215" i="3"/>
  <c r="W214" i="3"/>
  <c r="W213" i="3"/>
  <c r="W210" i="3"/>
  <c r="W209" i="3"/>
  <c r="W208" i="3"/>
  <c r="W205" i="3"/>
  <c r="W204" i="3"/>
  <c r="W203" i="3"/>
  <c r="W202" i="3"/>
  <c r="W199" i="3"/>
  <c r="W198" i="3"/>
  <c r="W195" i="3"/>
  <c r="W194" i="3"/>
  <c r="W193" i="3"/>
  <c r="W190" i="3"/>
  <c r="W189" i="3"/>
  <c r="W186" i="3"/>
  <c r="W185" i="3"/>
  <c r="W184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20" i="3"/>
  <c r="W19" i="3"/>
  <c r="W18" i="3"/>
  <c r="W17" i="3"/>
  <c r="W16" i="3"/>
  <c r="W15" i="3"/>
  <c r="W14" i="3"/>
  <c r="W13" i="3"/>
  <c r="W12" i="3"/>
  <c r="W11" i="3"/>
  <c r="W10" i="3"/>
  <c r="W9" i="3"/>
  <c r="W8" i="3"/>
  <c r="W7" i="3"/>
  <c r="W6" i="3"/>
  <c r="W5" i="3"/>
  <c r="W4" i="3"/>
  <c r="W3" i="3"/>
  <c r="W229" i="2"/>
  <c r="W228" i="2"/>
  <c r="W227" i="2"/>
  <c r="W226" i="2"/>
  <c r="W224" i="2"/>
  <c r="W223" i="2"/>
  <c r="W222" i="2"/>
  <c r="W221" i="2"/>
  <c r="W219" i="2"/>
  <c r="W218" i="2"/>
  <c r="W217" i="2"/>
  <c r="W214" i="2"/>
  <c r="W213" i="2"/>
  <c r="W212" i="2"/>
  <c r="W209" i="2"/>
  <c r="W208" i="2"/>
  <c r="W207" i="2"/>
  <c r="W206" i="2"/>
  <c r="W203" i="2"/>
  <c r="W202" i="2"/>
  <c r="W199" i="2"/>
  <c r="W198" i="2"/>
  <c r="W197" i="2"/>
  <c r="W194" i="2"/>
  <c r="W193" i="2"/>
  <c r="W190" i="2"/>
  <c r="W189" i="2"/>
  <c r="W188" i="2"/>
  <c r="W184" i="2"/>
  <c r="W171" i="2"/>
  <c r="W170" i="2"/>
  <c r="W169" i="2"/>
  <c r="W168" i="2"/>
  <c r="W167" i="2"/>
  <c r="W166" i="2"/>
  <c r="W165" i="2"/>
  <c r="W164" i="2"/>
  <c r="W163" i="2"/>
  <c r="W162" i="2"/>
  <c r="W161" i="2"/>
  <c r="W160" i="2"/>
  <c r="W159" i="2"/>
  <c r="W158" i="2"/>
  <c r="W157" i="2"/>
  <c r="W156" i="2"/>
  <c r="W155" i="2"/>
  <c r="W154" i="2"/>
  <c r="W153" i="2"/>
  <c r="W152" i="2"/>
  <c r="W151" i="2"/>
  <c r="W150" i="2"/>
  <c r="W149" i="2"/>
  <c r="W148" i="2"/>
  <c r="W147" i="2"/>
  <c r="W146" i="2"/>
  <c r="W145" i="2"/>
  <c r="W144" i="2"/>
  <c r="W143" i="2"/>
  <c r="W142" i="2"/>
  <c r="W141" i="2"/>
  <c r="W140" i="2"/>
  <c r="W139" i="2"/>
  <c r="W138" i="2"/>
  <c r="W137" i="2"/>
  <c r="W136" i="2"/>
  <c r="W135" i="2"/>
  <c r="W134" i="2"/>
  <c r="W133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2" i="2"/>
  <c r="W111" i="2"/>
  <c r="W110" i="2"/>
  <c r="W109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W5" i="2"/>
  <c r="W4" i="2"/>
  <c r="W3" i="2"/>
  <c r="CE349" i="5"/>
  <c r="CD349" i="5"/>
  <c r="CB349" i="5"/>
  <c r="CA349" i="5"/>
  <c r="BY349" i="5"/>
  <c r="BX349" i="5"/>
  <c r="BV349" i="5"/>
  <c r="BU349" i="5"/>
  <c r="CE342" i="5"/>
  <c r="CD342" i="5"/>
  <c r="CB342" i="5"/>
  <c r="CA342" i="5"/>
  <c r="BY342" i="5"/>
  <c r="BX342" i="5"/>
  <c r="BV342" i="5"/>
  <c r="BU342" i="5"/>
  <c r="CE339" i="5"/>
  <c r="CE344" i="5" s="1"/>
  <c r="CD339" i="5"/>
  <c r="CD344" i="5" s="1"/>
  <c r="CB339" i="5"/>
  <c r="CB344" i="5" s="1"/>
  <c r="CA339" i="5"/>
  <c r="CA344" i="5" s="1"/>
  <c r="BY339" i="5"/>
  <c r="BY344" i="5" s="1"/>
  <c r="BX339" i="5"/>
  <c r="BX344" i="5" s="1"/>
  <c r="BV339" i="5"/>
  <c r="BV344" i="5" s="1"/>
  <c r="BU339" i="5"/>
  <c r="BU344" i="5" s="1"/>
  <c r="CE343" i="5"/>
  <c r="CD343" i="5"/>
  <c r="CC343" i="5"/>
  <c r="CB343" i="5"/>
  <c r="CA343" i="5"/>
  <c r="BZ343" i="5"/>
  <c r="BY343" i="5"/>
  <c r="BX343" i="5"/>
  <c r="BV343" i="5"/>
  <c r="BU343" i="5"/>
  <c r="BT343" i="5"/>
  <c r="CE325" i="5"/>
  <c r="CB325" i="5"/>
  <c r="BY325" i="5"/>
  <c r="BV325" i="5"/>
  <c r="CE321" i="5"/>
  <c r="CE327" i="5" s="1"/>
  <c r="CD321" i="5"/>
  <c r="CD327" i="5" s="1"/>
  <c r="CC321" i="5"/>
  <c r="CB321" i="5"/>
  <c r="CB327" i="5" s="1"/>
  <c r="CA321" i="5"/>
  <c r="CA327" i="5" s="1"/>
  <c r="BZ321" i="5"/>
  <c r="BY321" i="5"/>
  <c r="BY327" i="5" s="1"/>
  <c r="BX321" i="5"/>
  <c r="BX327" i="5" s="1"/>
  <c r="BW321" i="5"/>
  <c r="BV321" i="5"/>
  <c r="BV327" i="5" s="1"/>
  <c r="BU321" i="5"/>
  <c r="BU327" i="5" s="1"/>
  <c r="BT321" i="5"/>
  <c r="CC349" i="5"/>
  <c r="BZ349" i="5"/>
  <c r="BW349" i="5"/>
  <c r="BT349" i="5"/>
  <c r="CE347" i="5"/>
  <c r="CD347" i="5"/>
  <c r="CC347" i="5"/>
  <c r="CB347" i="5"/>
  <c r="CA347" i="5"/>
  <c r="BZ347" i="5"/>
  <c r="BY347" i="5"/>
  <c r="BX347" i="5"/>
  <c r="BW347" i="5"/>
  <c r="BV347" i="5"/>
  <c r="BU347" i="5"/>
  <c r="BT347" i="5"/>
  <c r="CD348" i="5"/>
  <c r="CC348" i="5"/>
  <c r="CA348" i="5"/>
  <c r="CB109" i="5"/>
  <c r="BX348" i="5"/>
  <c r="BY109" i="5"/>
  <c r="BV109" i="5"/>
  <c r="BV348" i="5" s="1"/>
  <c r="BU348" i="5"/>
  <c r="BT348" i="5"/>
  <c r="CD318" i="5"/>
  <c r="CD326" i="5" s="1"/>
  <c r="CC318" i="5"/>
  <c r="CB318" i="5"/>
  <c r="CB326" i="5" s="1"/>
  <c r="CA318" i="5"/>
  <c r="CA326" i="5" s="1"/>
  <c r="BZ318" i="5"/>
  <c r="BX318" i="5"/>
  <c r="BX326" i="5" s="1"/>
  <c r="BW318" i="5"/>
  <c r="BV318" i="5"/>
  <c r="BV326" i="5" s="1"/>
  <c r="BU318" i="5"/>
  <c r="BU326" i="5" s="1"/>
  <c r="BT318" i="5"/>
  <c r="BS349" i="5"/>
  <c r="BR349" i="5"/>
  <c r="BP349" i="5"/>
  <c r="BO349" i="5"/>
  <c r="BM349" i="5"/>
  <c r="BL349" i="5"/>
  <c r="BS343" i="5"/>
  <c r="BR343" i="5"/>
  <c r="BP343" i="5"/>
  <c r="BO343" i="5"/>
  <c r="BN343" i="5"/>
  <c r="BL343" i="5"/>
  <c r="BS342" i="5"/>
  <c r="BR342" i="5"/>
  <c r="BP342" i="5"/>
  <c r="BO342" i="5"/>
  <c r="BM342" i="5"/>
  <c r="BL342" i="5"/>
  <c r="BS339" i="5"/>
  <c r="BS344" i="5" s="1"/>
  <c r="BR339" i="5"/>
  <c r="BR344" i="5" s="1"/>
  <c r="BP339" i="5"/>
  <c r="BP344" i="5" s="1"/>
  <c r="BO339" i="5"/>
  <c r="BO344" i="5" s="1"/>
  <c r="BM339" i="5"/>
  <c r="BM344" i="5" s="1"/>
  <c r="BL339" i="5"/>
  <c r="BL344" i="5" s="1"/>
  <c r="BK343" i="5"/>
  <c r="BQ343" i="5"/>
  <c r="BM343" i="5"/>
  <c r="BS325" i="5"/>
  <c r="BP325" i="5"/>
  <c r="BM325" i="5"/>
  <c r="BS321" i="5"/>
  <c r="BS327" i="5" s="1"/>
  <c r="BR321" i="5"/>
  <c r="BR327" i="5" s="1"/>
  <c r="BQ321" i="5"/>
  <c r="BP321" i="5"/>
  <c r="BP327" i="5" s="1"/>
  <c r="BO321" i="5"/>
  <c r="BO327" i="5" s="1"/>
  <c r="BN321" i="5"/>
  <c r="BM321" i="5"/>
  <c r="BM327" i="5" s="1"/>
  <c r="BL321" i="5"/>
  <c r="BL327" i="5" s="1"/>
  <c r="BK321" i="5"/>
  <c r="BQ349" i="5"/>
  <c r="BN349" i="5"/>
  <c r="BK349" i="5"/>
  <c r="BS347" i="5"/>
  <c r="BR347" i="5"/>
  <c r="BQ347" i="5"/>
  <c r="BP347" i="5"/>
  <c r="BO347" i="5"/>
  <c r="BN347" i="5"/>
  <c r="BM347" i="5"/>
  <c r="BL347" i="5"/>
  <c r="BK347" i="5"/>
  <c r="BR346" i="5"/>
  <c r="BQ346" i="5"/>
  <c r="BP109" i="5"/>
  <c r="BP348" i="5" s="1"/>
  <c r="BO348" i="5"/>
  <c r="BN346" i="5"/>
  <c r="BM109" i="5"/>
  <c r="BM346" i="5" s="1"/>
  <c r="BL348" i="5"/>
  <c r="BK348" i="5"/>
  <c r="BR318" i="5"/>
  <c r="BR326" i="5" s="1"/>
  <c r="BQ318" i="5"/>
  <c r="BP318" i="5"/>
  <c r="BP326" i="5" s="1"/>
  <c r="BO318" i="5"/>
  <c r="BO326" i="5" s="1"/>
  <c r="BN318" i="5"/>
  <c r="BM318" i="5"/>
  <c r="BM326" i="5" s="1"/>
  <c r="BL318" i="5"/>
  <c r="BL326" i="5" s="1"/>
  <c r="BK318" i="5"/>
  <c r="AB256" i="1"/>
  <c r="AA256" i="1"/>
  <c r="X256" i="1"/>
  <c r="W256" i="1"/>
  <c r="AC234" i="1"/>
  <c r="AC236" i="1" s="1"/>
  <c r="AC240" i="1" s="1"/>
  <c r="AB234" i="1"/>
  <c r="AB236" i="1" s="1"/>
  <c r="AB240" i="1" s="1"/>
  <c r="AA234" i="1"/>
  <c r="AA236" i="1" s="1"/>
  <c r="AA240" i="1" s="1"/>
  <c r="Z234" i="1"/>
  <c r="Z236" i="1" s="1"/>
  <c r="Z240" i="1" s="1"/>
  <c r="Y234" i="1"/>
  <c r="Y236" i="1" s="1"/>
  <c r="Y240" i="1" s="1"/>
  <c r="X234" i="1"/>
  <c r="X236" i="1" s="1"/>
  <c r="X240" i="1" s="1"/>
  <c r="W234" i="1"/>
  <c r="W236" i="1" s="1"/>
  <c r="W240" i="1" s="1"/>
  <c r="AC262" i="1"/>
  <c r="AB262" i="1"/>
  <c r="AA262" i="1"/>
  <c r="Z262" i="1"/>
  <c r="Y262" i="1"/>
  <c r="Y232" i="1" s="1"/>
  <c r="X262" i="1"/>
  <c r="W262" i="1"/>
  <c r="AC260" i="1"/>
  <c r="AB260" i="1"/>
  <c r="AA260" i="1"/>
  <c r="Z260" i="1"/>
  <c r="Y260" i="1"/>
  <c r="X260" i="1"/>
  <c r="W260" i="1"/>
  <c r="AC259" i="1"/>
  <c r="AB261" i="1"/>
  <c r="AA261" i="1"/>
  <c r="Z259" i="1"/>
  <c r="Y259" i="1"/>
  <c r="X261" i="1"/>
  <c r="W261" i="1"/>
  <c r="AC231" i="1"/>
  <c r="AB231" i="1"/>
  <c r="AA231" i="1"/>
  <c r="Z231" i="1"/>
  <c r="Y231" i="1"/>
  <c r="Y237" i="1" s="1"/>
  <c r="X231" i="1"/>
  <c r="W231" i="1"/>
  <c r="AB221" i="3"/>
  <c r="X221" i="3"/>
  <c r="AB179" i="3"/>
  <c r="X179" i="3"/>
  <c r="AC222" i="3"/>
  <c r="Y222" i="3"/>
  <c r="AC179" i="3"/>
  <c r="Y179" i="3"/>
  <c r="AC223" i="3"/>
  <c r="AB223" i="3"/>
  <c r="AA223" i="3"/>
  <c r="Z223" i="3"/>
  <c r="Y223" i="3"/>
  <c r="X223" i="3"/>
  <c r="W223" i="3"/>
  <c r="AA179" i="3"/>
  <c r="Z179" i="3"/>
  <c r="W179" i="3"/>
  <c r="AC173" i="3"/>
  <c r="AC225" i="3" s="1"/>
  <c r="AB222" i="3"/>
  <c r="AA222" i="3"/>
  <c r="Z173" i="3"/>
  <c r="Z225" i="3" s="1"/>
  <c r="Y173" i="3"/>
  <c r="Y225" i="3" s="1"/>
  <c r="X222" i="3"/>
  <c r="W222" i="3"/>
  <c r="AC221" i="3"/>
  <c r="AA221" i="3"/>
  <c r="Z221" i="3"/>
  <c r="Y221" i="3"/>
  <c r="W221" i="3"/>
  <c r="AC219" i="3"/>
  <c r="AB219" i="3"/>
  <c r="AA219" i="3"/>
  <c r="Z219" i="3"/>
  <c r="Y219" i="3"/>
  <c r="X219" i="3"/>
  <c r="W219" i="3"/>
  <c r="AC220" i="3"/>
  <c r="AB220" i="3"/>
  <c r="AA220" i="3"/>
  <c r="Z220" i="3"/>
  <c r="Y220" i="3"/>
  <c r="X220" i="3"/>
  <c r="W220" i="3"/>
  <c r="AC177" i="3"/>
  <c r="AB172" i="3"/>
  <c r="AB224" i="3" s="1"/>
  <c r="AA177" i="3"/>
  <c r="Z177" i="3"/>
  <c r="Y177" i="3"/>
  <c r="X172" i="3"/>
  <c r="X224" i="3" s="1"/>
  <c r="W177" i="3"/>
  <c r="AC218" i="3"/>
  <c r="AB218" i="3"/>
  <c r="AA218" i="3"/>
  <c r="Z218" i="3"/>
  <c r="Y218" i="3"/>
  <c r="X218" i="3"/>
  <c r="W218" i="3"/>
  <c r="AC274" i="2"/>
  <c r="AB274" i="2"/>
  <c r="Z274" i="2"/>
  <c r="Y274" i="2"/>
  <c r="X274" i="2"/>
  <c r="W274" i="2"/>
  <c r="AC273" i="2"/>
  <c r="AB273" i="2"/>
  <c r="Z273" i="2"/>
  <c r="Y273" i="2"/>
  <c r="X273" i="2"/>
  <c r="W273" i="2"/>
  <c r="AB179" i="2"/>
  <c r="X179" i="2"/>
  <c r="AC272" i="2"/>
  <c r="AB272" i="2"/>
  <c r="Z272" i="2"/>
  <c r="Y272" i="2"/>
  <c r="X272" i="2"/>
  <c r="W272" i="2"/>
  <c r="AC271" i="2"/>
  <c r="AB271" i="2"/>
  <c r="Z271" i="2"/>
  <c r="Y271" i="2"/>
  <c r="X271" i="2"/>
  <c r="W271" i="2"/>
  <c r="AC270" i="2"/>
  <c r="AB270" i="2"/>
  <c r="Z270" i="2"/>
  <c r="Y270" i="2"/>
  <c r="X270" i="2"/>
  <c r="W270" i="2"/>
  <c r="AC269" i="2"/>
  <c r="AB269" i="2"/>
  <c r="Z269" i="2"/>
  <c r="Y269" i="2"/>
  <c r="X269" i="2"/>
  <c r="W269" i="2"/>
  <c r="AC275" i="2"/>
  <c r="AB275" i="2"/>
  <c r="Z275" i="2"/>
  <c r="Y275" i="2"/>
  <c r="X275" i="2"/>
  <c r="W275" i="2"/>
  <c r="AC268" i="2"/>
  <c r="AB268" i="2"/>
  <c r="Z268" i="2"/>
  <c r="Y268" i="2"/>
  <c r="X268" i="2"/>
  <c r="W283" i="2"/>
  <c r="AC267" i="2"/>
  <c r="AB267" i="2"/>
  <c r="Z267" i="2"/>
  <c r="Y267" i="2"/>
  <c r="X267" i="2"/>
  <c r="W267" i="2"/>
  <c r="AC248" i="2"/>
  <c r="AB255" i="2"/>
  <c r="Z255" i="2"/>
  <c r="Y248" i="2"/>
  <c r="X255" i="2"/>
  <c r="W255" i="2"/>
  <c r="AC247" i="2"/>
  <c r="AB247" i="2"/>
  <c r="Z247" i="2"/>
  <c r="Y247" i="2"/>
  <c r="X247" i="2"/>
  <c r="W247" i="2"/>
  <c r="W179" i="2"/>
  <c r="AC281" i="2"/>
  <c r="AB281" i="2"/>
  <c r="Z281" i="2"/>
  <c r="Y281" i="2"/>
  <c r="X281" i="2"/>
  <c r="W281" i="2"/>
  <c r="AC260" i="2"/>
  <c r="AB260" i="2"/>
  <c r="Z260" i="2"/>
  <c r="Y260" i="2"/>
  <c r="X260" i="2"/>
  <c r="W260" i="2"/>
  <c r="AC280" i="2"/>
  <c r="AB280" i="2"/>
  <c r="Z179" i="2"/>
  <c r="Y280" i="2"/>
  <c r="X280" i="2"/>
  <c r="W280" i="2"/>
  <c r="AC253" i="2"/>
  <c r="AB253" i="2"/>
  <c r="Z174" i="2"/>
  <c r="Z250" i="2" s="1"/>
  <c r="Y253" i="2"/>
  <c r="X253" i="2"/>
  <c r="W246" i="2"/>
  <c r="AC245" i="2"/>
  <c r="AB245" i="2"/>
  <c r="Z245" i="2"/>
  <c r="Y245" i="2"/>
  <c r="X245" i="2"/>
  <c r="W245" i="2"/>
  <c r="AC243" i="2"/>
  <c r="AB243" i="2"/>
  <c r="Z243" i="2"/>
  <c r="Y243" i="2"/>
  <c r="X243" i="2"/>
  <c r="W243" i="2"/>
  <c r="AC279" i="2"/>
  <c r="AB279" i="2"/>
  <c r="Z279" i="2"/>
  <c r="Y279" i="2"/>
  <c r="X279" i="2"/>
  <c r="W279" i="2"/>
  <c r="AC278" i="2"/>
  <c r="AB278" i="2"/>
  <c r="Z278" i="2"/>
  <c r="Y278" i="2"/>
  <c r="X278" i="2"/>
  <c r="W278" i="2"/>
  <c r="AC261" i="2"/>
  <c r="AB261" i="2"/>
  <c r="Z261" i="2"/>
  <c r="Y261" i="2"/>
  <c r="X261" i="2"/>
  <c r="W261" i="2"/>
  <c r="AC256" i="2"/>
  <c r="AB256" i="2"/>
  <c r="Z256" i="2"/>
  <c r="Y256" i="2"/>
  <c r="X256" i="2"/>
  <c r="W256" i="2"/>
  <c r="AC259" i="2"/>
  <c r="AB259" i="2"/>
  <c r="Z259" i="2"/>
  <c r="Y259" i="2"/>
  <c r="X259" i="2"/>
  <c r="W259" i="2"/>
  <c r="AC258" i="2"/>
  <c r="AB258" i="2"/>
  <c r="Z258" i="2"/>
  <c r="Y258" i="2"/>
  <c r="X258" i="2"/>
  <c r="W258" i="2"/>
  <c r="AC244" i="2"/>
  <c r="AB244" i="2"/>
  <c r="Z244" i="2"/>
  <c r="Y244" i="2"/>
  <c r="X244" i="2"/>
  <c r="W244" i="2"/>
  <c r="AC254" i="2"/>
  <c r="AB254" i="2"/>
  <c r="Z254" i="2"/>
  <c r="Y254" i="2"/>
  <c r="X254" i="2"/>
  <c r="W254" i="2"/>
  <c r="AC277" i="2"/>
  <c r="AB277" i="2"/>
  <c r="Z277" i="2"/>
  <c r="Y277" i="2"/>
  <c r="X277" i="2"/>
  <c r="W277" i="2"/>
  <c r="AC173" i="2"/>
  <c r="AC234" i="2" s="1"/>
  <c r="AB276" i="2"/>
  <c r="Z173" i="2"/>
  <c r="Y173" i="2"/>
  <c r="Y234" i="2" s="1"/>
  <c r="X276" i="2"/>
  <c r="W173" i="2"/>
  <c r="AC257" i="2"/>
  <c r="AB257" i="2"/>
  <c r="Z257" i="2"/>
  <c r="Y257" i="2"/>
  <c r="X257" i="2"/>
  <c r="W242" i="2"/>
  <c r="BH337" i="5"/>
  <c r="BJ333" i="5"/>
  <c r="BI333" i="5"/>
  <c r="BH333" i="5"/>
  <c r="BJ317" i="5"/>
  <c r="BI317" i="5"/>
  <c r="BH317" i="5"/>
  <c r="BJ316" i="5"/>
  <c r="BI316" i="5"/>
  <c r="BH316" i="5"/>
  <c r="BJ315" i="5"/>
  <c r="BI315" i="5"/>
  <c r="BH315" i="5"/>
  <c r="BJ314" i="5"/>
  <c r="BI314" i="5"/>
  <c r="BH314" i="5"/>
  <c r="BJ313" i="5"/>
  <c r="BI313" i="5"/>
  <c r="BH313" i="5"/>
  <c r="BJ312" i="5"/>
  <c r="BI312" i="5"/>
  <c r="BH312" i="5"/>
  <c r="BJ311" i="5"/>
  <c r="BI311" i="5"/>
  <c r="BH311" i="5"/>
  <c r="BJ310" i="5"/>
  <c r="BI310" i="5"/>
  <c r="BH310" i="5"/>
  <c r="BJ309" i="5"/>
  <c r="BI309" i="5"/>
  <c r="BH309" i="5"/>
  <c r="BJ308" i="5"/>
  <c r="BI308" i="5"/>
  <c r="BH308" i="5"/>
  <c r="BJ307" i="5"/>
  <c r="BI307" i="5"/>
  <c r="BH307" i="5"/>
  <c r="BJ306" i="5"/>
  <c r="BI306" i="5"/>
  <c r="BH306" i="5"/>
  <c r="BJ305" i="5"/>
  <c r="BI305" i="5"/>
  <c r="BH305" i="5"/>
  <c r="BJ304" i="5"/>
  <c r="BI304" i="5"/>
  <c r="BH304" i="5"/>
  <c r="BJ303" i="5"/>
  <c r="BI303" i="5"/>
  <c r="BH303" i="5"/>
  <c r="BJ302" i="5"/>
  <c r="BI302" i="5"/>
  <c r="BH302" i="5"/>
  <c r="BJ301" i="5"/>
  <c r="BI301" i="5"/>
  <c r="BH301" i="5"/>
  <c r="BJ300" i="5"/>
  <c r="BI300" i="5"/>
  <c r="BH300" i="5"/>
  <c r="BJ299" i="5"/>
  <c r="BI299" i="5"/>
  <c r="BH299" i="5"/>
  <c r="BJ298" i="5"/>
  <c r="BI298" i="5"/>
  <c r="BH298" i="5"/>
  <c r="BJ297" i="5"/>
  <c r="BI297" i="5"/>
  <c r="BH297" i="5"/>
  <c r="BJ296" i="5"/>
  <c r="BI296" i="5"/>
  <c r="BH296" i="5"/>
  <c r="BJ295" i="5"/>
  <c r="BI295" i="5"/>
  <c r="BH295" i="5"/>
  <c r="BJ294" i="5"/>
  <c r="BI294" i="5"/>
  <c r="BH294" i="5"/>
  <c r="BJ293" i="5"/>
  <c r="BI293" i="5"/>
  <c r="BH293" i="5"/>
  <c r="BJ292" i="5"/>
  <c r="BI292" i="5"/>
  <c r="BJ291" i="5"/>
  <c r="BI291" i="5"/>
  <c r="BH291" i="5"/>
  <c r="BJ290" i="5"/>
  <c r="BI290" i="5"/>
  <c r="BH290" i="5"/>
  <c r="BJ289" i="5"/>
  <c r="BI289" i="5"/>
  <c r="BH289" i="5"/>
  <c r="BJ288" i="5"/>
  <c r="BI288" i="5"/>
  <c r="BH288" i="5"/>
  <c r="BJ287" i="5"/>
  <c r="BI287" i="5"/>
  <c r="BH287" i="5"/>
  <c r="BJ286" i="5"/>
  <c r="BI286" i="5"/>
  <c r="BH286" i="5"/>
  <c r="BJ285" i="5"/>
  <c r="BI285" i="5"/>
  <c r="BH285" i="5"/>
  <c r="BJ284" i="5"/>
  <c r="BI284" i="5"/>
  <c r="BH284" i="5"/>
  <c r="BJ283" i="5"/>
  <c r="BI283" i="5"/>
  <c r="BH283" i="5"/>
  <c r="BJ282" i="5"/>
  <c r="BI282" i="5"/>
  <c r="BH282" i="5"/>
  <c r="BJ281" i="5"/>
  <c r="BI281" i="5"/>
  <c r="BH281" i="5"/>
  <c r="BJ280" i="5"/>
  <c r="BI280" i="5"/>
  <c r="BH280" i="5"/>
  <c r="BJ279" i="5"/>
  <c r="BI279" i="5"/>
  <c r="BH279" i="5"/>
  <c r="BJ278" i="5"/>
  <c r="BI278" i="5"/>
  <c r="BH278" i="5"/>
  <c r="BJ277" i="5"/>
  <c r="BI277" i="5"/>
  <c r="BH277" i="5"/>
  <c r="BJ276" i="5"/>
  <c r="BI276" i="5"/>
  <c r="BH276" i="5"/>
  <c r="BJ275" i="5"/>
  <c r="BI275" i="5"/>
  <c r="BH275" i="5"/>
  <c r="BJ274" i="5"/>
  <c r="BI274" i="5"/>
  <c r="BH274" i="5"/>
  <c r="BJ273" i="5"/>
  <c r="BI273" i="5"/>
  <c r="BH273" i="5"/>
  <c r="BJ272" i="5"/>
  <c r="BI272" i="5"/>
  <c r="BH272" i="5"/>
  <c r="BJ271" i="5"/>
  <c r="BI271" i="5"/>
  <c r="BH271" i="5"/>
  <c r="BJ270" i="5"/>
  <c r="BI270" i="5"/>
  <c r="BH270" i="5"/>
  <c r="BJ269" i="5"/>
  <c r="BI269" i="5"/>
  <c r="BH269" i="5"/>
  <c r="BJ268" i="5"/>
  <c r="BI268" i="5"/>
  <c r="BH268" i="5"/>
  <c r="BJ267" i="5"/>
  <c r="BI267" i="5"/>
  <c r="BH267" i="5"/>
  <c r="BJ266" i="5"/>
  <c r="BI266" i="5"/>
  <c r="BH266" i="5"/>
  <c r="BJ265" i="5"/>
  <c r="BI265" i="5"/>
  <c r="BH265" i="5"/>
  <c r="BJ264" i="5"/>
  <c r="BI264" i="5"/>
  <c r="BH264" i="5"/>
  <c r="BJ263" i="5"/>
  <c r="BI263" i="5"/>
  <c r="BH263" i="5"/>
  <c r="BJ262" i="5"/>
  <c r="BI262" i="5"/>
  <c r="BH262" i="5"/>
  <c r="BJ261" i="5"/>
  <c r="BI261" i="5"/>
  <c r="BH261" i="5"/>
  <c r="BJ260" i="5"/>
  <c r="BI260" i="5"/>
  <c r="BH260" i="5"/>
  <c r="BJ259" i="5"/>
  <c r="BI259" i="5"/>
  <c r="BH259" i="5"/>
  <c r="BJ258" i="5"/>
  <c r="BI258" i="5"/>
  <c r="BH258" i="5"/>
  <c r="BJ257" i="5"/>
  <c r="BI257" i="5"/>
  <c r="BH257" i="5"/>
  <c r="BJ256" i="5"/>
  <c r="BI256" i="5"/>
  <c r="BH256" i="5"/>
  <c r="BJ255" i="5"/>
  <c r="BI255" i="5"/>
  <c r="BH255" i="5"/>
  <c r="BJ254" i="5"/>
  <c r="BI254" i="5"/>
  <c r="BH254" i="5"/>
  <c r="BJ253" i="5"/>
  <c r="BI253" i="5"/>
  <c r="BH253" i="5"/>
  <c r="BJ252" i="5"/>
  <c r="BI252" i="5"/>
  <c r="BH252" i="5"/>
  <c r="BJ251" i="5"/>
  <c r="BI251" i="5"/>
  <c r="BH251" i="5"/>
  <c r="BJ250" i="5"/>
  <c r="BI250" i="5"/>
  <c r="BH250" i="5"/>
  <c r="BJ249" i="5"/>
  <c r="BI249" i="5"/>
  <c r="BH249" i="5"/>
  <c r="BJ248" i="5"/>
  <c r="BI248" i="5"/>
  <c r="BH248" i="5"/>
  <c r="BJ247" i="5"/>
  <c r="BI247" i="5"/>
  <c r="BH247" i="5"/>
  <c r="BJ246" i="5"/>
  <c r="BI246" i="5"/>
  <c r="BH246" i="5"/>
  <c r="BJ245" i="5"/>
  <c r="BI245" i="5"/>
  <c r="BH245" i="5"/>
  <c r="BJ244" i="5"/>
  <c r="BI244" i="5"/>
  <c r="BH244" i="5"/>
  <c r="BJ243" i="5"/>
  <c r="BI243" i="5"/>
  <c r="BH243" i="5"/>
  <c r="BJ242" i="5"/>
  <c r="BI242" i="5"/>
  <c r="BH242" i="5"/>
  <c r="BJ241" i="5"/>
  <c r="BI241" i="5"/>
  <c r="BH241" i="5"/>
  <c r="BJ240" i="5"/>
  <c r="BI240" i="5"/>
  <c r="BH240" i="5"/>
  <c r="BJ239" i="5"/>
  <c r="BI239" i="5"/>
  <c r="BH239" i="5"/>
  <c r="BJ238" i="5"/>
  <c r="BI238" i="5"/>
  <c r="BH238" i="5"/>
  <c r="BJ237" i="5"/>
  <c r="BI237" i="5"/>
  <c r="BH237" i="5"/>
  <c r="BJ236" i="5"/>
  <c r="BI236" i="5"/>
  <c r="BH236" i="5"/>
  <c r="BJ235" i="5"/>
  <c r="BI235" i="5"/>
  <c r="BH235" i="5"/>
  <c r="BJ234" i="5"/>
  <c r="BI234" i="5"/>
  <c r="BH234" i="5"/>
  <c r="BJ233" i="5"/>
  <c r="BI233" i="5"/>
  <c r="BH233" i="5"/>
  <c r="BJ232" i="5"/>
  <c r="BI232" i="5"/>
  <c r="BH232" i="5"/>
  <c r="BJ231" i="5"/>
  <c r="BI231" i="5"/>
  <c r="BH231" i="5"/>
  <c r="BJ230" i="5"/>
  <c r="BI230" i="5"/>
  <c r="BH230" i="5"/>
  <c r="BJ229" i="5"/>
  <c r="BI229" i="5"/>
  <c r="BH229" i="5"/>
  <c r="BJ228" i="5"/>
  <c r="BI228" i="5"/>
  <c r="BH228" i="5"/>
  <c r="BJ227" i="5"/>
  <c r="BI227" i="5"/>
  <c r="BH227" i="5"/>
  <c r="BJ226" i="5"/>
  <c r="BI226" i="5"/>
  <c r="BH226" i="5"/>
  <c r="BJ225" i="5"/>
  <c r="BI225" i="5"/>
  <c r="BH225" i="5"/>
  <c r="BJ224" i="5"/>
  <c r="BI224" i="5"/>
  <c r="BH224" i="5"/>
  <c r="BJ223" i="5"/>
  <c r="BI223" i="5"/>
  <c r="BH223" i="5"/>
  <c r="BJ222" i="5"/>
  <c r="BI222" i="5"/>
  <c r="BH222" i="5"/>
  <c r="BJ221" i="5"/>
  <c r="BI221" i="5"/>
  <c r="BH221" i="5"/>
  <c r="BJ220" i="5"/>
  <c r="BI220" i="5"/>
  <c r="BH220" i="5"/>
  <c r="BJ219" i="5"/>
  <c r="BI219" i="5"/>
  <c r="BH219" i="5"/>
  <c r="BJ218" i="5"/>
  <c r="BI218" i="5"/>
  <c r="BH218" i="5"/>
  <c r="BJ217" i="5"/>
  <c r="BI217" i="5"/>
  <c r="BH217" i="5"/>
  <c r="BJ216" i="5"/>
  <c r="BI216" i="5"/>
  <c r="BH216" i="5"/>
  <c r="BJ215" i="5"/>
  <c r="BI215" i="5"/>
  <c r="BH215" i="5"/>
  <c r="BJ214" i="5"/>
  <c r="BI214" i="5"/>
  <c r="BH214" i="5"/>
  <c r="BJ213" i="5"/>
  <c r="BI213" i="5"/>
  <c r="BH213" i="5"/>
  <c r="BJ212" i="5"/>
  <c r="BI212" i="5"/>
  <c r="BH212" i="5"/>
  <c r="BJ211" i="5"/>
  <c r="BI211" i="5"/>
  <c r="BH211" i="5"/>
  <c r="BJ210" i="5"/>
  <c r="BI210" i="5"/>
  <c r="BH210" i="5"/>
  <c r="BJ209" i="5"/>
  <c r="BI209" i="5"/>
  <c r="BH209" i="5"/>
  <c r="BJ208" i="5"/>
  <c r="BI208" i="5"/>
  <c r="BH208" i="5"/>
  <c r="BJ207" i="5"/>
  <c r="BI207" i="5"/>
  <c r="BH207" i="5"/>
  <c r="BJ206" i="5"/>
  <c r="BI206" i="5"/>
  <c r="BH206" i="5"/>
  <c r="BJ205" i="5"/>
  <c r="BI205" i="5"/>
  <c r="BH205" i="5"/>
  <c r="BJ204" i="5"/>
  <c r="BI204" i="5"/>
  <c r="BH204" i="5"/>
  <c r="BJ203" i="5"/>
  <c r="BI203" i="5"/>
  <c r="BH203" i="5"/>
  <c r="BJ202" i="5"/>
  <c r="BI202" i="5"/>
  <c r="BH202" i="5"/>
  <c r="BJ201" i="5"/>
  <c r="BI201" i="5"/>
  <c r="BH201" i="5"/>
  <c r="BJ200" i="5"/>
  <c r="BI200" i="5"/>
  <c r="BH200" i="5"/>
  <c r="BJ199" i="5"/>
  <c r="BI199" i="5"/>
  <c r="BH199" i="5"/>
  <c r="BJ198" i="5"/>
  <c r="BI198" i="5"/>
  <c r="BH198" i="5"/>
  <c r="BJ197" i="5"/>
  <c r="BI197" i="5"/>
  <c r="BH197" i="5"/>
  <c r="BJ196" i="5"/>
  <c r="BI196" i="5"/>
  <c r="BH196" i="5"/>
  <c r="BJ195" i="5"/>
  <c r="BI195" i="5"/>
  <c r="BH195" i="5"/>
  <c r="BJ194" i="5"/>
  <c r="BI194" i="5"/>
  <c r="BH194" i="5"/>
  <c r="BJ193" i="5"/>
  <c r="BI193" i="5"/>
  <c r="BH193" i="5"/>
  <c r="BJ192" i="5"/>
  <c r="BI192" i="5"/>
  <c r="BH192" i="5"/>
  <c r="BJ191" i="5"/>
  <c r="BI191" i="5"/>
  <c r="BH191" i="5"/>
  <c r="BJ190" i="5"/>
  <c r="BI190" i="5"/>
  <c r="BH190" i="5"/>
  <c r="BJ189" i="5"/>
  <c r="BI189" i="5"/>
  <c r="BH189" i="5"/>
  <c r="BJ188" i="5"/>
  <c r="BI188" i="5"/>
  <c r="BH188" i="5"/>
  <c r="BJ187" i="5"/>
  <c r="BI187" i="5"/>
  <c r="BH187" i="5"/>
  <c r="BJ186" i="5"/>
  <c r="BI186" i="5"/>
  <c r="BH186" i="5"/>
  <c r="BJ185" i="5"/>
  <c r="BI185" i="5"/>
  <c r="BH185" i="5"/>
  <c r="BJ184" i="5"/>
  <c r="BI184" i="5"/>
  <c r="BH184" i="5"/>
  <c r="BJ183" i="5"/>
  <c r="BI183" i="5"/>
  <c r="BH183" i="5"/>
  <c r="BJ182" i="5"/>
  <c r="BI182" i="5"/>
  <c r="BH182" i="5"/>
  <c r="BJ181" i="5"/>
  <c r="BI181" i="5"/>
  <c r="BH181" i="5"/>
  <c r="BJ180" i="5"/>
  <c r="BI180" i="5"/>
  <c r="BH180" i="5"/>
  <c r="BJ179" i="5"/>
  <c r="BI179" i="5"/>
  <c r="BH179" i="5"/>
  <c r="BJ178" i="5"/>
  <c r="BI178" i="5"/>
  <c r="BH178" i="5"/>
  <c r="BJ177" i="5"/>
  <c r="BI177" i="5"/>
  <c r="BH177" i="5"/>
  <c r="BJ176" i="5"/>
  <c r="BI176" i="5"/>
  <c r="BH176" i="5"/>
  <c r="BJ175" i="5"/>
  <c r="BI175" i="5"/>
  <c r="BH175" i="5"/>
  <c r="BJ174" i="5"/>
  <c r="BI174" i="5"/>
  <c r="BH174" i="5"/>
  <c r="BJ173" i="5"/>
  <c r="BI173" i="5"/>
  <c r="BH173" i="5"/>
  <c r="BJ172" i="5"/>
  <c r="BI172" i="5"/>
  <c r="BH172" i="5"/>
  <c r="BJ171" i="5"/>
  <c r="BI171" i="5"/>
  <c r="BH171" i="5"/>
  <c r="BJ170" i="5"/>
  <c r="BI170" i="5"/>
  <c r="BH170" i="5"/>
  <c r="BJ169" i="5"/>
  <c r="BI169" i="5"/>
  <c r="BH169" i="5"/>
  <c r="BJ168" i="5"/>
  <c r="BI168" i="5"/>
  <c r="BH168" i="5"/>
  <c r="BJ167" i="5"/>
  <c r="BI167" i="5"/>
  <c r="BH167" i="5"/>
  <c r="BJ166" i="5"/>
  <c r="BI166" i="5"/>
  <c r="BH166" i="5"/>
  <c r="BJ165" i="5"/>
  <c r="BI165" i="5"/>
  <c r="BH165" i="5"/>
  <c r="BJ164" i="5"/>
  <c r="BI164" i="5"/>
  <c r="BH164" i="5"/>
  <c r="BJ163" i="5"/>
  <c r="BI163" i="5"/>
  <c r="BH163" i="5"/>
  <c r="BJ162" i="5"/>
  <c r="BI162" i="5"/>
  <c r="BH162" i="5"/>
  <c r="BJ161" i="5"/>
  <c r="BI161" i="5"/>
  <c r="BH161" i="5"/>
  <c r="BJ160" i="5"/>
  <c r="BI160" i="5"/>
  <c r="BH160" i="5"/>
  <c r="BJ159" i="5"/>
  <c r="BI159" i="5"/>
  <c r="BH159" i="5"/>
  <c r="BJ158" i="5"/>
  <c r="BI158" i="5"/>
  <c r="BH158" i="5"/>
  <c r="BJ157" i="5"/>
  <c r="BI157" i="5"/>
  <c r="BH157" i="5"/>
  <c r="BJ156" i="5"/>
  <c r="BI156" i="5"/>
  <c r="BH156" i="5"/>
  <c r="BJ155" i="5"/>
  <c r="BI155" i="5"/>
  <c r="BH155" i="5"/>
  <c r="BJ154" i="5"/>
  <c r="BI154" i="5"/>
  <c r="BH154" i="5"/>
  <c r="BJ153" i="5"/>
  <c r="BI153" i="5"/>
  <c r="BH153" i="5"/>
  <c r="BJ152" i="5"/>
  <c r="BI152" i="5"/>
  <c r="BH152" i="5"/>
  <c r="BJ151" i="5"/>
  <c r="BI151" i="5"/>
  <c r="BH151" i="5"/>
  <c r="BJ150" i="5"/>
  <c r="BI150" i="5"/>
  <c r="BH150" i="5"/>
  <c r="BJ149" i="5"/>
  <c r="BI149" i="5"/>
  <c r="BH149" i="5"/>
  <c r="BJ148" i="5"/>
  <c r="BI148" i="5"/>
  <c r="BH148" i="5"/>
  <c r="BJ147" i="5"/>
  <c r="BI147" i="5"/>
  <c r="BH147" i="5"/>
  <c r="BJ146" i="5"/>
  <c r="BI146" i="5"/>
  <c r="BH146" i="5"/>
  <c r="BJ145" i="5"/>
  <c r="BI145" i="5"/>
  <c r="BH145" i="5"/>
  <c r="BJ144" i="5"/>
  <c r="BI144" i="5"/>
  <c r="BH144" i="5"/>
  <c r="BJ143" i="5"/>
  <c r="BI143" i="5"/>
  <c r="BH143" i="5"/>
  <c r="BJ142" i="5"/>
  <c r="BI142" i="5"/>
  <c r="BH142" i="5"/>
  <c r="BJ141" i="5"/>
  <c r="BI141" i="5"/>
  <c r="BH141" i="5"/>
  <c r="BJ140" i="5"/>
  <c r="BI140" i="5"/>
  <c r="BH140" i="5"/>
  <c r="BJ139" i="5"/>
  <c r="BI139" i="5"/>
  <c r="BH139" i="5"/>
  <c r="BJ138" i="5"/>
  <c r="BI138" i="5"/>
  <c r="BH138" i="5"/>
  <c r="BJ137" i="5"/>
  <c r="BI137" i="5"/>
  <c r="BH137" i="5"/>
  <c r="BJ136" i="5"/>
  <c r="BI136" i="5"/>
  <c r="BH136" i="5"/>
  <c r="BJ135" i="5"/>
  <c r="BI135" i="5"/>
  <c r="BH135" i="5"/>
  <c r="BJ134" i="5"/>
  <c r="BI134" i="5"/>
  <c r="BH134" i="5"/>
  <c r="BJ133" i="5"/>
  <c r="BI133" i="5"/>
  <c r="BH133" i="5"/>
  <c r="BJ132" i="5"/>
  <c r="BI132" i="5"/>
  <c r="BH132" i="5"/>
  <c r="BJ131" i="5"/>
  <c r="BI131" i="5"/>
  <c r="BH131" i="5"/>
  <c r="BJ130" i="5"/>
  <c r="BI130" i="5"/>
  <c r="BH130" i="5"/>
  <c r="BJ129" i="5"/>
  <c r="BI129" i="5"/>
  <c r="BH129" i="5"/>
  <c r="BJ128" i="5"/>
  <c r="BI128" i="5"/>
  <c r="BH128" i="5"/>
  <c r="BJ127" i="5"/>
  <c r="BI127" i="5"/>
  <c r="BH127" i="5"/>
  <c r="BJ126" i="5"/>
  <c r="BI126" i="5"/>
  <c r="BH126" i="5"/>
  <c r="BJ125" i="5"/>
  <c r="BI125" i="5"/>
  <c r="BH125" i="5"/>
  <c r="BJ124" i="5"/>
  <c r="BI124" i="5"/>
  <c r="BH124" i="5"/>
  <c r="BJ123" i="5"/>
  <c r="BI123" i="5"/>
  <c r="BH123" i="5"/>
  <c r="BJ122" i="5"/>
  <c r="BI122" i="5"/>
  <c r="BH122" i="5"/>
  <c r="BJ121" i="5"/>
  <c r="BI121" i="5"/>
  <c r="BH121" i="5"/>
  <c r="BJ120" i="5"/>
  <c r="BI120" i="5"/>
  <c r="BH120" i="5"/>
  <c r="BJ119" i="5"/>
  <c r="BI119" i="5"/>
  <c r="BH119" i="5"/>
  <c r="BJ118" i="5"/>
  <c r="BI118" i="5"/>
  <c r="BH118" i="5"/>
  <c r="BJ117" i="5"/>
  <c r="BI117" i="5"/>
  <c r="BH117" i="5"/>
  <c r="BJ116" i="5"/>
  <c r="BI116" i="5"/>
  <c r="BH116" i="5"/>
  <c r="BJ115" i="5"/>
  <c r="BI115" i="5"/>
  <c r="BH115" i="5"/>
  <c r="BJ114" i="5"/>
  <c r="BI114" i="5"/>
  <c r="BH114" i="5"/>
  <c r="BJ113" i="5"/>
  <c r="BI113" i="5"/>
  <c r="BH113" i="5"/>
  <c r="BJ112" i="5"/>
  <c r="BI112" i="5"/>
  <c r="BH112" i="5"/>
  <c r="BH111" i="5"/>
  <c r="BJ110" i="5"/>
  <c r="BI110" i="5"/>
  <c r="BH110" i="5"/>
  <c r="BI109" i="5"/>
  <c r="BH109" i="5"/>
  <c r="BJ108" i="5"/>
  <c r="BI108" i="5"/>
  <c r="BH108" i="5"/>
  <c r="BJ107" i="5"/>
  <c r="BI107" i="5"/>
  <c r="BJ106" i="5"/>
  <c r="BI106" i="5"/>
  <c r="BH106" i="5"/>
  <c r="BJ105" i="5"/>
  <c r="BI105" i="5"/>
  <c r="BH105" i="5"/>
  <c r="BJ104" i="5"/>
  <c r="BI104" i="5"/>
  <c r="BH104" i="5"/>
  <c r="BJ103" i="5"/>
  <c r="BI103" i="5"/>
  <c r="BH103" i="5"/>
  <c r="BJ102" i="5"/>
  <c r="BI102" i="5"/>
  <c r="BH102" i="5"/>
  <c r="BJ101" i="5"/>
  <c r="BI101" i="5"/>
  <c r="BH101" i="5"/>
  <c r="BJ100" i="5"/>
  <c r="BI100" i="5"/>
  <c r="BH100" i="5"/>
  <c r="BJ99" i="5"/>
  <c r="BI99" i="5"/>
  <c r="BH99" i="5"/>
  <c r="BJ98" i="5"/>
  <c r="BI98" i="5"/>
  <c r="BH98" i="5"/>
  <c r="BJ97" i="5"/>
  <c r="BI97" i="5"/>
  <c r="BH97" i="5"/>
  <c r="BJ96" i="5"/>
  <c r="BI96" i="5"/>
  <c r="BH96" i="5"/>
  <c r="BJ95" i="5"/>
  <c r="BI95" i="5"/>
  <c r="BH95" i="5"/>
  <c r="BJ94" i="5"/>
  <c r="BI94" i="5"/>
  <c r="BH94" i="5"/>
  <c r="BJ93" i="5"/>
  <c r="BI93" i="5"/>
  <c r="BH93" i="5"/>
  <c r="BJ92" i="5"/>
  <c r="BI92" i="5"/>
  <c r="BH92" i="5"/>
  <c r="BJ91" i="5"/>
  <c r="BI91" i="5"/>
  <c r="BH91" i="5"/>
  <c r="BJ90" i="5"/>
  <c r="BI90" i="5"/>
  <c r="BH90" i="5"/>
  <c r="BJ89" i="5"/>
  <c r="BI89" i="5"/>
  <c r="BH89" i="5"/>
  <c r="BJ88" i="5"/>
  <c r="BI88" i="5"/>
  <c r="BH88" i="5"/>
  <c r="BJ87" i="5"/>
  <c r="BI87" i="5"/>
  <c r="BH87" i="5"/>
  <c r="BJ86" i="5"/>
  <c r="BI86" i="5"/>
  <c r="BH86" i="5"/>
  <c r="BJ85" i="5"/>
  <c r="BI85" i="5"/>
  <c r="BH85" i="5"/>
  <c r="BJ84" i="5"/>
  <c r="BI84" i="5"/>
  <c r="BH84" i="5"/>
  <c r="BJ83" i="5"/>
  <c r="BI83" i="5"/>
  <c r="BH83" i="5"/>
  <c r="BJ82" i="5"/>
  <c r="BI82" i="5"/>
  <c r="BH82" i="5"/>
  <c r="BJ81" i="5"/>
  <c r="BI81" i="5"/>
  <c r="BH81" i="5"/>
  <c r="BJ80" i="5"/>
  <c r="BI80" i="5"/>
  <c r="BH80" i="5"/>
  <c r="BJ79" i="5"/>
  <c r="BI79" i="5"/>
  <c r="BH79" i="5"/>
  <c r="BJ78" i="5"/>
  <c r="BI78" i="5"/>
  <c r="BH78" i="5"/>
  <c r="BJ77" i="5"/>
  <c r="BI77" i="5"/>
  <c r="BH77" i="5"/>
  <c r="BJ76" i="5"/>
  <c r="BI76" i="5"/>
  <c r="BH76" i="5"/>
  <c r="BJ75" i="5"/>
  <c r="BI75" i="5"/>
  <c r="BH75" i="5"/>
  <c r="BJ74" i="5"/>
  <c r="BI74" i="5"/>
  <c r="BH74" i="5"/>
  <c r="BJ73" i="5"/>
  <c r="BI73" i="5"/>
  <c r="BH73" i="5"/>
  <c r="BJ72" i="5"/>
  <c r="BI72" i="5"/>
  <c r="BH72" i="5"/>
  <c r="BJ71" i="5"/>
  <c r="BI71" i="5"/>
  <c r="BH71" i="5"/>
  <c r="BJ70" i="5"/>
  <c r="BI70" i="5"/>
  <c r="BH70" i="5"/>
  <c r="BJ69" i="5"/>
  <c r="BI69" i="5"/>
  <c r="BH69" i="5"/>
  <c r="BJ68" i="5"/>
  <c r="BI68" i="5"/>
  <c r="BH68" i="5"/>
  <c r="BJ67" i="5"/>
  <c r="BI67" i="5"/>
  <c r="BH67" i="5"/>
  <c r="BJ66" i="5"/>
  <c r="BI66" i="5"/>
  <c r="BH66" i="5"/>
  <c r="BJ65" i="5"/>
  <c r="BI65" i="5"/>
  <c r="BH65" i="5"/>
  <c r="BJ64" i="5"/>
  <c r="BI64" i="5"/>
  <c r="BH64" i="5"/>
  <c r="BJ63" i="5"/>
  <c r="BI63" i="5"/>
  <c r="BH63" i="5"/>
  <c r="BJ62" i="5"/>
  <c r="BI62" i="5"/>
  <c r="BH62" i="5"/>
  <c r="BJ61" i="5"/>
  <c r="BI61" i="5"/>
  <c r="BH61" i="5"/>
  <c r="BJ60" i="5"/>
  <c r="BI60" i="5"/>
  <c r="BH60" i="5"/>
  <c r="BJ59" i="5"/>
  <c r="BI59" i="5"/>
  <c r="BH59" i="5"/>
  <c r="BJ58" i="5"/>
  <c r="BI58" i="5"/>
  <c r="BH58" i="5"/>
  <c r="BJ57" i="5"/>
  <c r="BI57" i="5"/>
  <c r="BH57" i="5"/>
  <c r="BJ56" i="5"/>
  <c r="BI56" i="5"/>
  <c r="BH56" i="5"/>
  <c r="BJ55" i="5"/>
  <c r="BI55" i="5"/>
  <c r="BH55" i="5"/>
  <c r="BJ54" i="5"/>
  <c r="BI54" i="5"/>
  <c r="BH54" i="5"/>
  <c r="BJ53" i="5"/>
  <c r="BI53" i="5"/>
  <c r="BH53" i="5"/>
  <c r="BJ52" i="5"/>
  <c r="BI52" i="5"/>
  <c r="BH52" i="5"/>
  <c r="BJ51" i="5"/>
  <c r="BI51" i="5"/>
  <c r="BH51" i="5"/>
  <c r="BJ50" i="5"/>
  <c r="BI50" i="5"/>
  <c r="BH50" i="5"/>
  <c r="BJ49" i="5"/>
  <c r="BI49" i="5"/>
  <c r="BH49" i="5"/>
  <c r="BJ48" i="5"/>
  <c r="BI48" i="5"/>
  <c r="BH48" i="5"/>
  <c r="BJ47" i="5"/>
  <c r="BI47" i="5"/>
  <c r="BH47" i="5"/>
  <c r="BJ46" i="5"/>
  <c r="BI46" i="5"/>
  <c r="BH46" i="5"/>
  <c r="BJ45" i="5"/>
  <c r="BI45" i="5"/>
  <c r="BH45" i="5"/>
  <c r="BJ44" i="5"/>
  <c r="BI44" i="5"/>
  <c r="BH44" i="5"/>
  <c r="BJ43" i="5"/>
  <c r="BI43" i="5"/>
  <c r="BH43" i="5"/>
  <c r="BJ42" i="5"/>
  <c r="BI42" i="5"/>
  <c r="BH42" i="5"/>
  <c r="BJ41" i="5"/>
  <c r="BI41" i="5"/>
  <c r="BH41" i="5"/>
  <c r="BJ40" i="5"/>
  <c r="BI40" i="5"/>
  <c r="BH40" i="5"/>
  <c r="BJ39" i="5"/>
  <c r="BI39" i="5"/>
  <c r="BH39" i="5"/>
  <c r="BJ38" i="5"/>
  <c r="BI38" i="5"/>
  <c r="BH38" i="5"/>
  <c r="BJ37" i="5"/>
  <c r="BI37" i="5"/>
  <c r="BH37" i="5"/>
  <c r="BJ36" i="5"/>
  <c r="BI36" i="5"/>
  <c r="BH36" i="5"/>
  <c r="BJ35" i="5"/>
  <c r="BI35" i="5"/>
  <c r="BH35" i="5"/>
  <c r="BJ34" i="5"/>
  <c r="BI34" i="5"/>
  <c r="BH34" i="5"/>
  <c r="BJ33" i="5"/>
  <c r="BI33" i="5"/>
  <c r="BH33" i="5"/>
  <c r="BJ32" i="5"/>
  <c r="BI32" i="5"/>
  <c r="BH32" i="5"/>
  <c r="BJ31" i="5"/>
  <c r="BI31" i="5"/>
  <c r="BH31" i="5"/>
  <c r="BJ30" i="5"/>
  <c r="BI30" i="5"/>
  <c r="BH30" i="5"/>
  <c r="BJ29" i="5"/>
  <c r="BI29" i="5"/>
  <c r="BH29" i="5"/>
  <c r="BJ28" i="5"/>
  <c r="BI28" i="5"/>
  <c r="BH28" i="5"/>
  <c r="BJ27" i="5"/>
  <c r="BI27" i="5"/>
  <c r="BH27" i="5"/>
  <c r="BJ26" i="5"/>
  <c r="BI26" i="5"/>
  <c r="BH26" i="5"/>
  <c r="BJ25" i="5"/>
  <c r="BI25" i="5"/>
  <c r="BH25" i="5"/>
  <c r="BJ24" i="5"/>
  <c r="BI24" i="5"/>
  <c r="BH24" i="5"/>
  <c r="BJ23" i="5"/>
  <c r="BI23" i="5"/>
  <c r="BH23" i="5"/>
  <c r="BJ22" i="5"/>
  <c r="BI22" i="5"/>
  <c r="BH22" i="5"/>
  <c r="BJ21" i="5"/>
  <c r="BI21" i="5"/>
  <c r="BH21" i="5"/>
  <c r="BJ20" i="5"/>
  <c r="BI20" i="5"/>
  <c r="BH20" i="5"/>
  <c r="BJ19" i="5"/>
  <c r="BI19" i="5"/>
  <c r="BH19" i="5"/>
  <c r="BJ18" i="5"/>
  <c r="BI18" i="5"/>
  <c r="BH18" i="5"/>
  <c r="BJ17" i="5"/>
  <c r="BI17" i="5"/>
  <c r="BH17" i="5"/>
  <c r="BJ16" i="5"/>
  <c r="BI16" i="5"/>
  <c r="BH16" i="5"/>
  <c r="BJ15" i="5"/>
  <c r="BI15" i="5"/>
  <c r="BH15" i="5"/>
  <c r="BJ14" i="5"/>
  <c r="BI14" i="5"/>
  <c r="BH14" i="5"/>
  <c r="BJ13" i="5"/>
  <c r="BI13" i="5"/>
  <c r="BH13" i="5"/>
  <c r="BJ12" i="5"/>
  <c r="BI12" i="5"/>
  <c r="BH12" i="5"/>
  <c r="BJ11" i="5"/>
  <c r="BI11" i="5"/>
  <c r="BH11" i="5"/>
  <c r="BJ10" i="5"/>
  <c r="BI10" i="5"/>
  <c r="BH10" i="5"/>
  <c r="BJ9" i="5"/>
  <c r="BI9" i="5"/>
  <c r="BH9" i="5"/>
  <c r="BJ8" i="5"/>
  <c r="BI8" i="5"/>
  <c r="BH8" i="5"/>
  <c r="BJ7" i="5"/>
  <c r="BI7" i="5"/>
  <c r="BH7" i="5"/>
  <c r="BJ6" i="5"/>
  <c r="BI6" i="5"/>
  <c r="BH6" i="5"/>
  <c r="BJ5" i="5"/>
  <c r="BI5" i="5"/>
  <c r="BH5" i="5"/>
  <c r="V249" i="1"/>
  <c r="V244" i="1"/>
  <c r="V235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215" i="3"/>
  <c r="V214" i="3"/>
  <c r="V213" i="3"/>
  <c r="V210" i="3"/>
  <c r="V209" i="3"/>
  <c r="V208" i="3"/>
  <c r="V205" i="3"/>
  <c r="V204" i="3"/>
  <c r="V203" i="3"/>
  <c r="V202" i="3"/>
  <c r="V199" i="3"/>
  <c r="V198" i="3"/>
  <c r="V195" i="3"/>
  <c r="V194" i="3"/>
  <c r="V193" i="3"/>
  <c r="V190" i="3"/>
  <c r="V189" i="3"/>
  <c r="V186" i="3"/>
  <c r="V185" i="3"/>
  <c r="V184" i="3"/>
  <c r="V171" i="3"/>
  <c r="V170" i="3"/>
  <c r="V169" i="3"/>
  <c r="V168" i="3"/>
  <c r="V167" i="3"/>
  <c r="V166" i="3"/>
  <c r="V165" i="3"/>
  <c r="V164" i="3"/>
  <c r="V163" i="3"/>
  <c r="V162" i="3"/>
  <c r="V161" i="3"/>
  <c r="V160" i="3"/>
  <c r="V159" i="3"/>
  <c r="V158" i="3"/>
  <c r="V157" i="3"/>
  <c r="V156" i="3"/>
  <c r="V155" i="3"/>
  <c r="V154" i="3"/>
  <c r="V153" i="3"/>
  <c r="V152" i="3"/>
  <c r="V151" i="3"/>
  <c r="V150" i="3"/>
  <c r="V149" i="3"/>
  <c r="V148" i="3"/>
  <c r="V147" i="3"/>
  <c r="V146" i="3"/>
  <c r="V145" i="3"/>
  <c r="V144" i="3"/>
  <c r="V143" i="3"/>
  <c r="V142" i="3"/>
  <c r="V141" i="3"/>
  <c r="V140" i="3"/>
  <c r="V139" i="3"/>
  <c r="V138" i="3"/>
  <c r="V137" i="3"/>
  <c r="V136" i="3"/>
  <c r="V135" i="3"/>
  <c r="V134" i="3"/>
  <c r="V133" i="3"/>
  <c r="V132" i="3"/>
  <c r="V131" i="3"/>
  <c r="V130" i="3"/>
  <c r="V129" i="3"/>
  <c r="V128" i="3"/>
  <c r="V127" i="3"/>
  <c r="V126" i="3"/>
  <c r="V125" i="3"/>
  <c r="V124" i="3"/>
  <c r="V123" i="3"/>
  <c r="V122" i="3"/>
  <c r="V121" i="3"/>
  <c r="V120" i="3"/>
  <c r="V119" i="3"/>
  <c r="V118" i="3"/>
  <c r="V117" i="3"/>
  <c r="V116" i="3"/>
  <c r="V115" i="3"/>
  <c r="V114" i="3"/>
  <c r="V113" i="3"/>
  <c r="V112" i="3"/>
  <c r="V111" i="3"/>
  <c r="V110" i="3"/>
  <c r="V109" i="3"/>
  <c r="V108" i="3"/>
  <c r="V107" i="3"/>
  <c r="V106" i="3"/>
  <c r="V105" i="3"/>
  <c r="V104" i="3"/>
  <c r="V103" i="3"/>
  <c r="V102" i="3"/>
  <c r="V101" i="3"/>
  <c r="V100" i="3"/>
  <c r="V99" i="3"/>
  <c r="V98" i="3"/>
  <c r="V97" i="3"/>
  <c r="V96" i="3"/>
  <c r="V95" i="3"/>
  <c r="V94" i="3"/>
  <c r="V93" i="3"/>
  <c r="V92" i="3"/>
  <c r="V91" i="3"/>
  <c r="V90" i="3"/>
  <c r="V89" i="3"/>
  <c r="V88" i="3"/>
  <c r="V87" i="3"/>
  <c r="V86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60" i="3"/>
  <c r="V59" i="3"/>
  <c r="V58" i="3"/>
  <c r="V57" i="3"/>
  <c r="V56" i="3"/>
  <c r="V55" i="3"/>
  <c r="V54" i="3"/>
  <c r="V53" i="3"/>
  <c r="V52" i="3"/>
  <c r="V51" i="3"/>
  <c r="V50" i="3"/>
  <c r="V49" i="3"/>
  <c r="V48" i="3"/>
  <c r="V47" i="3"/>
  <c r="V46" i="3"/>
  <c r="V45" i="3"/>
  <c r="V44" i="3"/>
  <c r="V4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V11" i="3"/>
  <c r="V10" i="3"/>
  <c r="V9" i="3"/>
  <c r="V8" i="3"/>
  <c r="V7" i="3"/>
  <c r="V6" i="3"/>
  <c r="V5" i="3"/>
  <c r="V4" i="3"/>
  <c r="V3" i="3"/>
  <c r="V229" i="2"/>
  <c r="V228" i="2"/>
  <c r="V227" i="2"/>
  <c r="V226" i="2"/>
  <c r="V224" i="2"/>
  <c r="V223" i="2"/>
  <c r="V222" i="2"/>
  <c r="V221" i="2"/>
  <c r="V219" i="2"/>
  <c r="V218" i="2"/>
  <c r="V217" i="2"/>
  <c r="V214" i="2"/>
  <c r="V213" i="2"/>
  <c r="V212" i="2"/>
  <c r="V209" i="2"/>
  <c r="V208" i="2"/>
  <c r="V207" i="2"/>
  <c r="V206" i="2"/>
  <c r="V203" i="2"/>
  <c r="V202" i="2"/>
  <c r="V199" i="2"/>
  <c r="V198" i="2"/>
  <c r="V197" i="2"/>
  <c r="V194" i="2"/>
  <c r="V193" i="2"/>
  <c r="V190" i="2"/>
  <c r="V189" i="2"/>
  <c r="V188" i="2"/>
  <c r="V184" i="2"/>
  <c r="V171" i="2"/>
  <c r="V170" i="2"/>
  <c r="V169" i="2"/>
  <c r="V168" i="2"/>
  <c r="V167" i="2"/>
  <c r="V166" i="2"/>
  <c r="V165" i="2"/>
  <c r="V164" i="2"/>
  <c r="V163" i="2"/>
  <c r="V162" i="2"/>
  <c r="V161" i="2"/>
  <c r="V160" i="2"/>
  <c r="V159" i="2"/>
  <c r="V158" i="2"/>
  <c r="V157" i="2"/>
  <c r="V156" i="2"/>
  <c r="V155" i="2"/>
  <c r="V154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9" i="2"/>
  <c r="V138" i="2"/>
  <c r="V137" i="2"/>
  <c r="V136" i="2"/>
  <c r="V135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20" i="2"/>
  <c r="V119" i="2"/>
  <c r="V118" i="2"/>
  <c r="V117" i="2"/>
  <c r="V116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5" i="2"/>
  <c r="V4" i="2"/>
  <c r="V3" i="2"/>
  <c r="BE337" i="5"/>
  <c r="BG333" i="5"/>
  <c r="BF333" i="5"/>
  <c r="BE333" i="5"/>
  <c r="BG317" i="5"/>
  <c r="BF317" i="5"/>
  <c r="BE317" i="5"/>
  <c r="BG316" i="5"/>
  <c r="BF316" i="5"/>
  <c r="BE316" i="5"/>
  <c r="BG315" i="5"/>
  <c r="BF315" i="5"/>
  <c r="BE315" i="5"/>
  <c r="BG314" i="5"/>
  <c r="BF314" i="5"/>
  <c r="BE314" i="5"/>
  <c r="BG313" i="5"/>
  <c r="BF313" i="5"/>
  <c r="BE313" i="5"/>
  <c r="BG312" i="5"/>
  <c r="BF312" i="5"/>
  <c r="BE312" i="5"/>
  <c r="BG311" i="5"/>
  <c r="BF311" i="5"/>
  <c r="BE311" i="5"/>
  <c r="BG310" i="5"/>
  <c r="BF310" i="5"/>
  <c r="BE310" i="5"/>
  <c r="BG309" i="5"/>
  <c r="BF309" i="5"/>
  <c r="BE309" i="5"/>
  <c r="BG308" i="5"/>
  <c r="BF308" i="5"/>
  <c r="BE308" i="5"/>
  <c r="BG307" i="5"/>
  <c r="BF307" i="5"/>
  <c r="BE307" i="5"/>
  <c r="BG306" i="5"/>
  <c r="BF306" i="5"/>
  <c r="BE306" i="5"/>
  <c r="BG305" i="5"/>
  <c r="BF305" i="5"/>
  <c r="BE305" i="5"/>
  <c r="BG304" i="5"/>
  <c r="BF304" i="5"/>
  <c r="BE304" i="5"/>
  <c r="BG303" i="5"/>
  <c r="BF303" i="5"/>
  <c r="BE303" i="5"/>
  <c r="BG302" i="5"/>
  <c r="BF302" i="5"/>
  <c r="BE302" i="5"/>
  <c r="BG301" i="5"/>
  <c r="BF301" i="5"/>
  <c r="BE301" i="5"/>
  <c r="BG300" i="5"/>
  <c r="BF300" i="5"/>
  <c r="BE300" i="5"/>
  <c r="BG299" i="5"/>
  <c r="BF299" i="5"/>
  <c r="BE299" i="5"/>
  <c r="BG298" i="5"/>
  <c r="BF298" i="5"/>
  <c r="BE298" i="5"/>
  <c r="BG297" i="5"/>
  <c r="BF297" i="5"/>
  <c r="BE297" i="5"/>
  <c r="BG296" i="5"/>
  <c r="BF296" i="5"/>
  <c r="BE296" i="5"/>
  <c r="BG295" i="5"/>
  <c r="BF295" i="5"/>
  <c r="BE295" i="5"/>
  <c r="BG294" i="5"/>
  <c r="BF294" i="5"/>
  <c r="BE294" i="5"/>
  <c r="BG293" i="5"/>
  <c r="BF293" i="5"/>
  <c r="BE293" i="5"/>
  <c r="BG292" i="5"/>
  <c r="BF292" i="5"/>
  <c r="BG291" i="5"/>
  <c r="BF291" i="5"/>
  <c r="BE291" i="5"/>
  <c r="BG290" i="5"/>
  <c r="BF290" i="5"/>
  <c r="BE290" i="5"/>
  <c r="BG289" i="5"/>
  <c r="BF289" i="5"/>
  <c r="BE289" i="5"/>
  <c r="BG288" i="5"/>
  <c r="BF288" i="5"/>
  <c r="BE288" i="5"/>
  <c r="BG287" i="5"/>
  <c r="BF287" i="5"/>
  <c r="BE287" i="5"/>
  <c r="BG286" i="5"/>
  <c r="BF286" i="5"/>
  <c r="BE286" i="5"/>
  <c r="BG285" i="5"/>
  <c r="BF285" i="5"/>
  <c r="BE285" i="5"/>
  <c r="BG284" i="5"/>
  <c r="BF284" i="5"/>
  <c r="BE284" i="5"/>
  <c r="BG283" i="5"/>
  <c r="BF283" i="5"/>
  <c r="BE283" i="5"/>
  <c r="BG282" i="5"/>
  <c r="BF282" i="5"/>
  <c r="BE282" i="5"/>
  <c r="BG281" i="5"/>
  <c r="BF281" i="5"/>
  <c r="BE281" i="5"/>
  <c r="BG280" i="5"/>
  <c r="BF280" i="5"/>
  <c r="BE280" i="5"/>
  <c r="BG279" i="5"/>
  <c r="BF279" i="5"/>
  <c r="BE279" i="5"/>
  <c r="BG278" i="5"/>
  <c r="BF278" i="5"/>
  <c r="BE278" i="5"/>
  <c r="BG277" i="5"/>
  <c r="BF277" i="5"/>
  <c r="BE277" i="5"/>
  <c r="BG276" i="5"/>
  <c r="BF276" i="5"/>
  <c r="BE276" i="5"/>
  <c r="BG275" i="5"/>
  <c r="BF275" i="5"/>
  <c r="BE275" i="5"/>
  <c r="BG274" i="5"/>
  <c r="BF274" i="5"/>
  <c r="BE274" i="5"/>
  <c r="BG273" i="5"/>
  <c r="BF273" i="5"/>
  <c r="BE273" i="5"/>
  <c r="BG272" i="5"/>
  <c r="BF272" i="5"/>
  <c r="BE272" i="5"/>
  <c r="BG271" i="5"/>
  <c r="BF271" i="5"/>
  <c r="BE271" i="5"/>
  <c r="BG270" i="5"/>
  <c r="BF270" i="5"/>
  <c r="BE270" i="5"/>
  <c r="BG269" i="5"/>
  <c r="BF269" i="5"/>
  <c r="BE269" i="5"/>
  <c r="BG268" i="5"/>
  <c r="BF268" i="5"/>
  <c r="BE268" i="5"/>
  <c r="BG267" i="5"/>
  <c r="BF267" i="5"/>
  <c r="BE267" i="5"/>
  <c r="BG266" i="5"/>
  <c r="BF266" i="5"/>
  <c r="BE266" i="5"/>
  <c r="BG265" i="5"/>
  <c r="BF265" i="5"/>
  <c r="BE265" i="5"/>
  <c r="BG264" i="5"/>
  <c r="BF264" i="5"/>
  <c r="BE264" i="5"/>
  <c r="BG263" i="5"/>
  <c r="BF263" i="5"/>
  <c r="BE263" i="5"/>
  <c r="BG262" i="5"/>
  <c r="BF262" i="5"/>
  <c r="BE262" i="5"/>
  <c r="BG261" i="5"/>
  <c r="BF261" i="5"/>
  <c r="BE261" i="5"/>
  <c r="BG260" i="5"/>
  <c r="BF260" i="5"/>
  <c r="BE260" i="5"/>
  <c r="BG259" i="5"/>
  <c r="BF259" i="5"/>
  <c r="BE259" i="5"/>
  <c r="BG258" i="5"/>
  <c r="BF258" i="5"/>
  <c r="BE258" i="5"/>
  <c r="BG257" i="5"/>
  <c r="BF257" i="5"/>
  <c r="BE257" i="5"/>
  <c r="BG256" i="5"/>
  <c r="BF256" i="5"/>
  <c r="BE256" i="5"/>
  <c r="BG255" i="5"/>
  <c r="BF255" i="5"/>
  <c r="BE255" i="5"/>
  <c r="BG254" i="5"/>
  <c r="BF254" i="5"/>
  <c r="BE254" i="5"/>
  <c r="BG253" i="5"/>
  <c r="BF253" i="5"/>
  <c r="BE253" i="5"/>
  <c r="BG252" i="5"/>
  <c r="BF252" i="5"/>
  <c r="BE252" i="5"/>
  <c r="BG251" i="5"/>
  <c r="BF251" i="5"/>
  <c r="BE251" i="5"/>
  <c r="BG250" i="5"/>
  <c r="BF250" i="5"/>
  <c r="BE250" i="5"/>
  <c r="BG249" i="5"/>
  <c r="BF249" i="5"/>
  <c r="BE249" i="5"/>
  <c r="BG248" i="5"/>
  <c r="BF248" i="5"/>
  <c r="BE248" i="5"/>
  <c r="BG247" i="5"/>
  <c r="BF247" i="5"/>
  <c r="BE247" i="5"/>
  <c r="BG246" i="5"/>
  <c r="BF246" i="5"/>
  <c r="BE246" i="5"/>
  <c r="BG245" i="5"/>
  <c r="BF245" i="5"/>
  <c r="BE245" i="5"/>
  <c r="BG244" i="5"/>
  <c r="BF244" i="5"/>
  <c r="BE244" i="5"/>
  <c r="BG243" i="5"/>
  <c r="BF243" i="5"/>
  <c r="BE243" i="5"/>
  <c r="BG242" i="5"/>
  <c r="BF242" i="5"/>
  <c r="BE242" i="5"/>
  <c r="BG241" i="5"/>
  <c r="BF241" i="5"/>
  <c r="BE241" i="5"/>
  <c r="BG240" i="5"/>
  <c r="BF240" i="5"/>
  <c r="BE240" i="5"/>
  <c r="BG239" i="5"/>
  <c r="BF239" i="5"/>
  <c r="BE239" i="5"/>
  <c r="BG238" i="5"/>
  <c r="BF238" i="5"/>
  <c r="BE238" i="5"/>
  <c r="BG237" i="5"/>
  <c r="BF237" i="5"/>
  <c r="BE237" i="5"/>
  <c r="BG236" i="5"/>
  <c r="BF236" i="5"/>
  <c r="BE236" i="5"/>
  <c r="BG235" i="5"/>
  <c r="BF235" i="5"/>
  <c r="BE235" i="5"/>
  <c r="BG234" i="5"/>
  <c r="BF234" i="5"/>
  <c r="BE234" i="5"/>
  <c r="BG233" i="5"/>
  <c r="BF233" i="5"/>
  <c r="BE233" i="5"/>
  <c r="BG232" i="5"/>
  <c r="BF232" i="5"/>
  <c r="BE232" i="5"/>
  <c r="BG231" i="5"/>
  <c r="BF231" i="5"/>
  <c r="BE231" i="5"/>
  <c r="BG230" i="5"/>
  <c r="BF230" i="5"/>
  <c r="BE230" i="5"/>
  <c r="BG229" i="5"/>
  <c r="BF229" i="5"/>
  <c r="BE229" i="5"/>
  <c r="BG228" i="5"/>
  <c r="BF228" i="5"/>
  <c r="BE228" i="5"/>
  <c r="BG227" i="5"/>
  <c r="BF227" i="5"/>
  <c r="BE227" i="5"/>
  <c r="BG226" i="5"/>
  <c r="BF226" i="5"/>
  <c r="BE226" i="5"/>
  <c r="BG225" i="5"/>
  <c r="BF225" i="5"/>
  <c r="BE225" i="5"/>
  <c r="BG224" i="5"/>
  <c r="BF224" i="5"/>
  <c r="BE224" i="5"/>
  <c r="BG223" i="5"/>
  <c r="BF223" i="5"/>
  <c r="BE223" i="5"/>
  <c r="BG222" i="5"/>
  <c r="BF222" i="5"/>
  <c r="BE222" i="5"/>
  <c r="BG221" i="5"/>
  <c r="BF221" i="5"/>
  <c r="BE221" i="5"/>
  <c r="BG220" i="5"/>
  <c r="BF220" i="5"/>
  <c r="BE220" i="5"/>
  <c r="BG219" i="5"/>
  <c r="BF219" i="5"/>
  <c r="BE219" i="5"/>
  <c r="BG218" i="5"/>
  <c r="BF218" i="5"/>
  <c r="BE218" i="5"/>
  <c r="BG217" i="5"/>
  <c r="BF217" i="5"/>
  <c r="BE217" i="5"/>
  <c r="BG216" i="5"/>
  <c r="BF216" i="5"/>
  <c r="BE216" i="5"/>
  <c r="BG215" i="5"/>
  <c r="BF215" i="5"/>
  <c r="BE215" i="5"/>
  <c r="BG214" i="5"/>
  <c r="BF214" i="5"/>
  <c r="BE214" i="5"/>
  <c r="BG213" i="5"/>
  <c r="BF213" i="5"/>
  <c r="BE213" i="5"/>
  <c r="BG212" i="5"/>
  <c r="BF212" i="5"/>
  <c r="BE212" i="5"/>
  <c r="BG211" i="5"/>
  <c r="BF211" i="5"/>
  <c r="BE211" i="5"/>
  <c r="BG210" i="5"/>
  <c r="BF210" i="5"/>
  <c r="BE210" i="5"/>
  <c r="BG209" i="5"/>
  <c r="BF209" i="5"/>
  <c r="BE209" i="5"/>
  <c r="BG208" i="5"/>
  <c r="BF208" i="5"/>
  <c r="BE208" i="5"/>
  <c r="BG207" i="5"/>
  <c r="BF207" i="5"/>
  <c r="BE207" i="5"/>
  <c r="BG206" i="5"/>
  <c r="BF206" i="5"/>
  <c r="BE206" i="5"/>
  <c r="BG205" i="5"/>
  <c r="BF205" i="5"/>
  <c r="BE205" i="5"/>
  <c r="BG204" i="5"/>
  <c r="BF204" i="5"/>
  <c r="BE204" i="5"/>
  <c r="BG203" i="5"/>
  <c r="BF203" i="5"/>
  <c r="BE203" i="5"/>
  <c r="BG202" i="5"/>
  <c r="BF202" i="5"/>
  <c r="BE202" i="5"/>
  <c r="BG201" i="5"/>
  <c r="BF201" i="5"/>
  <c r="BE201" i="5"/>
  <c r="BG200" i="5"/>
  <c r="BF200" i="5"/>
  <c r="BE200" i="5"/>
  <c r="BG199" i="5"/>
  <c r="BF199" i="5"/>
  <c r="BE199" i="5"/>
  <c r="BG198" i="5"/>
  <c r="BF198" i="5"/>
  <c r="BE198" i="5"/>
  <c r="BG197" i="5"/>
  <c r="BF197" i="5"/>
  <c r="BE197" i="5"/>
  <c r="BG196" i="5"/>
  <c r="BF196" i="5"/>
  <c r="BE196" i="5"/>
  <c r="BG195" i="5"/>
  <c r="BF195" i="5"/>
  <c r="BE195" i="5"/>
  <c r="BG194" i="5"/>
  <c r="BF194" i="5"/>
  <c r="BE194" i="5"/>
  <c r="BG193" i="5"/>
  <c r="BF193" i="5"/>
  <c r="BE193" i="5"/>
  <c r="BG192" i="5"/>
  <c r="BF192" i="5"/>
  <c r="BE192" i="5"/>
  <c r="BG191" i="5"/>
  <c r="BF191" i="5"/>
  <c r="BE191" i="5"/>
  <c r="BG190" i="5"/>
  <c r="BF190" i="5"/>
  <c r="BE190" i="5"/>
  <c r="BG189" i="5"/>
  <c r="BF189" i="5"/>
  <c r="BE189" i="5"/>
  <c r="BG188" i="5"/>
  <c r="BF188" i="5"/>
  <c r="BE188" i="5"/>
  <c r="BG187" i="5"/>
  <c r="BF187" i="5"/>
  <c r="BE187" i="5"/>
  <c r="BG186" i="5"/>
  <c r="BF186" i="5"/>
  <c r="BE186" i="5"/>
  <c r="BG185" i="5"/>
  <c r="BF185" i="5"/>
  <c r="BE185" i="5"/>
  <c r="BG184" i="5"/>
  <c r="BF184" i="5"/>
  <c r="BE184" i="5"/>
  <c r="BG183" i="5"/>
  <c r="BF183" i="5"/>
  <c r="BE183" i="5"/>
  <c r="BG182" i="5"/>
  <c r="BF182" i="5"/>
  <c r="BE182" i="5"/>
  <c r="BG181" i="5"/>
  <c r="BF181" i="5"/>
  <c r="BE181" i="5"/>
  <c r="BG180" i="5"/>
  <c r="BF180" i="5"/>
  <c r="BE180" i="5"/>
  <c r="BG179" i="5"/>
  <c r="BF179" i="5"/>
  <c r="BE179" i="5"/>
  <c r="BG178" i="5"/>
  <c r="BF178" i="5"/>
  <c r="BE178" i="5"/>
  <c r="BG177" i="5"/>
  <c r="BF177" i="5"/>
  <c r="BE177" i="5"/>
  <c r="BG176" i="5"/>
  <c r="BF176" i="5"/>
  <c r="BE176" i="5"/>
  <c r="BG175" i="5"/>
  <c r="BF175" i="5"/>
  <c r="BE175" i="5"/>
  <c r="BG174" i="5"/>
  <c r="BF174" i="5"/>
  <c r="BE174" i="5"/>
  <c r="BG173" i="5"/>
  <c r="BF173" i="5"/>
  <c r="BE173" i="5"/>
  <c r="BG172" i="5"/>
  <c r="BF172" i="5"/>
  <c r="BE172" i="5"/>
  <c r="BG171" i="5"/>
  <c r="BF171" i="5"/>
  <c r="BE171" i="5"/>
  <c r="BG170" i="5"/>
  <c r="BF170" i="5"/>
  <c r="BE170" i="5"/>
  <c r="BG169" i="5"/>
  <c r="BF169" i="5"/>
  <c r="BE169" i="5"/>
  <c r="BG168" i="5"/>
  <c r="BF168" i="5"/>
  <c r="BE168" i="5"/>
  <c r="BG167" i="5"/>
  <c r="BF167" i="5"/>
  <c r="BE167" i="5"/>
  <c r="BG166" i="5"/>
  <c r="BF166" i="5"/>
  <c r="BE166" i="5"/>
  <c r="BG165" i="5"/>
  <c r="BF165" i="5"/>
  <c r="BE165" i="5"/>
  <c r="BG164" i="5"/>
  <c r="BF164" i="5"/>
  <c r="BE164" i="5"/>
  <c r="BG163" i="5"/>
  <c r="BF163" i="5"/>
  <c r="BE163" i="5"/>
  <c r="BG162" i="5"/>
  <c r="BF162" i="5"/>
  <c r="BE162" i="5"/>
  <c r="BG161" i="5"/>
  <c r="BF161" i="5"/>
  <c r="BE161" i="5"/>
  <c r="BG160" i="5"/>
  <c r="BF160" i="5"/>
  <c r="BE160" i="5"/>
  <c r="BG159" i="5"/>
  <c r="BF159" i="5"/>
  <c r="BE159" i="5"/>
  <c r="BG158" i="5"/>
  <c r="BF158" i="5"/>
  <c r="BE158" i="5"/>
  <c r="BG157" i="5"/>
  <c r="BF157" i="5"/>
  <c r="BE157" i="5"/>
  <c r="BG156" i="5"/>
  <c r="BF156" i="5"/>
  <c r="BE156" i="5"/>
  <c r="BG155" i="5"/>
  <c r="BF155" i="5"/>
  <c r="BE155" i="5"/>
  <c r="BG154" i="5"/>
  <c r="BF154" i="5"/>
  <c r="BE154" i="5"/>
  <c r="BG153" i="5"/>
  <c r="BF153" i="5"/>
  <c r="BE153" i="5"/>
  <c r="BG152" i="5"/>
  <c r="BF152" i="5"/>
  <c r="BE152" i="5"/>
  <c r="BG151" i="5"/>
  <c r="BF151" i="5"/>
  <c r="BE151" i="5"/>
  <c r="BG150" i="5"/>
  <c r="BF150" i="5"/>
  <c r="BE150" i="5"/>
  <c r="BG149" i="5"/>
  <c r="BF149" i="5"/>
  <c r="BE149" i="5"/>
  <c r="BG148" i="5"/>
  <c r="BF148" i="5"/>
  <c r="BE148" i="5"/>
  <c r="BG147" i="5"/>
  <c r="BF147" i="5"/>
  <c r="BE147" i="5"/>
  <c r="BG146" i="5"/>
  <c r="BF146" i="5"/>
  <c r="BE146" i="5"/>
  <c r="BG145" i="5"/>
  <c r="BF145" i="5"/>
  <c r="BE145" i="5"/>
  <c r="BG144" i="5"/>
  <c r="BF144" i="5"/>
  <c r="BE144" i="5"/>
  <c r="BG143" i="5"/>
  <c r="BF143" i="5"/>
  <c r="BE143" i="5"/>
  <c r="BG142" i="5"/>
  <c r="BF142" i="5"/>
  <c r="BE142" i="5"/>
  <c r="BG141" i="5"/>
  <c r="BF141" i="5"/>
  <c r="BE141" i="5"/>
  <c r="BG140" i="5"/>
  <c r="BF140" i="5"/>
  <c r="BE140" i="5"/>
  <c r="BG139" i="5"/>
  <c r="BF139" i="5"/>
  <c r="BE139" i="5"/>
  <c r="BG138" i="5"/>
  <c r="BF138" i="5"/>
  <c r="BE138" i="5"/>
  <c r="BG137" i="5"/>
  <c r="BF137" i="5"/>
  <c r="BE137" i="5"/>
  <c r="BG136" i="5"/>
  <c r="BF136" i="5"/>
  <c r="BE136" i="5"/>
  <c r="BG135" i="5"/>
  <c r="BF135" i="5"/>
  <c r="BE135" i="5"/>
  <c r="BG134" i="5"/>
  <c r="BF134" i="5"/>
  <c r="BE134" i="5"/>
  <c r="BG133" i="5"/>
  <c r="BF133" i="5"/>
  <c r="BE133" i="5"/>
  <c r="BG132" i="5"/>
  <c r="BF132" i="5"/>
  <c r="BE132" i="5"/>
  <c r="BG131" i="5"/>
  <c r="BF131" i="5"/>
  <c r="BE131" i="5"/>
  <c r="BG130" i="5"/>
  <c r="BF130" i="5"/>
  <c r="BE130" i="5"/>
  <c r="BG129" i="5"/>
  <c r="BF129" i="5"/>
  <c r="BE129" i="5"/>
  <c r="BG128" i="5"/>
  <c r="BF128" i="5"/>
  <c r="BE128" i="5"/>
  <c r="BG127" i="5"/>
  <c r="BF127" i="5"/>
  <c r="BE127" i="5"/>
  <c r="BG126" i="5"/>
  <c r="BF126" i="5"/>
  <c r="BE126" i="5"/>
  <c r="BG125" i="5"/>
  <c r="BF125" i="5"/>
  <c r="BE125" i="5"/>
  <c r="BG124" i="5"/>
  <c r="BF124" i="5"/>
  <c r="BE124" i="5"/>
  <c r="BG123" i="5"/>
  <c r="BF123" i="5"/>
  <c r="BE123" i="5"/>
  <c r="BG122" i="5"/>
  <c r="BF122" i="5"/>
  <c r="BE122" i="5"/>
  <c r="BG121" i="5"/>
  <c r="BF121" i="5"/>
  <c r="BE121" i="5"/>
  <c r="BG120" i="5"/>
  <c r="BF120" i="5"/>
  <c r="BE120" i="5"/>
  <c r="BG119" i="5"/>
  <c r="BF119" i="5"/>
  <c r="BE119" i="5"/>
  <c r="BG118" i="5"/>
  <c r="BF118" i="5"/>
  <c r="BE118" i="5"/>
  <c r="BG117" i="5"/>
  <c r="BF117" i="5"/>
  <c r="BE117" i="5"/>
  <c r="BG116" i="5"/>
  <c r="BF116" i="5"/>
  <c r="BE116" i="5"/>
  <c r="BG115" i="5"/>
  <c r="BF115" i="5"/>
  <c r="BE115" i="5"/>
  <c r="BG114" i="5"/>
  <c r="BF114" i="5"/>
  <c r="BE114" i="5"/>
  <c r="BG113" i="5"/>
  <c r="BF113" i="5"/>
  <c r="BE113" i="5"/>
  <c r="BG112" i="5"/>
  <c r="BF112" i="5"/>
  <c r="BE112" i="5"/>
  <c r="BE111" i="5"/>
  <c r="BE349" i="5" s="1"/>
  <c r="BG110" i="5"/>
  <c r="BF110" i="5"/>
  <c r="BE110" i="5"/>
  <c r="BF109" i="5"/>
  <c r="BF348" i="5" s="1"/>
  <c r="BE109" i="5"/>
  <c r="BG108" i="5"/>
  <c r="BF108" i="5"/>
  <c r="BE108" i="5"/>
  <c r="BG107" i="5"/>
  <c r="BF107" i="5"/>
  <c r="BG106" i="5"/>
  <c r="BF106" i="5"/>
  <c r="BE106" i="5"/>
  <c r="BG105" i="5"/>
  <c r="BF105" i="5"/>
  <c r="BE105" i="5"/>
  <c r="BG104" i="5"/>
  <c r="BF104" i="5"/>
  <c r="BE104" i="5"/>
  <c r="BG103" i="5"/>
  <c r="BF103" i="5"/>
  <c r="BE103" i="5"/>
  <c r="BG102" i="5"/>
  <c r="BF102" i="5"/>
  <c r="BE102" i="5"/>
  <c r="BG101" i="5"/>
  <c r="BF101" i="5"/>
  <c r="BE101" i="5"/>
  <c r="BG100" i="5"/>
  <c r="BF100" i="5"/>
  <c r="BE100" i="5"/>
  <c r="BG99" i="5"/>
  <c r="BF99" i="5"/>
  <c r="BE99" i="5"/>
  <c r="BG98" i="5"/>
  <c r="BF98" i="5"/>
  <c r="BE98" i="5"/>
  <c r="BG97" i="5"/>
  <c r="BF97" i="5"/>
  <c r="BE97" i="5"/>
  <c r="BG96" i="5"/>
  <c r="BF96" i="5"/>
  <c r="BE96" i="5"/>
  <c r="BG95" i="5"/>
  <c r="BF95" i="5"/>
  <c r="BE95" i="5"/>
  <c r="BG94" i="5"/>
  <c r="BF94" i="5"/>
  <c r="BE94" i="5"/>
  <c r="BG93" i="5"/>
  <c r="BF93" i="5"/>
  <c r="BE93" i="5"/>
  <c r="BG92" i="5"/>
  <c r="BF92" i="5"/>
  <c r="BE92" i="5"/>
  <c r="BG91" i="5"/>
  <c r="BF91" i="5"/>
  <c r="BE91" i="5"/>
  <c r="BG90" i="5"/>
  <c r="BF90" i="5"/>
  <c r="BE90" i="5"/>
  <c r="BG89" i="5"/>
  <c r="BF89" i="5"/>
  <c r="BE89" i="5"/>
  <c r="BG88" i="5"/>
  <c r="BF88" i="5"/>
  <c r="BE88" i="5"/>
  <c r="BG87" i="5"/>
  <c r="BF87" i="5"/>
  <c r="BE87" i="5"/>
  <c r="BG86" i="5"/>
  <c r="BF86" i="5"/>
  <c r="BE86" i="5"/>
  <c r="BG85" i="5"/>
  <c r="BF85" i="5"/>
  <c r="BE85" i="5"/>
  <c r="BG84" i="5"/>
  <c r="BF84" i="5"/>
  <c r="BE84" i="5"/>
  <c r="BG83" i="5"/>
  <c r="BF83" i="5"/>
  <c r="BE83" i="5"/>
  <c r="BG82" i="5"/>
  <c r="BF82" i="5"/>
  <c r="BE82" i="5"/>
  <c r="BG81" i="5"/>
  <c r="BF81" i="5"/>
  <c r="BE81" i="5"/>
  <c r="BG80" i="5"/>
  <c r="BF80" i="5"/>
  <c r="BE80" i="5"/>
  <c r="BG79" i="5"/>
  <c r="BF79" i="5"/>
  <c r="BE79" i="5"/>
  <c r="BG78" i="5"/>
  <c r="BF78" i="5"/>
  <c r="BE78" i="5"/>
  <c r="BG77" i="5"/>
  <c r="BF77" i="5"/>
  <c r="BE77" i="5"/>
  <c r="BG76" i="5"/>
  <c r="BF76" i="5"/>
  <c r="BE76" i="5"/>
  <c r="BG75" i="5"/>
  <c r="BF75" i="5"/>
  <c r="BE75" i="5"/>
  <c r="BG74" i="5"/>
  <c r="BF74" i="5"/>
  <c r="BE74" i="5"/>
  <c r="BG73" i="5"/>
  <c r="BF73" i="5"/>
  <c r="BE73" i="5"/>
  <c r="BG72" i="5"/>
  <c r="BF72" i="5"/>
  <c r="BE72" i="5"/>
  <c r="BG71" i="5"/>
  <c r="BF71" i="5"/>
  <c r="BE71" i="5"/>
  <c r="BG70" i="5"/>
  <c r="BF70" i="5"/>
  <c r="BE70" i="5"/>
  <c r="BG69" i="5"/>
  <c r="BF69" i="5"/>
  <c r="BE69" i="5"/>
  <c r="BG68" i="5"/>
  <c r="BF68" i="5"/>
  <c r="BE68" i="5"/>
  <c r="BG67" i="5"/>
  <c r="BF67" i="5"/>
  <c r="BE67" i="5"/>
  <c r="BG66" i="5"/>
  <c r="BF66" i="5"/>
  <c r="BE66" i="5"/>
  <c r="BG65" i="5"/>
  <c r="BF65" i="5"/>
  <c r="BE65" i="5"/>
  <c r="BG64" i="5"/>
  <c r="BF64" i="5"/>
  <c r="BE64" i="5"/>
  <c r="BG63" i="5"/>
  <c r="BF63" i="5"/>
  <c r="BE63" i="5"/>
  <c r="BG62" i="5"/>
  <c r="BF62" i="5"/>
  <c r="BE62" i="5"/>
  <c r="BG61" i="5"/>
  <c r="BF61" i="5"/>
  <c r="BE61" i="5"/>
  <c r="BG60" i="5"/>
  <c r="BF60" i="5"/>
  <c r="BE60" i="5"/>
  <c r="BG59" i="5"/>
  <c r="BF59" i="5"/>
  <c r="BE59" i="5"/>
  <c r="BG58" i="5"/>
  <c r="BF58" i="5"/>
  <c r="BE58" i="5"/>
  <c r="BG57" i="5"/>
  <c r="BF57" i="5"/>
  <c r="BE57" i="5"/>
  <c r="BG56" i="5"/>
  <c r="BF56" i="5"/>
  <c r="BE56" i="5"/>
  <c r="BG55" i="5"/>
  <c r="BF55" i="5"/>
  <c r="BE55" i="5"/>
  <c r="BG54" i="5"/>
  <c r="BF54" i="5"/>
  <c r="BE54" i="5"/>
  <c r="BG53" i="5"/>
  <c r="BF53" i="5"/>
  <c r="BE53" i="5"/>
  <c r="BG52" i="5"/>
  <c r="BF52" i="5"/>
  <c r="BE52" i="5"/>
  <c r="BG51" i="5"/>
  <c r="BF51" i="5"/>
  <c r="BE51" i="5"/>
  <c r="BG50" i="5"/>
  <c r="BF50" i="5"/>
  <c r="BE50" i="5"/>
  <c r="BG49" i="5"/>
  <c r="BF49" i="5"/>
  <c r="BE49" i="5"/>
  <c r="BG48" i="5"/>
  <c r="BF48" i="5"/>
  <c r="BE48" i="5"/>
  <c r="BG47" i="5"/>
  <c r="BF47" i="5"/>
  <c r="BE47" i="5"/>
  <c r="BG46" i="5"/>
  <c r="BF46" i="5"/>
  <c r="BE46" i="5"/>
  <c r="BG45" i="5"/>
  <c r="BF45" i="5"/>
  <c r="BE45" i="5"/>
  <c r="BG44" i="5"/>
  <c r="BF44" i="5"/>
  <c r="BE44" i="5"/>
  <c r="BG43" i="5"/>
  <c r="BF43" i="5"/>
  <c r="BE43" i="5"/>
  <c r="BG42" i="5"/>
  <c r="BF42" i="5"/>
  <c r="BE42" i="5"/>
  <c r="BG41" i="5"/>
  <c r="BF41" i="5"/>
  <c r="BE41" i="5"/>
  <c r="BG40" i="5"/>
  <c r="BF40" i="5"/>
  <c r="BE40" i="5"/>
  <c r="BG39" i="5"/>
  <c r="BF39" i="5"/>
  <c r="BE39" i="5"/>
  <c r="BG38" i="5"/>
  <c r="BF38" i="5"/>
  <c r="BE38" i="5"/>
  <c r="BG37" i="5"/>
  <c r="BF37" i="5"/>
  <c r="BE37" i="5"/>
  <c r="BG36" i="5"/>
  <c r="BF36" i="5"/>
  <c r="BE36" i="5"/>
  <c r="BG35" i="5"/>
  <c r="BF35" i="5"/>
  <c r="BE35" i="5"/>
  <c r="BG34" i="5"/>
  <c r="BF34" i="5"/>
  <c r="BE34" i="5"/>
  <c r="BG33" i="5"/>
  <c r="BF33" i="5"/>
  <c r="BE33" i="5"/>
  <c r="BG32" i="5"/>
  <c r="BF32" i="5"/>
  <c r="BE32" i="5"/>
  <c r="BG31" i="5"/>
  <c r="BF31" i="5"/>
  <c r="BE31" i="5"/>
  <c r="BG30" i="5"/>
  <c r="BF30" i="5"/>
  <c r="BE30" i="5"/>
  <c r="BG29" i="5"/>
  <c r="BF29" i="5"/>
  <c r="BE29" i="5"/>
  <c r="BG28" i="5"/>
  <c r="BF28" i="5"/>
  <c r="BE28" i="5"/>
  <c r="BG27" i="5"/>
  <c r="BF27" i="5"/>
  <c r="BE27" i="5"/>
  <c r="BG26" i="5"/>
  <c r="BF26" i="5"/>
  <c r="BE26" i="5"/>
  <c r="BG25" i="5"/>
  <c r="BF25" i="5"/>
  <c r="BE25" i="5"/>
  <c r="BG24" i="5"/>
  <c r="BF24" i="5"/>
  <c r="BE24" i="5"/>
  <c r="BG23" i="5"/>
  <c r="BF23" i="5"/>
  <c r="BE23" i="5"/>
  <c r="BG22" i="5"/>
  <c r="BF22" i="5"/>
  <c r="BE22" i="5"/>
  <c r="BG21" i="5"/>
  <c r="BF21" i="5"/>
  <c r="BE21" i="5"/>
  <c r="BG20" i="5"/>
  <c r="BF20" i="5"/>
  <c r="BE20" i="5"/>
  <c r="BG19" i="5"/>
  <c r="BF19" i="5"/>
  <c r="BE19" i="5"/>
  <c r="BG18" i="5"/>
  <c r="BF18" i="5"/>
  <c r="BE18" i="5"/>
  <c r="BG17" i="5"/>
  <c r="BF17" i="5"/>
  <c r="BE17" i="5"/>
  <c r="BG16" i="5"/>
  <c r="BF16" i="5"/>
  <c r="BE16" i="5"/>
  <c r="BG15" i="5"/>
  <c r="BF15" i="5"/>
  <c r="BE15" i="5"/>
  <c r="BG14" i="5"/>
  <c r="BF14" i="5"/>
  <c r="BE14" i="5"/>
  <c r="BG13" i="5"/>
  <c r="BF13" i="5"/>
  <c r="BE13" i="5"/>
  <c r="BG12" i="5"/>
  <c r="BF12" i="5"/>
  <c r="BE12" i="5"/>
  <c r="BG11" i="5"/>
  <c r="BF11" i="5"/>
  <c r="BE11" i="5"/>
  <c r="BG10" i="5"/>
  <c r="BF10" i="5"/>
  <c r="BE10" i="5"/>
  <c r="BG9" i="5"/>
  <c r="BF9" i="5"/>
  <c r="BE9" i="5"/>
  <c r="BG8" i="5"/>
  <c r="BF8" i="5"/>
  <c r="BE8" i="5"/>
  <c r="BG7" i="5"/>
  <c r="BF7" i="5"/>
  <c r="BE7" i="5"/>
  <c r="BG6" i="5"/>
  <c r="BF6" i="5"/>
  <c r="BE6" i="5"/>
  <c r="BG5" i="5"/>
  <c r="BF5" i="5"/>
  <c r="BE5" i="5"/>
  <c r="U249" i="1"/>
  <c r="U244" i="1"/>
  <c r="U235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215" i="3"/>
  <c r="U214" i="3"/>
  <c r="U213" i="3"/>
  <c r="U210" i="3"/>
  <c r="U209" i="3"/>
  <c r="U208" i="3"/>
  <c r="U205" i="3"/>
  <c r="U204" i="3"/>
  <c r="U203" i="3"/>
  <c r="U202" i="3"/>
  <c r="U199" i="3"/>
  <c r="U221" i="3" s="1"/>
  <c r="U198" i="3"/>
  <c r="U195" i="3"/>
  <c r="U194" i="3"/>
  <c r="U193" i="3"/>
  <c r="U220" i="3" s="1"/>
  <c r="U190" i="3"/>
  <c r="U189" i="3"/>
  <c r="U186" i="3"/>
  <c r="U185" i="3"/>
  <c r="U218" i="3" s="1"/>
  <c r="U184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172" i="3" s="1"/>
  <c r="U224" i="3" s="1"/>
  <c r="U4" i="3"/>
  <c r="U3" i="3"/>
  <c r="U229" i="2"/>
  <c r="U228" i="2"/>
  <c r="U227" i="2"/>
  <c r="U226" i="2"/>
  <c r="U224" i="2"/>
  <c r="U223" i="2"/>
  <c r="U222" i="2"/>
  <c r="U221" i="2"/>
  <c r="U219" i="2"/>
  <c r="U218" i="2"/>
  <c r="U217" i="2"/>
  <c r="U214" i="2"/>
  <c r="U213" i="2"/>
  <c r="U212" i="2"/>
  <c r="U209" i="2"/>
  <c r="U208" i="2"/>
  <c r="U207" i="2"/>
  <c r="U206" i="2"/>
  <c r="U203" i="2"/>
  <c r="U202" i="2"/>
  <c r="U199" i="2"/>
  <c r="U198" i="2"/>
  <c r="U197" i="2"/>
  <c r="U194" i="2"/>
  <c r="U193" i="2"/>
  <c r="U190" i="2"/>
  <c r="U189" i="2"/>
  <c r="U188" i="2"/>
  <c r="U184" i="2"/>
  <c r="U171" i="2"/>
  <c r="U170" i="2"/>
  <c r="U169" i="2"/>
  <c r="U168" i="2"/>
  <c r="U167" i="2"/>
  <c r="U166" i="2"/>
  <c r="U165" i="2"/>
  <c r="U164" i="2"/>
  <c r="U163" i="2"/>
  <c r="U162" i="2"/>
  <c r="U161" i="2"/>
  <c r="U160" i="2"/>
  <c r="U159" i="2"/>
  <c r="U158" i="2"/>
  <c r="U157" i="2"/>
  <c r="U156" i="2"/>
  <c r="U155" i="2"/>
  <c r="U154" i="2"/>
  <c r="U153" i="2"/>
  <c r="U152" i="2"/>
  <c r="U151" i="2"/>
  <c r="U150" i="2"/>
  <c r="U149" i="2"/>
  <c r="U148" i="2"/>
  <c r="U147" i="2"/>
  <c r="U146" i="2"/>
  <c r="U145" i="2"/>
  <c r="U144" i="2"/>
  <c r="U143" i="2"/>
  <c r="U142" i="2"/>
  <c r="U141" i="2"/>
  <c r="U140" i="2"/>
  <c r="U139" i="2"/>
  <c r="U138" i="2"/>
  <c r="U137" i="2"/>
  <c r="U136" i="2"/>
  <c r="U135" i="2"/>
  <c r="U134" i="2"/>
  <c r="U133" i="2"/>
  <c r="U132" i="2"/>
  <c r="U131" i="2"/>
  <c r="U130" i="2"/>
  <c r="U129" i="2"/>
  <c r="U128" i="2"/>
  <c r="U127" i="2"/>
  <c r="U126" i="2"/>
  <c r="U125" i="2"/>
  <c r="U124" i="2"/>
  <c r="U123" i="2"/>
  <c r="U122" i="2"/>
  <c r="U121" i="2"/>
  <c r="U120" i="2"/>
  <c r="U119" i="2"/>
  <c r="U118" i="2"/>
  <c r="U117" i="2"/>
  <c r="U116" i="2"/>
  <c r="U115" i="2"/>
  <c r="U114" i="2"/>
  <c r="U113" i="2"/>
  <c r="U112" i="2"/>
  <c r="U111" i="2"/>
  <c r="U110" i="2"/>
  <c r="U109" i="2"/>
  <c r="U108" i="2"/>
  <c r="U107" i="2"/>
  <c r="U106" i="2"/>
  <c r="U105" i="2"/>
  <c r="U104" i="2"/>
  <c r="U103" i="2"/>
  <c r="U102" i="2"/>
  <c r="U101" i="2"/>
  <c r="U100" i="2"/>
  <c r="U99" i="2"/>
  <c r="U98" i="2"/>
  <c r="U97" i="2"/>
  <c r="U96" i="2"/>
  <c r="U95" i="2"/>
  <c r="U94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5" i="2"/>
  <c r="U74" i="2"/>
  <c r="U73" i="2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BB337" i="5"/>
  <c r="BD333" i="5"/>
  <c r="BC333" i="5"/>
  <c r="BB333" i="5"/>
  <c r="BD317" i="5"/>
  <c r="BC317" i="5"/>
  <c r="BB317" i="5"/>
  <c r="BD316" i="5"/>
  <c r="BC316" i="5"/>
  <c r="BB316" i="5"/>
  <c r="BD315" i="5"/>
  <c r="BC315" i="5"/>
  <c r="BB315" i="5"/>
  <c r="BD314" i="5"/>
  <c r="BC314" i="5"/>
  <c r="BB314" i="5"/>
  <c r="BD313" i="5"/>
  <c r="BC313" i="5"/>
  <c r="BB313" i="5"/>
  <c r="BD312" i="5"/>
  <c r="BC312" i="5"/>
  <c r="BB312" i="5"/>
  <c r="BD311" i="5"/>
  <c r="BC311" i="5"/>
  <c r="BB311" i="5"/>
  <c r="BD310" i="5"/>
  <c r="BC310" i="5"/>
  <c r="BB310" i="5"/>
  <c r="BD309" i="5"/>
  <c r="BC309" i="5"/>
  <c r="BB309" i="5"/>
  <c r="BD308" i="5"/>
  <c r="BC308" i="5"/>
  <c r="BB308" i="5"/>
  <c r="BD307" i="5"/>
  <c r="BC307" i="5"/>
  <c r="BB307" i="5"/>
  <c r="BD306" i="5"/>
  <c r="BC306" i="5"/>
  <c r="BB306" i="5"/>
  <c r="BD305" i="5"/>
  <c r="BC305" i="5"/>
  <c r="BB305" i="5"/>
  <c r="BD304" i="5"/>
  <c r="BC304" i="5"/>
  <c r="BB304" i="5"/>
  <c r="BD303" i="5"/>
  <c r="BC303" i="5"/>
  <c r="BB303" i="5"/>
  <c r="BD302" i="5"/>
  <c r="BC302" i="5"/>
  <c r="BB302" i="5"/>
  <c r="BD301" i="5"/>
  <c r="BC301" i="5"/>
  <c r="BB301" i="5"/>
  <c r="BD300" i="5"/>
  <c r="BC300" i="5"/>
  <c r="BB300" i="5"/>
  <c r="BD299" i="5"/>
  <c r="BC299" i="5"/>
  <c r="BB299" i="5"/>
  <c r="BD298" i="5"/>
  <c r="BC298" i="5"/>
  <c r="BB298" i="5"/>
  <c r="BD297" i="5"/>
  <c r="BC297" i="5"/>
  <c r="BB297" i="5"/>
  <c r="BD296" i="5"/>
  <c r="BC296" i="5"/>
  <c r="BB296" i="5"/>
  <c r="BD295" i="5"/>
  <c r="BC295" i="5"/>
  <c r="BB295" i="5"/>
  <c r="BD294" i="5"/>
  <c r="BC294" i="5"/>
  <c r="BB294" i="5"/>
  <c r="BD293" i="5"/>
  <c r="BC293" i="5"/>
  <c r="BB293" i="5"/>
  <c r="BD292" i="5"/>
  <c r="BC292" i="5"/>
  <c r="BD291" i="5"/>
  <c r="BC291" i="5"/>
  <c r="BB291" i="5"/>
  <c r="BD290" i="5"/>
  <c r="BC290" i="5"/>
  <c r="BB290" i="5"/>
  <c r="BD289" i="5"/>
  <c r="BC289" i="5"/>
  <c r="BB289" i="5"/>
  <c r="BD288" i="5"/>
  <c r="BC288" i="5"/>
  <c r="BB288" i="5"/>
  <c r="BD287" i="5"/>
  <c r="BC287" i="5"/>
  <c r="BB287" i="5"/>
  <c r="BD286" i="5"/>
  <c r="BC286" i="5"/>
  <c r="BB286" i="5"/>
  <c r="BD285" i="5"/>
  <c r="BC285" i="5"/>
  <c r="BB285" i="5"/>
  <c r="BD284" i="5"/>
  <c r="BC284" i="5"/>
  <c r="BB284" i="5"/>
  <c r="BD283" i="5"/>
  <c r="BC283" i="5"/>
  <c r="BB283" i="5"/>
  <c r="BD282" i="5"/>
  <c r="BC282" i="5"/>
  <c r="BB282" i="5"/>
  <c r="BD281" i="5"/>
  <c r="BC281" i="5"/>
  <c r="BB281" i="5"/>
  <c r="BD280" i="5"/>
  <c r="BC280" i="5"/>
  <c r="BB280" i="5"/>
  <c r="BD279" i="5"/>
  <c r="BC279" i="5"/>
  <c r="BB279" i="5"/>
  <c r="BD278" i="5"/>
  <c r="BC278" i="5"/>
  <c r="BB278" i="5"/>
  <c r="BD277" i="5"/>
  <c r="BC277" i="5"/>
  <c r="BB277" i="5"/>
  <c r="BD276" i="5"/>
  <c r="BC276" i="5"/>
  <c r="BB276" i="5"/>
  <c r="BD275" i="5"/>
  <c r="BC275" i="5"/>
  <c r="BB275" i="5"/>
  <c r="BD274" i="5"/>
  <c r="BC274" i="5"/>
  <c r="BB274" i="5"/>
  <c r="BD273" i="5"/>
  <c r="BC273" i="5"/>
  <c r="BB273" i="5"/>
  <c r="BD272" i="5"/>
  <c r="BC272" i="5"/>
  <c r="BB272" i="5"/>
  <c r="BD271" i="5"/>
  <c r="BC271" i="5"/>
  <c r="BB271" i="5"/>
  <c r="BD270" i="5"/>
  <c r="BC270" i="5"/>
  <c r="BB270" i="5"/>
  <c r="BD269" i="5"/>
  <c r="BC269" i="5"/>
  <c r="BB269" i="5"/>
  <c r="BD268" i="5"/>
  <c r="BC268" i="5"/>
  <c r="BB268" i="5"/>
  <c r="BD267" i="5"/>
  <c r="BC267" i="5"/>
  <c r="BB267" i="5"/>
  <c r="BD266" i="5"/>
  <c r="BC266" i="5"/>
  <c r="BB266" i="5"/>
  <c r="BD265" i="5"/>
  <c r="BC265" i="5"/>
  <c r="BB265" i="5"/>
  <c r="BD264" i="5"/>
  <c r="BC264" i="5"/>
  <c r="BB264" i="5"/>
  <c r="BD263" i="5"/>
  <c r="BC263" i="5"/>
  <c r="BB263" i="5"/>
  <c r="BD262" i="5"/>
  <c r="BC262" i="5"/>
  <c r="BB262" i="5"/>
  <c r="BD261" i="5"/>
  <c r="BC261" i="5"/>
  <c r="BB261" i="5"/>
  <c r="BD260" i="5"/>
  <c r="BC260" i="5"/>
  <c r="BB260" i="5"/>
  <c r="BD259" i="5"/>
  <c r="BC259" i="5"/>
  <c r="BB259" i="5"/>
  <c r="BD258" i="5"/>
  <c r="BC258" i="5"/>
  <c r="BB258" i="5"/>
  <c r="BD257" i="5"/>
  <c r="BC257" i="5"/>
  <c r="BB257" i="5"/>
  <c r="BD256" i="5"/>
  <c r="BC256" i="5"/>
  <c r="BB256" i="5"/>
  <c r="BD255" i="5"/>
  <c r="BC255" i="5"/>
  <c r="BB255" i="5"/>
  <c r="BD254" i="5"/>
  <c r="BC254" i="5"/>
  <c r="BB254" i="5"/>
  <c r="BD253" i="5"/>
  <c r="BC253" i="5"/>
  <c r="BB253" i="5"/>
  <c r="BD252" i="5"/>
  <c r="BC252" i="5"/>
  <c r="BB252" i="5"/>
  <c r="BD251" i="5"/>
  <c r="BC251" i="5"/>
  <c r="BB251" i="5"/>
  <c r="BD250" i="5"/>
  <c r="BC250" i="5"/>
  <c r="BB250" i="5"/>
  <c r="BD249" i="5"/>
  <c r="BC249" i="5"/>
  <c r="BB249" i="5"/>
  <c r="BD248" i="5"/>
  <c r="BC248" i="5"/>
  <c r="BB248" i="5"/>
  <c r="BD247" i="5"/>
  <c r="BC247" i="5"/>
  <c r="BB247" i="5"/>
  <c r="BD246" i="5"/>
  <c r="BC246" i="5"/>
  <c r="BB246" i="5"/>
  <c r="BD245" i="5"/>
  <c r="BC245" i="5"/>
  <c r="BB245" i="5"/>
  <c r="BD244" i="5"/>
  <c r="BC244" i="5"/>
  <c r="BB244" i="5"/>
  <c r="BD243" i="5"/>
  <c r="BC243" i="5"/>
  <c r="BB243" i="5"/>
  <c r="BD242" i="5"/>
  <c r="BC242" i="5"/>
  <c r="BB242" i="5"/>
  <c r="BD241" i="5"/>
  <c r="BC241" i="5"/>
  <c r="BB241" i="5"/>
  <c r="BD240" i="5"/>
  <c r="BC240" i="5"/>
  <c r="BB240" i="5"/>
  <c r="BD239" i="5"/>
  <c r="BC239" i="5"/>
  <c r="BB239" i="5"/>
  <c r="BD238" i="5"/>
  <c r="BC238" i="5"/>
  <c r="BB238" i="5"/>
  <c r="BD237" i="5"/>
  <c r="BC237" i="5"/>
  <c r="BB237" i="5"/>
  <c r="BD236" i="5"/>
  <c r="BC236" i="5"/>
  <c r="BB236" i="5"/>
  <c r="BD235" i="5"/>
  <c r="BC235" i="5"/>
  <c r="BB235" i="5"/>
  <c r="BD234" i="5"/>
  <c r="BC234" i="5"/>
  <c r="BB234" i="5"/>
  <c r="BD233" i="5"/>
  <c r="BC233" i="5"/>
  <c r="BB233" i="5"/>
  <c r="BD232" i="5"/>
  <c r="BC232" i="5"/>
  <c r="BB232" i="5"/>
  <c r="BD231" i="5"/>
  <c r="BC231" i="5"/>
  <c r="BB231" i="5"/>
  <c r="BD230" i="5"/>
  <c r="BC230" i="5"/>
  <c r="BB230" i="5"/>
  <c r="BD229" i="5"/>
  <c r="BC229" i="5"/>
  <c r="BB229" i="5"/>
  <c r="BD228" i="5"/>
  <c r="BC228" i="5"/>
  <c r="BB228" i="5"/>
  <c r="BD227" i="5"/>
  <c r="BC227" i="5"/>
  <c r="BB227" i="5"/>
  <c r="BD226" i="5"/>
  <c r="BC226" i="5"/>
  <c r="BB226" i="5"/>
  <c r="BD225" i="5"/>
  <c r="BC225" i="5"/>
  <c r="BB225" i="5"/>
  <c r="BD224" i="5"/>
  <c r="BC224" i="5"/>
  <c r="BB224" i="5"/>
  <c r="BD223" i="5"/>
  <c r="BC223" i="5"/>
  <c r="BB223" i="5"/>
  <c r="BD222" i="5"/>
  <c r="BC222" i="5"/>
  <c r="BB222" i="5"/>
  <c r="BD221" i="5"/>
  <c r="BC221" i="5"/>
  <c r="BB221" i="5"/>
  <c r="BD220" i="5"/>
  <c r="BC220" i="5"/>
  <c r="BB220" i="5"/>
  <c r="BD219" i="5"/>
  <c r="BC219" i="5"/>
  <c r="BB219" i="5"/>
  <c r="BD218" i="5"/>
  <c r="BC218" i="5"/>
  <c r="BB218" i="5"/>
  <c r="BD217" i="5"/>
  <c r="BC217" i="5"/>
  <c r="BB217" i="5"/>
  <c r="BD216" i="5"/>
  <c r="BC216" i="5"/>
  <c r="BB216" i="5"/>
  <c r="BD215" i="5"/>
  <c r="BC215" i="5"/>
  <c r="BB215" i="5"/>
  <c r="BD214" i="5"/>
  <c r="BC214" i="5"/>
  <c r="BB214" i="5"/>
  <c r="BD213" i="5"/>
  <c r="BC213" i="5"/>
  <c r="BB213" i="5"/>
  <c r="BD212" i="5"/>
  <c r="BC212" i="5"/>
  <c r="BB212" i="5"/>
  <c r="BD211" i="5"/>
  <c r="BC211" i="5"/>
  <c r="BB211" i="5"/>
  <c r="BD210" i="5"/>
  <c r="BC210" i="5"/>
  <c r="BB210" i="5"/>
  <c r="BD209" i="5"/>
  <c r="BC209" i="5"/>
  <c r="BB209" i="5"/>
  <c r="BD208" i="5"/>
  <c r="BC208" i="5"/>
  <c r="BB208" i="5"/>
  <c r="BD207" i="5"/>
  <c r="BC207" i="5"/>
  <c r="BB207" i="5"/>
  <c r="BD206" i="5"/>
  <c r="BC206" i="5"/>
  <c r="BB206" i="5"/>
  <c r="BD205" i="5"/>
  <c r="BC205" i="5"/>
  <c r="BB205" i="5"/>
  <c r="BD204" i="5"/>
  <c r="BC204" i="5"/>
  <c r="BB204" i="5"/>
  <c r="BD203" i="5"/>
  <c r="BC203" i="5"/>
  <c r="BB203" i="5"/>
  <c r="BD202" i="5"/>
  <c r="BC202" i="5"/>
  <c r="BB202" i="5"/>
  <c r="BD201" i="5"/>
  <c r="BC201" i="5"/>
  <c r="BB201" i="5"/>
  <c r="BD200" i="5"/>
  <c r="BC200" i="5"/>
  <c r="BB200" i="5"/>
  <c r="BD199" i="5"/>
  <c r="BC199" i="5"/>
  <c r="BB199" i="5"/>
  <c r="BD198" i="5"/>
  <c r="BC198" i="5"/>
  <c r="BB198" i="5"/>
  <c r="BD197" i="5"/>
  <c r="BC197" i="5"/>
  <c r="BB197" i="5"/>
  <c r="BD196" i="5"/>
  <c r="BC196" i="5"/>
  <c r="BB196" i="5"/>
  <c r="BD195" i="5"/>
  <c r="BC195" i="5"/>
  <c r="BB195" i="5"/>
  <c r="BD194" i="5"/>
  <c r="BC194" i="5"/>
  <c r="BB194" i="5"/>
  <c r="BD193" i="5"/>
  <c r="BC193" i="5"/>
  <c r="BB193" i="5"/>
  <c r="BD192" i="5"/>
  <c r="BC192" i="5"/>
  <c r="BB192" i="5"/>
  <c r="BD191" i="5"/>
  <c r="BC191" i="5"/>
  <c r="BB191" i="5"/>
  <c r="BD190" i="5"/>
  <c r="BC190" i="5"/>
  <c r="BB190" i="5"/>
  <c r="BD189" i="5"/>
  <c r="BC189" i="5"/>
  <c r="BB189" i="5"/>
  <c r="BD188" i="5"/>
  <c r="BC188" i="5"/>
  <c r="BB188" i="5"/>
  <c r="BD187" i="5"/>
  <c r="BC187" i="5"/>
  <c r="BB187" i="5"/>
  <c r="BD186" i="5"/>
  <c r="BC186" i="5"/>
  <c r="BB186" i="5"/>
  <c r="BD185" i="5"/>
  <c r="BC185" i="5"/>
  <c r="BB185" i="5"/>
  <c r="BD184" i="5"/>
  <c r="BC184" i="5"/>
  <c r="BB184" i="5"/>
  <c r="BD183" i="5"/>
  <c r="BC183" i="5"/>
  <c r="BB183" i="5"/>
  <c r="BD182" i="5"/>
  <c r="BC182" i="5"/>
  <c r="BB182" i="5"/>
  <c r="BD181" i="5"/>
  <c r="BC181" i="5"/>
  <c r="BB181" i="5"/>
  <c r="BD180" i="5"/>
  <c r="BC180" i="5"/>
  <c r="BB180" i="5"/>
  <c r="BD179" i="5"/>
  <c r="BC179" i="5"/>
  <c r="BB179" i="5"/>
  <c r="BD178" i="5"/>
  <c r="BC178" i="5"/>
  <c r="BB178" i="5"/>
  <c r="BD177" i="5"/>
  <c r="BC177" i="5"/>
  <c r="BB177" i="5"/>
  <c r="BD176" i="5"/>
  <c r="BC176" i="5"/>
  <c r="BB176" i="5"/>
  <c r="BD175" i="5"/>
  <c r="BC175" i="5"/>
  <c r="BB175" i="5"/>
  <c r="BD174" i="5"/>
  <c r="BC174" i="5"/>
  <c r="BB174" i="5"/>
  <c r="BD173" i="5"/>
  <c r="BC173" i="5"/>
  <c r="BB173" i="5"/>
  <c r="BD172" i="5"/>
  <c r="BC172" i="5"/>
  <c r="BB172" i="5"/>
  <c r="BD171" i="5"/>
  <c r="BC171" i="5"/>
  <c r="BB171" i="5"/>
  <c r="BD170" i="5"/>
  <c r="BC170" i="5"/>
  <c r="BB170" i="5"/>
  <c r="BD169" i="5"/>
  <c r="BC169" i="5"/>
  <c r="BB169" i="5"/>
  <c r="BD168" i="5"/>
  <c r="BC168" i="5"/>
  <c r="BB168" i="5"/>
  <c r="BD167" i="5"/>
  <c r="BC167" i="5"/>
  <c r="BB167" i="5"/>
  <c r="BD166" i="5"/>
  <c r="BC166" i="5"/>
  <c r="BB166" i="5"/>
  <c r="BD165" i="5"/>
  <c r="BC165" i="5"/>
  <c r="BB165" i="5"/>
  <c r="BD164" i="5"/>
  <c r="BC164" i="5"/>
  <c r="BB164" i="5"/>
  <c r="BD163" i="5"/>
  <c r="BC163" i="5"/>
  <c r="BB163" i="5"/>
  <c r="BD162" i="5"/>
  <c r="BC162" i="5"/>
  <c r="BB162" i="5"/>
  <c r="BD161" i="5"/>
  <c r="BC161" i="5"/>
  <c r="BB161" i="5"/>
  <c r="BD160" i="5"/>
  <c r="BC160" i="5"/>
  <c r="BB160" i="5"/>
  <c r="BD159" i="5"/>
  <c r="BC159" i="5"/>
  <c r="BB159" i="5"/>
  <c r="BD158" i="5"/>
  <c r="BC158" i="5"/>
  <c r="BB158" i="5"/>
  <c r="BD157" i="5"/>
  <c r="BC157" i="5"/>
  <c r="BB157" i="5"/>
  <c r="BD156" i="5"/>
  <c r="BC156" i="5"/>
  <c r="BB156" i="5"/>
  <c r="BD155" i="5"/>
  <c r="BC155" i="5"/>
  <c r="BB155" i="5"/>
  <c r="BD154" i="5"/>
  <c r="BC154" i="5"/>
  <c r="BB154" i="5"/>
  <c r="BD153" i="5"/>
  <c r="BC153" i="5"/>
  <c r="BB153" i="5"/>
  <c r="BD152" i="5"/>
  <c r="BC152" i="5"/>
  <c r="BB152" i="5"/>
  <c r="BD151" i="5"/>
  <c r="BC151" i="5"/>
  <c r="BB151" i="5"/>
  <c r="BD150" i="5"/>
  <c r="BC150" i="5"/>
  <c r="BB150" i="5"/>
  <c r="BD149" i="5"/>
  <c r="BC149" i="5"/>
  <c r="BB149" i="5"/>
  <c r="BD148" i="5"/>
  <c r="BC148" i="5"/>
  <c r="BB148" i="5"/>
  <c r="BD147" i="5"/>
  <c r="BC147" i="5"/>
  <c r="BB147" i="5"/>
  <c r="BD146" i="5"/>
  <c r="BC146" i="5"/>
  <c r="BB146" i="5"/>
  <c r="BD145" i="5"/>
  <c r="BC145" i="5"/>
  <c r="BB145" i="5"/>
  <c r="BD144" i="5"/>
  <c r="BC144" i="5"/>
  <c r="BB144" i="5"/>
  <c r="BD143" i="5"/>
  <c r="BC143" i="5"/>
  <c r="BB143" i="5"/>
  <c r="BD142" i="5"/>
  <c r="BC142" i="5"/>
  <c r="BB142" i="5"/>
  <c r="BD141" i="5"/>
  <c r="BC141" i="5"/>
  <c r="BB141" i="5"/>
  <c r="BD140" i="5"/>
  <c r="BC140" i="5"/>
  <c r="BB140" i="5"/>
  <c r="BD139" i="5"/>
  <c r="BC139" i="5"/>
  <c r="BB139" i="5"/>
  <c r="BD138" i="5"/>
  <c r="BC138" i="5"/>
  <c r="BB138" i="5"/>
  <c r="BD137" i="5"/>
  <c r="BC137" i="5"/>
  <c r="BB137" i="5"/>
  <c r="BD136" i="5"/>
  <c r="BC136" i="5"/>
  <c r="BB136" i="5"/>
  <c r="BD135" i="5"/>
  <c r="BC135" i="5"/>
  <c r="BB135" i="5"/>
  <c r="BD134" i="5"/>
  <c r="BC134" i="5"/>
  <c r="BB134" i="5"/>
  <c r="BD133" i="5"/>
  <c r="BC133" i="5"/>
  <c r="BB133" i="5"/>
  <c r="BD132" i="5"/>
  <c r="BC132" i="5"/>
  <c r="BB132" i="5"/>
  <c r="BD131" i="5"/>
  <c r="BC131" i="5"/>
  <c r="BB131" i="5"/>
  <c r="BD130" i="5"/>
  <c r="BC130" i="5"/>
  <c r="BB130" i="5"/>
  <c r="BD129" i="5"/>
  <c r="BC129" i="5"/>
  <c r="BB129" i="5"/>
  <c r="BD128" i="5"/>
  <c r="BC128" i="5"/>
  <c r="BB128" i="5"/>
  <c r="BD127" i="5"/>
  <c r="BC127" i="5"/>
  <c r="BB127" i="5"/>
  <c r="BD126" i="5"/>
  <c r="BC126" i="5"/>
  <c r="BB126" i="5"/>
  <c r="BD125" i="5"/>
  <c r="BC125" i="5"/>
  <c r="BB125" i="5"/>
  <c r="BD124" i="5"/>
  <c r="BC124" i="5"/>
  <c r="BB124" i="5"/>
  <c r="BD123" i="5"/>
  <c r="BC123" i="5"/>
  <c r="BB123" i="5"/>
  <c r="BD122" i="5"/>
  <c r="BC122" i="5"/>
  <c r="BB122" i="5"/>
  <c r="BD121" i="5"/>
  <c r="BC121" i="5"/>
  <c r="BB121" i="5"/>
  <c r="BD120" i="5"/>
  <c r="BC120" i="5"/>
  <c r="BB120" i="5"/>
  <c r="BD119" i="5"/>
  <c r="BC119" i="5"/>
  <c r="BB119" i="5"/>
  <c r="BD118" i="5"/>
  <c r="BC118" i="5"/>
  <c r="BB118" i="5"/>
  <c r="BD117" i="5"/>
  <c r="BC117" i="5"/>
  <c r="BB117" i="5"/>
  <c r="BD116" i="5"/>
  <c r="BC116" i="5"/>
  <c r="BB116" i="5"/>
  <c r="BD115" i="5"/>
  <c r="BC115" i="5"/>
  <c r="BB115" i="5"/>
  <c r="BD114" i="5"/>
  <c r="BC114" i="5"/>
  <c r="BB114" i="5"/>
  <c r="BD113" i="5"/>
  <c r="BC113" i="5"/>
  <c r="BB113" i="5"/>
  <c r="BD112" i="5"/>
  <c r="BC112" i="5"/>
  <c r="BB112" i="5"/>
  <c r="BB111" i="5"/>
  <c r="BB349" i="5" s="1"/>
  <c r="BD110" i="5"/>
  <c r="BC110" i="5"/>
  <c r="BB110" i="5"/>
  <c r="BC109" i="5"/>
  <c r="BB109" i="5"/>
  <c r="BD108" i="5"/>
  <c r="BC108" i="5"/>
  <c r="BB108" i="5"/>
  <c r="BD107" i="5"/>
  <c r="BC107" i="5"/>
  <c r="BD106" i="5"/>
  <c r="BC106" i="5"/>
  <c r="BB106" i="5"/>
  <c r="BD105" i="5"/>
  <c r="BC105" i="5"/>
  <c r="BB105" i="5"/>
  <c r="BD104" i="5"/>
  <c r="BC104" i="5"/>
  <c r="BB104" i="5"/>
  <c r="BD103" i="5"/>
  <c r="BC103" i="5"/>
  <c r="BB103" i="5"/>
  <c r="BD102" i="5"/>
  <c r="BC102" i="5"/>
  <c r="BB102" i="5"/>
  <c r="BD101" i="5"/>
  <c r="BC101" i="5"/>
  <c r="BB101" i="5"/>
  <c r="BD100" i="5"/>
  <c r="BC100" i="5"/>
  <c r="BB100" i="5"/>
  <c r="BD99" i="5"/>
  <c r="BC99" i="5"/>
  <c r="BB99" i="5"/>
  <c r="BD98" i="5"/>
  <c r="BC98" i="5"/>
  <c r="BB98" i="5"/>
  <c r="BD97" i="5"/>
  <c r="BC97" i="5"/>
  <c r="BB97" i="5"/>
  <c r="BD96" i="5"/>
  <c r="BC96" i="5"/>
  <c r="BB96" i="5"/>
  <c r="BD95" i="5"/>
  <c r="BC95" i="5"/>
  <c r="BB95" i="5"/>
  <c r="BD94" i="5"/>
  <c r="BC94" i="5"/>
  <c r="BB94" i="5"/>
  <c r="BD93" i="5"/>
  <c r="BC93" i="5"/>
  <c r="BB93" i="5"/>
  <c r="BD92" i="5"/>
  <c r="BC92" i="5"/>
  <c r="BB92" i="5"/>
  <c r="BD91" i="5"/>
  <c r="BC91" i="5"/>
  <c r="BB91" i="5"/>
  <c r="BD90" i="5"/>
  <c r="BC90" i="5"/>
  <c r="BB90" i="5"/>
  <c r="BD89" i="5"/>
  <c r="BC89" i="5"/>
  <c r="BB89" i="5"/>
  <c r="BD88" i="5"/>
  <c r="BC88" i="5"/>
  <c r="BB88" i="5"/>
  <c r="BD87" i="5"/>
  <c r="BC87" i="5"/>
  <c r="BB87" i="5"/>
  <c r="BD86" i="5"/>
  <c r="BC86" i="5"/>
  <c r="BB86" i="5"/>
  <c r="BD85" i="5"/>
  <c r="BC85" i="5"/>
  <c r="BB85" i="5"/>
  <c r="BD84" i="5"/>
  <c r="BC84" i="5"/>
  <c r="BB84" i="5"/>
  <c r="BD83" i="5"/>
  <c r="BC83" i="5"/>
  <c r="BB83" i="5"/>
  <c r="BD82" i="5"/>
  <c r="BC82" i="5"/>
  <c r="BB82" i="5"/>
  <c r="BD81" i="5"/>
  <c r="BC81" i="5"/>
  <c r="BB81" i="5"/>
  <c r="BD80" i="5"/>
  <c r="BC80" i="5"/>
  <c r="BB80" i="5"/>
  <c r="BD79" i="5"/>
  <c r="BC79" i="5"/>
  <c r="BB79" i="5"/>
  <c r="BD78" i="5"/>
  <c r="BC78" i="5"/>
  <c r="BB78" i="5"/>
  <c r="BD77" i="5"/>
  <c r="BC77" i="5"/>
  <c r="BB77" i="5"/>
  <c r="BD76" i="5"/>
  <c r="BC76" i="5"/>
  <c r="BB76" i="5"/>
  <c r="BD75" i="5"/>
  <c r="BC75" i="5"/>
  <c r="BB75" i="5"/>
  <c r="BD74" i="5"/>
  <c r="BC74" i="5"/>
  <c r="BB74" i="5"/>
  <c r="BD73" i="5"/>
  <c r="BC73" i="5"/>
  <c r="BB73" i="5"/>
  <c r="BD72" i="5"/>
  <c r="BC72" i="5"/>
  <c r="BB72" i="5"/>
  <c r="BD71" i="5"/>
  <c r="BC71" i="5"/>
  <c r="BB71" i="5"/>
  <c r="BD70" i="5"/>
  <c r="BC70" i="5"/>
  <c r="BB70" i="5"/>
  <c r="BD69" i="5"/>
  <c r="BC69" i="5"/>
  <c r="BB69" i="5"/>
  <c r="BD68" i="5"/>
  <c r="BC68" i="5"/>
  <c r="BB68" i="5"/>
  <c r="BD67" i="5"/>
  <c r="BC67" i="5"/>
  <c r="BB67" i="5"/>
  <c r="BD66" i="5"/>
  <c r="BC66" i="5"/>
  <c r="BB66" i="5"/>
  <c r="BD65" i="5"/>
  <c r="BC65" i="5"/>
  <c r="BB65" i="5"/>
  <c r="BD64" i="5"/>
  <c r="BC64" i="5"/>
  <c r="BB64" i="5"/>
  <c r="BD63" i="5"/>
  <c r="BC63" i="5"/>
  <c r="BB63" i="5"/>
  <c r="BD62" i="5"/>
  <c r="BC62" i="5"/>
  <c r="BB62" i="5"/>
  <c r="BD61" i="5"/>
  <c r="BC61" i="5"/>
  <c r="BB61" i="5"/>
  <c r="BD60" i="5"/>
  <c r="BC60" i="5"/>
  <c r="BB60" i="5"/>
  <c r="BD59" i="5"/>
  <c r="BC59" i="5"/>
  <c r="BB59" i="5"/>
  <c r="BD58" i="5"/>
  <c r="BC58" i="5"/>
  <c r="BB58" i="5"/>
  <c r="BD57" i="5"/>
  <c r="BC57" i="5"/>
  <c r="BB57" i="5"/>
  <c r="BD56" i="5"/>
  <c r="BC56" i="5"/>
  <c r="BB56" i="5"/>
  <c r="BD55" i="5"/>
  <c r="BC55" i="5"/>
  <c r="BB55" i="5"/>
  <c r="BD54" i="5"/>
  <c r="BC54" i="5"/>
  <c r="BB54" i="5"/>
  <c r="BD53" i="5"/>
  <c r="BC53" i="5"/>
  <c r="BB53" i="5"/>
  <c r="BD52" i="5"/>
  <c r="BC52" i="5"/>
  <c r="BB52" i="5"/>
  <c r="BD51" i="5"/>
  <c r="BC51" i="5"/>
  <c r="BB51" i="5"/>
  <c r="BD50" i="5"/>
  <c r="BC50" i="5"/>
  <c r="BB50" i="5"/>
  <c r="BD49" i="5"/>
  <c r="BC49" i="5"/>
  <c r="BB49" i="5"/>
  <c r="BD48" i="5"/>
  <c r="BC48" i="5"/>
  <c r="BB48" i="5"/>
  <c r="BD47" i="5"/>
  <c r="BC47" i="5"/>
  <c r="BB47" i="5"/>
  <c r="BD46" i="5"/>
  <c r="BC46" i="5"/>
  <c r="BB46" i="5"/>
  <c r="BD45" i="5"/>
  <c r="BC45" i="5"/>
  <c r="BB45" i="5"/>
  <c r="BD44" i="5"/>
  <c r="BC44" i="5"/>
  <c r="BB44" i="5"/>
  <c r="BD43" i="5"/>
  <c r="BC43" i="5"/>
  <c r="BB43" i="5"/>
  <c r="BD42" i="5"/>
  <c r="BC42" i="5"/>
  <c r="BB42" i="5"/>
  <c r="BD41" i="5"/>
  <c r="BC41" i="5"/>
  <c r="BB41" i="5"/>
  <c r="BD40" i="5"/>
  <c r="BC40" i="5"/>
  <c r="BB40" i="5"/>
  <c r="BD39" i="5"/>
  <c r="BC39" i="5"/>
  <c r="BB39" i="5"/>
  <c r="BD38" i="5"/>
  <c r="BC38" i="5"/>
  <c r="BB38" i="5"/>
  <c r="BD37" i="5"/>
  <c r="BC37" i="5"/>
  <c r="BB37" i="5"/>
  <c r="BD36" i="5"/>
  <c r="BC36" i="5"/>
  <c r="BB36" i="5"/>
  <c r="BD35" i="5"/>
  <c r="BC35" i="5"/>
  <c r="BB35" i="5"/>
  <c r="BD34" i="5"/>
  <c r="BC34" i="5"/>
  <c r="BB34" i="5"/>
  <c r="BD33" i="5"/>
  <c r="BC33" i="5"/>
  <c r="BB33" i="5"/>
  <c r="BD32" i="5"/>
  <c r="BC32" i="5"/>
  <c r="BB32" i="5"/>
  <c r="BD31" i="5"/>
  <c r="BC31" i="5"/>
  <c r="BB31" i="5"/>
  <c r="BD30" i="5"/>
  <c r="BC30" i="5"/>
  <c r="BB30" i="5"/>
  <c r="BD29" i="5"/>
  <c r="BC29" i="5"/>
  <c r="BB29" i="5"/>
  <c r="BD28" i="5"/>
  <c r="BC28" i="5"/>
  <c r="BB28" i="5"/>
  <c r="BD27" i="5"/>
  <c r="BC27" i="5"/>
  <c r="BB27" i="5"/>
  <c r="BD26" i="5"/>
  <c r="BC26" i="5"/>
  <c r="BB26" i="5"/>
  <c r="BD25" i="5"/>
  <c r="BC25" i="5"/>
  <c r="BB25" i="5"/>
  <c r="BD24" i="5"/>
  <c r="BC24" i="5"/>
  <c r="BB24" i="5"/>
  <c r="BD23" i="5"/>
  <c r="BC23" i="5"/>
  <c r="BB23" i="5"/>
  <c r="BD22" i="5"/>
  <c r="BC22" i="5"/>
  <c r="BB22" i="5"/>
  <c r="BD21" i="5"/>
  <c r="BC21" i="5"/>
  <c r="BB21" i="5"/>
  <c r="BD20" i="5"/>
  <c r="BC20" i="5"/>
  <c r="BB20" i="5"/>
  <c r="BD19" i="5"/>
  <c r="BC19" i="5"/>
  <c r="BB19" i="5"/>
  <c r="BD18" i="5"/>
  <c r="BC18" i="5"/>
  <c r="BB18" i="5"/>
  <c r="BD17" i="5"/>
  <c r="BC17" i="5"/>
  <c r="BB17" i="5"/>
  <c r="BD16" i="5"/>
  <c r="BC16" i="5"/>
  <c r="BB16" i="5"/>
  <c r="BD15" i="5"/>
  <c r="BC15" i="5"/>
  <c r="BB15" i="5"/>
  <c r="BD14" i="5"/>
  <c r="BC14" i="5"/>
  <c r="BB14" i="5"/>
  <c r="BD13" i="5"/>
  <c r="BC13" i="5"/>
  <c r="BB13" i="5"/>
  <c r="BD12" i="5"/>
  <c r="BC12" i="5"/>
  <c r="BB12" i="5"/>
  <c r="BD11" i="5"/>
  <c r="BC11" i="5"/>
  <c r="BB11" i="5"/>
  <c r="BD10" i="5"/>
  <c r="BC10" i="5"/>
  <c r="BB10" i="5"/>
  <c r="BD9" i="5"/>
  <c r="BC9" i="5"/>
  <c r="BB9" i="5"/>
  <c r="BD8" i="5"/>
  <c r="BC8" i="5"/>
  <c r="BB8" i="5"/>
  <c r="BD7" i="5"/>
  <c r="BC7" i="5"/>
  <c r="BB7" i="5"/>
  <c r="BD6" i="5"/>
  <c r="BC6" i="5"/>
  <c r="BB6" i="5"/>
  <c r="BD5" i="5"/>
  <c r="BC5" i="5"/>
  <c r="BB5" i="5"/>
  <c r="T249" i="1"/>
  <c r="T244" i="1"/>
  <c r="T235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215" i="3"/>
  <c r="T214" i="3"/>
  <c r="T213" i="3"/>
  <c r="T210" i="3"/>
  <c r="T209" i="3"/>
  <c r="T208" i="3"/>
  <c r="T205" i="3"/>
  <c r="T204" i="3"/>
  <c r="T203" i="3"/>
  <c r="T202" i="3"/>
  <c r="T199" i="3"/>
  <c r="T198" i="3"/>
  <c r="T195" i="3"/>
  <c r="T194" i="3"/>
  <c r="T193" i="3"/>
  <c r="T190" i="3"/>
  <c r="T189" i="3"/>
  <c r="T186" i="3"/>
  <c r="T185" i="3"/>
  <c r="T184" i="3"/>
  <c r="T171" i="3"/>
  <c r="T170" i="3"/>
  <c r="T169" i="3"/>
  <c r="T168" i="3"/>
  <c r="T167" i="3"/>
  <c r="T166" i="3"/>
  <c r="T165" i="3"/>
  <c r="T164" i="3"/>
  <c r="T163" i="3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8" i="3"/>
  <c r="T147" i="3"/>
  <c r="T146" i="3"/>
  <c r="T145" i="3"/>
  <c r="T144" i="3"/>
  <c r="T143" i="3"/>
  <c r="T142" i="3"/>
  <c r="T141" i="3"/>
  <c r="T140" i="3"/>
  <c r="T139" i="3"/>
  <c r="T138" i="3"/>
  <c r="T137" i="3"/>
  <c r="T136" i="3"/>
  <c r="T135" i="3"/>
  <c r="T134" i="3"/>
  <c r="T133" i="3"/>
  <c r="T132" i="3"/>
  <c r="T131" i="3"/>
  <c r="T130" i="3"/>
  <c r="T129" i="3"/>
  <c r="T128" i="3"/>
  <c r="T127" i="3"/>
  <c r="T126" i="3"/>
  <c r="T125" i="3"/>
  <c r="T124" i="3"/>
  <c r="T123" i="3"/>
  <c r="T122" i="3"/>
  <c r="T121" i="3"/>
  <c r="T120" i="3"/>
  <c r="T119" i="3"/>
  <c r="T118" i="3"/>
  <c r="T117" i="3"/>
  <c r="T116" i="3"/>
  <c r="T115" i="3"/>
  <c r="T114" i="3"/>
  <c r="T113" i="3"/>
  <c r="T112" i="3"/>
  <c r="T111" i="3"/>
  <c r="T110" i="3"/>
  <c r="T109" i="3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  <c r="T6" i="3"/>
  <c r="T5" i="3"/>
  <c r="T4" i="3"/>
  <c r="T3" i="3"/>
  <c r="T229" i="2"/>
  <c r="T228" i="2"/>
  <c r="T227" i="2"/>
  <c r="T226" i="2"/>
  <c r="T224" i="2"/>
  <c r="T223" i="2"/>
  <c r="T222" i="2"/>
  <c r="T221" i="2"/>
  <c r="T219" i="2"/>
  <c r="T218" i="2"/>
  <c r="T217" i="2"/>
  <c r="T214" i="2"/>
  <c r="T213" i="2"/>
  <c r="T212" i="2"/>
  <c r="T209" i="2"/>
  <c r="T208" i="2"/>
  <c r="T207" i="2"/>
  <c r="T206" i="2"/>
  <c r="T203" i="2"/>
  <c r="T202" i="2"/>
  <c r="T199" i="2"/>
  <c r="T198" i="2"/>
  <c r="T197" i="2"/>
  <c r="T194" i="2"/>
  <c r="T193" i="2"/>
  <c r="T190" i="2"/>
  <c r="T189" i="2"/>
  <c r="T188" i="2"/>
  <c r="T184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AY337" i="5"/>
  <c r="BA333" i="5"/>
  <c r="AZ333" i="5"/>
  <c r="AY333" i="5"/>
  <c r="BA317" i="5"/>
  <c r="AZ317" i="5"/>
  <c r="AY317" i="5"/>
  <c r="BA316" i="5"/>
  <c r="AZ316" i="5"/>
  <c r="AY316" i="5"/>
  <c r="BA315" i="5"/>
  <c r="AZ315" i="5"/>
  <c r="AY315" i="5"/>
  <c r="BA314" i="5"/>
  <c r="AZ314" i="5"/>
  <c r="AY314" i="5"/>
  <c r="BA313" i="5"/>
  <c r="AZ313" i="5"/>
  <c r="AY313" i="5"/>
  <c r="BA312" i="5"/>
  <c r="AZ312" i="5"/>
  <c r="AY312" i="5"/>
  <c r="BA311" i="5"/>
  <c r="AZ311" i="5"/>
  <c r="AY311" i="5"/>
  <c r="BA310" i="5"/>
  <c r="AZ310" i="5"/>
  <c r="AY310" i="5"/>
  <c r="BA309" i="5"/>
  <c r="AZ309" i="5"/>
  <c r="AY309" i="5"/>
  <c r="BA308" i="5"/>
  <c r="AZ308" i="5"/>
  <c r="AY308" i="5"/>
  <c r="BA307" i="5"/>
  <c r="AZ307" i="5"/>
  <c r="AY307" i="5"/>
  <c r="BA306" i="5"/>
  <c r="AZ306" i="5"/>
  <c r="AY306" i="5"/>
  <c r="BA305" i="5"/>
  <c r="AZ305" i="5"/>
  <c r="AY305" i="5"/>
  <c r="BA304" i="5"/>
  <c r="AZ304" i="5"/>
  <c r="AY304" i="5"/>
  <c r="BA303" i="5"/>
  <c r="AZ303" i="5"/>
  <c r="AY303" i="5"/>
  <c r="BA302" i="5"/>
  <c r="AZ302" i="5"/>
  <c r="AY302" i="5"/>
  <c r="BA301" i="5"/>
  <c r="AZ301" i="5"/>
  <c r="AY301" i="5"/>
  <c r="BA300" i="5"/>
  <c r="AZ300" i="5"/>
  <c r="AY300" i="5"/>
  <c r="BA299" i="5"/>
  <c r="AZ299" i="5"/>
  <c r="AY299" i="5"/>
  <c r="BA298" i="5"/>
  <c r="AZ298" i="5"/>
  <c r="AY298" i="5"/>
  <c r="BA297" i="5"/>
  <c r="AZ297" i="5"/>
  <c r="AY297" i="5"/>
  <c r="BA296" i="5"/>
  <c r="AZ296" i="5"/>
  <c r="AY296" i="5"/>
  <c r="BA295" i="5"/>
  <c r="AZ295" i="5"/>
  <c r="AY295" i="5"/>
  <c r="BA294" i="5"/>
  <c r="AZ294" i="5"/>
  <c r="AY294" i="5"/>
  <c r="BA293" i="5"/>
  <c r="AZ293" i="5"/>
  <c r="AY293" i="5"/>
  <c r="BA292" i="5"/>
  <c r="AZ292" i="5"/>
  <c r="BA291" i="5"/>
  <c r="AZ291" i="5"/>
  <c r="AY291" i="5"/>
  <c r="BA290" i="5"/>
  <c r="AZ290" i="5"/>
  <c r="AY290" i="5"/>
  <c r="BA289" i="5"/>
  <c r="AZ289" i="5"/>
  <c r="AY289" i="5"/>
  <c r="BA288" i="5"/>
  <c r="AZ288" i="5"/>
  <c r="AY288" i="5"/>
  <c r="BA287" i="5"/>
  <c r="AZ287" i="5"/>
  <c r="AY287" i="5"/>
  <c r="BA286" i="5"/>
  <c r="AZ286" i="5"/>
  <c r="AY286" i="5"/>
  <c r="BA285" i="5"/>
  <c r="AZ285" i="5"/>
  <c r="AY285" i="5"/>
  <c r="BA284" i="5"/>
  <c r="AZ284" i="5"/>
  <c r="AY284" i="5"/>
  <c r="BA283" i="5"/>
  <c r="AZ283" i="5"/>
  <c r="AY283" i="5"/>
  <c r="BA282" i="5"/>
  <c r="AZ282" i="5"/>
  <c r="AY282" i="5"/>
  <c r="BA281" i="5"/>
  <c r="AZ281" i="5"/>
  <c r="AY281" i="5"/>
  <c r="BA280" i="5"/>
  <c r="AZ280" i="5"/>
  <c r="AY280" i="5"/>
  <c r="BA279" i="5"/>
  <c r="AZ279" i="5"/>
  <c r="AY279" i="5"/>
  <c r="BA278" i="5"/>
  <c r="AZ278" i="5"/>
  <c r="AY278" i="5"/>
  <c r="BA277" i="5"/>
  <c r="AZ277" i="5"/>
  <c r="AY277" i="5"/>
  <c r="BA276" i="5"/>
  <c r="AZ276" i="5"/>
  <c r="AY276" i="5"/>
  <c r="BA275" i="5"/>
  <c r="AZ275" i="5"/>
  <c r="AY275" i="5"/>
  <c r="BA274" i="5"/>
  <c r="AZ274" i="5"/>
  <c r="AY274" i="5"/>
  <c r="BA273" i="5"/>
  <c r="AZ273" i="5"/>
  <c r="AY273" i="5"/>
  <c r="BA272" i="5"/>
  <c r="AZ272" i="5"/>
  <c r="AY272" i="5"/>
  <c r="BA271" i="5"/>
  <c r="AZ271" i="5"/>
  <c r="AY271" i="5"/>
  <c r="BA270" i="5"/>
  <c r="AZ270" i="5"/>
  <c r="AY270" i="5"/>
  <c r="BA269" i="5"/>
  <c r="AZ269" i="5"/>
  <c r="AY269" i="5"/>
  <c r="BA268" i="5"/>
  <c r="AZ268" i="5"/>
  <c r="AY268" i="5"/>
  <c r="BA267" i="5"/>
  <c r="AZ267" i="5"/>
  <c r="AY267" i="5"/>
  <c r="BA266" i="5"/>
  <c r="AZ266" i="5"/>
  <c r="AY266" i="5"/>
  <c r="BA265" i="5"/>
  <c r="AZ265" i="5"/>
  <c r="AY265" i="5"/>
  <c r="BA264" i="5"/>
  <c r="AZ264" i="5"/>
  <c r="AY264" i="5"/>
  <c r="BA263" i="5"/>
  <c r="AZ263" i="5"/>
  <c r="AY263" i="5"/>
  <c r="BA262" i="5"/>
  <c r="AZ262" i="5"/>
  <c r="AY262" i="5"/>
  <c r="BA261" i="5"/>
  <c r="AZ261" i="5"/>
  <c r="AY261" i="5"/>
  <c r="BA260" i="5"/>
  <c r="AZ260" i="5"/>
  <c r="AY260" i="5"/>
  <c r="BA259" i="5"/>
  <c r="AZ259" i="5"/>
  <c r="AY259" i="5"/>
  <c r="BA258" i="5"/>
  <c r="AZ258" i="5"/>
  <c r="AY258" i="5"/>
  <c r="BA257" i="5"/>
  <c r="AZ257" i="5"/>
  <c r="AY257" i="5"/>
  <c r="BA256" i="5"/>
  <c r="AZ256" i="5"/>
  <c r="AY256" i="5"/>
  <c r="BA255" i="5"/>
  <c r="AZ255" i="5"/>
  <c r="AY255" i="5"/>
  <c r="BA254" i="5"/>
  <c r="AZ254" i="5"/>
  <c r="AY254" i="5"/>
  <c r="BA253" i="5"/>
  <c r="AZ253" i="5"/>
  <c r="AY253" i="5"/>
  <c r="BA252" i="5"/>
  <c r="AZ252" i="5"/>
  <c r="AY252" i="5"/>
  <c r="BA251" i="5"/>
  <c r="AZ251" i="5"/>
  <c r="AY251" i="5"/>
  <c r="BA250" i="5"/>
  <c r="AZ250" i="5"/>
  <c r="AY250" i="5"/>
  <c r="BA249" i="5"/>
  <c r="AZ249" i="5"/>
  <c r="AY249" i="5"/>
  <c r="BA248" i="5"/>
  <c r="AZ248" i="5"/>
  <c r="AY248" i="5"/>
  <c r="BA247" i="5"/>
  <c r="AZ247" i="5"/>
  <c r="AY247" i="5"/>
  <c r="BA246" i="5"/>
  <c r="AZ246" i="5"/>
  <c r="AY246" i="5"/>
  <c r="BA245" i="5"/>
  <c r="AZ245" i="5"/>
  <c r="AY245" i="5"/>
  <c r="BA244" i="5"/>
  <c r="AZ244" i="5"/>
  <c r="AY244" i="5"/>
  <c r="BA243" i="5"/>
  <c r="AZ243" i="5"/>
  <c r="AY243" i="5"/>
  <c r="BA242" i="5"/>
  <c r="AZ242" i="5"/>
  <c r="AY242" i="5"/>
  <c r="BA241" i="5"/>
  <c r="AZ241" i="5"/>
  <c r="AY241" i="5"/>
  <c r="BA240" i="5"/>
  <c r="AZ240" i="5"/>
  <c r="AY240" i="5"/>
  <c r="BA239" i="5"/>
  <c r="AZ239" i="5"/>
  <c r="AY239" i="5"/>
  <c r="BA238" i="5"/>
  <c r="AZ238" i="5"/>
  <c r="AY238" i="5"/>
  <c r="BA237" i="5"/>
  <c r="AZ237" i="5"/>
  <c r="AY237" i="5"/>
  <c r="BA236" i="5"/>
  <c r="AZ236" i="5"/>
  <c r="AY236" i="5"/>
  <c r="BA235" i="5"/>
  <c r="AZ235" i="5"/>
  <c r="AY235" i="5"/>
  <c r="BA234" i="5"/>
  <c r="AZ234" i="5"/>
  <c r="AY234" i="5"/>
  <c r="BA233" i="5"/>
  <c r="AZ233" i="5"/>
  <c r="AY233" i="5"/>
  <c r="BA232" i="5"/>
  <c r="AZ232" i="5"/>
  <c r="AY232" i="5"/>
  <c r="BA231" i="5"/>
  <c r="AZ231" i="5"/>
  <c r="AY231" i="5"/>
  <c r="BA230" i="5"/>
  <c r="AZ230" i="5"/>
  <c r="AY230" i="5"/>
  <c r="BA229" i="5"/>
  <c r="AZ229" i="5"/>
  <c r="AY229" i="5"/>
  <c r="BA228" i="5"/>
  <c r="AZ228" i="5"/>
  <c r="AY228" i="5"/>
  <c r="BA227" i="5"/>
  <c r="AZ227" i="5"/>
  <c r="AY227" i="5"/>
  <c r="BA226" i="5"/>
  <c r="AZ226" i="5"/>
  <c r="AY226" i="5"/>
  <c r="BA225" i="5"/>
  <c r="AZ225" i="5"/>
  <c r="AY225" i="5"/>
  <c r="BA224" i="5"/>
  <c r="AZ224" i="5"/>
  <c r="AY224" i="5"/>
  <c r="BA223" i="5"/>
  <c r="AZ223" i="5"/>
  <c r="AY223" i="5"/>
  <c r="BA222" i="5"/>
  <c r="AZ222" i="5"/>
  <c r="AY222" i="5"/>
  <c r="BA221" i="5"/>
  <c r="AZ221" i="5"/>
  <c r="AY221" i="5"/>
  <c r="BA220" i="5"/>
  <c r="AZ220" i="5"/>
  <c r="AY220" i="5"/>
  <c r="BA219" i="5"/>
  <c r="AZ219" i="5"/>
  <c r="AY219" i="5"/>
  <c r="BA218" i="5"/>
  <c r="AZ218" i="5"/>
  <c r="AY218" i="5"/>
  <c r="BA217" i="5"/>
  <c r="AZ217" i="5"/>
  <c r="AY217" i="5"/>
  <c r="BA216" i="5"/>
  <c r="AZ216" i="5"/>
  <c r="AY216" i="5"/>
  <c r="BA215" i="5"/>
  <c r="AZ215" i="5"/>
  <c r="AY215" i="5"/>
  <c r="BA214" i="5"/>
  <c r="AZ214" i="5"/>
  <c r="AY214" i="5"/>
  <c r="BA213" i="5"/>
  <c r="AZ213" i="5"/>
  <c r="AY213" i="5"/>
  <c r="BA212" i="5"/>
  <c r="AZ212" i="5"/>
  <c r="AY212" i="5"/>
  <c r="BA211" i="5"/>
  <c r="AZ211" i="5"/>
  <c r="AY211" i="5"/>
  <c r="BA210" i="5"/>
  <c r="AZ210" i="5"/>
  <c r="AY210" i="5"/>
  <c r="BA209" i="5"/>
  <c r="AZ209" i="5"/>
  <c r="AY209" i="5"/>
  <c r="BA208" i="5"/>
  <c r="AZ208" i="5"/>
  <c r="AY208" i="5"/>
  <c r="BA207" i="5"/>
  <c r="AZ207" i="5"/>
  <c r="AY207" i="5"/>
  <c r="BA206" i="5"/>
  <c r="AZ206" i="5"/>
  <c r="AY206" i="5"/>
  <c r="BA205" i="5"/>
  <c r="AZ205" i="5"/>
  <c r="AY205" i="5"/>
  <c r="BA204" i="5"/>
  <c r="AZ204" i="5"/>
  <c r="AY204" i="5"/>
  <c r="BA203" i="5"/>
  <c r="AZ203" i="5"/>
  <c r="AY203" i="5"/>
  <c r="BA202" i="5"/>
  <c r="AZ202" i="5"/>
  <c r="AY202" i="5"/>
  <c r="BA201" i="5"/>
  <c r="AZ201" i="5"/>
  <c r="AY201" i="5"/>
  <c r="BA200" i="5"/>
  <c r="AZ200" i="5"/>
  <c r="AY200" i="5"/>
  <c r="BA199" i="5"/>
  <c r="AZ199" i="5"/>
  <c r="AY199" i="5"/>
  <c r="BA198" i="5"/>
  <c r="AZ198" i="5"/>
  <c r="AY198" i="5"/>
  <c r="BA197" i="5"/>
  <c r="AZ197" i="5"/>
  <c r="AY197" i="5"/>
  <c r="BA196" i="5"/>
  <c r="AZ196" i="5"/>
  <c r="AY196" i="5"/>
  <c r="BA195" i="5"/>
  <c r="AZ195" i="5"/>
  <c r="AY195" i="5"/>
  <c r="BA194" i="5"/>
  <c r="AZ194" i="5"/>
  <c r="AY194" i="5"/>
  <c r="BA193" i="5"/>
  <c r="AZ193" i="5"/>
  <c r="AY193" i="5"/>
  <c r="BA192" i="5"/>
  <c r="AZ192" i="5"/>
  <c r="AY192" i="5"/>
  <c r="BA191" i="5"/>
  <c r="AZ191" i="5"/>
  <c r="AY191" i="5"/>
  <c r="BA190" i="5"/>
  <c r="AZ190" i="5"/>
  <c r="AY190" i="5"/>
  <c r="BA189" i="5"/>
  <c r="AZ189" i="5"/>
  <c r="AY189" i="5"/>
  <c r="BA188" i="5"/>
  <c r="AZ188" i="5"/>
  <c r="AY188" i="5"/>
  <c r="BA187" i="5"/>
  <c r="AZ187" i="5"/>
  <c r="AY187" i="5"/>
  <c r="BA186" i="5"/>
  <c r="AZ186" i="5"/>
  <c r="AY186" i="5"/>
  <c r="BA185" i="5"/>
  <c r="AZ185" i="5"/>
  <c r="AY185" i="5"/>
  <c r="BA184" i="5"/>
  <c r="AZ184" i="5"/>
  <c r="AY184" i="5"/>
  <c r="BA183" i="5"/>
  <c r="AZ183" i="5"/>
  <c r="AY183" i="5"/>
  <c r="BA182" i="5"/>
  <c r="AZ182" i="5"/>
  <c r="AY182" i="5"/>
  <c r="BA181" i="5"/>
  <c r="AZ181" i="5"/>
  <c r="AY181" i="5"/>
  <c r="BA180" i="5"/>
  <c r="AZ180" i="5"/>
  <c r="AY180" i="5"/>
  <c r="BA179" i="5"/>
  <c r="AZ179" i="5"/>
  <c r="AY179" i="5"/>
  <c r="BA178" i="5"/>
  <c r="AZ178" i="5"/>
  <c r="AY178" i="5"/>
  <c r="BA177" i="5"/>
  <c r="AZ177" i="5"/>
  <c r="AY177" i="5"/>
  <c r="BA176" i="5"/>
  <c r="AZ176" i="5"/>
  <c r="AY176" i="5"/>
  <c r="BA175" i="5"/>
  <c r="AZ175" i="5"/>
  <c r="AY175" i="5"/>
  <c r="BA174" i="5"/>
  <c r="AZ174" i="5"/>
  <c r="AY174" i="5"/>
  <c r="BA173" i="5"/>
  <c r="AZ173" i="5"/>
  <c r="AY173" i="5"/>
  <c r="BA172" i="5"/>
  <c r="AZ172" i="5"/>
  <c r="AY172" i="5"/>
  <c r="BA171" i="5"/>
  <c r="AZ171" i="5"/>
  <c r="AY171" i="5"/>
  <c r="BA170" i="5"/>
  <c r="AZ170" i="5"/>
  <c r="AY170" i="5"/>
  <c r="BA169" i="5"/>
  <c r="AZ169" i="5"/>
  <c r="AY169" i="5"/>
  <c r="BA168" i="5"/>
  <c r="AZ168" i="5"/>
  <c r="AY168" i="5"/>
  <c r="BA167" i="5"/>
  <c r="AZ167" i="5"/>
  <c r="AY167" i="5"/>
  <c r="BA166" i="5"/>
  <c r="AZ166" i="5"/>
  <c r="AY166" i="5"/>
  <c r="BA165" i="5"/>
  <c r="AZ165" i="5"/>
  <c r="AY165" i="5"/>
  <c r="BA164" i="5"/>
  <c r="AZ164" i="5"/>
  <c r="AY164" i="5"/>
  <c r="BA163" i="5"/>
  <c r="AZ163" i="5"/>
  <c r="AY163" i="5"/>
  <c r="BA162" i="5"/>
  <c r="AZ162" i="5"/>
  <c r="AY162" i="5"/>
  <c r="BA161" i="5"/>
  <c r="AZ161" i="5"/>
  <c r="AY161" i="5"/>
  <c r="BA160" i="5"/>
  <c r="AZ160" i="5"/>
  <c r="AY160" i="5"/>
  <c r="BA159" i="5"/>
  <c r="AZ159" i="5"/>
  <c r="AY159" i="5"/>
  <c r="BA158" i="5"/>
  <c r="AZ158" i="5"/>
  <c r="AY158" i="5"/>
  <c r="BA157" i="5"/>
  <c r="AZ157" i="5"/>
  <c r="AY157" i="5"/>
  <c r="BA156" i="5"/>
  <c r="AZ156" i="5"/>
  <c r="AY156" i="5"/>
  <c r="BA155" i="5"/>
  <c r="AZ155" i="5"/>
  <c r="AY155" i="5"/>
  <c r="BA154" i="5"/>
  <c r="AZ154" i="5"/>
  <c r="AY154" i="5"/>
  <c r="BA153" i="5"/>
  <c r="AZ153" i="5"/>
  <c r="AY153" i="5"/>
  <c r="BA152" i="5"/>
  <c r="AZ152" i="5"/>
  <c r="AY152" i="5"/>
  <c r="BA151" i="5"/>
  <c r="AZ151" i="5"/>
  <c r="AY151" i="5"/>
  <c r="BA150" i="5"/>
  <c r="AZ150" i="5"/>
  <c r="AY150" i="5"/>
  <c r="BA149" i="5"/>
  <c r="AZ149" i="5"/>
  <c r="AY149" i="5"/>
  <c r="BA148" i="5"/>
  <c r="AZ148" i="5"/>
  <c r="AY148" i="5"/>
  <c r="BA147" i="5"/>
  <c r="AZ147" i="5"/>
  <c r="AY147" i="5"/>
  <c r="BA146" i="5"/>
  <c r="AZ146" i="5"/>
  <c r="AY146" i="5"/>
  <c r="BA145" i="5"/>
  <c r="AZ145" i="5"/>
  <c r="AY145" i="5"/>
  <c r="BA144" i="5"/>
  <c r="AZ144" i="5"/>
  <c r="AY144" i="5"/>
  <c r="BA143" i="5"/>
  <c r="AZ143" i="5"/>
  <c r="AY143" i="5"/>
  <c r="BA142" i="5"/>
  <c r="AZ142" i="5"/>
  <c r="AY142" i="5"/>
  <c r="BA141" i="5"/>
  <c r="AZ141" i="5"/>
  <c r="AY141" i="5"/>
  <c r="BA140" i="5"/>
  <c r="AZ140" i="5"/>
  <c r="AY140" i="5"/>
  <c r="BA139" i="5"/>
  <c r="AZ139" i="5"/>
  <c r="AY139" i="5"/>
  <c r="BA138" i="5"/>
  <c r="AZ138" i="5"/>
  <c r="AY138" i="5"/>
  <c r="BA137" i="5"/>
  <c r="AZ137" i="5"/>
  <c r="AY137" i="5"/>
  <c r="BA136" i="5"/>
  <c r="AZ136" i="5"/>
  <c r="AY136" i="5"/>
  <c r="BA135" i="5"/>
  <c r="AZ135" i="5"/>
  <c r="AY135" i="5"/>
  <c r="BA134" i="5"/>
  <c r="AZ134" i="5"/>
  <c r="AY134" i="5"/>
  <c r="BA133" i="5"/>
  <c r="AZ133" i="5"/>
  <c r="AY133" i="5"/>
  <c r="BA132" i="5"/>
  <c r="AZ132" i="5"/>
  <c r="AY132" i="5"/>
  <c r="BA131" i="5"/>
  <c r="AZ131" i="5"/>
  <c r="AY131" i="5"/>
  <c r="BA130" i="5"/>
  <c r="AZ130" i="5"/>
  <c r="AY130" i="5"/>
  <c r="BA129" i="5"/>
  <c r="AZ129" i="5"/>
  <c r="AY129" i="5"/>
  <c r="BA128" i="5"/>
  <c r="AZ128" i="5"/>
  <c r="AY128" i="5"/>
  <c r="BA127" i="5"/>
  <c r="AZ127" i="5"/>
  <c r="AY127" i="5"/>
  <c r="BA126" i="5"/>
  <c r="AZ126" i="5"/>
  <c r="AY126" i="5"/>
  <c r="BA125" i="5"/>
  <c r="AZ125" i="5"/>
  <c r="AY125" i="5"/>
  <c r="BA124" i="5"/>
  <c r="AZ124" i="5"/>
  <c r="AY124" i="5"/>
  <c r="BA123" i="5"/>
  <c r="AZ123" i="5"/>
  <c r="AY123" i="5"/>
  <c r="BA122" i="5"/>
  <c r="AZ122" i="5"/>
  <c r="AY122" i="5"/>
  <c r="BA121" i="5"/>
  <c r="AZ121" i="5"/>
  <c r="AY121" i="5"/>
  <c r="BA120" i="5"/>
  <c r="AZ120" i="5"/>
  <c r="AY120" i="5"/>
  <c r="BA119" i="5"/>
  <c r="AZ119" i="5"/>
  <c r="AY119" i="5"/>
  <c r="BA118" i="5"/>
  <c r="AZ118" i="5"/>
  <c r="AY118" i="5"/>
  <c r="BA117" i="5"/>
  <c r="AZ117" i="5"/>
  <c r="AY117" i="5"/>
  <c r="BA116" i="5"/>
  <c r="AZ116" i="5"/>
  <c r="AY116" i="5"/>
  <c r="BA115" i="5"/>
  <c r="AZ115" i="5"/>
  <c r="AY115" i="5"/>
  <c r="BA114" i="5"/>
  <c r="AZ114" i="5"/>
  <c r="AY114" i="5"/>
  <c r="BA113" i="5"/>
  <c r="AZ113" i="5"/>
  <c r="AY113" i="5"/>
  <c r="BA112" i="5"/>
  <c r="AZ112" i="5"/>
  <c r="AY112" i="5"/>
  <c r="AY111" i="5"/>
  <c r="BA110" i="5"/>
  <c r="AZ110" i="5"/>
  <c r="AY110" i="5"/>
  <c r="AZ109" i="5"/>
  <c r="AY109" i="5"/>
  <c r="BA108" i="5"/>
  <c r="AZ108" i="5"/>
  <c r="AY108" i="5"/>
  <c r="BA107" i="5"/>
  <c r="AZ107" i="5"/>
  <c r="BA106" i="5"/>
  <c r="AZ106" i="5"/>
  <c r="AY106" i="5"/>
  <c r="BA105" i="5"/>
  <c r="AZ105" i="5"/>
  <c r="AY105" i="5"/>
  <c r="BA104" i="5"/>
  <c r="AZ104" i="5"/>
  <c r="AY104" i="5"/>
  <c r="BA103" i="5"/>
  <c r="AZ103" i="5"/>
  <c r="AY103" i="5"/>
  <c r="BA102" i="5"/>
  <c r="AZ102" i="5"/>
  <c r="AY102" i="5"/>
  <c r="BA101" i="5"/>
  <c r="AZ101" i="5"/>
  <c r="AY101" i="5"/>
  <c r="BA100" i="5"/>
  <c r="AZ100" i="5"/>
  <c r="AY100" i="5"/>
  <c r="BA99" i="5"/>
  <c r="AZ99" i="5"/>
  <c r="AY99" i="5"/>
  <c r="BA98" i="5"/>
  <c r="AZ98" i="5"/>
  <c r="AY98" i="5"/>
  <c r="BA97" i="5"/>
  <c r="AZ97" i="5"/>
  <c r="AY97" i="5"/>
  <c r="BA96" i="5"/>
  <c r="AZ96" i="5"/>
  <c r="AY96" i="5"/>
  <c r="BA95" i="5"/>
  <c r="AZ95" i="5"/>
  <c r="AY95" i="5"/>
  <c r="BA94" i="5"/>
  <c r="AZ94" i="5"/>
  <c r="AY94" i="5"/>
  <c r="BA93" i="5"/>
  <c r="AZ93" i="5"/>
  <c r="AY93" i="5"/>
  <c r="BA92" i="5"/>
  <c r="AZ92" i="5"/>
  <c r="AY92" i="5"/>
  <c r="BA91" i="5"/>
  <c r="AZ91" i="5"/>
  <c r="AY91" i="5"/>
  <c r="BA90" i="5"/>
  <c r="AZ90" i="5"/>
  <c r="AY90" i="5"/>
  <c r="BA89" i="5"/>
  <c r="AZ89" i="5"/>
  <c r="AY89" i="5"/>
  <c r="BA88" i="5"/>
  <c r="AZ88" i="5"/>
  <c r="AY88" i="5"/>
  <c r="BA87" i="5"/>
  <c r="AZ87" i="5"/>
  <c r="AY87" i="5"/>
  <c r="BA86" i="5"/>
  <c r="AZ86" i="5"/>
  <c r="AY86" i="5"/>
  <c r="BA85" i="5"/>
  <c r="AZ85" i="5"/>
  <c r="AY85" i="5"/>
  <c r="BA84" i="5"/>
  <c r="AZ84" i="5"/>
  <c r="AY84" i="5"/>
  <c r="BA83" i="5"/>
  <c r="AZ83" i="5"/>
  <c r="AY83" i="5"/>
  <c r="BA82" i="5"/>
  <c r="AZ82" i="5"/>
  <c r="AY82" i="5"/>
  <c r="BA81" i="5"/>
  <c r="AZ81" i="5"/>
  <c r="AY81" i="5"/>
  <c r="BA80" i="5"/>
  <c r="AZ80" i="5"/>
  <c r="AY80" i="5"/>
  <c r="BA79" i="5"/>
  <c r="AZ79" i="5"/>
  <c r="AY79" i="5"/>
  <c r="BA78" i="5"/>
  <c r="AZ78" i="5"/>
  <c r="AY78" i="5"/>
  <c r="BA77" i="5"/>
  <c r="AZ77" i="5"/>
  <c r="AY77" i="5"/>
  <c r="BA76" i="5"/>
  <c r="AZ76" i="5"/>
  <c r="AY76" i="5"/>
  <c r="BA75" i="5"/>
  <c r="AZ75" i="5"/>
  <c r="AY75" i="5"/>
  <c r="BA74" i="5"/>
  <c r="AZ74" i="5"/>
  <c r="AY74" i="5"/>
  <c r="BA73" i="5"/>
  <c r="AZ73" i="5"/>
  <c r="AY73" i="5"/>
  <c r="BA72" i="5"/>
  <c r="AZ72" i="5"/>
  <c r="AY72" i="5"/>
  <c r="BA71" i="5"/>
  <c r="AZ71" i="5"/>
  <c r="AY71" i="5"/>
  <c r="BA70" i="5"/>
  <c r="AZ70" i="5"/>
  <c r="AY70" i="5"/>
  <c r="BA69" i="5"/>
  <c r="AZ69" i="5"/>
  <c r="AY69" i="5"/>
  <c r="BA68" i="5"/>
  <c r="AZ68" i="5"/>
  <c r="AY68" i="5"/>
  <c r="BA67" i="5"/>
  <c r="AZ67" i="5"/>
  <c r="AY67" i="5"/>
  <c r="BA66" i="5"/>
  <c r="AZ66" i="5"/>
  <c r="AY66" i="5"/>
  <c r="BA65" i="5"/>
  <c r="AZ65" i="5"/>
  <c r="AY65" i="5"/>
  <c r="BA64" i="5"/>
  <c r="AZ64" i="5"/>
  <c r="AY64" i="5"/>
  <c r="BA63" i="5"/>
  <c r="AZ63" i="5"/>
  <c r="AY63" i="5"/>
  <c r="BA62" i="5"/>
  <c r="AZ62" i="5"/>
  <c r="AY62" i="5"/>
  <c r="BA61" i="5"/>
  <c r="AZ61" i="5"/>
  <c r="AY61" i="5"/>
  <c r="BA60" i="5"/>
  <c r="AZ60" i="5"/>
  <c r="AY60" i="5"/>
  <c r="BA59" i="5"/>
  <c r="AZ59" i="5"/>
  <c r="AY59" i="5"/>
  <c r="BA58" i="5"/>
  <c r="AZ58" i="5"/>
  <c r="AY58" i="5"/>
  <c r="BA57" i="5"/>
  <c r="AZ57" i="5"/>
  <c r="AY57" i="5"/>
  <c r="BA56" i="5"/>
  <c r="AZ56" i="5"/>
  <c r="AY56" i="5"/>
  <c r="BA55" i="5"/>
  <c r="AZ55" i="5"/>
  <c r="AY55" i="5"/>
  <c r="BA54" i="5"/>
  <c r="AZ54" i="5"/>
  <c r="AY54" i="5"/>
  <c r="BA53" i="5"/>
  <c r="AZ53" i="5"/>
  <c r="AY53" i="5"/>
  <c r="BA52" i="5"/>
  <c r="AZ52" i="5"/>
  <c r="AY52" i="5"/>
  <c r="BA51" i="5"/>
  <c r="AZ51" i="5"/>
  <c r="AY51" i="5"/>
  <c r="BA50" i="5"/>
  <c r="AZ50" i="5"/>
  <c r="AY50" i="5"/>
  <c r="BA49" i="5"/>
  <c r="AZ49" i="5"/>
  <c r="AY49" i="5"/>
  <c r="BA48" i="5"/>
  <c r="AZ48" i="5"/>
  <c r="AY48" i="5"/>
  <c r="BA47" i="5"/>
  <c r="AZ47" i="5"/>
  <c r="AY47" i="5"/>
  <c r="BA46" i="5"/>
  <c r="AZ46" i="5"/>
  <c r="AY46" i="5"/>
  <c r="BA45" i="5"/>
  <c r="AZ45" i="5"/>
  <c r="AY45" i="5"/>
  <c r="BA44" i="5"/>
  <c r="AZ44" i="5"/>
  <c r="AY44" i="5"/>
  <c r="BA43" i="5"/>
  <c r="AZ43" i="5"/>
  <c r="AY43" i="5"/>
  <c r="BA42" i="5"/>
  <c r="AZ42" i="5"/>
  <c r="AY42" i="5"/>
  <c r="BA41" i="5"/>
  <c r="AZ41" i="5"/>
  <c r="AY41" i="5"/>
  <c r="BA40" i="5"/>
  <c r="AZ40" i="5"/>
  <c r="AY40" i="5"/>
  <c r="BA39" i="5"/>
  <c r="AZ39" i="5"/>
  <c r="AY39" i="5"/>
  <c r="BA38" i="5"/>
  <c r="AZ38" i="5"/>
  <c r="AY38" i="5"/>
  <c r="BA37" i="5"/>
  <c r="AZ37" i="5"/>
  <c r="AY37" i="5"/>
  <c r="BA36" i="5"/>
  <c r="AZ36" i="5"/>
  <c r="AY36" i="5"/>
  <c r="BA35" i="5"/>
  <c r="AZ35" i="5"/>
  <c r="AY35" i="5"/>
  <c r="BA34" i="5"/>
  <c r="AZ34" i="5"/>
  <c r="AY34" i="5"/>
  <c r="BA33" i="5"/>
  <c r="AZ33" i="5"/>
  <c r="AY33" i="5"/>
  <c r="BA32" i="5"/>
  <c r="AZ32" i="5"/>
  <c r="AY32" i="5"/>
  <c r="BA31" i="5"/>
  <c r="AZ31" i="5"/>
  <c r="AY31" i="5"/>
  <c r="BA30" i="5"/>
  <c r="AZ30" i="5"/>
  <c r="AY30" i="5"/>
  <c r="BA29" i="5"/>
  <c r="AZ29" i="5"/>
  <c r="AY29" i="5"/>
  <c r="BA28" i="5"/>
  <c r="AZ28" i="5"/>
  <c r="AY28" i="5"/>
  <c r="BA27" i="5"/>
  <c r="AZ27" i="5"/>
  <c r="AY27" i="5"/>
  <c r="BA26" i="5"/>
  <c r="AZ26" i="5"/>
  <c r="AY26" i="5"/>
  <c r="BA25" i="5"/>
  <c r="AZ25" i="5"/>
  <c r="AY25" i="5"/>
  <c r="BA24" i="5"/>
  <c r="AZ24" i="5"/>
  <c r="AY24" i="5"/>
  <c r="BA23" i="5"/>
  <c r="AZ23" i="5"/>
  <c r="AY23" i="5"/>
  <c r="BA22" i="5"/>
  <c r="AZ22" i="5"/>
  <c r="AY22" i="5"/>
  <c r="BA21" i="5"/>
  <c r="AZ21" i="5"/>
  <c r="AY21" i="5"/>
  <c r="BA20" i="5"/>
  <c r="AZ20" i="5"/>
  <c r="AY20" i="5"/>
  <c r="BA19" i="5"/>
  <c r="AZ19" i="5"/>
  <c r="AY19" i="5"/>
  <c r="BA18" i="5"/>
  <c r="AZ18" i="5"/>
  <c r="AY18" i="5"/>
  <c r="BA17" i="5"/>
  <c r="AZ17" i="5"/>
  <c r="AY17" i="5"/>
  <c r="BA16" i="5"/>
  <c r="AZ16" i="5"/>
  <c r="AY16" i="5"/>
  <c r="BA15" i="5"/>
  <c r="AZ15" i="5"/>
  <c r="AY15" i="5"/>
  <c r="BA14" i="5"/>
  <c r="AZ14" i="5"/>
  <c r="AY14" i="5"/>
  <c r="BA13" i="5"/>
  <c r="AZ13" i="5"/>
  <c r="AY13" i="5"/>
  <c r="BA12" i="5"/>
  <c r="AZ12" i="5"/>
  <c r="AY12" i="5"/>
  <c r="BA11" i="5"/>
  <c r="AZ11" i="5"/>
  <c r="AY11" i="5"/>
  <c r="BA10" i="5"/>
  <c r="AZ10" i="5"/>
  <c r="AY10" i="5"/>
  <c r="BA9" i="5"/>
  <c r="AZ9" i="5"/>
  <c r="AY9" i="5"/>
  <c r="BA8" i="5"/>
  <c r="AZ8" i="5"/>
  <c r="AY8" i="5"/>
  <c r="BA7" i="5"/>
  <c r="AZ7" i="5"/>
  <c r="AY7" i="5"/>
  <c r="BA6" i="5"/>
  <c r="AZ6" i="5"/>
  <c r="AY6" i="5"/>
  <c r="BA5" i="5"/>
  <c r="AZ5" i="5"/>
  <c r="AY5" i="5"/>
  <c r="S249" i="1"/>
  <c r="S244" i="1"/>
  <c r="S235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215" i="3"/>
  <c r="S214" i="3"/>
  <c r="S213" i="3"/>
  <c r="S210" i="3"/>
  <c r="S209" i="3"/>
  <c r="S208" i="3"/>
  <c r="S205" i="3"/>
  <c r="S204" i="3"/>
  <c r="S203" i="3"/>
  <c r="S202" i="3"/>
  <c r="S199" i="3"/>
  <c r="S198" i="3"/>
  <c r="S195" i="3"/>
  <c r="S194" i="3"/>
  <c r="S193" i="3"/>
  <c r="S190" i="3"/>
  <c r="S189" i="3"/>
  <c r="S186" i="3"/>
  <c r="S185" i="3"/>
  <c r="S184" i="3"/>
  <c r="S171" i="3"/>
  <c r="S170" i="3"/>
  <c r="S169" i="3"/>
  <c r="S168" i="3"/>
  <c r="S167" i="3"/>
  <c r="S166" i="3"/>
  <c r="S165" i="3"/>
  <c r="S164" i="3"/>
  <c r="S163" i="3"/>
  <c r="S162" i="3"/>
  <c r="S161" i="3"/>
  <c r="S160" i="3"/>
  <c r="S159" i="3"/>
  <c r="S158" i="3"/>
  <c r="S157" i="3"/>
  <c r="S156" i="3"/>
  <c r="S155" i="3"/>
  <c r="S154" i="3"/>
  <c r="S153" i="3"/>
  <c r="S152" i="3"/>
  <c r="S151" i="3"/>
  <c r="S150" i="3"/>
  <c r="S149" i="3"/>
  <c r="S148" i="3"/>
  <c r="S147" i="3"/>
  <c r="S146" i="3"/>
  <c r="S145" i="3"/>
  <c r="S144" i="3"/>
  <c r="S143" i="3"/>
  <c r="S142" i="3"/>
  <c r="S141" i="3"/>
  <c r="S140" i="3"/>
  <c r="S139" i="3"/>
  <c r="S138" i="3"/>
  <c r="S137" i="3"/>
  <c r="S136" i="3"/>
  <c r="S135" i="3"/>
  <c r="S134" i="3"/>
  <c r="S133" i="3"/>
  <c r="S132" i="3"/>
  <c r="S131" i="3"/>
  <c r="S130" i="3"/>
  <c r="S129" i="3"/>
  <c r="S128" i="3"/>
  <c r="S127" i="3"/>
  <c r="S126" i="3"/>
  <c r="S125" i="3"/>
  <c r="S124" i="3"/>
  <c r="S123" i="3"/>
  <c r="S122" i="3"/>
  <c r="S121" i="3"/>
  <c r="S120" i="3"/>
  <c r="S119" i="3"/>
  <c r="S118" i="3"/>
  <c r="S117" i="3"/>
  <c r="S116" i="3"/>
  <c r="S115" i="3"/>
  <c r="S114" i="3"/>
  <c r="S113" i="3"/>
  <c r="S112" i="3"/>
  <c r="S111" i="3"/>
  <c r="S110" i="3"/>
  <c r="S109" i="3"/>
  <c r="S108" i="3"/>
  <c r="S107" i="3"/>
  <c r="S106" i="3"/>
  <c r="S105" i="3"/>
  <c r="S104" i="3"/>
  <c r="S103" i="3"/>
  <c r="S102" i="3"/>
  <c r="S101" i="3"/>
  <c r="S100" i="3"/>
  <c r="S99" i="3"/>
  <c r="S98" i="3"/>
  <c r="S97" i="3"/>
  <c r="S96" i="3"/>
  <c r="S95" i="3"/>
  <c r="S94" i="3"/>
  <c r="S93" i="3"/>
  <c r="S92" i="3"/>
  <c r="S91" i="3"/>
  <c r="S90" i="3"/>
  <c r="S89" i="3"/>
  <c r="S88" i="3"/>
  <c r="S87" i="3"/>
  <c r="S86" i="3"/>
  <c r="S85" i="3"/>
  <c r="S84" i="3"/>
  <c r="S83" i="3"/>
  <c r="S82" i="3"/>
  <c r="S81" i="3"/>
  <c r="S80" i="3"/>
  <c r="S79" i="3"/>
  <c r="S78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S4" i="3"/>
  <c r="S3" i="3"/>
  <c r="S229" i="2"/>
  <c r="S228" i="2"/>
  <c r="S227" i="2"/>
  <c r="S226" i="2"/>
  <c r="S224" i="2"/>
  <c r="S223" i="2"/>
  <c r="S222" i="2"/>
  <c r="S221" i="2"/>
  <c r="S219" i="2"/>
  <c r="S218" i="2"/>
  <c r="S217" i="2"/>
  <c r="S214" i="2"/>
  <c r="S213" i="2"/>
  <c r="S212" i="2"/>
  <c r="S209" i="2"/>
  <c r="S208" i="2"/>
  <c r="S207" i="2"/>
  <c r="S206" i="2"/>
  <c r="S203" i="2"/>
  <c r="S202" i="2"/>
  <c r="S199" i="2"/>
  <c r="S198" i="2"/>
  <c r="S197" i="2"/>
  <c r="S194" i="2"/>
  <c r="S193" i="2"/>
  <c r="S190" i="2"/>
  <c r="S189" i="2"/>
  <c r="S188" i="2"/>
  <c r="S184" i="2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3" i="2"/>
  <c r="S112" i="2"/>
  <c r="S111" i="2"/>
  <c r="S110" i="2"/>
  <c r="S109" i="2"/>
  <c r="S108" i="2"/>
  <c r="S107" i="2"/>
  <c r="S106" i="2"/>
  <c r="S105" i="2"/>
  <c r="S104" i="2"/>
  <c r="S103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S4" i="2"/>
  <c r="S3" i="2"/>
  <c r="AV337" i="5"/>
  <c r="AX333" i="5"/>
  <c r="AW333" i="5"/>
  <c r="AV333" i="5"/>
  <c r="AX317" i="5"/>
  <c r="AW317" i="5"/>
  <c r="AV317" i="5"/>
  <c r="AX316" i="5"/>
  <c r="AW316" i="5"/>
  <c r="AV316" i="5"/>
  <c r="AX315" i="5"/>
  <c r="AW315" i="5"/>
  <c r="AV315" i="5"/>
  <c r="AX314" i="5"/>
  <c r="AW314" i="5"/>
  <c r="AV314" i="5"/>
  <c r="AX313" i="5"/>
  <c r="AW313" i="5"/>
  <c r="AV313" i="5"/>
  <c r="AX312" i="5"/>
  <c r="AW312" i="5"/>
  <c r="AV312" i="5"/>
  <c r="AX311" i="5"/>
  <c r="AW311" i="5"/>
  <c r="AV311" i="5"/>
  <c r="AX310" i="5"/>
  <c r="AW310" i="5"/>
  <c r="AV310" i="5"/>
  <c r="AX309" i="5"/>
  <c r="AW309" i="5"/>
  <c r="AV309" i="5"/>
  <c r="AX308" i="5"/>
  <c r="AW308" i="5"/>
  <c r="AV308" i="5"/>
  <c r="AX307" i="5"/>
  <c r="AW307" i="5"/>
  <c r="AV307" i="5"/>
  <c r="AX306" i="5"/>
  <c r="AW306" i="5"/>
  <c r="AV306" i="5"/>
  <c r="AX305" i="5"/>
  <c r="AW305" i="5"/>
  <c r="AV305" i="5"/>
  <c r="AX304" i="5"/>
  <c r="AW304" i="5"/>
  <c r="AV304" i="5"/>
  <c r="AX303" i="5"/>
  <c r="AW303" i="5"/>
  <c r="AV303" i="5"/>
  <c r="AX302" i="5"/>
  <c r="AW302" i="5"/>
  <c r="AV302" i="5"/>
  <c r="AX301" i="5"/>
  <c r="AW301" i="5"/>
  <c r="AV301" i="5"/>
  <c r="AX300" i="5"/>
  <c r="AW300" i="5"/>
  <c r="AV300" i="5"/>
  <c r="AX299" i="5"/>
  <c r="AW299" i="5"/>
  <c r="AV299" i="5"/>
  <c r="AX298" i="5"/>
  <c r="AW298" i="5"/>
  <c r="AV298" i="5"/>
  <c r="AX297" i="5"/>
  <c r="AW297" i="5"/>
  <c r="AV297" i="5"/>
  <c r="AX296" i="5"/>
  <c r="AW296" i="5"/>
  <c r="AV296" i="5"/>
  <c r="AX295" i="5"/>
  <c r="AW295" i="5"/>
  <c r="AV295" i="5"/>
  <c r="AX294" i="5"/>
  <c r="AW294" i="5"/>
  <c r="AV294" i="5"/>
  <c r="AX293" i="5"/>
  <c r="AW293" i="5"/>
  <c r="AV293" i="5"/>
  <c r="AX292" i="5"/>
  <c r="AW292" i="5"/>
  <c r="AX291" i="5"/>
  <c r="AW291" i="5"/>
  <c r="AV291" i="5"/>
  <c r="AX290" i="5"/>
  <c r="AW290" i="5"/>
  <c r="AV290" i="5"/>
  <c r="AX289" i="5"/>
  <c r="AW289" i="5"/>
  <c r="AV289" i="5"/>
  <c r="AX288" i="5"/>
  <c r="AW288" i="5"/>
  <c r="AV288" i="5"/>
  <c r="AX287" i="5"/>
  <c r="AW287" i="5"/>
  <c r="AV287" i="5"/>
  <c r="AX286" i="5"/>
  <c r="AW286" i="5"/>
  <c r="AV286" i="5"/>
  <c r="AX285" i="5"/>
  <c r="AW285" i="5"/>
  <c r="AV285" i="5"/>
  <c r="AX284" i="5"/>
  <c r="AW284" i="5"/>
  <c r="AV284" i="5"/>
  <c r="AX283" i="5"/>
  <c r="AW283" i="5"/>
  <c r="AV283" i="5"/>
  <c r="AX282" i="5"/>
  <c r="AW282" i="5"/>
  <c r="AV282" i="5"/>
  <c r="AX281" i="5"/>
  <c r="AW281" i="5"/>
  <c r="AV281" i="5"/>
  <c r="AX280" i="5"/>
  <c r="AW280" i="5"/>
  <c r="AV280" i="5"/>
  <c r="AX279" i="5"/>
  <c r="AW279" i="5"/>
  <c r="AV279" i="5"/>
  <c r="AX278" i="5"/>
  <c r="AW278" i="5"/>
  <c r="AV278" i="5"/>
  <c r="AX277" i="5"/>
  <c r="AW277" i="5"/>
  <c r="AV277" i="5"/>
  <c r="AX276" i="5"/>
  <c r="AW276" i="5"/>
  <c r="AV276" i="5"/>
  <c r="AX275" i="5"/>
  <c r="AW275" i="5"/>
  <c r="AV275" i="5"/>
  <c r="AX274" i="5"/>
  <c r="AW274" i="5"/>
  <c r="AV274" i="5"/>
  <c r="AX273" i="5"/>
  <c r="AW273" i="5"/>
  <c r="AV273" i="5"/>
  <c r="AX272" i="5"/>
  <c r="AW272" i="5"/>
  <c r="AV272" i="5"/>
  <c r="AX271" i="5"/>
  <c r="AW271" i="5"/>
  <c r="AV271" i="5"/>
  <c r="AX270" i="5"/>
  <c r="AW270" i="5"/>
  <c r="AV270" i="5"/>
  <c r="AX269" i="5"/>
  <c r="AW269" i="5"/>
  <c r="AV269" i="5"/>
  <c r="AX268" i="5"/>
  <c r="AW268" i="5"/>
  <c r="AV268" i="5"/>
  <c r="AX267" i="5"/>
  <c r="AW267" i="5"/>
  <c r="AV267" i="5"/>
  <c r="AX266" i="5"/>
  <c r="AW266" i="5"/>
  <c r="AV266" i="5"/>
  <c r="AX265" i="5"/>
  <c r="AW265" i="5"/>
  <c r="AV265" i="5"/>
  <c r="AX264" i="5"/>
  <c r="AW264" i="5"/>
  <c r="AV264" i="5"/>
  <c r="AX263" i="5"/>
  <c r="AW263" i="5"/>
  <c r="AV263" i="5"/>
  <c r="AX262" i="5"/>
  <c r="AW262" i="5"/>
  <c r="AV262" i="5"/>
  <c r="AX261" i="5"/>
  <c r="AW261" i="5"/>
  <c r="AV261" i="5"/>
  <c r="AX260" i="5"/>
  <c r="AW260" i="5"/>
  <c r="AV260" i="5"/>
  <c r="AX259" i="5"/>
  <c r="AW259" i="5"/>
  <c r="AV259" i="5"/>
  <c r="AX258" i="5"/>
  <c r="AW258" i="5"/>
  <c r="AV258" i="5"/>
  <c r="AX257" i="5"/>
  <c r="AW257" i="5"/>
  <c r="AV257" i="5"/>
  <c r="AX256" i="5"/>
  <c r="AW256" i="5"/>
  <c r="AV256" i="5"/>
  <c r="AX255" i="5"/>
  <c r="AW255" i="5"/>
  <c r="AV255" i="5"/>
  <c r="AX254" i="5"/>
  <c r="AW254" i="5"/>
  <c r="AV254" i="5"/>
  <c r="AX253" i="5"/>
  <c r="AW253" i="5"/>
  <c r="AV253" i="5"/>
  <c r="AX252" i="5"/>
  <c r="AW252" i="5"/>
  <c r="AV252" i="5"/>
  <c r="AX251" i="5"/>
  <c r="AW251" i="5"/>
  <c r="AV251" i="5"/>
  <c r="AX250" i="5"/>
  <c r="AW250" i="5"/>
  <c r="AV250" i="5"/>
  <c r="AX249" i="5"/>
  <c r="AW249" i="5"/>
  <c r="AV249" i="5"/>
  <c r="AX248" i="5"/>
  <c r="AW248" i="5"/>
  <c r="AV248" i="5"/>
  <c r="AX247" i="5"/>
  <c r="AW247" i="5"/>
  <c r="AV247" i="5"/>
  <c r="AX246" i="5"/>
  <c r="AW246" i="5"/>
  <c r="AV246" i="5"/>
  <c r="AX245" i="5"/>
  <c r="AW245" i="5"/>
  <c r="AV245" i="5"/>
  <c r="AX244" i="5"/>
  <c r="AW244" i="5"/>
  <c r="AV244" i="5"/>
  <c r="AX243" i="5"/>
  <c r="AW243" i="5"/>
  <c r="AV243" i="5"/>
  <c r="AX242" i="5"/>
  <c r="AW242" i="5"/>
  <c r="AV242" i="5"/>
  <c r="AX241" i="5"/>
  <c r="AW241" i="5"/>
  <c r="AV241" i="5"/>
  <c r="AX240" i="5"/>
  <c r="AW240" i="5"/>
  <c r="AV240" i="5"/>
  <c r="AX239" i="5"/>
  <c r="AW239" i="5"/>
  <c r="AV239" i="5"/>
  <c r="AX238" i="5"/>
  <c r="AW238" i="5"/>
  <c r="AV238" i="5"/>
  <c r="AX237" i="5"/>
  <c r="AW237" i="5"/>
  <c r="AV237" i="5"/>
  <c r="AX236" i="5"/>
  <c r="AW236" i="5"/>
  <c r="AV236" i="5"/>
  <c r="AX235" i="5"/>
  <c r="AW235" i="5"/>
  <c r="AV235" i="5"/>
  <c r="AX234" i="5"/>
  <c r="AW234" i="5"/>
  <c r="AV234" i="5"/>
  <c r="AX233" i="5"/>
  <c r="AW233" i="5"/>
  <c r="AV233" i="5"/>
  <c r="AX232" i="5"/>
  <c r="AW232" i="5"/>
  <c r="AV232" i="5"/>
  <c r="AX231" i="5"/>
  <c r="AW231" i="5"/>
  <c r="AV231" i="5"/>
  <c r="AX230" i="5"/>
  <c r="AW230" i="5"/>
  <c r="AV230" i="5"/>
  <c r="AX229" i="5"/>
  <c r="AW229" i="5"/>
  <c r="AV229" i="5"/>
  <c r="AX228" i="5"/>
  <c r="AW228" i="5"/>
  <c r="AV228" i="5"/>
  <c r="AX227" i="5"/>
  <c r="AW227" i="5"/>
  <c r="AV227" i="5"/>
  <c r="AX226" i="5"/>
  <c r="AW226" i="5"/>
  <c r="AV226" i="5"/>
  <c r="AX225" i="5"/>
  <c r="AW225" i="5"/>
  <c r="AV225" i="5"/>
  <c r="AX224" i="5"/>
  <c r="AW224" i="5"/>
  <c r="AV224" i="5"/>
  <c r="AX223" i="5"/>
  <c r="AW223" i="5"/>
  <c r="AV223" i="5"/>
  <c r="AX222" i="5"/>
  <c r="AW222" i="5"/>
  <c r="AV222" i="5"/>
  <c r="AX221" i="5"/>
  <c r="AW221" i="5"/>
  <c r="AV221" i="5"/>
  <c r="AX220" i="5"/>
  <c r="AW220" i="5"/>
  <c r="AV220" i="5"/>
  <c r="AX219" i="5"/>
  <c r="AW219" i="5"/>
  <c r="AV219" i="5"/>
  <c r="AX218" i="5"/>
  <c r="AW218" i="5"/>
  <c r="AV218" i="5"/>
  <c r="AX217" i="5"/>
  <c r="AW217" i="5"/>
  <c r="AV217" i="5"/>
  <c r="AX216" i="5"/>
  <c r="AW216" i="5"/>
  <c r="AV216" i="5"/>
  <c r="AX215" i="5"/>
  <c r="AW215" i="5"/>
  <c r="AV215" i="5"/>
  <c r="AX214" i="5"/>
  <c r="AW214" i="5"/>
  <c r="AV214" i="5"/>
  <c r="AX213" i="5"/>
  <c r="AW213" i="5"/>
  <c r="AV213" i="5"/>
  <c r="AX212" i="5"/>
  <c r="AW212" i="5"/>
  <c r="AV212" i="5"/>
  <c r="AX211" i="5"/>
  <c r="AW211" i="5"/>
  <c r="AV211" i="5"/>
  <c r="AX210" i="5"/>
  <c r="AW210" i="5"/>
  <c r="AV210" i="5"/>
  <c r="AX209" i="5"/>
  <c r="AW209" i="5"/>
  <c r="AV209" i="5"/>
  <c r="AX208" i="5"/>
  <c r="AW208" i="5"/>
  <c r="AV208" i="5"/>
  <c r="AX207" i="5"/>
  <c r="AW207" i="5"/>
  <c r="AV207" i="5"/>
  <c r="AX206" i="5"/>
  <c r="AW206" i="5"/>
  <c r="AV206" i="5"/>
  <c r="AX205" i="5"/>
  <c r="AW205" i="5"/>
  <c r="AV205" i="5"/>
  <c r="AX204" i="5"/>
  <c r="AW204" i="5"/>
  <c r="AV204" i="5"/>
  <c r="AX203" i="5"/>
  <c r="AW203" i="5"/>
  <c r="AV203" i="5"/>
  <c r="AX202" i="5"/>
  <c r="AW202" i="5"/>
  <c r="AV202" i="5"/>
  <c r="AX201" i="5"/>
  <c r="AW201" i="5"/>
  <c r="AV201" i="5"/>
  <c r="AX200" i="5"/>
  <c r="AW200" i="5"/>
  <c r="AV200" i="5"/>
  <c r="AX199" i="5"/>
  <c r="AW199" i="5"/>
  <c r="AV199" i="5"/>
  <c r="AX198" i="5"/>
  <c r="AW198" i="5"/>
  <c r="AV198" i="5"/>
  <c r="AX197" i="5"/>
  <c r="AW197" i="5"/>
  <c r="AV197" i="5"/>
  <c r="AX196" i="5"/>
  <c r="AW196" i="5"/>
  <c r="AV196" i="5"/>
  <c r="AX195" i="5"/>
  <c r="AW195" i="5"/>
  <c r="AV195" i="5"/>
  <c r="AX194" i="5"/>
  <c r="AW194" i="5"/>
  <c r="AV194" i="5"/>
  <c r="AX193" i="5"/>
  <c r="AW193" i="5"/>
  <c r="AV193" i="5"/>
  <c r="AX192" i="5"/>
  <c r="AW192" i="5"/>
  <c r="AV192" i="5"/>
  <c r="AX191" i="5"/>
  <c r="AW191" i="5"/>
  <c r="AV191" i="5"/>
  <c r="AX190" i="5"/>
  <c r="AW190" i="5"/>
  <c r="AV190" i="5"/>
  <c r="AX189" i="5"/>
  <c r="AW189" i="5"/>
  <c r="AV189" i="5"/>
  <c r="AX188" i="5"/>
  <c r="AW188" i="5"/>
  <c r="AV188" i="5"/>
  <c r="AX187" i="5"/>
  <c r="AW187" i="5"/>
  <c r="AV187" i="5"/>
  <c r="AX186" i="5"/>
  <c r="AW186" i="5"/>
  <c r="AV186" i="5"/>
  <c r="AX185" i="5"/>
  <c r="AW185" i="5"/>
  <c r="AV185" i="5"/>
  <c r="AX184" i="5"/>
  <c r="AW184" i="5"/>
  <c r="AV184" i="5"/>
  <c r="AX183" i="5"/>
  <c r="AW183" i="5"/>
  <c r="AV183" i="5"/>
  <c r="AX182" i="5"/>
  <c r="AW182" i="5"/>
  <c r="AV182" i="5"/>
  <c r="AX181" i="5"/>
  <c r="AW181" i="5"/>
  <c r="AV181" i="5"/>
  <c r="AX180" i="5"/>
  <c r="AW180" i="5"/>
  <c r="AV180" i="5"/>
  <c r="AX179" i="5"/>
  <c r="AW179" i="5"/>
  <c r="AV179" i="5"/>
  <c r="AX178" i="5"/>
  <c r="AW178" i="5"/>
  <c r="AV178" i="5"/>
  <c r="AX177" i="5"/>
  <c r="AW177" i="5"/>
  <c r="AV177" i="5"/>
  <c r="AX176" i="5"/>
  <c r="AW176" i="5"/>
  <c r="AV176" i="5"/>
  <c r="AX175" i="5"/>
  <c r="AW175" i="5"/>
  <c r="AV175" i="5"/>
  <c r="AX174" i="5"/>
  <c r="AW174" i="5"/>
  <c r="AV174" i="5"/>
  <c r="AX173" i="5"/>
  <c r="AW173" i="5"/>
  <c r="AV173" i="5"/>
  <c r="AX172" i="5"/>
  <c r="AW172" i="5"/>
  <c r="AV172" i="5"/>
  <c r="AX171" i="5"/>
  <c r="AW171" i="5"/>
  <c r="AV171" i="5"/>
  <c r="AX170" i="5"/>
  <c r="AW170" i="5"/>
  <c r="AV170" i="5"/>
  <c r="AX169" i="5"/>
  <c r="AW169" i="5"/>
  <c r="AV169" i="5"/>
  <c r="AX168" i="5"/>
  <c r="AW168" i="5"/>
  <c r="AV168" i="5"/>
  <c r="AX167" i="5"/>
  <c r="AW167" i="5"/>
  <c r="AV167" i="5"/>
  <c r="AX166" i="5"/>
  <c r="AW166" i="5"/>
  <c r="AV166" i="5"/>
  <c r="AX165" i="5"/>
  <c r="AW165" i="5"/>
  <c r="AV165" i="5"/>
  <c r="AX164" i="5"/>
  <c r="AW164" i="5"/>
  <c r="AV164" i="5"/>
  <c r="AX163" i="5"/>
  <c r="AW163" i="5"/>
  <c r="AV163" i="5"/>
  <c r="AX162" i="5"/>
  <c r="AW162" i="5"/>
  <c r="AV162" i="5"/>
  <c r="AX161" i="5"/>
  <c r="AW161" i="5"/>
  <c r="AV161" i="5"/>
  <c r="AX160" i="5"/>
  <c r="AW160" i="5"/>
  <c r="AV160" i="5"/>
  <c r="AX159" i="5"/>
  <c r="AW159" i="5"/>
  <c r="AV159" i="5"/>
  <c r="AX158" i="5"/>
  <c r="AW158" i="5"/>
  <c r="AV158" i="5"/>
  <c r="AX157" i="5"/>
  <c r="AW157" i="5"/>
  <c r="AV157" i="5"/>
  <c r="AX156" i="5"/>
  <c r="AW156" i="5"/>
  <c r="AV156" i="5"/>
  <c r="AX155" i="5"/>
  <c r="AW155" i="5"/>
  <c r="AV155" i="5"/>
  <c r="AX154" i="5"/>
  <c r="AW154" i="5"/>
  <c r="AV154" i="5"/>
  <c r="AX153" i="5"/>
  <c r="AW153" i="5"/>
  <c r="AV153" i="5"/>
  <c r="AX152" i="5"/>
  <c r="AW152" i="5"/>
  <c r="AV152" i="5"/>
  <c r="AX151" i="5"/>
  <c r="AW151" i="5"/>
  <c r="AV151" i="5"/>
  <c r="AX150" i="5"/>
  <c r="AW150" i="5"/>
  <c r="AV150" i="5"/>
  <c r="AX149" i="5"/>
  <c r="AW149" i="5"/>
  <c r="AV149" i="5"/>
  <c r="AX148" i="5"/>
  <c r="AW148" i="5"/>
  <c r="AV148" i="5"/>
  <c r="AX147" i="5"/>
  <c r="AW147" i="5"/>
  <c r="AV147" i="5"/>
  <c r="AX146" i="5"/>
  <c r="AW146" i="5"/>
  <c r="AV146" i="5"/>
  <c r="AX145" i="5"/>
  <c r="AW145" i="5"/>
  <c r="AV145" i="5"/>
  <c r="AX144" i="5"/>
  <c r="AW144" i="5"/>
  <c r="AV144" i="5"/>
  <c r="AX143" i="5"/>
  <c r="AW143" i="5"/>
  <c r="AV143" i="5"/>
  <c r="AX142" i="5"/>
  <c r="AW142" i="5"/>
  <c r="AV142" i="5"/>
  <c r="AX141" i="5"/>
  <c r="AW141" i="5"/>
  <c r="AV141" i="5"/>
  <c r="AX140" i="5"/>
  <c r="AW140" i="5"/>
  <c r="AV140" i="5"/>
  <c r="AX139" i="5"/>
  <c r="AW139" i="5"/>
  <c r="AV139" i="5"/>
  <c r="AX138" i="5"/>
  <c r="AW138" i="5"/>
  <c r="AV138" i="5"/>
  <c r="AX137" i="5"/>
  <c r="AW137" i="5"/>
  <c r="AV137" i="5"/>
  <c r="AX136" i="5"/>
  <c r="AW136" i="5"/>
  <c r="AV136" i="5"/>
  <c r="AX135" i="5"/>
  <c r="AW135" i="5"/>
  <c r="AV135" i="5"/>
  <c r="AX134" i="5"/>
  <c r="AW134" i="5"/>
  <c r="AV134" i="5"/>
  <c r="AX133" i="5"/>
  <c r="AW133" i="5"/>
  <c r="AV133" i="5"/>
  <c r="AX132" i="5"/>
  <c r="AW132" i="5"/>
  <c r="AV132" i="5"/>
  <c r="AX131" i="5"/>
  <c r="AW131" i="5"/>
  <c r="AV131" i="5"/>
  <c r="AX130" i="5"/>
  <c r="AW130" i="5"/>
  <c r="AV130" i="5"/>
  <c r="AX129" i="5"/>
  <c r="AW129" i="5"/>
  <c r="AV129" i="5"/>
  <c r="AX128" i="5"/>
  <c r="AW128" i="5"/>
  <c r="AV128" i="5"/>
  <c r="AX127" i="5"/>
  <c r="AW127" i="5"/>
  <c r="AV127" i="5"/>
  <c r="AX126" i="5"/>
  <c r="AW126" i="5"/>
  <c r="AV126" i="5"/>
  <c r="AX125" i="5"/>
  <c r="AW125" i="5"/>
  <c r="AV125" i="5"/>
  <c r="AX124" i="5"/>
  <c r="AW124" i="5"/>
  <c r="AV124" i="5"/>
  <c r="AX123" i="5"/>
  <c r="AW123" i="5"/>
  <c r="AV123" i="5"/>
  <c r="AX122" i="5"/>
  <c r="AW122" i="5"/>
  <c r="AV122" i="5"/>
  <c r="AX121" i="5"/>
  <c r="AW121" i="5"/>
  <c r="AV121" i="5"/>
  <c r="AX120" i="5"/>
  <c r="AW120" i="5"/>
  <c r="AV120" i="5"/>
  <c r="AX119" i="5"/>
  <c r="AW119" i="5"/>
  <c r="AV119" i="5"/>
  <c r="AX118" i="5"/>
  <c r="AW118" i="5"/>
  <c r="AV118" i="5"/>
  <c r="AX117" i="5"/>
  <c r="AW117" i="5"/>
  <c r="AV117" i="5"/>
  <c r="AX116" i="5"/>
  <c r="AW116" i="5"/>
  <c r="AV116" i="5"/>
  <c r="AX115" i="5"/>
  <c r="AW115" i="5"/>
  <c r="AV115" i="5"/>
  <c r="AX114" i="5"/>
  <c r="AW114" i="5"/>
  <c r="AV114" i="5"/>
  <c r="AX113" i="5"/>
  <c r="AW113" i="5"/>
  <c r="AV113" i="5"/>
  <c r="AX112" i="5"/>
  <c r="AW112" i="5"/>
  <c r="AV112" i="5"/>
  <c r="AV111" i="5"/>
  <c r="AX110" i="5"/>
  <c r="AW110" i="5"/>
  <c r="AV110" i="5"/>
  <c r="AV347" i="5" s="1"/>
  <c r="AW109" i="5"/>
  <c r="AV109" i="5"/>
  <c r="AX108" i="5"/>
  <c r="AW108" i="5"/>
  <c r="AV108" i="5"/>
  <c r="AX107" i="5"/>
  <c r="AW107" i="5"/>
  <c r="AX106" i="5"/>
  <c r="AW106" i="5"/>
  <c r="AV106" i="5"/>
  <c r="AX105" i="5"/>
  <c r="AW105" i="5"/>
  <c r="AV105" i="5"/>
  <c r="AX104" i="5"/>
  <c r="AW104" i="5"/>
  <c r="AV104" i="5"/>
  <c r="AX103" i="5"/>
  <c r="AW103" i="5"/>
  <c r="AV103" i="5"/>
  <c r="AX102" i="5"/>
  <c r="AW102" i="5"/>
  <c r="AV102" i="5"/>
  <c r="AX101" i="5"/>
  <c r="AW101" i="5"/>
  <c r="AV101" i="5"/>
  <c r="AX100" i="5"/>
  <c r="AW100" i="5"/>
  <c r="AV100" i="5"/>
  <c r="AX99" i="5"/>
  <c r="AW99" i="5"/>
  <c r="AV99" i="5"/>
  <c r="AX98" i="5"/>
  <c r="AW98" i="5"/>
  <c r="AV98" i="5"/>
  <c r="AX97" i="5"/>
  <c r="AW97" i="5"/>
  <c r="AV97" i="5"/>
  <c r="AX96" i="5"/>
  <c r="AW96" i="5"/>
  <c r="AV96" i="5"/>
  <c r="AX95" i="5"/>
  <c r="AW95" i="5"/>
  <c r="AV95" i="5"/>
  <c r="AX94" i="5"/>
  <c r="AW94" i="5"/>
  <c r="AV94" i="5"/>
  <c r="AX93" i="5"/>
  <c r="AW93" i="5"/>
  <c r="AV93" i="5"/>
  <c r="AX92" i="5"/>
  <c r="AW92" i="5"/>
  <c r="AV92" i="5"/>
  <c r="AX91" i="5"/>
  <c r="AW91" i="5"/>
  <c r="AV91" i="5"/>
  <c r="AX90" i="5"/>
  <c r="AW90" i="5"/>
  <c r="AV90" i="5"/>
  <c r="AX89" i="5"/>
  <c r="AW89" i="5"/>
  <c r="AV89" i="5"/>
  <c r="AX88" i="5"/>
  <c r="AW88" i="5"/>
  <c r="AV88" i="5"/>
  <c r="AX87" i="5"/>
  <c r="AW87" i="5"/>
  <c r="AV87" i="5"/>
  <c r="AX86" i="5"/>
  <c r="AW86" i="5"/>
  <c r="AV86" i="5"/>
  <c r="AX85" i="5"/>
  <c r="AW85" i="5"/>
  <c r="AV85" i="5"/>
  <c r="AX84" i="5"/>
  <c r="AW84" i="5"/>
  <c r="AV84" i="5"/>
  <c r="AX83" i="5"/>
  <c r="AW83" i="5"/>
  <c r="AV83" i="5"/>
  <c r="AX82" i="5"/>
  <c r="AW82" i="5"/>
  <c r="AV82" i="5"/>
  <c r="AX81" i="5"/>
  <c r="AW81" i="5"/>
  <c r="AV81" i="5"/>
  <c r="AX80" i="5"/>
  <c r="AW80" i="5"/>
  <c r="AV80" i="5"/>
  <c r="AX79" i="5"/>
  <c r="AW79" i="5"/>
  <c r="AV79" i="5"/>
  <c r="AX78" i="5"/>
  <c r="AW78" i="5"/>
  <c r="AV78" i="5"/>
  <c r="AX77" i="5"/>
  <c r="AW77" i="5"/>
  <c r="AV77" i="5"/>
  <c r="AX76" i="5"/>
  <c r="AW76" i="5"/>
  <c r="AV76" i="5"/>
  <c r="AX75" i="5"/>
  <c r="AW75" i="5"/>
  <c r="AV75" i="5"/>
  <c r="AX74" i="5"/>
  <c r="AW74" i="5"/>
  <c r="AV74" i="5"/>
  <c r="AX73" i="5"/>
  <c r="AW73" i="5"/>
  <c r="AV73" i="5"/>
  <c r="AX72" i="5"/>
  <c r="AW72" i="5"/>
  <c r="AV72" i="5"/>
  <c r="AX71" i="5"/>
  <c r="AW71" i="5"/>
  <c r="AV71" i="5"/>
  <c r="AX70" i="5"/>
  <c r="AW70" i="5"/>
  <c r="AV70" i="5"/>
  <c r="AX69" i="5"/>
  <c r="AW69" i="5"/>
  <c r="AV69" i="5"/>
  <c r="AX68" i="5"/>
  <c r="AW68" i="5"/>
  <c r="AV68" i="5"/>
  <c r="AX67" i="5"/>
  <c r="AW67" i="5"/>
  <c r="AV67" i="5"/>
  <c r="AX66" i="5"/>
  <c r="AW66" i="5"/>
  <c r="AV66" i="5"/>
  <c r="AX65" i="5"/>
  <c r="AW65" i="5"/>
  <c r="AV65" i="5"/>
  <c r="AX64" i="5"/>
  <c r="AW64" i="5"/>
  <c r="AV64" i="5"/>
  <c r="AX63" i="5"/>
  <c r="AW63" i="5"/>
  <c r="AV63" i="5"/>
  <c r="AX62" i="5"/>
  <c r="AW62" i="5"/>
  <c r="AV62" i="5"/>
  <c r="AX61" i="5"/>
  <c r="AW61" i="5"/>
  <c r="AV61" i="5"/>
  <c r="AX60" i="5"/>
  <c r="AW60" i="5"/>
  <c r="AV60" i="5"/>
  <c r="AX59" i="5"/>
  <c r="AW59" i="5"/>
  <c r="AV59" i="5"/>
  <c r="AX58" i="5"/>
  <c r="AW58" i="5"/>
  <c r="AV58" i="5"/>
  <c r="AX57" i="5"/>
  <c r="AW57" i="5"/>
  <c r="AV57" i="5"/>
  <c r="AX56" i="5"/>
  <c r="AW56" i="5"/>
  <c r="AV56" i="5"/>
  <c r="AX55" i="5"/>
  <c r="AW55" i="5"/>
  <c r="AV55" i="5"/>
  <c r="AX54" i="5"/>
  <c r="AW54" i="5"/>
  <c r="AV54" i="5"/>
  <c r="AX53" i="5"/>
  <c r="AW53" i="5"/>
  <c r="AV53" i="5"/>
  <c r="AX52" i="5"/>
  <c r="AW52" i="5"/>
  <c r="AV52" i="5"/>
  <c r="AX51" i="5"/>
  <c r="AW51" i="5"/>
  <c r="AV51" i="5"/>
  <c r="AX50" i="5"/>
  <c r="AW50" i="5"/>
  <c r="AV50" i="5"/>
  <c r="AX49" i="5"/>
  <c r="AW49" i="5"/>
  <c r="AV49" i="5"/>
  <c r="AX48" i="5"/>
  <c r="AW48" i="5"/>
  <c r="AV48" i="5"/>
  <c r="AX47" i="5"/>
  <c r="AW47" i="5"/>
  <c r="AV47" i="5"/>
  <c r="AX46" i="5"/>
  <c r="AW46" i="5"/>
  <c r="AV46" i="5"/>
  <c r="AX45" i="5"/>
  <c r="AW45" i="5"/>
  <c r="AV45" i="5"/>
  <c r="AX44" i="5"/>
  <c r="AW44" i="5"/>
  <c r="AV44" i="5"/>
  <c r="AX43" i="5"/>
  <c r="AW43" i="5"/>
  <c r="AV43" i="5"/>
  <c r="AX42" i="5"/>
  <c r="AW42" i="5"/>
  <c r="AV42" i="5"/>
  <c r="AX41" i="5"/>
  <c r="AW41" i="5"/>
  <c r="AV41" i="5"/>
  <c r="AX40" i="5"/>
  <c r="AW40" i="5"/>
  <c r="AV40" i="5"/>
  <c r="AX39" i="5"/>
  <c r="AW39" i="5"/>
  <c r="AV39" i="5"/>
  <c r="AX38" i="5"/>
  <c r="AW38" i="5"/>
  <c r="AV38" i="5"/>
  <c r="AX37" i="5"/>
  <c r="AW37" i="5"/>
  <c r="AV37" i="5"/>
  <c r="AX36" i="5"/>
  <c r="AW36" i="5"/>
  <c r="AV36" i="5"/>
  <c r="AX35" i="5"/>
  <c r="AW35" i="5"/>
  <c r="AV35" i="5"/>
  <c r="AX34" i="5"/>
  <c r="AW34" i="5"/>
  <c r="AV34" i="5"/>
  <c r="AX33" i="5"/>
  <c r="AW33" i="5"/>
  <c r="AV33" i="5"/>
  <c r="AX32" i="5"/>
  <c r="AW32" i="5"/>
  <c r="AV32" i="5"/>
  <c r="AX31" i="5"/>
  <c r="AW31" i="5"/>
  <c r="AV31" i="5"/>
  <c r="AX30" i="5"/>
  <c r="AW30" i="5"/>
  <c r="AV30" i="5"/>
  <c r="AX29" i="5"/>
  <c r="AW29" i="5"/>
  <c r="AV29" i="5"/>
  <c r="AX28" i="5"/>
  <c r="AW28" i="5"/>
  <c r="AV28" i="5"/>
  <c r="AX27" i="5"/>
  <c r="AW27" i="5"/>
  <c r="AV27" i="5"/>
  <c r="AX26" i="5"/>
  <c r="AW26" i="5"/>
  <c r="AV26" i="5"/>
  <c r="AX25" i="5"/>
  <c r="AW25" i="5"/>
  <c r="AV25" i="5"/>
  <c r="AX24" i="5"/>
  <c r="AW24" i="5"/>
  <c r="AV24" i="5"/>
  <c r="AX23" i="5"/>
  <c r="AW23" i="5"/>
  <c r="AV23" i="5"/>
  <c r="AX22" i="5"/>
  <c r="AW22" i="5"/>
  <c r="AV22" i="5"/>
  <c r="AX21" i="5"/>
  <c r="AW21" i="5"/>
  <c r="AV21" i="5"/>
  <c r="AX20" i="5"/>
  <c r="AW20" i="5"/>
  <c r="AV20" i="5"/>
  <c r="AX19" i="5"/>
  <c r="AW19" i="5"/>
  <c r="AV19" i="5"/>
  <c r="AX18" i="5"/>
  <c r="AW18" i="5"/>
  <c r="AV18" i="5"/>
  <c r="AX17" i="5"/>
  <c r="AW17" i="5"/>
  <c r="AV17" i="5"/>
  <c r="AX16" i="5"/>
  <c r="AW16" i="5"/>
  <c r="AV16" i="5"/>
  <c r="AX15" i="5"/>
  <c r="AW15" i="5"/>
  <c r="AV15" i="5"/>
  <c r="AX14" i="5"/>
  <c r="AW14" i="5"/>
  <c r="AV14" i="5"/>
  <c r="AX13" i="5"/>
  <c r="AW13" i="5"/>
  <c r="AV13" i="5"/>
  <c r="AX12" i="5"/>
  <c r="AW12" i="5"/>
  <c r="AV12" i="5"/>
  <c r="AX11" i="5"/>
  <c r="AW11" i="5"/>
  <c r="AV11" i="5"/>
  <c r="AX10" i="5"/>
  <c r="AW10" i="5"/>
  <c r="AV10" i="5"/>
  <c r="AX9" i="5"/>
  <c r="AW9" i="5"/>
  <c r="AV9" i="5"/>
  <c r="AX8" i="5"/>
  <c r="AW8" i="5"/>
  <c r="AV8" i="5"/>
  <c r="AX7" i="5"/>
  <c r="AW7" i="5"/>
  <c r="AV7" i="5"/>
  <c r="AX6" i="5"/>
  <c r="AW6" i="5"/>
  <c r="AV6" i="5"/>
  <c r="AX5" i="5"/>
  <c r="AW5" i="5"/>
  <c r="AV5" i="5"/>
  <c r="R249" i="1"/>
  <c r="R244" i="1"/>
  <c r="R235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215" i="3"/>
  <c r="R214" i="3"/>
  <c r="R213" i="3"/>
  <c r="R210" i="3"/>
  <c r="R209" i="3"/>
  <c r="R208" i="3"/>
  <c r="R205" i="3"/>
  <c r="R204" i="3"/>
  <c r="R203" i="3"/>
  <c r="R202" i="3"/>
  <c r="R199" i="3"/>
  <c r="R198" i="3"/>
  <c r="R195" i="3"/>
  <c r="R194" i="3"/>
  <c r="R193" i="3"/>
  <c r="R190" i="3"/>
  <c r="R189" i="3"/>
  <c r="R186" i="3"/>
  <c r="R185" i="3"/>
  <c r="R184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29" i="2"/>
  <c r="R228" i="2"/>
  <c r="R227" i="2"/>
  <c r="R226" i="2"/>
  <c r="R224" i="2"/>
  <c r="R223" i="2"/>
  <c r="R222" i="2"/>
  <c r="R221" i="2"/>
  <c r="R219" i="2"/>
  <c r="R218" i="2"/>
  <c r="R217" i="2"/>
  <c r="R214" i="2"/>
  <c r="R213" i="2"/>
  <c r="R212" i="2"/>
  <c r="R209" i="2"/>
  <c r="R208" i="2"/>
  <c r="R207" i="2"/>
  <c r="R206" i="2"/>
  <c r="R203" i="2"/>
  <c r="R202" i="2"/>
  <c r="R199" i="2"/>
  <c r="R198" i="2"/>
  <c r="R197" i="2"/>
  <c r="R194" i="2"/>
  <c r="R193" i="2"/>
  <c r="R190" i="2"/>
  <c r="R189" i="2"/>
  <c r="R188" i="2"/>
  <c r="R184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AS337" i="5"/>
  <c r="AU333" i="5"/>
  <c r="AT333" i="5"/>
  <c r="AS333" i="5"/>
  <c r="AU317" i="5"/>
  <c r="AT317" i="5"/>
  <c r="AS317" i="5"/>
  <c r="AU316" i="5"/>
  <c r="AT316" i="5"/>
  <c r="AS316" i="5"/>
  <c r="AU315" i="5"/>
  <c r="AT315" i="5"/>
  <c r="AS315" i="5"/>
  <c r="AU314" i="5"/>
  <c r="AT314" i="5"/>
  <c r="AS314" i="5"/>
  <c r="AU313" i="5"/>
  <c r="AT313" i="5"/>
  <c r="AS313" i="5"/>
  <c r="AU312" i="5"/>
  <c r="AT312" i="5"/>
  <c r="AS312" i="5"/>
  <c r="AU311" i="5"/>
  <c r="AT311" i="5"/>
  <c r="AS311" i="5"/>
  <c r="AU310" i="5"/>
  <c r="AT310" i="5"/>
  <c r="AS310" i="5"/>
  <c r="AU309" i="5"/>
  <c r="AT309" i="5"/>
  <c r="AS309" i="5"/>
  <c r="AU308" i="5"/>
  <c r="AT308" i="5"/>
  <c r="AS308" i="5"/>
  <c r="AU307" i="5"/>
  <c r="AT307" i="5"/>
  <c r="AS307" i="5"/>
  <c r="AU306" i="5"/>
  <c r="AT306" i="5"/>
  <c r="AS306" i="5"/>
  <c r="AU305" i="5"/>
  <c r="AT305" i="5"/>
  <c r="AS305" i="5"/>
  <c r="AU304" i="5"/>
  <c r="AT304" i="5"/>
  <c r="AS304" i="5"/>
  <c r="AU303" i="5"/>
  <c r="AT303" i="5"/>
  <c r="AS303" i="5"/>
  <c r="AU302" i="5"/>
  <c r="AT302" i="5"/>
  <c r="AS302" i="5"/>
  <c r="AU301" i="5"/>
  <c r="AT301" i="5"/>
  <c r="AS301" i="5"/>
  <c r="AU300" i="5"/>
  <c r="AT300" i="5"/>
  <c r="AS300" i="5"/>
  <c r="AU299" i="5"/>
  <c r="AT299" i="5"/>
  <c r="AS299" i="5"/>
  <c r="AU298" i="5"/>
  <c r="AT298" i="5"/>
  <c r="AS298" i="5"/>
  <c r="AU297" i="5"/>
  <c r="AT297" i="5"/>
  <c r="AS297" i="5"/>
  <c r="AU296" i="5"/>
  <c r="AT296" i="5"/>
  <c r="AS296" i="5"/>
  <c r="AU295" i="5"/>
  <c r="AT295" i="5"/>
  <c r="AS295" i="5"/>
  <c r="AU294" i="5"/>
  <c r="AT294" i="5"/>
  <c r="AS294" i="5"/>
  <c r="AU293" i="5"/>
  <c r="AT293" i="5"/>
  <c r="AS293" i="5"/>
  <c r="AU292" i="5"/>
  <c r="AT292" i="5"/>
  <c r="AU291" i="5"/>
  <c r="AT291" i="5"/>
  <c r="AS291" i="5"/>
  <c r="AU290" i="5"/>
  <c r="AT290" i="5"/>
  <c r="AS290" i="5"/>
  <c r="AU289" i="5"/>
  <c r="AT289" i="5"/>
  <c r="AS289" i="5"/>
  <c r="AU288" i="5"/>
  <c r="AT288" i="5"/>
  <c r="AS288" i="5"/>
  <c r="AU287" i="5"/>
  <c r="AT287" i="5"/>
  <c r="AS287" i="5"/>
  <c r="AU286" i="5"/>
  <c r="AT286" i="5"/>
  <c r="AS286" i="5"/>
  <c r="AU285" i="5"/>
  <c r="AT285" i="5"/>
  <c r="AS285" i="5"/>
  <c r="AU284" i="5"/>
  <c r="AT284" i="5"/>
  <c r="AS284" i="5"/>
  <c r="AU283" i="5"/>
  <c r="AT283" i="5"/>
  <c r="AS283" i="5"/>
  <c r="AU282" i="5"/>
  <c r="AT282" i="5"/>
  <c r="AS282" i="5"/>
  <c r="AU281" i="5"/>
  <c r="AT281" i="5"/>
  <c r="AS281" i="5"/>
  <c r="AU280" i="5"/>
  <c r="AT280" i="5"/>
  <c r="AS280" i="5"/>
  <c r="AU279" i="5"/>
  <c r="AT279" i="5"/>
  <c r="AS279" i="5"/>
  <c r="AU278" i="5"/>
  <c r="AT278" i="5"/>
  <c r="AS278" i="5"/>
  <c r="AU277" i="5"/>
  <c r="AT277" i="5"/>
  <c r="AS277" i="5"/>
  <c r="AU276" i="5"/>
  <c r="AT276" i="5"/>
  <c r="AS276" i="5"/>
  <c r="AU275" i="5"/>
  <c r="AT275" i="5"/>
  <c r="AS275" i="5"/>
  <c r="AU274" i="5"/>
  <c r="AT274" i="5"/>
  <c r="AS274" i="5"/>
  <c r="AU273" i="5"/>
  <c r="AT273" i="5"/>
  <c r="AS273" i="5"/>
  <c r="AU272" i="5"/>
  <c r="AT272" i="5"/>
  <c r="AS272" i="5"/>
  <c r="AU271" i="5"/>
  <c r="AT271" i="5"/>
  <c r="AS271" i="5"/>
  <c r="AU270" i="5"/>
  <c r="AT270" i="5"/>
  <c r="AS270" i="5"/>
  <c r="AU269" i="5"/>
  <c r="AT269" i="5"/>
  <c r="AS269" i="5"/>
  <c r="AU268" i="5"/>
  <c r="AT268" i="5"/>
  <c r="AS268" i="5"/>
  <c r="AU267" i="5"/>
  <c r="AT267" i="5"/>
  <c r="AS267" i="5"/>
  <c r="AU266" i="5"/>
  <c r="AT266" i="5"/>
  <c r="AS266" i="5"/>
  <c r="AU265" i="5"/>
  <c r="AT265" i="5"/>
  <c r="AS265" i="5"/>
  <c r="AU264" i="5"/>
  <c r="AT264" i="5"/>
  <c r="AS264" i="5"/>
  <c r="AU263" i="5"/>
  <c r="AT263" i="5"/>
  <c r="AS263" i="5"/>
  <c r="AU262" i="5"/>
  <c r="AT262" i="5"/>
  <c r="AS262" i="5"/>
  <c r="AU261" i="5"/>
  <c r="AT261" i="5"/>
  <c r="AS261" i="5"/>
  <c r="AU260" i="5"/>
  <c r="AT260" i="5"/>
  <c r="AS260" i="5"/>
  <c r="AU259" i="5"/>
  <c r="AT259" i="5"/>
  <c r="AS259" i="5"/>
  <c r="AU258" i="5"/>
  <c r="AT258" i="5"/>
  <c r="AS258" i="5"/>
  <c r="AU257" i="5"/>
  <c r="AT257" i="5"/>
  <c r="AS257" i="5"/>
  <c r="AU256" i="5"/>
  <c r="AT256" i="5"/>
  <c r="AS256" i="5"/>
  <c r="AU255" i="5"/>
  <c r="AT255" i="5"/>
  <c r="AS255" i="5"/>
  <c r="AU254" i="5"/>
  <c r="AT254" i="5"/>
  <c r="AS254" i="5"/>
  <c r="AU253" i="5"/>
  <c r="AT253" i="5"/>
  <c r="AS253" i="5"/>
  <c r="AU252" i="5"/>
  <c r="AT252" i="5"/>
  <c r="AS252" i="5"/>
  <c r="AU251" i="5"/>
  <c r="AT251" i="5"/>
  <c r="AS251" i="5"/>
  <c r="AU250" i="5"/>
  <c r="AT250" i="5"/>
  <c r="AS250" i="5"/>
  <c r="AU249" i="5"/>
  <c r="AT249" i="5"/>
  <c r="AS249" i="5"/>
  <c r="AU248" i="5"/>
  <c r="AT248" i="5"/>
  <c r="AS248" i="5"/>
  <c r="AU247" i="5"/>
  <c r="AT247" i="5"/>
  <c r="AS247" i="5"/>
  <c r="AU246" i="5"/>
  <c r="AT246" i="5"/>
  <c r="AS246" i="5"/>
  <c r="AU245" i="5"/>
  <c r="AT245" i="5"/>
  <c r="AS245" i="5"/>
  <c r="AU244" i="5"/>
  <c r="AT244" i="5"/>
  <c r="AS244" i="5"/>
  <c r="AU243" i="5"/>
  <c r="AT243" i="5"/>
  <c r="AS243" i="5"/>
  <c r="AU242" i="5"/>
  <c r="AT242" i="5"/>
  <c r="AS242" i="5"/>
  <c r="AU241" i="5"/>
  <c r="AT241" i="5"/>
  <c r="AS241" i="5"/>
  <c r="AU240" i="5"/>
  <c r="AT240" i="5"/>
  <c r="AS240" i="5"/>
  <c r="AU239" i="5"/>
  <c r="AT239" i="5"/>
  <c r="AS239" i="5"/>
  <c r="AU238" i="5"/>
  <c r="AT238" i="5"/>
  <c r="AS238" i="5"/>
  <c r="AU237" i="5"/>
  <c r="AT237" i="5"/>
  <c r="AS237" i="5"/>
  <c r="AU236" i="5"/>
  <c r="AT236" i="5"/>
  <c r="AS236" i="5"/>
  <c r="AU235" i="5"/>
  <c r="AT235" i="5"/>
  <c r="AS235" i="5"/>
  <c r="AU234" i="5"/>
  <c r="AT234" i="5"/>
  <c r="AS234" i="5"/>
  <c r="AU233" i="5"/>
  <c r="AT233" i="5"/>
  <c r="AS233" i="5"/>
  <c r="AU232" i="5"/>
  <c r="AT232" i="5"/>
  <c r="AS232" i="5"/>
  <c r="AU231" i="5"/>
  <c r="AT231" i="5"/>
  <c r="AS231" i="5"/>
  <c r="AU230" i="5"/>
  <c r="AT230" i="5"/>
  <c r="AS230" i="5"/>
  <c r="AU229" i="5"/>
  <c r="AT229" i="5"/>
  <c r="AS229" i="5"/>
  <c r="AU228" i="5"/>
  <c r="AT228" i="5"/>
  <c r="AS228" i="5"/>
  <c r="AU227" i="5"/>
  <c r="AT227" i="5"/>
  <c r="AS227" i="5"/>
  <c r="AU226" i="5"/>
  <c r="AT226" i="5"/>
  <c r="AS226" i="5"/>
  <c r="AU225" i="5"/>
  <c r="AT225" i="5"/>
  <c r="AS225" i="5"/>
  <c r="AU224" i="5"/>
  <c r="AT224" i="5"/>
  <c r="AS224" i="5"/>
  <c r="AU223" i="5"/>
  <c r="AT223" i="5"/>
  <c r="AS223" i="5"/>
  <c r="AU222" i="5"/>
  <c r="AT222" i="5"/>
  <c r="AS222" i="5"/>
  <c r="AU221" i="5"/>
  <c r="AT221" i="5"/>
  <c r="AS221" i="5"/>
  <c r="AU220" i="5"/>
  <c r="AT220" i="5"/>
  <c r="AS220" i="5"/>
  <c r="AU219" i="5"/>
  <c r="AT219" i="5"/>
  <c r="AS219" i="5"/>
  <c r="AU218" i="5"/>
  <c r="AT218" i="5"/>
  <c r="AS218" i="5"/>
  <c r="AU217" i="5"/>
  <c r="AT217" i="5"/>
  <c r="AS217" i="5"/>
  <c r="AU216" i="5"/>
  <c r="AT216" i="5"/>
  <c r="AS216" i="5"/>
  <c r="AU215" i="5"/>
  <c r="AT215" i="5"/>
  <c r="AS215" i="5"/>
  <c r="AU214" i="5"/>
  <c r="AT214" i="5"/>
  <c r="AS214" i="5"/>
  <c r="AU213" i="5"/>
  <c r="AT213" i="5"/>
  <c r="AS213" i="5"/>
  <c r="AU212" i="5"/>
  <c r="AT212" i="5"/>
  <c r="AS212" i="5"/>
  <c r="AU211" i="5"/>
  <c r="AT211" i="5"/>
  <c r="AS211" i="5"/>
  <c r="AU210" i="5"/>
  <c r="AT210" i="5"/>
  <c r="AS210" i="5"/>
  <c r="AU209" i="5"/>
  <c r="AT209" i="5"/>
  <c r="AS209" i="5"/>
  <c r="AU208" i="5"/>
  <c r="AT208" i="5"/>
  <c r="AS208" i="5"/>
  <c r="AU207" i="5"/>
  <c r="AT207" i="5"/>
  <c r="AS207" i="5"/>
  <c r="AU206" i="5"/>
  <c r="AT206" i="5"/>
  <c r="AS206" i="5"/>
  <c r="AU205" i="5"/>
  <c r="AT205" i="5"/>
  <c r="AS205" i="5"/>
  <c r="AU204" i="5"/>
  <c r="AT204" i="5"/>
  <c r="AS204" i="5"/>
  <c r="AU203" i="5"/>
  <c r="AT203" i="5"/>
  <c r="AS203" i="5"/>
  <c r="AU202" i="5"/>
  <c r="AT202" i="5"/>
  <c r="AS202" i="5"/>
  <c r="AU201" i="5"/>
  <c r="AT201" i="5"/>
  <c r="AS201" i="5"/>
  <c r="AU200" i="5"/>
  <c r="AT200" i="5"/>
  <c r="AS200" i="5"/>
  <c r="AU199" i="5"/>
  <c r="AT199" i="5"/>
  <c r="AS199" i="5"/>
  <c r="AU198" i="5"/>
  <c r="AT198" i="5"/>
  <c r="AS198" i="5"/>
  <c r="AU197" i="5"/>
  <c r="AT197" i="5"/>
  <c r="AS197" i="5"/>
  <c r="AU196" i="5"/>
  <c r="AT196" i="5"/>
  <c r="AS196" i="5"/>
  <c r="AU195" i="5"/>
  <c r="AT195" i="5"/>
  <c r="AS195" i="5"/>
  <c r="AU194" i="5"/>
  <c r="AT194" i="5"/>
  <c r="AS194" i="5"/>
  <c r="AU193" i="5"/>
  <c r="AT193" i="5"/>
  <c r="AS193" i="5"/>
  <c r="AU192" i="5"/>
  <c r="AT192" i="5"/>
  <c r="AS192" i="5"/>
  <c r="AU191" i="5"/>
  <c r="AT191" i="5"/>
  <c r="AS191" i="5"/>
  <c r="AU190" i="5"/>
  <c r="AT190" i="5"/>
  <c r="AS190" i="5"/>
  <c r="AU189" i="5"/>
  <c r="AT189" i="5"/>
  <c r="AS189" i="5"/>
  <c r="AU188" i="5"/>
  <c r="AT188" i="5"/>
  <c r="AS188" i="5"/>
  <c r="AU187" i="5"/>
  <c r="AT187" i="5"/>
  <c r="AS187" i="5"/>
  <c r="AU186" i="5"/>
  <c r="AT186" i="5"/>
  <c r="AS186" i="5"/>
  <c r="AU185" i="5"/>
  <c r="AT185" i="5"/>
  <c r="AS185" i="5"/>
  <c r="AU184" i="5"/>
  <c r="AT184" i="5"/>
  <c r="AS184" i="5"/>
  <c r="AU183" i="5"/>
  <c r="AT183" i="5"/>
  <c r="AS183" i="5"/>
  <c r="AU182" i="5"/>
  <c r="AT182" i="5"/>
  <c r="AS182" i="5"/>
  <c r="AU181" i="5"/>
  <c r="AT181" i="5"/>
  <c r="AS181" i="5"/>
  <c r="AU180" i="5"/>
  <c r="AT180" i="5"/>
  <c r="AS180" i="5"/>
  <c r="AU179" i="5"/>
  <c r="AT179" i="5"/>
  <c r="AS179" i="5"/>
  <c r="AU178" i="5"/>
  <c r="AT178" i="5"/>
  <c r="AS178" i="5"/>
  <c r="AU177" i="5"/>
  <c r="AT177" i="5"/>
  <c r="AS177" i="5"/>
  <c r="AU176" i="5"/>
  <c r="AT176" i="5"/>
  <c r="AS176" i="5"/>
  <c r="AU175" i="5"/>
  <c r="AT175" i="5"/>
  <c r="AS175" i="5"/>
  <c r="AU174" i="5"/>
  <c r="AT174" i="5"/>
  <c r="AS174" i="5"/>
  <c r="AU173" i="5"/>
  <c r="AT173" i="5"/>
  <c r="AS173" i="5"/>
  <c r="AU172" i="5"/>
  <c r="AT172" i="5"/>
  <c r="AS172" i="5"/>
  <c r="AU171" i="5"/>
  <c r="AT171" i="5"/>
  <c r="AS171" i="5"/>
  <c r="AU170" i="5"/>
  <c r="AT170" i="5"/>
  <c r="AS170" i="5"/>
  <c r="AU169" i="5"/>
  <c r="AT169" i="5"/>
  <c r="AS169" i="5"/>
  <c r="AU168" i="5"/>
  <c r="AT168" i="5"/>
  <c r="AS168" i="5"/>
  <c r="AU167" i="5"/>
  <c r="AT167" i="5"/>
  <c r="AS167" i="5"/>
  <c r="AU166" i="5"/>
  <c r="AT166" i="5"/>
  <c r="AS166" i="5"/>
  <c r="AU165" i="5"/>
  <c r="AT165" i="5"/>
  <c r="AS165" i="5"/>
  <c r="AU164" i="5"/>
  <c r="AT164" i="5"/>
  <c r="AS164" i="5"/>
  <c r="AU163" i="5"/>
  <c r="AT163" i="5"/>
  <c r="AS163" i="5"/>
  <c r="AU162" i="5"/>
  <c r="AT162" i="5"/>
  <c r="AS162" i="5"/>
  <c r="AU161" i="5"/>
  <c r="AT161" i="5"/>
  <c r="AS161" i="5"/>
  <c r="AU160" i="5"/>
  <c r="AT160" i="5"/>
  <c r="AS160" i="5"/>
  <c r="AU159" i="5"/>
  <c r="AT159" i="5"/>
  <c r="AS159" i="5"/>
  <c r="AU158" i="5"/>
  <c r="AT158" i="5"/>
  <c r="AS158" i="5"/>
  <c r="AU157" i="5"/>
  <c r="AT157" i="5"/>
  <c r="AS157" i="5"/>
  <c r="AU156" i="5"/>
  <c r="AT156" i="5"/>
  <c r="AS156" i="5"/>
  <c r="AU155" i="5"/>
  <c r="AT155" i="5"/>
  <c r="AS155" i="5"/>
  <c r="AU154" i="5"/>
  <c r="AT154" i="5"/>
  <c r="AS154" i="5"/>
  <c r="AU153" i="5"/>
  <c r="AT153" i="5"/>
  <c r="AS153" i="5"/>
  <c r="AU152" i="5"/>
  <c r="AT152" i="5"/>
  <c r="AS152" i="5"/>
  <c r="AU151" i="5"/>
  <c r="AT151" i="5"/>
  <c r="AS151" i="5"/>
  <c r="AU150" i="5"/>
  <c r="AT150" i="5"/>
  <c r="AS150" i="5"/>
  <c r="AU149" i="5"/>
  <c r="AT149" i="5"/>
  <c r="AS149" i="5"/>
  <c r="AU148" i="5"/>
  <c r="AT148" i="5"/>
  <c r="AS148" i="5"/>
  <c r="AU147" i="5"/>
  <c r="AT147" i="5"/>
  <c r="AS147" i="5"/>
  <c r="AU146" i="5"/>
  <c r="AT146" i="5"/>
  <c r="AS146" i="5"/>
  <c r="AU145" i="5"/>
  <c r="AT145" i="5"/>
  <c r="AS145" i="5"/>
  <c r="AU144" i="5"/>
  <c r="AT144" i="5"/>
  <c r="AS144" i="5"/>
  <c r="AU143" i="5"/>
  <c r="AT143" i="5"/>
  <c r="AS143" i="5"/>
  <c r="AU142" i="5"/>
  <c r="AT142" i="5"/>
  <c r="AS142" i="5"/>
  <c r="AU141" i="5"/>
  <c r="AT141" i="5"/>
  <c r="AS141" i="5"/>
  <c r="AU140" i="5"/>
  <c r="AT140" i="5"/>
  <c r="AS140" i="5"/>
  <c r="AU139" i="5"/>
  <c r="AT139" i="5"/>
  <c r="AS139" i="5"/>
  <c r="AU138" i="5"/>
  <c r="AT138" i="5"/>
  <c r="AS138" i="5"/>
  <c r="AU137" i="5"/>
  <c r="AT137" i="5"/>
  <c r="AS137" i="5"/>
  <c r="AU136" i="5"/>
  <c r="AT136" i="5"/>
  <c r="AS136" i="5"/>
  <c r="AU135" i="5"/>
  <c r="AT135" i="5"/>
  <c r="AS135" i="5"/>
  <c r="AU134" i="5"/>
  <c r="AT134" i="5"/>
  <c r="AS134" i="5"/>
  <c r="AU133" i="5"/>
  <c r="AT133" i="5"/>
  <c r="AS133" i="5"/>
  <c r="AU132" i="5"/>
  <c r="AT132" i="5"/>
  <c r="AS132" i="5"/>
  <c r="AU131" i="5"/>
  <c r="AT131" i="5"/>
  <c r="AS131" i="5"/>
  <c r="AU130" i="5"/>
  <c r="AT130" i="5"/>
  <c r="AS130" i="5"/>
  <c r="AU129" i="5"/>
  <c r="AT129" i="5"/>
  <c r="AS129" i="5"/>
  <c r="AU128" i="5"/>
  <c r="AT128" i="5"/>
  <c r="AS128" i="5"/>
  <c r="AU127" i="5"/>
  <c r="AT127" i="5"/>
  <c r="AS127" i="5"/>
  <c r="AU126" i="5"/>
  <c r="AT126" i="5"/>
  <c r="AS126" i="5"/>
  <c r="AU125" i="5"/>
  <c r="AT125" i="5"/>
  <c r="AS125" i="5"/>
  <c r="AU124" i="5"/>
  <c r="AT124" i="5"/>
  <c r="AS124" i="5"/>
  <c r="AU123" i="5"/>
  <c r="AT123" i="5"/>
  <c r="AS123" i="5"/>
  <c r="AU122" i="5"/>
  <c r="AT122" i="5"/>
  <c r="AS122" i="5"/>
  <c r="AU121" i="5"/>
  <c r="AT121" i="5"/>
  <c r="AS121" i="5"/>
  <c r="AU120" i="5"/>
  <c r="AT120" i="5"/>
  <c r="AS120" i="5"/>
  <c r="AU119" i="5"/>
  <c r="AT119" i="5"/>
  <c r="AS119" i="5"/>
  <c r="AU118" i="5"/>
  <c r="AT118" i="5"/>
  <c r="AS118" i="5"/>
  <c r="AU117" i="5"/>
  <c r="AT117" i="5"/>
  <c r="AS117" i="5"/>
  <c r="AU116" i="5"/>
  <c r="AT116" i="5"/>
  <c r="AS116" i="5"/>
  <c r="AU115" i="5"/>
  <c r="AT115" i="5"/>
  <c r="AS115" i="5"/>
  <c r="AU114" i="5"/>
  <c r="AT114" i="5"/>
  <c r="AS114" i="5"/>
  <c r="AU113" i="5"/>
  <c r="AT113" i="5"/>
  <c r="AS113" i="5"/>
  <c r="AU112" i="5"/>
  <c r="AT112" i="5"/>
  <c r="AS112" i="5"/>
  <c r="AS111" i="5"/>
  <c r="AU110" i="5"/>
  <c r="AT110" i="5"/>
  <c r="AS110" i="5"/>
  <c r="AT109" i="5"/>
  <c r="AS109" i="5"/>
  <c r="AU108" i="5"/>
  <c r="AT108" i="5"/>
  <c r="AS108" i="5"/>
  <c r="AU107" i="5"/>
  <c r="AT107" i="5"/>
  <c r="AU106" i="5"/>
  <c r="AT106" i="5"/>
  <c r="AS106" i="5"/>
  <c r="AU105" i="5"/>
  <c r="AT105" i="5"/>
  <c r="AS105" i="5"/>
  <c r="AU104" i="5"/>
  <c r="AT104" i="5"/>
  <c r="AS104" i="5"/>
  <c r="AU103" i="5"/>
  <c r="AT103" i="5"/>
  <c r="AS103" i="5"/>
  <c r="AU102" i="5"/>
  <c r="AT102" i="5"/>
  <c r="AS102" i="5"/>
  <c r="AU101" i="5"/>
  <c r="AT101" i="5"/>
  <c r="AS101" i="5"/>
  <c r="AU100" i="5"/>
  <c r="AT100" i="5"/>
  <c r="AS100" i="5"/>
  <c r="AU99" i="5"/>
  <c r="AT99" i="5"/>
  <c r="AS99" i="5"/>
  <c r="AU98" i="5"/>
  <c r="AT98" i="5"/>
  <c r="AS98" i="5"/>
  <c r="AU97" i="5"/>
  <c r="AT97" i="5"/>
  <c r="AS97" i="5"/>
  <c r="AU96" i="5"/>
  <c r="AT96" i="5"/>
  <c r="AS96" i="5"/>
  <c r="AU95" i="5"/>
  <c r="AT95" i="5"/>
  <c r="AS95" i="5"/>
  <c r="AU94" i="5"/>
  <c r="AT94" i="5"/>
  <c r="AS94" i="5"/>
  <c r="AU93" i="5"/>
  <c r="AT93" i="5"/>
  <c r="AS93" i="5"/>
  <c r="AU92" i="5"/>
  <c r="AT92" i="5"/>
  <c r="AS92" i="5"/>
  <c r="AU91" i="5"/>
  <c r="AT91" i="5"/>
  <c r="AS91" i="5"/>
  <c r="AU90" i="5"/>
  <c r="AT90" i="5"/>
  <c r="AS90" i="5"/>
  <c r="AU89" i="5"/>
  <c r="AT89" i="5"/>
  <c r="AS89" i="5"/>
  <c r="AU88" i="5"/>
  <c r="AT88" i="5"/>
  <c r="AS88" i="5"/>
  <c r="AU87" i="5"/>
  <c r="AT87" i="5"/>
  <c r="AS87" i="5"/>
  <c r="AU86" i="5"/>
  <c r="AT86" i="5"/>
  <c r="AS86" i="5"/>
  <c r="AU85" i="5"/>
  <c r="AT85" i="5"/>
  <c r="AS85" i="5"/>
  <c r="AU84" i="5"/>
  <c r="AT84" i="5"/>
  <c r="AS84" i="5"/>
  <c r="AU83" i="5"/>
  <c r="AT83" i="5"/>
  <c r="AS83" i="5"/>
  <c r="AU82" i="5"/>
  <c r="AT82" i="5"/>
  <c r="AS82" i="5"/>
  <c r="AU81" i="5"/>
  <c r="AT81" i="5"/>
  <c r="AS81" i="5"/>
  <c r="AU80" i="5"/>
  <c r="AT80" i="5"/>
  <c r="AS80" i="5"/>
  <c r="AU79" i="5"/>
  <c r="AT79" i="5"/>
  <c r="AS79" i="5"/>
  <c r="AU78" i="5"/>
  <c r="AT78" i="5"/>
  <c r="AS78" i="5"/>
  <c r="AU77" i="5"/>
  <c r="AT77" i="5"/>
  <c r="AS77" i="5"/>
  <c r="AU76" i="5"/>
  <c r="AT76" i="5"/>
  <c r="AS76" i="5"/>
  <c r="AU75" i="5"/>
  <c r="AT75" i="5"/>
  <c r="AS75" i="5"/>
  <c r="AU74" i="5"/>
  <c r="AT74" i="5"/>
  <c r="AS74" i="5"/>
  <c r="AU73" i="5"/>
  <c r="AT73" i="5"/>
  <c r="AS73" i="5"/>
  <c r="AU72" i="5"/>
  <c r="AT72" i="5"/>
  <c r="AS72" i="5"/>
  <c r="AU71" i="5"/>
  <c r="AT71" i="5"/>
  <c r="AS71" i="5"/>
  <c r="AU70" i="5"/>
  <c r="AT70" i="5"/>
  <c r="AS70" i="5"/>
  <c r="AU69" i="5"/>
  <c r="AT69" i="5"/>
  <c r="AS69" i="5"/>
  <c r="AU68" i="5"/>
  <c r="AT68" i="5"/>
  <c r="AS68" i="5"/>
  <c r="AU67" i="5"/>
  <c r="AT67" i="5"/>
  <c r="AS67" i="5"/>
  <c r="AU66" i="5"/>
  <c r="AT66" i="5"/>
  <c r="AS66" i="5"/>
  <c r="AU65" i="5"/>
  <c r="AT65" i="5"/>
  <c r="AS65" i="5"/>
  <c r="AU64" i="5"/>
  <c r="AT64" i="5"/>
  <c r="AS64" i="5"/>
  <c r="AU63" i="5"/>
  <c r="AT63" i="5"/>
  <c r="AS63" i="5"/>
  <c r="AU62" i="5"/>
  <c r="AT62" i="5"/>
  <c r="AS62" i="5"/>
  <c r="AU61" i="5"/>
  <c r="AT61" i="5"/>
  <c r="AS61" i="5"/>
  <c r="AU60" i="5"/>
  <c r="AT60" i="5"/>
  <c r="AS60" i="5"/>
  <c r="AU59" i="5"/>
  <c r="AT59" i="5"/>
  <c r="AS59" i="5"/>
  <c r="AU58" i="5"/>
  <c r="AT58" i="5"/>
  <c r="AS58" i="5"/>
  <c r="AU57" i="5"/>
  <c r="AT57" i="5"/>
  <c r="AS57" i="5"/>
  <c r="AU56" i="5"/>
  <c r="AT56" i="5"/>
  <c r="AS56" i="5"/>
  <c r="AU55" i="5"/>
  <c r="AT55" i="5"/>
  <c r="AS55" i="5"/>
  <c r="AU54" i="5"/>
  <c r="AT54" i="5"/>
  <c r="AS54" i="5"/>
  <c r="AU53" i="5"/>
  <c r="AT53" i="5"/>
  <c r="AS53" i="5"/>
  <c r="AU52" i="5"/>
  <c r="AT52" i="5"/>
  <c r="AS52" i="5"/>
  <c r="AU51" i="5"/>
  <c r="AT51" i="5"/>
  <c r="AS51" i="5"/>
  <c r="AU50" i="5"/>
  <c r="AT50" i="5"/>
  <c r="AS50" i="5"/>
  <c r="AU49" i="5"/>
  <c r="AT49" i="5"/>
  <c r="AS49" i="5"/>
  <c r="AU48" i="5"/>
  <c r="AT48" i="5"/>
  <c r="AS48" i="5"/>
  <c r="AU47" i="5"/>
  <c r="AT47" i="5"/>
  <c r="AS47" i="5"/>
  <c r="AU46" i="5"/>
  <c r="AT46" i="5"/>
  <c r="AS46" i="5"/>
  <c r="AU45" i="5"/>
  <c r="AT45" i="5"/>
  <c r="AS45" i="5"/>
  <c r="AU44" i="5"/>
  <c r="AT44" i="5"/>
  <c r="AS44" i="5"/>
  <c r="AU43" i="5"/>
  <c r="AT43" i="5"/>
  <c r="AS43" i="5"/>
  <c r="AU42" i="5"/>
  <c r="AT42" i="5"/>
  <c r="AS42" i="5"/>
  <c r="AU41" i="5"/>
  <c r="AT41" i="5"/>
  <c r="AS41" i="5"/>
  <c r="AU40" i="5"/>
  <c r="AT40" i="5"/>
  <c r="AS40" i="5"/>
  <c r="AU39" i="5"/>
  <c r="AT39" i="5"/>
  <c r="AS39" i="5"/>
  <c r="AU38" i="5"/>
  <c r="AT38" i="5"/>
  <c r="AS38" i="5"/>
  <c r="AU37" i="5"/>
  <c r="AT37" i="5"/>
  <c r="AS37" i="5"/>
  <c r="AU36" i="5"/>
  <c r="AT36" i="5"/>
  <c r="AS36" i="5"/>
  <c r="AU35" i="5"/>
  <c r="AT35" i="5"/>
  <c r="AS35" i="5"/>
  <c r="AU34" i="5"/>
  <c r="AT34" i="5"/>
  <c r="AS34" i="5"/>
  <c r="AU33" i="5"/>
  <c r="AT33" i="5"/>
  <c r="AS33" i="5"/>
  <c r="AU32" i="5"/>
  <c r="AT32" i="5"/>
  <c r="AS32" i="5"/>
  <c r="AU31" i="5"/>
  <c r="AT31" i="5"/>
  <c r="AS31" i="5"/>
  <c r="AU30" i="5"/>
  <c r="AT30" i="5"/>
  <c r="AS30" i="5"/>
  <c r="AU29" i="5"/>
  <c r="AT29" i="5"/>
  <c r="AS29" i="5"/>
  <c r="AU28" i="5"/>
  <c r="AT28" i="5"/>
  <c r="AS28" i="5"/>
  <c r="AU27" i="5"/>
  <c r="AT27" i="5"/>
  <c r="AS27" i="5"/>
  <c r="AU26" i="5"/>
  <c r="AT26" i="5"/>
  <c r="AS26" i="5"/>
  <c r="AU25" i="5"/>
  <c r="AT25" i="5"/>
  <c r="AS25" i="5"/>
  <c r="AU24" i="5"/>
  <c r="AT24" i="5"/>
  <c r="AS24" i="5"/>
  <c r="AU23" i="5"/>
  <c r="AT23" i="5"/>
  <c r="AS23" i="5"/>
  <c r="AU22" i="5"/>
  <c r="AT22" i="5"/>
  <c r="AS22" i="5"/>
  <c r="AU21" i="5"/>
  <c r="AT21" i="5"/>
  <c r="AS21" i="5"/>
  <c r="AU20" i="5"/>
  <c r="AT20" i="5"/>
  <c r="AS20" i="5"/>
  <c r="AU19" i="5"/>
  <c r="AT19" i="5"/>
  <c r="AS19" i="5"/>
  <c r="AU18" i="5"/>
  <c r="AT18" i="5"/>
  <c r="AS18" i="5"/>
  <c r="AU17" i="5"/>
  <c r="AT17" i="5"/>
  <c r="AS17" i="5"/>
  <c r="AU16" i="5"/>
  <c r="AT16" i="5"/>
  <c r="AS16" i="5"/>
  <c r="AU15" i="5"/>
  <c r="AT15" i="5"/>
  <c r="AS15" i="5"/>
  <c r="AU14" i="5"/>
  <c r="AT14" i="5"/>
  <c r="AS14" i="5"/>
  <c r="AU13" i="5"/>
  <c r="AT13" i="5"/>
  <c r="AS13" i="5"/>
  <c r="AU12" i="5"/>
  <c r="AT12" i="5"/>
  <c r="AS12" i="5"/>
  <c r="AU11" i="5"/>
  <c r="AT11" i="5"/>
  <c r="AS11" i="5"/>
  <c r="AU10" i="5"/>
  <c r="AT10" i="5"/>
  <c r="AS10" i="5"/>
  <c r="AU9" i="5"/>
  <c r="AT9" i="5"/>
  <c r="AS9" i="5"/>
  <c r="AU8" i="5"/>
  <c r="AT8" i="5"/>
  <c r="AS8" i="5"/>
  <c r="AU7" i="5"/>
  <c r="AT7" i="5"/>
  <c r="AS7" i="5"/>
  <c r="AU6" i="5"/>
  <c r="AT6" i="5"/>
  <c r="AS6" i="5"/>
  <c r="AU5" i="5"/>
  <c r="AT5" i="5"/>
  <c r="AS5" i="5"/>
  <c r="Q249" i="1"/>
  <c r="Q244" i="1"/>
  <c r="Q235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215" i="3"/>
  <c r="Q214" i="3"/>
  <c r="Q213" i="3"/>
  <c r="Q210" i="3"/>
  <c r="Q209" i="3"/>
  <c r="Q208" i="3"/>
  <c r="Q205" i="3"/>
  <c r="Q204" i="3"/>
  <c r="Q203" i="3"/>
  <c r="Q202" i="3"/>
  <c r="Q199" i="3"/>
  <c r="Q198" i="3"/>
  <c r="Q195" i="3"/>
  <c r="Q194" i="3"/>
  <c r="Q193" i="3"/>
  <c r="Q190" i="3"/>
  <c r="Q189" i="3"/>
  <c r="Q186" i="3"/>
  <c r="Q185" i="3"/>
  <c r="Q184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Q229" i="2"/>
  <c r="Q228" i="2"/>
  <c r="Q227" i="2"/>
  <c r="Q226" i="2"/>
  <c r="Q224" i="2"/>
  <c r="Q223" i="2"/>
  <c r="Q222" i="2"/>
  <c r="Q221" i="2"/>
  <c r="Q219" i="2"/>
  <c r="Q218" i="2"/>
  <c r="Q217" i="2"/>
  <c r="Q214" i="2"/>
  <c r="Q213" i="2"/>
  <c r="Q212" i="2"/>
  <c r="Q209" i="2"/>
  <c r="Q208" i="2"/>
  <c r="Q207" i="2"/>
  <c r="Q206" i="2"/>
  <c r="Q203" i="2"/>
  <c r="Q202" i="2"/>
  <c r="Q199" i="2"/>
  <c r="Q198" i="2"/>
  <c r="Q197" i="2"/>
  <c r="Q194" i="2"/>
  <c r="Q193" i="2"/>
  <c r="Q190" i="2"/>
  <c r="Q189" i="2"/>
  <c r="Q188" i="2"/>
  <c r="Q184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AP337" i="5"/>
  <c r="AR333" i="5"/>
  <c r="AQ333" i="5"/>
  <c r="AP333" i="5"/>
  <c r="AR317" i="5"/>
  <c r="AQ317" i="5"/>
  <c r="AP317" i="5"/>
  <c r="AR316" i="5"/>
  <c r="AQ316" i="5"/>
  <c r="AP316" i="5"/>
  <c r="AR315" i="5"/>
  <c r="AQ315" i="5"/>
  <c r="AP315" i="5"/>
  <c r="AR314" i="5"/>
  <c r="AQ314" i="5"/>
  <c r="AP314" i="5"/>
  <c r="AR313" i="5"/>
  <c r="AQ313" i="5"/>
  <c r="AP313" i="5"/>
  <c r="AR312" i="5"/>
  <c r="AQ312" i="5"/>
  <c r="AP312" i="5"/>
  <c r="AR311" i="5"/>
  <c r="AQ311" i="5"/>
  <c r="AP311" i="5"/>
  <c r="AR310" i="5"/>
  <c r="AQ310" i="5"/>
  <c r="AP310" i="5"/>
  <c r="AR309" i="5"/>
  <c r="AQ309" i="5"/>
  <c r="AP309" i="5"/>
  <c r="AR308" i="5"/>
  <c r="AQ308" i="5"/>
  <c r="AP308" i="5"/>
  <c r="AR307" i="5"/>
  <c r="AQ307" i="5"/>
  <c r="AP307" i="5"/>
  <c r="AR306" i="5"/>
  <c r="AQ306" i="5"/>
  <c r="AP306" i="5"/>
  <c r="AR305" i="5"/>
  <c r="AQ305" i="5"/>
  <c r="AP305" i="5"/>
  <c r="AR304" i="5"/>
  <c r="AQ304" i="5"/>
  <c r="AP304" i="5"/>
  <c r="AR303" i="5"/>
  <c r="AQ303" i="5"/>
  <c r="AP303" i="5"/>
  <c r="AR302" i="5"/>
  <c r="AQ302" i="5"/>
  <c r="AP302" i="5"/>
  <c r="AR301" i="5"/>
  <c r="AQ301" i="5"/>
  <c r="AP301" i="5"/>
  <c r="AR300" i="5"/>
  <c r="AQ300" i="5"/>
  <c r="AP300" i="5"/>
  <c r="AR299" i="5"/>
  <c r="AQ299" i="5"/>
  <c r="AP299" i="5"/>
  <c r="AR298" i="5"/>
  <c r="AQ298" i="5"/>
  <c r="AP298" i="5"/>
  <c r="AR297" i="5"/>
  <c r="AQ297" i="5"/>
  <c r="AP297" i="5"/>
  <c r="AR296" i="5"/>
  <c r="AQ296" i="5"/>
  <c r="AP296" i="5"/>
  <c r="AR295" i="5"/>
  <c r="AQ295" i="5"/>
  <c r="AP295" i="5"/>
  <c r="AR294" i="5"/>
  <c r="AQ294" i="5"/>
  <c r="AP294" i="5"/>
  <c r="AR293" i="5"/>
  <c r="AQ293" i="5"/>
  <c r="AP293" i="5"/>
  <c r="AR292" i="5"/>
  <c r="AQ292" i="5"/>
  <c r="AR291" i="5"/>
  <c r="AQ291" i="5"/>
  <c r="AP291" i="5"/>
  <c r="AR290" i="5"/>
  <c r="AQ290" i="5"/>
  <c r="AP290" i="5"/>
  <c r="AR289" i="5"/>
  <c r="AQ289" i="5"/>
  <c r="AP289" i="5"/>
  <c r="AR288" i="5"/>
  <c r="AQ288" i="5"/>
  <c r="AP288" i="5"/>
  <c r="AR287" i="5"/>
  <c r="AQ287" i="5"/>
  <c r="AP287" i="5"/>
  <c r="AR286" i="5"/>
  <c r="AQ286" i="5"/>
  <c r="AP286" i="5"/>
  <c r="AR285" i="5"/>
  <c r="AQ285" i="5"/>
  <c r="AP285" i="5"/>
  <c r="AR284" i="5"/>
  <c r="AQ284" i="5"/>
  <c r="AP284" i="5"/>
  <c r="AR283" i="5"/>
  <c r="AQ283" i="5"/>
  <c r="AP283" i="5"/>
  <c r="AR282" i="5"/>
  <c r="AQ282" i="5"/>
  <c r="AP282" i="5"/>
  <c r="AR281" i="5"/>
  <c r="AQ281" i="5"/>
  <c r="AP281" i="5"/>
  <c r="AR280" i="5"/>
  <c r="AQ280" i="5"/>
  <c r="AP280" i="5"/>
  <c r="AR279" i="5"/>
  <c r="AQ279" i="5"/>
  <c r="AP279" i="5"/>
  <c r="AR278" i="5"/>
  <c r="AQ278" i="5"/>
  <c r="AP278" i="5"/>
  <c r="AR277" i="5"/>
  <c r="AQ277" i="5"/>
  <c r="AP277" i="5"/>
  <c r="AR276" i="5"/>
  <c r="AQ276" i="5"/>
  <c r="AP276" i="5"/>
  <c r="AR275" i="5"/>
  <c r="AQ275" i="5"/>
  <c r="AP275" i="5"/>
  <c r="AR274" i="5"/>
  <c r="AQ274" i="5"/>
  <c r="AP274" i="5"/>
  <c r="AR273" i="5"/>
  <c r="AQ273" i="5"/>
  <c r="AP273" i="5"/>
  <c r="AR272" i="5"/>
  <c r="AQ272" i="5"/>
  <c r="AP272" i="5"/>
  <c r="AR271" i="5"/>
  <c r="AQ271" i="5"/>
  <c r="AP271" i="5"/>
  <c r="AR270" i="5"/>
  <c r="AQ270" i="5"/>
  <c r="AP270" i="5"/>
  <c r="AR269" i="5"/>
  <c r="AQ269" i="5"/>
  <c r="AP269" i="5"/>
  <c r="AR268" i="5"/>
  <c r="AQ268" i="5"/>
  <c r="AP268" i="5"/>
  <c r="AR267" i="5"/>
  <c r="AQ267" i="5"/>
  <c r="AP267" i="5"/>
  <c r="AR266" i="5"/>
  <c r="AQ266" i="5"/>
  <c r="AP266" i="5"/>
  <c r="AR265" i="5"/>
  <c r="AQ265" i="5"/>
  <c r="AP265" i="5"/>
  <c r="AR264" i="5"/>
  <c r="AQ264" i="5"/>
  <c r="AP264" i="5"/>
  <c r="AR263" i="5"/>
  <c r="AQ263" i="5"/>
  <c r="AP263" i="5"/>
  <c r="AR262" i="5"/>
  <c r="AQ262" i="5"/>
  <c r="AP262" i="5"/>
  <c r="AR261" i="5"/>
  <c r="AQ261" i="5"/>
  <c r="AP261" i="5"/>
  <c r="AR260" i="5"/>
  <c r="AQ260" i="5"/>
  <c r="AP260" i="5"/>
  <c r="AR259" i="5"/>
  <c r="AQ259" i="5"/>
  <c r="AP259" i="5"/>
  <c r="AR258" i="5"/>
  <c r="AQ258" i="5"/>
  <c r="AP258" i="5"/>
  <c r="AR257" i="5"/>
  <c r="AQ257" i="5"/>
  <c r="AP257" i="5"/>
  <c r="AR256" i="5"/>
  <c r="AQ256" i="5"/>
  <c r="AP256" i="5"/>
  <c r="AR255" i="5"/>
  <c r="AQ255" i="5"/>
  <c r="AP255" i="5"/>
  <c r="AR254" i="5"/>
  <c r="AQ254" i="5"/>
  <c r="AP254" i="5"/>
  <c r="AR253" i="5"/>
  <c r="AQ253" i="5"/>
  <c r="AP253" i="5"/>
  <c r="AR252" i="5"/>
  <c r="AQ252" i="5"/>
  <c r="AP252" i="5"/>
  <c r="AR251" i="5"/>
  <c r="AQ251" i="5"/>
  <c r="AP251" i="5"/>
  <c r="AR250" i="5"/>
  <c r="AQ250" i="5"/>
  <c r="AP250" i="5"/>
  <c r="AR249" i="5"/>
  <c r="AQ249" i="5"/>
  <c r="AP249" i="5"/>
  <c r="AR248" i="5"/>
  <c r="AQ248" i="5"/>
  <c r="AP248" i="5"/>
  <c r="AR247" i="5"/>
  <c r="AQ247" i="5"/>
  <c r="AP247" i="5"/>
  <c r="AR246" i="5"/>
  <c r="AQ246" i="5"/>
  <c r="AP246" i="5"/>
  <c r="AR245" i="5"/>
  <c r="AQ245" i="5"/>
  <c r="AP245" i="5"/>
  <c r="AR244" i="5"/>
  <c r="AQ244" i="5"/>
  <c r="AP244" i="5"/>
  <c r="AR243" i="5"/>
  <c r="AQ243" i="5"/>
  <c r="AP243" i="5"/>
  <c r="AR242" i="5"/>
  <c r="AQ242" i="5"/>
  <c r="AP242" i="5"/>
  <c r="AR241" i="5"/>
  <c r="AQ241" i="5"/>
  <c r="AP241" i="5"/>
  <c r="AR240" i="5"/>
  <c r="AQ240" i="5"/>
  <c r="AP240" i="5"/>
  <c r="AR239" i="5"/>
  <c r="AQ239" i="5"/>
  <c r="AP239" i="5"/>
  <c r="AR238" i="5"/>
  <c r="AQ238" i="5"/>
  <c r="AP238" i="5"/>
  <c r="AR237" i="5"/>
  <c r="AQ237" i="5"/>
  <c r="AP237" i="5"/>
  <c r="AR236" i="5"/>
  <c r="AQ236" i="5"/>
  <c r="AP236" i="5"/>
  <c r="AR235" i="5"/>
  <c r="AQ235" i="5"/>
  <c r="AP235" i="5"/>
  <c r="AR234" i="5"/>
  <c r="AQ234" i="5"/>
  <c r="AP234" i="5"/>
  <c r="AR233" i="5"/>
  <c r="AQ233" i="5"/>
  <c r="AP233" i="5"/>
  <c r="AR232" i="5"/>
  <c r="AQ232" i="5"/>
  <c r="AP232" i="5"/>
  <c r="AR231" i="5"/>
  <c r="AQ231" i="5"/>
  <c r="AP231" i="5"/>
  <c r="AR230" i="5"/>
  <c r="AQ230" i="5"/>
  <c r="AP230" i="5"/>
  <c r="AR229" i="5"/>
  <c r="AQ229" i="5"/>
  <c r="AP229" i="5"/>
  <c r="AR228" i="5"/>
  <c r="AQ228" i="5"/>
  <c r="AP228" i="5"/>
  <c r="AR227" i="5"/>
  <c r="AQ227" i="5"/>
  <c r="AP227" i="5"/>
  <c r="AR226" i="5"/>
  <c r="AQ226" i="5"/>
  <c r="AP226" i="5"/>
  <c r="AR225" i="5"/>
  <c r="AQ225" i="5"/>
  <c r="AP225" i="5"/>
  <c r="AR224" i="5"/>
  <c r="AQ224" i="5"/>
  <c r="AP224" i="5"/>
  <c r="AR223" i="5"/>
  <c r="AQ223" i="5"/>
  <c r="AP223" i="5"/>
  <c r="AR222" i="5"/>
  <c r="AQ222" i="5"/>
  <c r="AP222" i="5"/>
  <c r="AR221" i="5"/>
  <c r="AQ221" i="5"/>
  <c r="AP221" i="5"/>
  <c r="AR220" i="5"/>
  <c r="AQ220" i="5"/>
  <c r="AP220" i="5"/>
  <c r="AR219" i="5"/>
  <c r="AQ219" i="5"/>
  <c r="AP219" i="5"/>
  <c r="AR218" i="5"/>
  <c r="AQ218" i="5"/>
  <c r="AP218" i="5"/>
  <c r="AR217" i="5"/>
  <c r="AQ217" i="5"/>
  <c r="AP217" i="5"/>
  <c r="AR216" i="5"/>
  <c r="AQ216" i="5"/>
  <c r="AP216" i="5"/>
  <c r="AR215" i="5"/>
  <c r="AQ215" i="5"/>
  <c r="AP215" i="5"/>
  <c r="AR214" i="5"/>
  <c r="AQ214" i="5"/>
  <c r="AP214" i="5"/>
  <c r="AR213" i="5"/>
  <c r="AQ213" i="5"/>
  <c r="AP213" i="5"/>
  <c r="AR212" i="5"/>
  <c r="AQ212" i="5"/>
  <c r="AP212" i="5"/>
  <c r="AR211" i="5"/>
  <c r="AQ211" i="5"/>
  <c r="AP211" i="5"/>
  <c r="AR210" i="5"/>
  <c r="AQ210" i="5"/>
  <c r="AP210" i="5"/>
  <c r="AR209" i="5"/>
  <c r="AQ209" i="5"/>
  <c r="AP209" i="5"/>
  <c r="AR208" i="5"/>
  <c r="AQ208" i="5"/>
  <c r="AP208" i="5"/>
  <c r="AR207" i="5"/>
  <c r="AQ207" i="5"/>
  <c r="AP207" i="5"/>
  <c r="AR206" i="5"/>
  <c r="AQ206" i="5"/>
  <c r="AP206" i="5"/>
  <c r="AR205" i="5"/>
  <c r="AQ205" i="5"/>
  <c r="AP205" i="5"/>
  <c r="AR204" i="5"/>
  <c r="AQ204" i="5"/>
  <c r="AP204" i="5"/>
  <c r="AR203" i="5"/>
  <c r="AQ203" i="5"/>
  <c r="AP203" i="5"/>
  <c r="AR202" i="5"/>
  <c r="AQ202" i="5"/>
  <c r="AP202" i="5"/>
  <c r="AR201" i="5"/>
  <c r="AQ201" i="5"/>
  <c r="AP201" i="5"/>
  <c r="AR200" i="5"/>
  <c r="AQ200" i="5"/>
  <c r="AP200" i="5"/>
  <c r="AR199" i="5"/>
  <c r="AQ199" i="5"/>
  <c r="AP199" i="5"/>
  <c r="AR198" i="5"/>
  <c r="AQ198" i="5"/>
  <c r="AP198" i="5"/>
  <c r="AR197" i="5"/>
  <c r="AQ197" i="5"/>
  <c r="AP197" i="5"/>
  <c r="AR196" i="5"/>
  <c r="AQ196" i="5"/>
  <c r="AP196" i="5"/>
  <c r="AR195" i="5"/>
  <c r="AQ195" i="5"/>
  <c r="AP195" i="5"/>
  <c r="AR194" i="5"/>
  <c r="AQ194" i="5"/>
  <c r="AP194" i="5"/>
  <c r="AR193" i="5"/>
  <c r="AQ193" i="5"/>
  <c r="AP193" i="5"/>
  <c r="AR192" i="5"/>
  <c r="AQ192" i="5"/>
  <c r="AP192" i="5"/>
  <c r="AR191" i="5"/>
  <c r="AQ191" i="5"/>
  <c r="AP191" i="5"/>
  <c r="AR190" i="5"/>
  <c r="AQ190" i="5"/>
  <c r="AP190" i="5"/>
  <c r="AR189" i="5"/>
  <c r="AQ189" i="5"/>
  <c r="AP189" i="5"/>
  <c r="AR188" i="5"/>
  <c r="AQ188" i="5"/>
  <c r="AP188" i="5"/>
  <c r="AR187" i="5"/>
  <c r="AQ187" i="5"/>
  <c r="AP187" i="5"/>
  <c r="AR186" i="5"/>
  <c r="AQ186" i="5"/>
  <c r="AP186" i="5"/>
  <c r="AR185" i="5"/>
  <c r="AQ185" i="5"/>
  <c r="AP185" i="5"/>
  <c r="AR184" i="5"/>
  <c r="AQ184" i="5"/>
  <c r="AP184" i="5"/>
  <c r="AR183" i="5"/>
  <c r="AQ183" i="5"/>
  <c r="AP183" i="5"/>
  <c r="AR182" i="5"/>
  <c r="AQ182" i="5"/>
  <c r="AP182" i="5"/>
  <c r="AR181" i="5"/>
  <c r="AQ181" i="5"/>
  <c r="AP181" i="5"/>
  <c r="AR180" i="5"/>
  <c r="AQ180" i="5"/>
  <c r="AP180" i="5"/>
  <c r="AR179" i="5"/>
  <c r="AQ179" i="5"/>
  <c r="AP179" i="5"/>
  <c r="AR178" i="5"/>
  <c r="AQ178" i="5"/>
  <c r="AP178" i="5"/>
  <c r="AR177" i="5"/>
  <c r="AQ177" i="5"/>
  <c r="AP177" i="5"/>
  <c r="AR176" i="5"/>
  <c r="AQ176" i="5"/>
  <c r="AP176" i="5"/>
  <c r="AR175" i="5"/>
  <c r="AQ175" i="5"/>
  <c r="AP175" i="5"/>
  <c r="AR174" i="5"/>
  <c r="AQ174" i="5"/>
  <c r="AP174" i="5"/>
  <c r="AR173" i="5"/>
  <c r="AQ173" i="5"/>
  <c r="AP173" i="5"/>
  <c r="AR172" i="5"/>
  <c r="AQ172" i="5"/>
  <c r="AP172" i="5"/>
  <c r="AR171" i="5"/>
  <c r="AQ171" i="5"/>
  <c r="AP171" i="5"/>
  <c r="AR170" i="5"/>
  <c r="AQ170" i="5"/>
  <c r="AP170" i="5"/>
  <c r="AR169" i="5"/>
  <c r="AQ169" i="5"/>
  <c r="AP169" i="5"/>
  <c r="AR168" i="5"/>
  <c r="AQ168" i="5"/>
  <c r="AP168" i="5"/>
  <c r="AR167" i="5"/>
  <c r="AQ167" i="5"/>
  <c r="AP167" i="5"/>
  <c r="AR166" i="5"/>
  <c r="AQ166" i="5"/>
  <c r="AP166" i="5"/>
  <c r="AR165" i="5"/>
  <c r="AQ165" i="5"/>
  <c r="AP165" i="5"/>
  <c r="AR164" i="5"/>
  <c r="AQ164" i="5"/>
  <c r="AP164" i="5"/>
  <c r="AR163" i="5"/>
  <c r="AQ163" i="5"/>
  <c r="AP163" i="5"/>
  <c r="AR162" i="5"/>
  <c r="AQ162" i="5"/>
  <c r="AP162" i="5"/>
  <c r="AR161" i="5"/>
  <c r="AQ161" i="5"/>
  <c r="AP161" i="5"/>
  <c r="AR160" i="5"/>
  <c r="AQ160" i="5"/>
  <c r="AP160" i="5"/>
  <c r="AR159" i="5"/>
  <c r="AQ159" i="5"/>
  <c r="AP159" i="5"/>
  <c r="AR158" i="5"/>
  <c r="AQ158" i="5"/>
  <c r="AP158" i="5"/>
  <c r="AR157" i="5"/>
  <c r="AQ157" i="5"/>
  <c r="AP157" i="5"/>
  <c r="AR156" i="5"/>
  <c r="AQ156" i="5"/>
  <c r="AP156" i="5"/>
  <c r="AR155" i="5"/>
  <c r="AQ155" i="5"/>
  <c r="AP155" i="5"/>
  <c r="AR154" i="5"/>
  <c r="AQ154" i="5"/>
  <c r="AP154" i="5"/>
  <c r="AR153" i="5"/>
  <c r="AQ153" i="5"/>
  <c r="AP153" i="5"/>
  <c r="AR152" i="5"/>
  <c r="AQ152" i="5"/>
  <c r="AP152" i="5"/>
  <c r="AR151" i="5"/>
  <c r="AQ151" i="5"/>
  <c r="AP151" i="5"/>
  <c r="AR150" i="5"/>
  <c r="AQ150" i="5"/>
  <c r="AP150" i="5"/>
  <c r="AR149" i="5"/>
  <c r="AQ149" i="5"/>
  <c r="AP149" i="5"/>
  <c r="AR148" i="5"/>
  <c r="AQ148" i="5"/>
  <c r="AP148" i="5"/>
  <c r="AR147" i="5"/>
  <c r="AQ147" i="5"/>
  <c r="AP147" i="5"/>
  <c r="AR146" i="5"/>
  <c r="AQ146" i="5"/>
  <c r="AP146" i="5"/>
  <c r="AR145" i="5"/>
  <c r="AQ145" i="5"/>
  <c r="AP145" i="5"/>
  <c r="AR144" i="5"/>
  <c r="AQ144" i="5"/>
  <c r="AP144" i="5"/>
  <c r="AR143" i="5"/>
  <c r="AQ143" i="5"/>
  <c r="AP143" i="5"/>
  <c r="AR142" i="5"/>
  <c r="AQ142" i="5"/>
  <c r="AP142" i="5"/>
  <c r="AR141" i="5"/>
  <c r="AQ141" i="5"/>
  <c r="AP141" i="5"/>
  <c r="AR140" i="5"/>
  <c r="AQ140" i="5"/>
  <c r="AP140" i="5"/>
  <c r="AR139" i="5"/>
  <c r="AQ139" i="5"/>
  <c r="AP139" i="5"/>
  <c r="AR138" i="5"/>
  <c r="AQ138" i="5"/>
  <c r="AP138" i="5"/>
  <c r="AR137" i="5"/>
  <c r="AQ137" i="5"/>
  <c r="AP137" i="5"/>
  <c r="AR136" i="5"/>
  <c r="AQ136" i="5"/>
  <c r="AP136" i="5"/>
  <c r="AR135" i="5"/>
  <c r="AQ135" i="5"/>
  <c r="AP135" i="5"/>
  <c r="AR134" i="5"/>
  <c r="AQ134" i="5"/>
  <c r="AP134" i="5"/>
  <c r="AR133" i="5"/>
  <c r="AQ133" i="5"/>
  <c r="AP133" i="5"/>
  <c r="AR132" i="5"/>
  <c r="AQ132" i="5"/>
  <c r="AP132" i="5"/>
  <c r="AR131" i="5"/>
  <c r="AQ131" i="5"/>
  <c r="AP131" i="5"/>
  <c r="AR130" i="5"/>
  <c r="AQ130" i="5"/>
  <c r="AP130" i="5"/>
  <c r="AR129" i="5"/>
  <c r="AQ129" i="5"/>
  <c r="AP129" i="5"/>
  <c r="AR128" i="5"/>
  <c r="AQ128" i="5"/>
  <c r="AP128" i="5"/>
  <c r="AR127" i="5"/>
  <c r="AQ127" i="5"/>
  <c r="AP127" i="5"/>
  <c r="AR126" i="5"/>
  <c r="AQ126" i="5"/>
  <c r="AP126" i="5"/>
  <c r="AR125" i="5"/>
  <c r="AQ125" i="5"/>
  <c r="AP125" i="5"/>
  <c r="AR124" i="5"/>
  <c r="AQ124" i="5"/>
  <c r="AP124" i="5"/>
  <c r="AR123" i="5"/>
  <c r="AQ123" i="5"/>
  <c r="AP123" i="5"/>
  <c r="AR122" i="5"/>
  <c r="AQ122" i="5"/>
  <c r="AP122" i="5"/>
  <c r="AR121" i="5"/>
  <c r="AQ121" i="5"/>
  <c r="AP121" i="5"/>
  <c r="AR120" i="5"/>
  <c r="AQ120" i="5"/>
  <c r="AP120" i="5"/>
  <c r="AR119" i="5"/>
  <c r="AQ119" i="5"/>
  <c r="AP119" i="5"/>
  <c r="AR118" i="5"/>
  <c r="AQ118" i="5"/>
  <c r="AP118" i="5"/>
  <c r="AR117" i="5"/>
  <c r="AQ117" i="5"/>
  <c r="AP117" i="5"/>
  <c r="AR116" i="5"/>
  <c r="AQ116" i="5"/>
  <c r="AP116" i="5"/>
  <c r="AR115" i="5"/>
  <c r="AQ115" i="5"/>
  <c r="AP115" i="5"/>
  <c r="AR114" i="5"/>
  <c r="AQ114" i="5"/>
  <c r="AP114" i="5"/>
  <c r="AR113" i="5"/>
  <c r="AQ113" i="5"/>
  <c r="AP113" i="5"/>
  <c r="AR112" i="5"/>
  <c r="AQ112" i="5"/>
  <c r="AP112" i="5"/>
  <c r="AP111" i="5"/>
  <c r="AR110" i="5"/>
  <c r="AQ110" i="5"/>
  <c r="AP110" i="5"/>
  <c r="AQ109" i="5"/>
  <c r="AP109" i="5"/>
  <c r="AR108" i="5"/>
  <c r="AQ108" i="5"/>
  <c r="AP108" i="5"/>
  <c r="AR107" i="5"/>
  <c r="AQ107" i="5"/>
  <c r="AR106" i="5"/>
  <c r="AQ106" i="5"/>
  <c r="AP106" i="5"/>
  <c r="AR105" i="5"/>
  <c r="AQ105" i="5"/>
  <c r="AP105" i="5"/>
  <c r="AR104" i="5"/>
  <c r="AQ104" i="5"/>
  <c r="AP104" i="5"/>
  <c r="AR103" i="5"/>
  <c r="AQ103" i="5"/>
  <c r="AP103" i="5"/>
  <c r="AR102" i="5"/>
  <c r="AQ102" i="5"/>
  <c r="AP102" i="5"/>
  <c r="AR101" i="5"/>
  <c r="AQ101" i="5"/>
  <c r="AP101" i="5"/>
  <c r="AR100" i="5"/>
  <c r="AQ100" i="5"/>
  <c r="AP100" i="5"/>
  <c r="AR99" i="5"/>
  <c r="AQ99" i="5"/>
  <c r="AP99" i="5"/>
  <c r="AR98" i="5"/>
  <c r="AQ98" i="5"/>
  <c r="AP98" i="5"/>
  <c r="AR97" i="5"/>
  <c r="AQ97" i="5"/>
  <c r="AP97" i="5"/>
  <c r="AR96" i="5"/>
  <c r="AQ96" i="5"/>
  <c r="AP96" i="5"/>
  <c r="AR95" i="5"/>
  <c r="AQ95" i="5"/>
  <c r="AP95" i="5"/>
  <c r="AR94" i="5"/>
  <c r="AQ94" i="5"/>
  <c r="AP94" i="5"/>
  <c r="AR93" i="5"/>
  <c r="AQ93" i="5"/>
  <c r="AP93" i="5"/>
  <c r="AR92" i="5"/>
  <c r="AQ92" i="5"/>
  <c r="AP92" i="5"/>
  <c r="AR91" i="5"/>
  <c r="AQ91" i="5"/>
  <c r="AP91" i="5"/>
  <c r="AR90" i="5"/>
  <c r="AQ90" i="5"/>
  <c r="AP90" i="5"/>
  <c r="AR89" i="5"/>
  <c r="AQ89" i="5"/>
  <c r="AP89" i="5"/>
  <c r="AR88" i="5"/>
  <c r="AQ88" i="5"/>
  <c r="AP88" i="5"/>
  <c r="AR87" i="5"/>
  <c r="AQ87" i="5"/>
  <c r="AP87" i="5"/>
  <c r="AR86" i="5"/>
  <c r="AQ86" i="5"/>
  <c r="AP86" i="5"/>
  <c r="AR85" i="5"/>
  <c r="AQ85" i="5"/>
  <c r="AP85" i="5"/>
  <c r="AR84" i="5"/>
  <c r="AQ84" i="5"/>
  <c r="AP84" i="5"/>
  <c r="AR83" i="5"/>
  <c r="AQ83" i="5"/>
  <c r="AP83" i="5"/>
  <c r="AR82" i="5"/>
  <c r="AQ82" i="5"/>
  <c r="AP82" i="5"/>
  <c r="AR81" i="5"/>
  <c r="AQ81" i="5"/>
  <c r="AP81" i="5"/>
  <c r="AR80" i="5"/>
  <c r="AQ80" i="5"/>
  <c r="AP80" i="5"/>
  <c r="AR79" i="5"/>
  <c r="AQ79" i="5"/>
  <c r="AP79" i="5"/>
  <c r="AR78" i="5"/>
  <c r="AQ78" i="5"/>
  <c r="AP78" i="5"/>
  <c r="AR77" i="5"/>
  <c r="AQ77" i="5"/>
  <c r="AP77" i="5"/>
  <c r="AR76" i="5"/>
  <c r="AQ76" i="5"/>
  <c r="AP76" i="5"/>
  <c r="AR75" i="5"/>
  <c r="AQ75" i="5"/>
  <c r="AP75" i="5"/>
  <c r="AR74" i="5"/>
  <c r="AQ74" i="5"/>
  <c r="AP74" i="5"/>
  <c r="AR73" i="5"/>
  <c r="AQ73" i="5"/>
  <c r="AP73" i="5"/>
  <c r="AR72" i="5"/>
  <c r="AQ72" i="5"/>
  <c r="AP72" i="5"/>
  <c r="AR71" i="5"/>
  <c r="AQ71" i="5"/>
  <c r="AP71" i="5"/>
  <c r="AR70" i="5"/>
  <c r="AQ70" i="5"/>
  <c r="AP70" i="5"/>
  <c r="AR69" i="5"/>
  <c r="AQ69" i="5"/>
  <c r="AP69" i="5"/>
  <c r="AR68" i="5"/>
  <c r="AQ68" i="5"/>
  <c r="AP68" i="5"/>
  <c r="AR67" i="5"/>
  <c r="AQ67" i="5"/>
  <c r="AP67" i="5"/>
  <c r="AR66" i="5"/>
  <c r="AQ66" i="5"/>
  <c r="AP66" i="5"/>
  <c r="AR65" i="5"/>
  <c r="AQ65" i="5"/>
  <c r="AP65" i="5"/>
  <c r="AR64" i="5"/>
  <c r="AQ64" i="5"/>
  <c r="AP64" i="5"/>
  <c r="AR63" i="5"/>
  <c r="AQ63" i="5"/>
  <c r="AP63" i="5"/>
  <c r="AR62" i="5"/>
  <c r="AQ62" i="5"/>
  <c r="AP62" i="5"/>
  <c r="AR61" i="5"/>
  <c r="AQ61" i="5"/>
  <c r="AP61" i="5"/>
  <c r="AR60" i="5"/>
  <c r="AQ60" i="5"/>
  <c r="AP60" i="5"/>
  <c r="AR59" i="5"/>
  <c r="AQ59" i="5"/>
  <c r="AP59" i="5"/>
  <c r="AR58" i="5"/>
  <c r="AQ58" i="5"/>
  <c r="AP58" i="5"/>
  <c r="AR57" i="5"/>
  <c r="AQ57" i="5"/>
  <c r="AP57" i="5"/>
  <c r="AR56" i="5"/>
  <c r="AQ56" i="5"/>
  <c r="AP56" i="5"/>
  <c r="AR55" i="5"/>
  <c r="AQ55" i="5"/>
  <c r="AP55" i="5"/>
  <c r="AR54" i="5"/>
  <c r="AQ54" i="5"/>
  <c r="AP54" i="5"/>
  <c r="AR53" i="5"/>
  <c r="AQ53" i="5"/>
  <c r="AP53" i="5"/>
  <c r="AR52" i="5"/>
  <c r="AQ52" i="5"/>
  <c r="AP52" i="5"/>
  <c r="AR51" i="5"/>
  <c r="AQ51" i="5"/>
  <c r="AP51" i="5"/>
  <c r="AR50" i="5"/>
  <c r="AQ50" i="5"/>
  <c r="AP50" i="5"/>
  <c r="AR49" i="5"/>
  <c r="AQ49" i="5"/>
  <c r="AP49" i="5"/>
  <c r="AR48" i="5"/>
  <c r="AQ48" i="5"/>
  <c r="AP48" i="5"/>
  <c r="AR47" i="5"/>
  <c r="AQ47" i="5"/>
  <c r="AP47" i="5"/>
  <c r="AR46" i="5"/>
  <c r="AQ46" i="5"/>
  <c r="AP46" i="5"/>
  <c r="AR45" i="5"/>
  <c r="AQ45" i="5"/>
  <c r="AP45" i="5"/>
  <c r="AR44" i="5"/>
  <c r="AQ44" i="5"/>
  <c r="AP44" i="5"/>
  <c r="AR43" i="5"/>
  <c r="AQ43" i="5"/>
  <c r="AP43" i="5"/>
  <c r="AR42" i="5"/>
  <c r="AQ42" i="5"/>
  <c r="AP42" i="5"/>
  <c r="AR41" i="5"/>
  <c r="AQ41" i="5"/>
  <c r="AP41" i="5"/>
  <c r="AR40" i="5"/>
  <c r="AQ40" i="5"/>
  <c r="AP40" i="5"/>
  <c r="AR39" i="5"/>
  <c r="AQ39" i="5"/>
  <c r="AP39" i="5"/>
  <c r="AR38" i="5"/>
  <c r="AQ38" i="5"/>
  <c r="AP38" i="5"/>
  <c r="AR37" i="5"/>
  <c r="AQ37" i="5"/>
  <c r="AP37" i="5"/>
  <c r="AR36" i="5"/>
  <c r="AQ36" i="5"/>
  <c r="AP36" i="5"/>
  <c r="AR35" i="5"/>
  <c r="AQ35" i="5"/>
  <c r="AP35" i="5"/>
  <c r="AR34" i="5"/>
  <c r="AQ34" i="5"/>
  <c r="AP34" i="5"/>
  <c r="AR33" i="5"/>
  <c r="AQ33" i="5"/>
  <c r="AP33" i="5"/>
  <c r="AR32" i="5"/>
  <c r="AQ32" i="5"/>
  <c r="AP32" i="5"/>
  <c r="AR31" i="5"/>
  <c r="AQ31" i="5"/>
  <c r="AP31" i="5"/>
  <c r="AR30" i="5"/>
  <c r="AQ30" i="5"/>
  <c r="AP30" i="5"/>
  <c r="AR29" i="5"/>
  <c r="AQ29" i="5"/>
  <c r="AP29" i="5"/>
  <c r="AR28" i="5"/>
  <c r="AQ28" i="5"/>
  <c r="AP28" i="5"/>
  <c r="AR27" i="5"/>
  <c r="AQ27" i="5"/>
  <c r="AP27" i="5"/>
  <c r="AR26" i="5"/>
  <c r="AQ26" i="5"/>
  <c r="AP26" i="5"/>
  <c r="AR25" i="5"/>
  <c r="AQ25" i="5"/>
  <c r="AP25" i="5"/>
  <c r="AR24" i="5"/>
  <c r="AQ24" i="5"/>
  <c r="AP24" i="5"/>
  <c r="AR23" i="5"/>
  <c r="AQ23" i="5"/>
  <c r="AP23" i="5"/>
  <c r="AR22" i="5"/>
  <c r="AQ22" i="5"/>
  <c r="AP22" i="5"/>
  <c r="AR21" i="5"/>
  <c r="AQ21" i="5"/>
  <c r="AP21" i="5"/>
  <c r="AR20" i="5"/>
  <c r="AQ20" i="5"/>
  <c r="AP20" i="5"/>
  <c r="AR19" i="5"/>
  <c r="AQ19" i="5"/>
  <c r="AP19" i="5"/>
  <c r="AR18" i="5"/>
  <c r="AQ18" i="5"/>
  <c r="AP18" i="5"/>
  <c r="AR17" i="5"/>
  <c r="AQ17" i="5"/>
  <c r="AP17" i="5"/>
  <c r="AR16" i="5"/>
  <c r="AQ16" i="5"/>
  <c r="AP16" i="5"/>
  <c r="AR15" i="5"/>
  <c r="AQ15" i="5"/>
  <c r="AP15" i="5"/>
  <c r="AR14" i="5"/>
  <c r="AQ14" i="5"/>
  <c r="AP14" i="5"/>
  <c r="AR13" i="5"/>
  <c r="AQ13" i="5"/>
  <c r="AP13" i="5"/>
  <c r="AR12" i="5"/>
  <c r="AQ12" i="5"/>
  <c r="AP12" i="5"/>
  <c r="AR11" i="5"/>
  <c r="AQ11" i="5"/>
  <c r="AP11" i="5"/>
  <c r="AR10" i="5"/>
  <c r="AQ10" i="5"/>
  <c r="AP10" i="5"/>
  <c r="AR9" i="5"/>
  <c r="AQ9" i="5"/>
  <c r="AP9" i="5"/>
  <c r="AR8" i="5"/>
  <c r="AQ8" i="5"/>
  <c r="AP8" i="5"/>
  <c r="AR7" i="5"/>
  <c r="AQ7" i="5"/>
  <c r="AP7" i="5"/>
  <c r="AR6" i="5"/>
  <c r="AQ6" i="5"/>
  <c r="AP6" i="5"/>
  <c r="AR5" i="5"/>
  <c r="AQ5" i="5"/>
  <c r="AP5" i="5"/>
  <c r="P249" i="1"/>
  <c r="P244" i="1"/>
  <c r="P235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215" i="3"/>
  <c r="P214" i="3"/>
  <c r="P213" i="3"/>
  <c r="P210" i="3"/>
  <c r="P209" i="3"/>
  <c r="P208" i="3"/>
  <c r="P205" i="3"/>
  <c r="P204" i="3"/>
  <c r="P203" i="3"/>
  <c r="P202" i="3"/>
  <c r="P199" i="3"/>
  <c r="P198" i="3"/>
  <c r="P195" i="3"/>
  <c r="P194" i="3"/>
  <c r="P193" i="3"/>
  <c r="P190" i="3"/>
  <c r="P189" i="3"/>
  <c r="P186" i="3"/>
  <c r="P185" i="3"/>
  <c r="P184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177" i="3" s="1"/>
  <c r="P9" i="3"/>
  <c r="P8" i="3"/>
  <c r="P7" i="3"/>
  <c r="P6" i="3"/>
  <c r="P5" i="3"/>
  <c r="P4" i="3"/>
  <c r="P3" i="3"/>
  <c r="P229" i="2"/>
  <c r="P228" i="2"/>
  <c r="P227" i="2"/>
  <c r="P226" i="2"/>
  <c r="P224" i="2"/>
  <c r="P223" i="2"/>
  <c r="P222" i="2"/>
  <c r="P221" i="2"/>
  <c r="P219" i="2"/>
  <c r="P274" i="2" s="1"/>
  <c r="P218" i="2"/>
  <c r="P217" i="2"/>
  <c r="P214" i="2"/>
  <c r="P213" i="2"/>
  <c r="P212" i="2"/>
  <c r="P209" i="2"/>
  <c r="P208" i="2"/>
  <c r="P207" i="2"/>
  <c r="P206" i="2"/>
  <c r="P203" i="2"/>
  <c r="P202" i="2"/>
  <c r="P199" i="2"/>
  <c r="P270" i="2" s="1"/>
  <c r="P198" i="2"/>
  <c r="P197" i="2"/>
  <c r="P194" i="2"/>
  <c r="P193" i="2"/>
  <c r="P190" i="2"/>
  <c r="P189" i="2"/>
  <c r="P188" i="2"/>
  <c r="P184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4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8" i="2"/>
  <c r="P87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4" i="2"/>
  <c r="P3" i="2"/>
  <c r="BJ349" i="5"/>
  <c r="BI349" i="5"/>
  <c r="BG349" i="5"/>
  <c r="BF349" i="5"/>
  <c r="BD349" i="5"/>
  <c r="BC349" i="5"/>
  <c r="BD344" i="5"/>
  <c r="BI343" i="5"/>
  <c r="BE343" i="5"/>
  <c r="BJ342" i="5"/>
  <c r="BI342" i="5"/>
  <c r="BG342" i="5"/>
  <c r="BF342" i="5"/>
  <c r="BD342" i="5"/>
  <c r="BC342" i="5"/>
  <c r="BJ339" i="5"/>
  <c r="BJ344" i="5" s="1"/>
  <c r="BI339" i="5"/>
  <c r="BI344" i="5" s="1"/>
  <c r="BG339" i="5"/>
  <c r="BG344" i="5" s="1"/>
  <c r="BF339" i="5"/>
  <c r="BF344" i="5" s="1"/>
  <c r="BD339" i="5"/>
  <c r="BC339" i="5"/>
  <c r="BC344" i="5" s="1"/>
  <c r="BJ343" i="5"/>
  <c r="BH343" i="5"/>
  <c r="BG343" i="5"/>
  <c r="BF343" i="5"/>
  <c r="BD343" i="5"/>
  <c r="BC343" i="5"/>
  <c r="BB343" i="5"/>
  <c r="BJ325" i="5"/>
  <c r="BG325" i="5"/>
  <c r="BD325" i="5"/>
  <c r="BJ321" i="5"/>
  <c r="BJ327" i="5" s="1"/>
  <c r="BI321" i="5"/>
  <c r="BI327" i="5" s="1"/>
  <c r="BH321" i="5"/>
  <c r="BG321" i="5"/>
  <c r="BG327" i="5" s="1"/>
  <c r="BB321" i="5"/>
  <c r="BH349" i="5"/>
  <c r="BJ347" i="5"/>
  <c r="BI347" i="5"/>
  <c r="BH347" i="5"/>
  <c r="BG347" i="5"/>
  <c r="BF347" i="5"/>
  <c r="BE347" i="5"/>
  <c r="BD347" i="5"/>
  <c r="BC347" i="5"/>
  <c r="BB347" i="5"/>
  <c r="BJ109" i="5"/>
  <c r="BJ348" i="5" s="1"/>
  <c r="BI346" i="5"/>
  <c r="BH346" i="5"/>
  <c r="BE346" i="5"/>
  <c r="BC348" i="5"/>
  <c r="BB348" i="5"/>
  <c r="BI318" i="5"/>
  <c r="BI326" i="5" s="1"/>
  <c r="BH318" i="5"/>
  <c r="BC318" i="5"/>
  <c r="BC326" i="5" s="1"/>
  <c r="BA349" i="5"/>
  <c r="AZ349" i="5"/>
  <c r="AX349" i="5"/>
  <c r="AW349" i="5"/>
  <c r="AU349" i="5"/>
  <c r="AT349" i="5"/>
  <c r="AR349" i="5"/>
  <c r="AQ349" i="5"/>
  <c r="BA342" i="5"/>
  <c r="AZ342" i="5"/>
  <c r="AX342" i="5"/>
  <c r="AW342" i="5"/>
  <c r="AU342" i="5"/>
  <c r="AT342" i="5"/>
  <c r="AR342" i="5"/>
  <c r="AQ342" i="5"/>
  <c r="BA339" i="5"/>
  <c r="BA344" i="5" s="1"/>
  <c r="AZ339" i="5"/>
  <c r="AZ344" i="5" s="1"/>
  <c r="AX339" i="5"/>
  <c r="AX344" i="5" s="1"/>
  <c r="AW339" i="5"/>
  <c r="AW344" i="5" s="1"/>
  <c r="AU339" i="5"/>
  <c r="AU344" i="5" s="1"/>
  <c r="AT339" i="5"/>
  <c r="AT344" i="5" s="1"/>
  <c r="AR339" i="5"/>
  <c r="AR344" i="5" s="1"/>
  <c r="AQ339" i="5"/>
  <c r="AQ344" i="5" s="1"/>
  <c r="BA343" i="5"/>
  <c r="AZ343" i="5"/>
  <c r="AY343" i="5"/>
  <c r="AX343" i="5"/>
  <c r="AW343" i="5"/>
  <c r="AU343" i="5"/>
  <c r="AT343" i="5"/>
  <c r="AR343" i="5"/>
  <c r="AQ343" i="5"/>
  <c r="AP343" i="5"/>
  <c r="BA325" i="5"/>
  <c r="AX325" i="5"/>
  <c r="AU325" i="5"/>
  <c r="AR325" i="5"/>
  <c r="BA321" i="5"/>
  <c r="BA327" i="5" s="1"/>
  <c r="AZ321" i="5"/>
  <c r="AZ327" i="5" s="1"/>
  <c r="AY321" i="5"/>
  <c r="AW321" i="5"/>
  <c r="AW327" i="5" s="1"/>
  <c r="AU321" i="5"/>
  <c r="AU327" i="5" s="1"/>
  <c r="AT321" i="5"/>
  <c r="AT327" i="5" s="1"/>
  <c r="AS321" i="5"/>
  <c r="AR321" i="5"/>
  <c r="AR327" i="5" s="1"/>
  <c r="AQ321" i="5"/>
  <c r="AQ327" i="5" s="1"/>
  <c r="AP321" i="5"/>
  <c r="AY349" i="5"/>
  <c r="AV349" i="5"/>
  <c r="AS349" i="5"/>
  <c r="AP349" i="5"/>
  <c r="BA347" i="5"/>
  <c r="AZ347" i="5"/>
  <c r="AY347" i="5"/>
  <c r="AX347" i="5"/>
  <c r="AW347" i="5"/>
  <c r="AU347" i="5"/>
  <c r="AT347" i="5"/>
  <c r="AS347" i="5"/>
  <c r="AR347" i="5"/>
  <c r="AQ347" i="5"/>
  <c r="AP347" i="5"/>
  <c r="AZ348" i="5"/>
  <c r="AY348" i="5"/>
  <c r="AW348" i="5"/>
  <c r="AX109" i="5"/>
  <c r="AU109" i="5"/>
  <c r="AU348" i="5" s="1"/>
  <c r="AT348" i="5"/>
  <c r="AS348" i="5"/>
  <c r="AQ348" i="5"/>
  <c r="AP348" i="5"/>
  <c r="AZ318" i="5"/>
  <c r="AZ326" i="5" s="1"/>
  <c r="AY318" i="5"/>
  <c r="AU318" i="5"/>
  <c r="AU326" i="5" s="1"/>
  <c r="AT318" i="5"/>
  <c r="AT326" i="5" s="1"/>
  <c r="AS318" i="5"/>
  <c r="AQ318" i="5"/>
  <c r="AQ326" i="5" s="1"/>
  <c r="AP318" i="5"/>
  <c r="S256" i="1"/>
  <c r="T256" i="1"/>
  <c r="P256" i="1"/>
  <c r="V234" i="1"/>
  <c r="V236" i="1" s="1"/>
  <c r="V240" i="1" s="1"/>
  <c r="U234" i="1"/>
  <c r="U236" i="1" s="1"/>
  <c r="U240" i="1" s="1"/>
  <c r="T234" i="1"/>
  <c r="T236" i="1" s="1"/>
  <c r="T240" i="1" s="1"/>
  <c r="S234" i="1"/>
  <c r="S236" i="1" s="1"/>
  <c r="S240" i="1" s="1"/>
  <c r="R234" i="1"/>
  <c r="R236" i="1" s="1"/>
  <c r="R240" i="1" s="1"/>
  <c r="Q234" i="1"/>
  <c r="Q236" i="1" s="1"/>
  <c r="Q240" i="1" s="1"/>
  <c r="P234" i="1"/>
  <c r="P236" i="1" s="1"/>
  <c r="P240" i="1" s="1"/>
  <c r="V262" i="1"/>
  <c r="U262" i="1"/>
  <c r="U237" i="1" s="1"/>
  <c r="T262" i="1"/>
  <c r="S262" i="1"/>
  <c r="R262" i="1"/>
  <c r="Q262" i="1"/>
  <c r="Q237" i="1" s="1"/>
  <c r="P262" i="1"/>
  <c r="V260" i="1"/>
  <c r="U260" i="1"/>
  <c r="T260" i="1"/>
  <c r="S260" i="1"/>
  <c r="R260" i="1"/>
  <c r="Q260" i="1"/>
  <c r="P260" i="1"/>
  <c r="V259" i="1"/>
  <c r="U261" i="1"/>
  <c r="T261" i="1"/>
  <c r="S259" i="1"/>
  <c r="R259" i="1"/>
  <c r="Q261" i="1"/>
  <c r="P261" i="1"/>
  <c r="V231" i="1"/>
  <c r="U231" i="1"/>
  <c r="T231" i="1"/>
  <c r="S231" i="1"/>
  <c r="R231" i="1"/>
  <c r="Q231" i="1"/>
  <c r="P231" i="1"/>
  <c r="V223" i="3"/>
  <c r="T223" i="3"/>
  <c r="R223" i="3"/>
  <c r="Q223" i="3"/>
  <c r="P223" i="3"/>
  <c r="V179" i="3"/>
  <c r="T179" i="3"/>
  <c r="R179" i="3"/>
  <c r="Q179" i="3"/>
  <c r="P179" i="3"/>
  <c r="V173" i="3"/>
  <c r="V225" i="3" s="1"/>
  <c r="T222" i="3"/>
  <c r="S173" i="3"/>
  <c r="S225" i="3" s="1"/>
  <c r="R173" i="3"/>
  <c r="R225" i="3" s="1"/>
  <c r="Q222" i="3"/>
  <c r="P222" i="3"/>
  <c r="V221" i="3"/>
  <c r="T221" i="3"/>
  <c r="R221" i="3"/>
  <c r="Q221" i="3"/>
  <c r="P221" i="3"/>
  <c r="V219" i="3"/>
  <c r="U219" i="3"/>
  <c r="T219" i="3"/>
  <c r="R219" i="3"/>
  <c r="Q219" i="3"/>
  <c r="P219" i="3"/>
  <c r="V220" i="3"/>
  <c r="T220" i="3"/>
  <c r="R220" i="3"/>
  <c r="Q220" i="3"/>
  <c r="P220" i="3"/>
  <c r="V177" i="3"/>
  <c r="T177" i="3"/>
  <c r="R177" i="3"/>
  <c r="Q172" i="3"/>
  <c r="Q224" i="3" s="1"/>
  <c r="V218" i="3"/>
  <c r="T218" i="3"/>
  <c r="R218" i="3"/>
  <c r="Q218" i="3"/>
  <c r="P218" i="3"/>
  <c r="U278" i="2"/>
  <c r="Q278" i="2"/>
  <c r="U273" i="2"/>
  <c r="T273" i="2"/>
  <c r="Q273" i="2"/>
  <c r="P273" i="2"/>
  <c r="V271" i="2"/>
  <c r="U271" i="2"/>
  <c r="R271" i="2"/>
  <c r="Q271" i="2"/>
  <c r="S268" i="2"/>
  <c r="V267" i="2"/>
  <c r="R267" i="2"/>
  <c r="V274" i="2"/>
  <c r="U274" i="2"/>
  <c r="T274" i="2"/>
  <c r="S274" i="2"/>
  <c r="R274" i="2"/>
  <c r="Q274" i="2"/>
  <c r="V273" i="2"/>
  <c r="S273" i="2"/>
  <c r="R273" i="2"/>
  <c r="T272" i="2"/>
  <c r="P272" i="2"/>
  <c r="V272" i="2"/>
  <c r="U272" i="2"/>
  <c r="S272" i="2"/>
  <c r="R272" i="2"/>
  <c r="Q272" i="2"/>
  <c r="T271" i="2"/>
  <c r="S271" i="2"/>
  <c r="P271" i="2"/>
  <c r="V245" i="2"/>
  <c r="R245" i="2"/>
  <c r="V283" i="2"/>
  <c r="U270" i="2"/>
  <c r="T270" i="2"/>
  <c r="S270" i="2"/>
  <c r="R283" i="2"/>
  <c r="Q270" i="2"/>
  <c r="V269" i="2"/>
  <c r="U269" i="2"/>
  <c r="T269" i="2"/>
  <c r="S269" i="2"/>
  <c r="R269" i="2"/>
  <c r="Q269" i="2"/>
  <c r="P269" i="2"/>
  <c r="V275" i="2"/>
  <c r="U275" i="2"/>
  <c r="T275" i="2"/>
  <c r="S275" i="2"/>
  <c r="R275" i="2"/>
  <c r="Q275" i="2"/>
  <c r="P275" i="2"/>
  <c r="V268" i="2"/>
  <c r="U268" i="2"/>
  <c r="T283" i="2"/>
  <c r="S283" i="2"/>
  <c r="R268" i="2"/>
  <c r="Q268" i="2"/>
  <c r="P283" i="2"/>
  <c r="U267" i="2"/>
  <c r="T267" i="2"/>
  <c r="S267" i="2"/>
  <c r="Q267" i="2"/>
  <c r="P267" i="2"/>
  <c r="V255" i="2"/>
  <c r="R255" i="2"/>
  <c r="V248" i="2"/>
  <c r="U255" i="2"/>
  <c r="T255" i="2"/>
  <c r="S255" i="2"/>
  <c r="R248" i="2"/>
  <c r="Q255" i="2"/>
  <c r="P255" i="2"/>
  <c r="V247" i="2"/>
  <c r="U247" i="2"/>
  <c r="T247" i="2"/>
  <c r="S247" i="2"/>
  <c r="R247" i="2"/>
  <c r="Q247" i="2"/>
  <c r="P247" i="2"/>
  <c r="V179" i="2"/>
  <c r="R179" i="2"/>
  <c r="V281" i="2"/>
  <c r="U281" i="2"/>
  <c r="T281" i="2"/>
  <c r="S281" i="2"/>
  <c r="R281" i="2"/>
  <c r="Q281" i="2"/>
  <c r="P281" i="2"/>
  <c r="V260" i="2"/>
  <c r="U260" i="2"/>
  <c r="T260" i="2"/>
  <c r="S260" i="2"/>
  <c r="R260" i="2"/>
  <c r="Q260" i="2"/>
  <c r="P260" i="2"/>
  <c r="V280" i="2"/>
  <c r="U280" i="2"/>
  <c r="T179" i="2"/>
  <c r="S179" i="2"/>
  <c r="R280" i="2"/>
  <c r="Q280" i="2"/>
  <c r="P179" i="2"/>
  <c r="S253" i="2"/>
  <c r="V253" i="2"/>
  <c r="U253" i="2"/>
  <c r="T246" i="2"/>
  <c r="S174" i="2"/>
  <c r="S250" i="2" s="1"/>
  <c r="R253" i="2"/>
  <c r="Q253" i="2"/>
  <c r="P246" i="2"/>
  <c r="U245" i="2"/>
  <c r="T245" i="2"/>
  <c r="S245" i="2"/>
  <c r="Q245" i="2"/>
  <c r="P245" i="2"/>
  <c r="V243" i="2"/>
  <c r="U243" i="2"/>
  <c r="T243" i="2"/>
  <c r="S243" i="2"/>
  <c r="R243" i="2"/>
  <c r="Q243" i="2"/>
  <c r="P243" i="2"/>
  <c r="V279" i="2"/>
  <c r="U279" i="2"/>
  <c r="T279" i="2"/>
  <c r="S279" i="2"/>
  <c r="R279" i="2"/>
  <c r="Q279" i="2"/>
  <c r="P279" i="2"/>
  <c r="V278" i="2"/>
  <c r="T278" i="2"/>
  <c r="S278" i="2"/>
  <c r="R278" i="2"/>
  <c r="P278" i="2"/>
  <c r="V261" i="2"/>
  <c r="U261" i="2"/>
  <c r="T261" i="2"/>
  <c r="S261" i="2"/>
  <c r="R261" i="2"/>
  <c r="Q261" i="2"/>
  <c r="P261" i="2"/>
  <c r="V256" i="2"/>
  <c r="U256" i="2"/>
  <c r="T256" i="2"/>
  <c r="S256" i="2"/>
  <c r="R256" i="2"/>
  <c r="Q256" i="2"/>
  <c r="P256" i="2"/>
  <c r="V259" i="2"/>
  <c r="U259" i="2"/>
  <c r="T259" i="2"/>
  <c r="S259" i="2"/>
  <c r="R259" i="2"/>
  <c r="Q259" i="2"/>
  <c r="P259" i="2"/>
  <c r="V258" i="2"/>
  <c r="U258" i="2"/>
  <c r="T258" i="2"/>
  <c r="S258" i="2"/>
  <c r="R258" i="2"/>
  <c r="Q258" i="2"/>
  <c r="P258" i="2"/>
  <c r="V244" i="2"/>
  <c r="U244" i="2"/>
  <c r="T244" i="2"/>
  <c r="S244" i="2"/>
  <c r="R244" i="2"/>
  <c r="Q244" i="2"/>
  <c r="P244" i="2"/>
  <c r="V254" i="2"/>
  <c r="U254" i="2"/>
  <c r="T254" i="2"/>
  <c r="S254" i="2"/>
  <c r="R254" i="2"/>
  <c r="Q254" i="2"/>
  <c r="P254" i="2"/>
  <c r="V277" i="2"/>
  <c r="U277" i="2"/>
  <c r="T277" i="2"/>
  <c r="S277" i="2"/>
  <c r="R277" i="2"/>
  <c r="Q277" i="2"/>
  <c r="P277" i="2"/>
  <c r="V173" i="2"/>
  <c r="U276" i="2"/>
  <c r="T173" i="2"/>
  <c r="T232" i="2" s="1"/>
  <c r="S173" i="2"/>
  <c r="S232" i="2" s="1"/>
  <c r="R173" i="2"/>
  <c r="Q276" i="2"/>
  <c r="P173" i="2"/>
  <c r="P232" i="2" s="1"/>
  <c r="V257" i="2"/>
  <c r="U257" i="2"/>
  <c r="T242" i="2"/>
  <c r="S257" i="2"/>
  <c r="R257" i="2"/>
  <c r="Q257" i="2"/>
  <c r="P242" i="2"/>
  <c r="AM337" i="5"/>
  <c r="AO333" i="5"/>
  <c r="AN333" i="5"/>
  <c r="AM333" i="5"/>
  <c r="AO317" i="5"/>
  <c r="AN317" i="5"/>
  <c r="AM317" i="5"/>
  <c r="AO316" i="5"/>
  <c r="AN316" i="5"/>
  <c r="AM316" i="5"/>
  <c r="AO315" i="5"/>
  <c r="AN315" i="5"/>
  <c r="AM315" i="5"/>
  <c r="AO314" i="5"/>
  <c r="AN314" i="5"/>
  <c r="AM314" i="5"/>
  <c r="AO313" i="5"/>
  <c r="AN313" i="5"/>
  <c r="AM313" i="5"/>
  <c r="AO312" i="5"/>
  <c r="AN312" i="5"/>
  <c r="AM312" i="5"/>
  <c r="AO311" i="5"/>
  <c r="AN311" i="5"/>
  <c r="AM311" i="5"/>
  <c r="AO310" i="5"/>
  <c r="AN310" i="5"/>
  <c r="AM310" i="5"/>
  <c r="AO309" i="5"/>
  <c r="AN309" i="5"/>
  <c r="AM309" i="5"/>
  <c r="AO308" i="5"/>
  <c r="AN308" i="5"/>
  <c r="AM308" i="5"/>
  <c r="AO307" i="5"/>
  <c r="AN307" i="5"/>
  <c r="AM307" i="5"/>
  <c r="AO306" i="5"/>
  <c r="AN306" i="5"/>
  <c r="AM306" i="5"/>
  <c r="AO305" i="5"/>
  <c r="AN305" i="5"/>
  <c r="AM305" i="5"/>
  <c r="AO304" i="5"/>
  <c r="AN304" i="5"/>
  <c r="AM304" i="5"/>
  <c r="AO303" i="5"/>
  <c r="AN303" i="5"/>
  <c r="AM303" i="5"/>
  <c r="AO302" i="5"/>
  <c r="AN302" i="5"/>
  <c r="AM302" i="5"/>
  <c r="AO301" i="5"/>
  <c r="AN301" i="5"/>
  <c r="AM301" i="5"/>
  <c r="AO300" i="5"/>
  <c r="AN300" i="5"/>
  <c r="AM300" i="5"/>
  <c r="AO299" i="5"/>
  <c r="AN299" i="5"/>
  <c r="AM299" i="5"/>
  <c r="AO298" i="5"/>
  <c r="AN298" i="5"/>
  <c r="AM298" i="5"/>
  <c r="AO297" i="5"/>
  <c r="AN297" i="5"/>
  <c r="AM297" i="5"/>
  <c r="AO296" i="5"/>
  <c r="AN296" i="5"/>
  <c r="AM296" i="5"/>
  <c r="AO295" i="5"/>
  <c r="AN295" i="5"/>
  <c r="AM295" i="5"/>
  <c r="AO294" i="5"/>
  <c r="AN294" i="5"/>
  <c r="AM294" i="5"/>
  <c r="AO293" i="5"/>
  <c r="AN293" i="5"/>
  <c r="AM293" i="5"/>
  <c r="AO292" i="5"/>
  <c r="AN292" i="5"/>
  <c r="AO291" i="5"/>
  <c r="AN291" i="5"/>
  <c r="AM291" i="5"/>
  <c r="AO290" i="5"/>
  <c r="AN290" i="5"/>
  <c r="AM290" i="5"/>
  <c r="AO289" i="5"/>
  <c r="AN289" i="5"/>
  <c r="AM289" i="5"/>
  <c r="AO288" i="5"/>
  <c r="AN288" i="5"/>
  <c r="AM288" i="5"/>
  <c r="AO287" i="5"/>
  <c r="AN287" i="5"/>
  <c r="AM287" i="5"/>
  <c r="AO286" i="5"/>
  <c r="AN286" i="5"/>
  <c r="AM286" i="5"/>
  <c r="AO285" i="5"/>
  <c r="AN285" i="5"/>
  <c r="AM285" i="5"/>
  <c r="AO284" i="5"/>
  <c r="AN284" i="5"/>
  <c r="AM284" i="5"/>
  <c r="AO283" i="5"/>
  <c r="AN283" i="5"/>
  <c r="AM283" i="5"/>
  <c r="AO282" i="5"/>
  <c r="AN282" i="5"/>
  <c r="AM282" i="5"/>
  <c r="AO281" i="5"/>
  <c r="AN281" i="5"/>
  <c r="AM281" i="5"/>
  <c r="AO280" i="5"/>
  <c r="AN280" i="5"/>
  <c r="AM280" i="5"/>
  <c r="AO279" i="5"/>
  <c r="AN279" i="5"/>
  <c r="AM279" i="5"/>
  <c r="AO278" i="5"/>
  <c r="AN278" i="5"/>
  <c r="AM278" i="5"/>
  <c r="AO277" i="5"/>
  <c r="AN277" i="5"/>
  <c r="AM277" i="5"/>
  <c r="AO276" i="5"/>
  <c r="AN276" i="5"/>
  <c r="AM276" i="5"/>
  <c r="AO275" i="5"/>
  <c r="AN275" i="5"/>
  <c r="AM275" i="5"/>
  <c r="AO274" i="5"/>
  <c r="AN274" i="5"/>
  <c r="AM274" i="5"/>
  <c r="AO273" i="5"/>
  <c r="AN273" i="5"/>
  <c r="AM273" i="5"/>
  <c r="AO272" i="5"/>
  <c r="AN272" i="5"/>
  <c r="AM272" i="5"/>
  <c r="AO271" i="5"/>
  <c r="AN271" i="5"/>
  <c r="AM271" i="5"/>
  <c r="AO270" i="5"/>
  <c r="AN270" i="5"/>
  <c r="AM270" i="5"/>
  <c r="AO269" i="5"/>
  <c r="AN269" i="5"/>
  <c r="AM269" i="5"/>
  <c r="AO268" i="5"/>
  <c r="AN268" i="5"/>
  <c r="AM268" i="5"/>
  <c r="AO267" i="5"/>
  <c r="AN267" i="5"/>
  <c r="AM267" i="5"/>
  <c r="AO266" i="5"/>
  <c r="AN266" i="5"/>
  <c r="AM266" i="5"/>
  <c r="AO265" i="5"/>
  <c r="AN265" i="5"/>
  <c r="AM265" i="5"/>
  <c r="AO264" i="5"/>
  <c r="AN264" i="5"/>
  <c r="AM264" i="5"/>
  <c r="AO263" i="5"/>
  <c r="AN263" i="5"/>
  <c r="AM263" i="5"/>
  <c r="AO262" i="5"/>
  <c r="AN262" i="5"/>
  <c r="AM262" i="5"/>
  <c r="AO261" i="5"/>
  <c r="AN261" i="5"/>
  <c r="AM261" i="5"/>
  <c r="AO260" i="5"/>
  <c r="AN260" i="5"/>
  <c r="AM260" i="5"/>
  <c r="AO259" i="5"/>
  <c r="AN259" i="5"/>
  <c r="AM259" i="5"/>
  <c r="AO258" i="5"/>
  <c r="AN258" i="5"/>
  <c r="AM258" i="5"/>
  <c r="AO257" i="5"/>
  <c r="AN257" i="5"/>
  <c r="AM257" i="5"/>
  <c r="AO256" i="5"/>
  <c r="AN256" i="5"/>
  <c r="AM256" i="5"/>
  <c r="AO255" i="5"/>
  <c r="AN255" i="5"/>
  <c r="AM255" i="5"/>
  <c r="AO254" i="5"/>
  <c r="AN254" i="5"/>
  <c r="AM254" i="5"/>
  <c r="AO253" i="5"/>
  <c r="AN253" i="5"/>
  <c r="AM253" i="5"/>
  <c r="AO252" i="5"/>
  <c r="AN252" i="5"/>
  <c r="AM252" i="5"/>
  <c r="AO251" i="5"/>
  <c r="AN251" i="5"/>
  <c r="AM251" i="5"/>
  <c r="AO250" i="5"/>
  <c r="AN250" i="5"/>
  <c r="AM250" i="5"/>
  <c r="AO249" i="5"/>
  <c r="AN249" i="5"/>
  <c r="AM249" i="5"/>
  <c r="AO248" i="5"/>
  <c r="AN248" i="5"/>
  <c r="AM248" i="5"/>
  <c r="AO247" i="5"/>
  <c r="AN247" i="5"/>
  <c r="AM247" i="5"/>
  <c r="AO246" i="5"/>
  <c r="AN246" i="5"/>
  <c r="AM246" i="5"/>
  <c r="AO245" i="5"/>
  <c r="AN245" i="5"/>
  <c r="AM245" i="5"/>
  <c r="AO244" i="5"/>
  <c r="AN244" i="5"/>
  <c r="AM244" i="5"/>
  <c r="AO243" i="5"/>
  <c r="AN243" i="5"/>
  <c r="AM243" i="5"/>
  <c r="AO242" i="5"/>
  <c r="AN242" i="5"/>
  <c r="AM242" i="5"/>
  <c r="AO241" i="5"/>
  <c r="AN241" i="5"/>
  <c r="AM241" i="5"/>
  <c r="AO240" i="5"/>
  <c r="AN240" i="5"/>
  <c r="AM240" i="5"/>
  <c r="AO239" i="5"/>
  <c r="AN239" i="5"/>
  <c r="AM239" i="5"/>
  <c r="AO238" i="5"/>
  <c r="AN238" i="5"/>
  <c r="AM238" i="5"/>
  <c r="AO237" i="5"/>
  <c r="AN237" i="5"/>
  <c r="AM237" i="5"/>
  <c r="AO236" i="5"/>
  <c r="AN236" i="5"/>
  <c r="AM236" i="5"/>
  <c r="AO235" i="5"/>
  <c r="AN235" i="5"/>
  <c r="AM235" i="5"/>
  <c r="AO234" i="5"/>
  <c r="AN234" i="5"/>
  <c r="AM234" i="5"/>
  <c r="AO233" i="5"/>
  <c r="AN233" i="5"/>
  <c r="AM233" i="5"/>
  <c r="AO232" i="5"/>
  <c r="AN232" i="5"/>
  <c r="AM232" i="5"/>
  <c r="AO231" i="5"/>
  <c r="AN231" i="5"/>
  <c r="AM231" i="5"/>
  <c r="AO230" i="5"/>
  <c r="AN230" i="5"/>
  <c r="AM230" i="5"/>
  <c r="AO229" i="5"/>
  <c r="AN229" i="5"/>
  <c r="AM229" i="5"/>
  <c r="AO228" i="5"/>
  <c r="AN228" i="5"/>
  <c r="AM228" i="5"/>
  <c r="AO227" i="5"/>
  <c r="AN227" i="5"/>
  <c r="AM227" i="5"/>
  <c r="AO226" i="5"/>
  <c r="AN226" i="5"/>
  <c r="AM226" i="5"/>
  <c r="AO225" i="5"/>
  <c r="AN225" i="5"/>
  <c r="AM225" i="5"/>
  <c r="AO224" i="5"/>
  <c r="AN224" i="5"/>
  <c r="AM224" i="5"/>
  <c r="AO223" i="5"/>
  <c r="AN223" i="5"/>
  <c r="AM223" i="5"/>
  <c r="AO222" i="5"/>
  <c r="AN222" i="5"/>
  <c r="AM222" i="5"/>
  <c r="AO221" i="5"/>
  <c r="AN221" i="5"/>
  <c r="AM221" i="5"/>
  <c r="AO220" i="5"/>
  <c r="AN220" i="5"/>
  <c r="AM220" i="5"/>
  <c r="AO219" i="5"/>
  <c r="AN219" i="5"/>
  <c r="AM219" i="5"/>
  <c r="AO218" i="5"/>
  <c r="AN218" i="5"/>
  <c r="AM218" i="5"/>
  <c r="AO217" i="5"/>
  <c r="AN217" i="5"/>
  <c r="AM217" i="5"/>
  <c r="AO216" i="5"/>
  <c r="AN216" i="5"/>
  <c r="AM216" i="5"/>
  <c r="AO215" i="5"/>
  <c r="AN215" i="5"/>
  <c r="AM215" i="5"/>
  <c r="AO214" i="5"/>
  <c r="AN214" i="5"/>
  <c r="AM214" i="5"/>
  <c r="AO213" i="5"/>
  <c r="AN213" i="5"/>
  <c r="AM213" i="5"/>
  <c r="AO212" i="5"/>
  <c r="AN212" i="5"/>
  <c r="AM212" i="5"/>
  <c r="AO211" i="5"/>
  <c r="AN211" i="5"/>
  <c r="AM211" i="5"/>
  <c r="AO210" i="5"/>
  <c r="AN210" i="5"/>
  <c r="AM210" i="5"/>
  <c r="AO209" i="5"/>
  <c r="AN209" i="5"/>
  <c r="AM209" i="5"/>
  <c r="AO208" i="5"/>
  <c r="AN208" i="5"/>
  <c r="AM208" i="5"/>
  <c r="AO207" i="5"/>
  <c r="AN207" i="5"/>
  <c r="AM207" i="5"/>
  <c r="AO206" i="5"/>
  <c r="AN206" i="5"/>
  <c r="AM206" i="5"/>
  <c r="AO205" i="5"/>
  <c r="AN205" i="5"/>
  <c r="AM205" i="5"/>
  <c r="AO204" i="5"/>
  <c r="AN204" i="5"/>
  <c r="AM204" i="5"/>
  <c r="AO203" i="5"/>
  <c r="AN203" i="5"/>
  <c r="AM203" i="5"/>
  <c r="AO202" i="5"/>
  <c r="AN202" i="5"/>
  <c r="AM202" i="5"/>
  <c r="AO201" i="5"/>
  <c r="AN201" i="5"/>
  <c r="AM201" i="5"/>
  <c r="AO200" i="5"/>
  <c r="AN200" i="5"/>
  <c r="AM200" i="5"/>
  <c r="AO199" i="5"/>
  <c r="AN199" i="5"/>
  <c r="AM199" i="5"/>
  <c r="AO198" i="5"/>
  <c r="AN198" i="5"/>
  <c r="AM198" i="5"/>
  <c r="AO197" i="5"/>
  <c r="AN197" i="5"/>
  <c r="AM197" i="5"/>
  <c r="AO196" i="5"/>
  <c r="AN196" i="5"/>
  <c r="AM196" i="5"/>
  <c r="AO195" i="5"/>
  <c r="AN195" i="5"/>
  <c r="AM195" i="5"/>
  <c r="AO194" i="5"/>
  <c r="AN194" i="5"/>
  <c r="AM194" i="5"/>
  <c r="AO193" i="5"/>
  <c r="AN193" i="5"/>
  <c r="AM193" i="5"/>
  <c r="AO192" i="5"/>
  <c r="AN192" i="5"/>
  <c r="AM192" i="5"/>
  <c r="AO191" i="5"/>
  <c r="AN191" i="5"/>
  <c r="AM191" i="5"/>
  <c r="AO190" i="5"/>
  <c r="AN190" i="5"/>
  <c r="AM190" i="5"/>
  <c r="AO189" i="5"/>
  <c r="AN189" i="5"/>
  <c r="AM189" i="5"/>
  <c r="AO188" i="5"/>
  <c r="AN188" i="5"/>
  <c r="AM188" i="5"/>
  <c r="AO187" i="5"/>
  <c r="AN187" i="5"/>
  <c r="AM187" i="5"/>
  <c r="AO186" i="5"/>
  <c r="AN186" i="5"/>
  <c r="AM186" i="5"/>
  <c r="AO185" i="5"/>
  <c r="AN185" i="5"/>
  <c r="AM185" i="5"/>
  <c r="AO184" i="5"/>
  <c r="AN184" i="5"/>
  <c r="AM184" i="5"/>
  <c r="AO183" i="5"/>
  <c r="AN183" i="5"/>
  <c r="AM183" i="5"/>
  <c r="AO182" i="5"/>
  <c r="AN182" i="5"/>
  <c r="AM182" i="5"/>
  <c r="AO181" i="5"/>
  <c r="AN181" i="5"/>
  <c r="AM181" i="5"/>
  <c r="AO180" i="5"/>
  <c r="AN180" i="5"/>
  <c r="AM180" i="5"/>
  <c r="AO179" i="5"/>
  <c r="AN179" i="5"/>
  <c r="AM179" i="5"/>
  <c r="AO178" i="5"/>
  <c r="AN178" i="5"/>
  <c r="AM178" i="5"/>
  <c r="AO177" i="5"/>
  <c r="AN177" i="5"/>
  <c r="AM177" i="5"/>
  <c r="AO176" i="5"/>
  <c r="AN176" i="5"/>
  <c r="AM176" i="5"/>
  <c r="AO175" i="5"/>
  <c r="AN175" i="5"/>
  <c r="AM175" i="5"/>
  <c r="AO174" i="5"/>
  <c r="AN174" i="5"/>
  <c r="AM174" i="5"/>
  <c r="AO173" i="5"/>
  <c r="AN173" i="5"/>
  <c r="AM173" i="5"/>
  <c r="AO172" i="5"/>
  <c r="AN172" i="5"/>
  <c r="AM172" i="5"/>
  <c r="AO171" i="5"/>
  <c r="AN171" i="5"/>
  <c r="AM171" i="5"/>
  <c r="AO170" i="5"/>
  <c r="AN170" i="5"/>
  <c r="AM170" i="5"/>
  <c r="AO169" i="5"/>
  <c r="AN169" i="5"/>
  <c r="AM169" i="5"/>
  <c r="AO168" i="5"/>
  <c r="AN168" i="5"/>
  <c r="AM168" i="5"/>
  <c r="AO167" i="5"/>
  <c r="AN167" i="5"/>
  <c r="AM167" i="5"/>
  <c r="AO166" i="5"/>
  <c r="AN166" i="5"/>
  <c r="AM166" i="5"/>
  <c r="AO165" i="5"/>
  <c r="AN165" i="5"/>
  <c r="AM165" i="5"/>
  <c r="AO164" i="5"/>
  <c r="AN164" i="5"/>
  <c r="AM164" i="5"/>
  <c r="AO163" i="5"/>
  <c r="AN163" i="5"/>
  <c r="AM163" i="5"/>
  <c r="AO162" i="5"/>
  <c r="AN162" i="5"/>
  <c r="AM162" i="5"/>
  <c r="AO161" i="5"/>
  <c r="AN161" i="5"/>
  <c r="AM161" i="5"/>
  <c r="AO160" i="5"/>
  <c r="AN160" i="5"/>
  <c r="AM160" i="5"/>
  <c r="AO159" i="5"/>
  <c r="AN159" i="5"/>
  <c r="AM159" i="5"/>
  <c r="AO158" i="5"/>
  <c r="AN158" i="5"/>
  <c r="AM158" i="5"/>
  <c r="AO157" i="5"/>
  <c r="AN157" i="5"/>
  <c r="AM157" i="5"/>
  <c r="AO156" i="5"/>
  <c r="AN156" i="5"/>
  <c r="AM156" i="5"/>
  <c r="AO155" i="5"/>
  <c r="AN155" i="5"/>
  <c r="AM155" i="5"/>
  <c r="AO154" i="5"/>
  <c r="AN154" i="5"/>
  <c r="AM154" i="5"/>
  <c r="AO153" i="5"/>
  <c r="AN153" i="5"/>
  <c r="AM153" i="5"/>
  <c r="AO152" i="5"/>
  <c r="AN152" i="5"/>
  <c r="AM152" i="5"/>
  <c r="AO151" i="5"/>
  <c r="AN151" i="5"/>
  <c r="AM151" i="5"/>
  <c r="AO150" i="5"/>
  <c r="AN150" i="5"/>
  <c r="AM150" i="5"/>
  <c r="AO149" i="5"/>
  <c r="AN149" i="5"/>
  <c r="AM149" i="5"/>
  <c r="AO148" i="5"/>
  <c r="AN148" i="5"/>
  <c r="AM148" i="5"/>
  <c r="AO147" i="5"/>
  <c r="AN147" i="5"/>
  <c r="AM147" i="5"/>
  <c r="AO146" i="5"/>
  <c r="AN146" i="5"/>
  <c r="AM146" i="5"/>
  <c r="AO145" i="5"/>
  <c r="AN145" i="5"/>
  <c r="AM145" i="5"/>
  <c r="AO144" i="5"/>
  <c r="AN144" i="5"/>
  <c r="AM144" i="5"/>
  <c r="AO143" i="5"/>
  <c r="AN143" i="5"/>
  <c r="AM143" i="5"/>
  <c r="AO142" i="5"/>
  <c r="AN142" i="5"/>
  <c r="AM142" i="5"/>
  <c r="AO141" i="5"/>
  <c r="AN141" i="5"/>
  <c r="AM141" i="5"/>
  <c r="AO140" i="5"/>
  <c r="AN140" i="5"/>
  <c r="AM140" i="5"/>
  <c r="AO139" i="5"/>
  <c r="AN139" i="5"/>
  <c r="AM139" i="5"/>
  <c r="AO138" i="5"/>
  <c r="AN138" i="5"/>
  <c r="AM138" i="5"/>
  <c r="AO137" i="5"/>
  <c r="AN137" i="5"/>
  <c r="AM137" i="5"/>
  <c r="AO136" i="5"/>
  <c r="AN136" i="5"/>
  <c r="AM136" i="5"/>
  <c r="AO135" i="5"/>
  <c r="AN135" i="5"/>
  <c r="AM135" i="5"/>
  <c r="AO134" i="5"/>
  <c r="AN134" i="5"/>
  <c r="AM134" i="5"/>
  <c r="AO133" i="5"/>
  <c r="AN133" i="5"/>
  <c r="AM133" i="5"/>
  <c r="AO132" i="5"/>
  <c r="AN132" i="5"/>
  <c r="AM132" i="5"/>
  <c r="AO131" i="5"/>
  <c r="AN131" i="5"/>
  <c r="AM131" i="5"/>
  <c r="AO130" i="5"/>
  <c r="AN130" i="5"/>
  <c r="AM130" i="5"/>
  <c r="AO129" i="5"/>
  <c r="AN129" i="5"/>
  <c r="AM129" i="5"/>
  <c r="AO128" i="5"/>
  <c r="AN128" i="5"/>
  <c r="AM128" i="5"/>
  <c r="AO127" i="5"/>
  <c r="AN127" i="5"/>
  <c r="AM127" i="5"/>
  <c r="AO126" i="5"/>
  <c r="AN126" i="5"/>
  <c r="AM126" i="5"/>
  <c r="AO125" i="5"/>
  <c r="AN125" i="5"/>
  <c r="AM125" i="5"/>
  <c r="AO124" i="5"/>
  <c r="AN124" i="5"/>
  <c r="AM124" i="5"/>
  <c r="AO123" i="5"/>
  <c r="AN123" i="5"/>
  <c r="AM123" i="5"/>
  <c r="AO122" i="5"/>
  <c r="AN122" i="5"/>
  <c r="AM122" i="5"/>
  <c r="AO121" i="5"/>
  <c r="AN121" i="5"/>
  <c r="AM121" i="5"/>
  <c r="AO120" i="5"/>
  <c r="AN120" i="5"/>
  <c r="AM120" i="5"/>
  <c r="AO119" i="5"/>
  <c r="AN119" i="5"/>
  <c r="AM119" i="5"/>
  <c r="AO118" i="5"/>
  <c r="AN118" i="5"/>
  <c r="AM118" i="5"/>
  <c r="AO117" i="5"/>
  <c r="AN117" i="5"/>
  <c r="AM117" i="5"/>
  <c r="AO116" i="5"/>
  <c r="AN116" i="5"/>
  <c r="AM116" i="5"/>
  <c r="AO115" i="5"/>
  <c r="AN115" i="5"/>
  <c r="AM115" i="5"/>
  <c r="AO114" i="5"/>
  <c r="AN114" i="5"/>
  <c r="AM114" i="5"/>
  <c r="AO113" i="5"/>
  <c r="AN113" i="5"/>
  <c r="AM113" i="5"/>
  <c r="AO112" i="5"/>
  <c r="AN112" i="5"/>
  <c r="AM112" i="5"/>
  <c r="AM111" i="5"/>
  <c r="AO110" i="5"/>
  <c r="AN110" i="5"/>
  <c r="AM110" i="5"/>
  <c r="AN109" i="5"/>
  <c r="AM109" i="5"/>
  <c r="AO108" i="5"/>
  <c r="AN108" i="5"/>
  <c r="AM108" i="5"/>
  <c r="AO107" i="5"/>
  <c r="AN107" i="5"/>
  <c r="AO106" i="5"/>
  <c r="AN106" i="5"/>
  <c r="AM106" i="5"/>
  <c r="AO105" i="5"/>
  <c r="AN105" i="5"/>
  <c r="AM105" i="5"/>
  <c r="AO104" i="5"/>
  <c r="AN104" i="5"/>
  <c r="AM104" i="5"/>
  <c r="AO103" i="5"/>
  <c r="AN103" i="5"/>
  <c r="AM103" i="5"/>
  <c r="AO102" i="5"/>
  <c r="AN102" i="5"/>
  <c r="AM102" i="5"/>
  <c r="AO101" i="5"/>
  <c r="AN101" i="5"/>
  <c r="AM101" i="5"/>
  <c r="AO100" i="5"/>
  <c r="AN100" i="5"/>
  <c r="AM100" i="5"/>
  <c r="AO99" i="5"/>
  <c r="AN99" i="5"/>
  <c r="AM99" i="5"/>
  <c r="AO98" i="5"/>
  <c r="AN98" i="5"/>
  <c r="AM98" i="5"/>
  <c r="AO97" i="5"/>
  <c r="AN97" i="5"/>
  <c r="AM97" i="5"/>
  <c r="AO96" i="5"/>
  <c r="AN96" i="5"/>
  <c r="AM96" i="5"/>
  <c r="AO95" i="5"/>
  <c r="AN95" i="5"/>
  <c r="AM95" i="5"/>
  <c r="AO94" i="5"/>
  <c r="AN94" i="5"/>
  <c r="AM94" i="5"/>
  <c r="AO93" i="5"/>
  <c r="AN93" i="5"/>
  <c r="AM93" i="5"/>
  <c r="AO92" i="5"/>
  <c r="AN92" i="5"/>
  <c r="AM92" i="5"/>
  <c r="AO91" i="5"/>
  <c r="AN91" i="5"/>
  <c r="AM91" i="5"/>
  <c r="AO90" i="5"/>
  <c r="AN90" i="5"/>
  <c r="AM90" i="5"/>
  <c r="AO89" i="5"/>
  <c r="AN89" i="5"/>
  <c r="AM89" i="5"/>
  <c r="AO88" i="5"/>
  <c r="AN88" i="5"/>
  <c r="AM88" i="5"/>
  <c r="AO87" i="5"/>
  <c r="AN87" i="5"/>
  <c r="AM87" i="5"/>
  <c r="AO86" i="5"/>
  <c r="AN86" i="5"/>
  <c r="AM86" i="5"/>
  <c r="AO85" i="5"/>
  <c r="AN85" i="5"/>
  <c r="AM85" i="5"/>
  <c r="AO84" i="5"/>
  <c r="AN84" i="5"/>
  <c r="AM84" i="5"/>
  <c r="AO83" i="5"/>
  <c r="AN83" i="5"/>
  <c r="AM83" i="5"/>
  <c r="AO82" i="5"/>
  <c r="AN82" i="5"/>
  <c r="AM82" i="5"/>
  <c r="AO81" i="5"/>
  <c r="AN81" i="5"/>
  <c r="AM81" i="5"/>
  <c r="AO80" i="5"/>
  <c r="AN80" i="5"/>
  <c r="AM80" i="5"/>
  <c r="AO79" i="5"/>
  <c r="AN79" i="5"/>
  <c r="AM79" i="5"/>
  <c r="AO78" i="5"/>
  <c r="AN78" i="5"/>
  <c r="AM78" i="5"/>
  <c r="AO77" i="5"/>
  <c r="AN77" i="5"/>
  <c r="AM77" i="5"/>
  <c r="AO76" i="5"/>
  <c r="AN76" i="5"/>
  <c r="AM76" i="5"/>
  <c r="AO75" i="5"/>
  <c r="AN75" i="5"/>
  <c r="AM75" i="5"/>
  <c r="AO74" i="5"/>
  <c r="AN74" i="5"/>
  <c r="AM74" i="5"/>
  <c r="AO73" i="5"/>
  <c r="AN73" i="5"/>
  <c r="AM73" i="5"/>
  <c r="AO72" i="5"/>
  <c r="AN72" i="5"/>
  <c r="AM72" i="5"/>
  <c r="AO71" i="5"/>
  <c r="AN71" i="5"/>
  <c r="AM71" i="5"/>
  <c r="AO70" i="5"/>
  <c r="AN70" i="5"/>
  <c r="AM70" i="5"/>
  <c r="AO69" i="5"/>
  <c r="AN69" i="5"/>
  <c r="AM69" i="5"/>
  <c r="AO68" i="5"/>
  <c r="AN68" i="5"/>
  <c r="AM68" i="5"/>
  <c r="AO67" i="5"/>
  <c r="AN67" i="5"/>
  <c r="AM67" i="5"/>
  <c r="AO66" i="5"/>
  <c r="AN66" i="5"/>
  <c r="AM66" i="5"/>
  <c r="AO65" i="5"/>
  <c r="AN65" i="5"/>
  <c r="AM65" i="5"/>
  <c r="AO64" i="5"/>
  <c r="AN64" i="5"/>
  <c r="AM64" i="5"/>
  <c r="AO63" i="5"/>
  <c r="AN63" i="5"/>
  <c r="AM63" i="5"/>
  <c r="AO62" i="5"/>
  <c r="AN62" i="5"/>
  <c r="AM62" i="5"/>
  <c r="AO61" i="5"/>
  <c r="AN61" i="5"/>
  <c r="AM61" i="5"/>
  <c r="AO60" i="5"/>
  <c r="AN60" i="5"/>
  <c r="AM60" i="5"/>
  <c r="AO59" i="5"/>
  <c r="AN59" i="5"/>
  <c r="AM59" i="5"/>
  <c r="AO58" i="5"/>
  <c r="AN58" i="5"/>
  <c r="AM58" i="5"/>
  <c r="AO57" i="5"/>
  <c r="AN57" i="5"/>
  <c r="AM57" i="5"/>
  <c r="AO56" i="5"/>
  <c r="AN56" i="5"/>
  <c r="AM56" i="5"/>
  <c r="AO55" i="5"/>
  <c r="AN55" i="5"/>
  <c r="AM55" i="5"/>
  <c r="AO54" i="5"/>
  <c r="AN54" i="5"/>
  <c r="AM54" i="5"/>
  <c r="AO53" i="5"/>
  <c r="AN53" i="5"/>
  <c r="AM53" i="5"/>
  <c r="AO52" i="5"/>
  <c r="AN52" i="5"/>
  <c r="AM52" i="5"/>
  <c r="AO51" i="5"/>
  <c r="AN51" i="5"/>
  <c r="AM51" i="5"/>
  <c r="AO50" i="5"/>
  <c r="AN50" i="5"/>
  <c r="AM50" i="5"/>
  <c r="AO49" i="5"/>
  <c r="AN49" i="5"/>
  <c r="AM49" i="5"/>
  <c r="AO48" i="5"/>
  <c r="AN48" i="5"/>
  <c r="AM48" i="5"/>
  <c r="AO47" i="5"/>
  <c r="AN47" i="5"/>
  <c r="AM47" i="5"/>
  <c r="AO46" i="5"/>
  <c r="AN46" i="5"/>
  <c r="AM46" i="5"/>
  <c r="AO45" i="5"/>
  <c r="AN45" i="5"/>
  <c r="AM45" i="5"/>
  <c r="AO44" i="5"/>
  <c r="AN44" i="5"/>
  <c r="AM44" i="5"/>
  <c r="AO43" i="5"/>
  <c r="AN43" i="5"/>
  <c r="AM43" i="5"/>
  <c r="AO42" i="5"/>
  <c r="AN42" i="5"/>
  <c r="AM42" i="5"/>
  <c r="AO41" i="5"/>
  <c r="AN41" i="5"/>
  <c r="AM41" i="5"/>
  <c r="AO40" i="5"/>
  <c r="AN40" i="5"/>
  <c r="AM40" i="5"/>
  <c r="AO39" i="5"/>
  <c r="AN39" i="5"/>
  <c r="AM39" i="5"/>
  <c r="AO38" i="5"/>
  <c r="AN38" i="5"/>
  <c r="AM38" i="5"/>
  <c r="AO37" i="5"/>
  <c r="AN37" i="5"/>
  <c r="AM37" i="5"/>
  <c r="AO36" i="5"/>
  <c r="AN36" i="5"/>
  <c r="AM36" i="5"/>
  <c r="AO35" i="5"/>
  <c r="AN35" i="5"/>
  <c r="AM35" i="5"/>
  <c r="AO34" i="5"/>
  <c r="AN34" i="5"/>
  <c r="AM34" i="5"/>
  <c r="AO33" i="5"/>
  <c r="AN33" i="5"/>
  <c r="AM33" i="5"/>
  <c r="AO32" i="5"/>
  <c r="AN32" i="5"/>
  <c r="AM32" i="5"/>
  <c r="AO31" i="5"/>
  <c r="AN31" i="5"/>
  <c r="AM31" i="5"/>
  <c r="AO30" i="5"/>
  <c r="AN30" i="5"/>
  <c r="AM30" i="5"/>
  <c r="AO29" i="5"/>
  <c r="AN29" i="5"/>
  <c r="AM29" i="5"/>
  <c r="AO28" i="5"/>
  <c r="AN28" i="5"/>
  <c r="AM28" i="5"/>
  <c r="AO27" i="5"/>
  <c r="AN27" i="5"/>
  <c r="AM27" i="5"/>
  <c r="AO26" i="5"/>
  <c r="AN26" i="5"/>
  <c r="AM26" i="5"/>
  <c r="AO25" i="5"/>
  <c r="AN25" i="5"/>
  <c r="AM25" i="5"/>
  <c r="AO24" i="5"/>
  <c r="AN24" i="5"/>
  <c r="AM24" i="5"/>
  <c r="AO23" i="5"/>
  <c r="AN23" i="5"/>
  <c r="AM23" i="5"/>
  <c r="AO22" i="5"/>
  <c r="AN22" i="5"/>
  <c r="AM22" i="5"/>
  <c r="AO21" i="5"/>
  <c r="AN21" i="5"/>
  <c r="AM21" i="5"/>
  <c r="AO20" i="5"/>
  <c r="AN20" i="5"/>
  <c r="AM20" i="5"/>
  <c r="AO19" i="5"/>
  <c r="AN19" i="5"/>
  <c r="AM19" i="5"/>
  <c r="AO18" i="5"/>
  <c r="AN18" i="5"/>
  <c r="AM18" i="5"/>
  <c r="AO17" i="5"/>
  <c r="AN17" i="5"/>
  <c r="AM17" i="5"/>
  <c r="AO16" i="5"/>
  <c r="AN16" i="5"/>
  <c r="AM16" i="5"/>
  <c r="AO15" i="5"/>
  <c r="AN15" i="5"/>
  <c r="AM15" i="5"/>
  <c r="AO14" i="5"/>
  <c r="AN14" i="5"/>
  <c r="AM14" i="5"/>
  <c r="AO13" i="5"/>
  <c r="AN13" i="5"/>
  <c r="AM13" i="5"/>
  <c r="AO12" i="5"/>
  <c r="AN12" i="5"/>
  <c r="AM12" i="5"/>
  <c r="AO11" i="5"/>
  <c r="AN11" i="5"/>
  <c r="AM11" i="5"/>
  <c r="AO10" i="5"/>
  <c r="AN10" i="5"/>
  <c r="AM10" i="5"/>
  <c r="AO9" i="5"/>
  <c r="AN9" i="5"/>
  <c r="AM9" i="5"/>
  <c r="AO8" i="5"/>
  <c r="AN8" i="5"/>
  <c r="AM8" i="5"/>
  <c r="AO7" i="5"/>
  <c r="AN7" i="5"/>
  <c r="AM7" i="5"/>
  <c r="AO6" i="5"/>
  <c r="AN6" i="5"/>
  <c r="AM6" i="5"/>
  <c r="AO5" i="5"/>
  <c r="AN5" i="5"/>
  <c r="AM5" i="5"/>
  <c r="O249" i="1"/>
  <c r="O244" i="1"/>
  <c r="O235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215" i="3"/>
  <c r="O214" i="3"/>
  <c r="O213" i="3"/>
  <c r="O210" i="3"/>
  <c r="O209" i="3"/>
  <c r="O208" i="3"/>
  <c r="O205" i="3"/>
  <c r="O204" i="3"/>
  <c r="O203" i="3"/>
  <c r="O202" i="3"/>
  <c r="O199" i="3"/>
  <c r="O198" i="3"/>
  <c r="O195" i="3"/>
  <c r="O194" i="3"/>
  <c r="O193" i="3"/>
  <c r="O190" i="3"/>
  <c r="O189" i="3"/>
  <c r="O186" i="3"/>
  <c r="O185" i="3"/>
  <c r="O184" i="3"/>
  <c r="O171" i="3"/>
  <c r="O170" i="3"/>
  <c r="O169" i="3"/>
  <c r="O168" i="3"/>
  <c r="O167" i="3"/>
  <c r="O166" i="3"/>
  <c r="O165" i="3"/>
  <c r="O164" i="3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229" i="2"/>
  <c r="O228" i="2"/>
  <c r="O227" i="2"/>
  <c r="O226" i="2"/>
  <c r="O224" i="2"/>
  <c r="O223" i="2"/>
  <c r="O222" i="2"/>
  <c r="O221" i="2"/>
  <c r="O219" i="2"/>
  <c r="O218" i="2"/>
  <c r="O217" i="2"/>
  <c r="O214" i="2"/>
  <c r="O213" i="2"/>
  <c r="O212" i="2"/>
  <c r="O209" i="2"/>
  <c r="O208" i="2"/>
  <c r="O207" i="2"/>
  <c r="O206" i="2"/>
  <c r="O203" i="2"/>
  <c r="O202" i="2"/>
  <c r="O199" i="2"/>
  <c r="O198" i="2"/>
  <c r="O197" i="2"/>
  <c r="O194" i="2"/>
  <c r="O193" i="2"/>
  <c r="O190" i="2"/>
  <c r="O189" i="2"/>
  <c r="O188" i="2"/>
  <c r="O184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AJ337" i="5"/>
  <c r="AL333" i="5"/>
  <c r="AK333" i="5"/>
  <c r="AJ333" i="5"/>
  <c r="AL317" i="5"/>
  <c r="AK317" i="5"/>
  <c r="AJ317" i="5"/>
  <c r="AL316" i="5"/>
  <c r="AK316" i="5"/>
  <c r="AJ316" i="5"/>
  <c r="AL315" i="5"/>
  <c r="AK315" i="5"/>
  <c r="AJ315" i="5"/>
  <c r="AL314" i="5"/>
  <c r="AK314" i="5"/>
  <c r="AJ314" i="5"/>
  <c r="AL313" i="5"/>
  <c r="AK313" i="5"/>
  <c r="AJ313" i="5"/>
  <c r="AL312" i="5"/>
  <c r="AK312" i="5"/>
  <c r="AJ312" i="5"/>
  <c r="AL311" i="5"/>
  <c r="AK311" i="5"/>
  <c r="AJ311" i="5"/>
  <c r="AL310" i="5"/>
  <c r="AK310" i="5"/>
  <c r="AJ310" i="5"/>
  <c r="AL309" i="5"/>
  <c r="AK309" i="5"/>
  <c r="AJ309" i="5"/>
  <c r="AL308" i="5"/>
  <c r="AK308" i="5"/>
  <c r="AJ308" i="5"/>
  <c r="AL307" i="5"/>
  <c r="AK307" i="5"/>
  <c r="AJ307" i="5"/>
  <c r="AL306" i="5"/>
  <c r="AK306" i="5"/>
  <c r="AJ306" i="5"/>
  <c r="AL305" i="5"/>
  <c r="AK305" i="5"/>
  <c r="AJ305" i="5"/>
  <c r="AL304" i="5"/>
  <c r="AK304" i="5"/>
  <c r="AJ304" i="5"/>
  <c r="AL303" i="5"/>
  <c r="AK303" i="5"/>
  <c r="AJ303" i="5"/>
  <c r="AL302" i="5"/>
  <c r="AK302" i="5"/>
  <c r="AJ302" i="5"/>
  <c r="AL301" i="5"/>
  <c r="AK301" i="5"/>
  <c r="AJ301" i="5"/>
  <c r="AL300" i="5"/>
  <c r="AK300" i="5"/>
  <c r="AJ300" i="5"/>
  <c r="AL299" i="5"/>
  <c r="AK299" i="5"/>
  <c r="AJ299" i="5"/>
  <c r="AL298" i="5"/>
  <c r="AK298" i="5"/>
  <c r="AJ298" i="5"/>
  <c r="AL297" i="5"/>
  <c r="AK297" i="5"/>
  <c r="AJ297" i="5"/>
  <c r="AL296" i="5"/>
  <c r="AK296" i="5"/>
  <c r="AJ296" i="5"/>
  <c r="AL295" i="5"/>
  <c r="AK295" i="5"/>
  <c r="AJ295" i="5"/>
  <c r="AL294" i="5"/>
  <c r="AK294" i="5"/>
  <c r="AJ294" i="5"/>
  <c r="AL293" i="5"/>
  <c r="AK293" i="5"/>
  <c r="AJ293" i="5"/>
  <c r="AL292" i="5"/>
  <c r="AK292" i="5"/>
  <c r="AL291" i="5"/>
  <c r="AK291" i="5"/>
  <c r="AJ291" i="5"/>
  <c r="AL290" i="5"/>
  <c r="AK290" i="5"/>
  <c r="AJ290" i="5"/>
  <c r="AL289" i="5"/>
  <c r="AK289" i="5"/>
  <c r="AJ289" i="5"/>
  <c r="AL288" i="5"/>
  <c r="AK288" i="5"/>
  <c r="AJ288" i="5"/>
  <c r="AL287" i="5"/>
  <c r="AK287" i="5"/>
  <c r="AJ287" i="5"/>
  <c r="AL286" i="5"/>
  <c r="AK286" i="5"/>
  <c r="AJ286" i="5"/>
  <c r="AL285" i="5"/>
  <c r="AK285" i="5"/>
  <c r="AJ285" i="5"/>
  <c r="AL284" i="5"/>
  <c r="AK284" i="5"/>
  <c r="AJ284" i="5"/>
  <c r="AL283" i="5"/>
  <c r="AK283" i="5"/>
  <c r="AJ283" i="5"/>
  <c r="AL282" i="5"/>
  <c r="AK282" i="5"/>
  <c r="AJ282" i="5"/>
  <c r="AL281" i="5"/>
  <c r="AK281" i="5"/>
  <c r="AJ281" i="5"/>
  <c r="AL280" i="5"/>
  <c r="AK280" i="5"/>
  <c r="AJ280" i="5"/>
  <c r="AL279" i="5"/>
  <c r="AK279" i="5"/>
  <c r="AJ279" i="5"/>
  <c r="AL278" i="5"/>
  <c r="AK278" i="5"/>
  <c r="AJ278" i="5"/>
  <c r="AL277" i="5"/>
  <c r="AK277" i="5"/>
  <c r="AJ277" i="5"/>
  <c r="AL276" i="5"/>
  <c r="AK276" i="5"/>
  <c r="AJ276" i="5"/>
  <c r="AL275" i="5"/>
  <c r="AK275" i="5"/>
  <c r="AJ275" i="5"/>
  <c r="AL274" i="5"/>
  <c r="AK274" i="5"/>
  <c r="AJ274" i="5"/>
  <c r="AL273" i="5"/>
  <c r="AK273" i="5"/>
  <c r="AJ273" i="5"/>
  <c r="AL272" i="5"/>
  <c r="AK272" i="5"/>
  <c r="AJ272" i="5"/>
  <c r="AL271" i="5"/>
  <c r="AK271" i="5"/>
  <c r="AJ271" i="5"/>
  <c r="AL270" i="5"/>
  <c r="AK270" i="5"/>
  <c r="AJ270" i="5"/>
  <c r="AL269" i="5"/>
  <c r="AK269" i="5"/>
  <c r="AJ269" i="5"/>
  <c r="AL268" i="5"/>
  <c r="AK268" i="5"/>
  <c r="AJ268" i="5"/>
  <c r="AL267" i="5"/>
  <c r="AK267" i="5"/>
  <c r="AJ267" i="5"/>
  <c r="AL266" i="5"/>
  <c r="AK266" i="5"/>
  <c r="AJ266" i="5"/>
  <c r="AL265" i="5"/>
  <c r="AK265" i="5"/>
  <c r="AJ265" i="5"/>
  <c r="AL264" i="5"/>
  <c r="AK264" i="5"/>
  <c r="AJ264" i="5"/>
  <c r="AL263" i="5"/>
  <c r="AK263" i="5"/>
  <c r="AJ263" i="5"/>
  <c r="AL262" i="5"/>
  <c r="AK262" i="5"/>
  <c r="AJ262" i="5"/>
  <c r="AL261" i="5"/>
  <c r="AK261" i="5"/>
  <c r="AJ261" i="5"/>
  <c r="AL260" i="5"/>
  <c r="AK260" i="5"/>
  <c r="AJ260" i="5"/>
  <c r="AL259" i="5"/>
  <c r="AK259" i="5"/>
  <c r="AJ259" i="5"/>
  <c r="AL258" i="5"/>
  <c r="AK258" i="5"/>
  <c r="AJ258" i="5"/>
  <c r="AL257" i="5"/>
  <c r="AK257" i="5"/>
  <c r="AJ257" i="5"/>
  <c r="AL256" i="5"/>
  <c r="AK256" i="5"/>
  <c r="AJ256" i="5"/>
  <c r="AL255" i="5"/>
  <c r="AK255" i="5"/>
  <c r="AJ255" i="5"/>
  <c r="AL254" i="5"/>
  <c r="AK254" i="5"/>
  <c r="AJ254" i="5"/>
  <c r="AL253" i="5"/>
  <c r="AK253" i="5"/>
  <c r="AJ253" i="5"/>
  <c r="AL252" i="5"/>
  <c r="AK252" i="5"/>
  <c r="AJ252" i="5"/>
  <c r="AL251" i="5"/>
  <c r="AK251" i="5"/>
  <c r="AJ251" i="5"/>
  <c r="AL250" i="5"/>
  <c r="AK250" i="5"/>
  <c r="AJ250" i="5"/>
  <c r="AL249" i="5"/>
  <c r="AK249" i="5"/>
  <c r="AJ249" i="5"/>
  <c r="AL248" i="5"/>
  <c r="AK248" i="5"/>
  <c r="AJ248" i="5"/>
  <c r="AL247" i="5"/>
  <c r="AK247" i="5"/>
  <c r="AJ247" i="5"/>
  <c r="AL246" i="5"/>
  <c r="AK246" i="5"/>
  <c r="AJ246" i="5"/>
  <c r="AL245" i="5"/>
  <c r="AK245" i="5"/>
  <c r="AJ245" i="5"/>
  <c r="AL244" i="5"/>
  <c r="AK244" i="5"/>
  <c r="AJ244" i="5"/>
  <c r="AL243" i="5"/>
  <c r="AK243" i="5"/>
  <c r="AJ243" i="5"/>
  <c r="AL242" i="5"/>
  <c r="AK242" i="5"/>
  <c r="AJ242" i="5"/>
  <c r="AL241" i="5"/>
  <c r="AK241" i="5"/>
  <c r="AJ241" i="5"/>
  <c r="AL240" i="5"/>
  <c r="AK240" i="5"/>
  <c r="AJ240" i="5"/>
  <c r="AL239" i="5"/>
  <c r="AK239" i="5"/>
  <c r="AJ239" i="5"/>
  <c r="AL238" i="5"/>
  <c r="AK238" i="5"/>
  <c r="AJ238" i="5"/>
  <c r="AL237" i="5"/>
  <c r="AK237" i="5"/>
  <c r="AJ237" i="5"/>
  <c r="AL236" i="5"/>
  <c r="AK236" i="5"/>
  <c r="AJ236" i="5"/>
  <c r="AL235" i="5"/>
  <c r="AK235" i="5"/>
  <c r="AJ235" i="5"/>
  <c r="AL234" i="5"/>
  <c r="AK234" i="5"/>
  <c r="AJ234" i="5"/>
  <c r="AL233" i="5"/>
  <c r="AK233" i="5"/>
  <c r="AJ233" i="5"/>
  <c r="AL232" i="5"/>
  <c r="AK232" i="5"/>
  <c r="AJ232" i="5"/>
  <c r="AL231" i="5"/>
  <c r="AK231" i="5"/>
  <c r="AJ231" i="5"/>
  <c r="AL230" i="5"/>
  <c r="AK230" i="5"/>
  <c r="AJ230" i="5"/>
  <c r="AL229" i="5"/>
  <c r="AK229" i="5"/>
  <c r="AJ229" i="5"/>
  <c r="AL228" i="5"/>
  <c r="AK228" i="5"/>
  <c r="AJ228" i="5"/>
  <c r="AL227" i="5"/>
  <c r="AK227" i="5"/>
  <c r="AJ227" i="5"/>
  <c r="AL226" i="5"/>
  <c r="AK226" i="5"/>
  <c r="AJ226" i="5"/>
  <c r="AL225" i="5"/>
  <c r="AK225" i="5"/>
  <c r="AJ225" i="5"/>
  <c r="AL224" i="5"/>
  <c r="AK224" i="5"/>
  <c r="AJ224" i="5"/>
  <c r="AL223" i="5"/>
  <c r="AK223" i="5"/>
  <c r="AJ223" i="5"/>
  <c r="AL222" i="5"/>
  <c r="AK222" i="5"/>
  <c r="AJ222" i="5"/>
  <c r="AL221" i="5"/>
  <c r="AK221" i="5"/>
  <c r="AJ221" i="5"/>
  <c r="AL220" i="5"/>
  <c r="AK220" i="5"/>
  <c r="AJ220" i="5"/>
  <c r="AL219" i="5"/>
  <c r="AK219" i="5"/>
  <c r="AJ219" i="5"/>
  <c r="AL218" i="5"/>
  <c r="AK218" i="5"/>
  <c r="AJ218" i="5"/>
  <c r="AL217" i="5"/>
  <c r="AK217" i="5"/>
  <c r="AJ217" i="5"/>
  <c r="AL216" i="5"/>
  <c r="AK216" i="5"/>
  <c r="AJ216" i="5"/>
  <c r="AL215" i="5"/>
  <c r="AK215" i="5"/>
  <c r="AJ215" i="5"/>
  <c r="AL214" i="5"/>
  <c r="AK214" i="5"/>
  <c r="AJ214" i="5"/>
  <c r="AL213" i="5"/>
  <c r="AK213" i="5"/>
  <c r="AJ213" i="5"/>
  <c r="AL212" i="5"/>
  <c r="AK212" i="5"/>
  <c r="AJ212" i="5"/>
  <c r="AL211" i="5"/>
  <c r="AK211" i="5"/>
  <c r="AJ211" i="5"/>
  <c r="AL210" i="5"/>
  <c r="AK210" i="5"/>
  <c r="AJ210" i="5"/>
  <c r="AL209" i="5"/>
  <c r="AK209" i="5"/>
  <c r="AJ209" i="5"/>
  <c r="AL208" i="5"/>
  <c r="AK208" i="5"/>
  <c r="AJ208" i="5"/>
  <c r="AL207" i="5"/>
  <c r="AK207" i="5"/>
  <c r="AJ207" i="5"/>
  <c r="AL206" i="5"/>
  <c r="AK206" i="5"/>
  <c r="AJ206" i="5"/>
  <c r="AL205" i="5"/>
  <c r="AK205" i="5"/>
  <c r="AJ205" i="5"/>
  <c r="AL204" i="5"/>
  <c r="AK204" i="5"/>
  <c r="AJ204" i="5"/>
  <c r="AL203" i="5"/>
  <c r="AK203" i="5"/>
  <c r="AJ203" i="5"/>
  <c r="AL202" i="5"/>
  <c r="AK202" i="5"/>
  <c r="AJ202" i="5"/>
  <c r="AL201" i="5"/>
  <c r="AK201" i="5"/>
  <c r="AJ201" i="5"/>
  <c r="AL200" i="5"/>
  <c r="AK200" i="5"/>
  <c r="AJ200" i="5"/>
  <c r="AL199" i="5"/>
  <c r="AK199" i="5"/>
  <c r="AJ199" i="5"/>
  <c r="AL198" i="5"/>
  <c r="AK198" i="5"/>
  <c r="AJ198" i="5"/>
  <c r="AL197" i="5"/>
  <c r="AK197" i="5"/>
  <c r="AJ197" i="5"/>
  <c r="AL196" i="5"/>
  <c r="AK196" i="5"/>
  <c r="AJ196" i="5"/>
  <c r="AL195" i="5"/>
  <c r="AK195" i="5"/>
  <c r="AJ195" i="5"/>
  <c r="AL194" i="5"/>
  <c r="AK194" i="5"/>
  <c r="AJ194" i="5"/>
  <c r="AL193" i="5"/>
  <c r="AK193" i="5"/>
  <c r="AJ193" i="5"/>
  <c r="AL192" i="5"/>
  <c r="AK192" i="5"/>
  <c r="AJ192" i="5"/>
  <c r="AL191" i="5"/>
  <c r="AK191" i="5"/>
  <c r="AJ191" i="5"/>
  <c r="AL190" i="5"/>
  <c r="AK190" i="5"/>
  <c r="AJ190" i="5"/>
  <c r="AL189" i="5"/>
  <c r="AK189" i="5"/>
  <c r="AJ189" i="5"/>
  <c r="AL188" i="5"/>
  <c r="AK188" i="5"/>
  <c r="AJ188" i="5"/>
  <c r="AL187" i="5"/>
  <c r="AK187" i="5"/>
  <c r="AJ187" i="5"/>
  <c r="AL186" i="5"/>
  <c r="AK186" i="5"/>
  <c r="AJ186" i="5"/>
  <c r="AL185" i="5"/>
  <c r="AK185" i="5"/>
  <c r="AJ185" i="5"/>
  <c r="AL184" i="5"/>
  <c r="AK184" i="5"/>
  <c r="AJ184" i="5"/>
  <c r="AL183" i="5"/>
  <c r="AK183" i="5"/>
  <c r="AJ183" i="5"/>
  <c r="AL182" i="5"/>
  <c r="AK182" i="5"/>
  <c r="AJ182" i="5"/>
  <c r="AL181" i="5"/>
  <c r="AK181" i="5"/>
  <c r="AJ181" i="5"/>
  <c r="AL180" i="5"/>
  <c r="AK180" i="5"/>
  <c r="AJ180" i="5"/>
  <c r="AL179" i="5"/>
  <c r="AK179" i="5"/>
  <c r="AJ179" i="5"/>
  <c r="AL178" i="5"/>
  <c r="AK178" i="5"/>
  <c r="AJ178" i="5"/>
  <c r="AL177" i="5"/>
  <c r="AK177" i="5"/>
  <c r="AJ177" i="5"/>
  <c r="AL176" i="5"/>
  <c r="AK176" i="5"/>
  <c r="AJ176" i="5"/>
  <c r="AL175" i="5"/>
  <c r="AK175" i="5"/>
  <c r="AJ175" i="5"/>
  <c r="AL174" i="5"/>
  <c r="AK174" i="5"/>
  <c r="AJ174" i="5"/>
  <c r="AL173" i="5"/>
  <c r="AK173" i="5"/>
  <c r="AJ173" i="5"/>
  <c r="AL172" i="5"/>
  <c r="AK172" i="5"/>
  <c r="AJ172" i="5"/>
  <c r="AL171" i="5"/>
  <c r="AK171" i="5"/>
  <c r="AJ171" i="5"/>
  <c r="AL170" i="5"/>
  <c r="AK170" i="5"/>
  <c r="AJ170" i="5"/>
  <c r="AL169" i="5"/>
  <c r="AK169" i="5"/>
  <c r="AJ169" i="5"/>
  <c r="AL168" i="5"/>
  <c r="AK168" i="5"/>
  <c r="AJ168" i="5"/>
  <c r="AL167" i="5"/>
  <c r="AK167" i="5"/>
  <c r="AJ167" i="5"/>
  <c r="AL166" i="5"/>
  <c r="AK166" i="5"/>
  <c r="AJ166" i="5"/>
  <c r="AL165" i="5"/>
  <c r="AK165" i="5"/>
  <c r="AJ165" i="5"/>
  <c r="AL164" i="5"/>
  <c r="AK164" i="5"/>
  <c r="AJ164" i="5"/>
  <c r="AL163" i="5"/>
  <c r="AK163" i="5"/>
  <c r="AJ163" i="5"/>
  <c r="AL162" i="5"/>
  <c r="AK162" i="5"/>
  <c r="AJ162" i="5"/>
  <c r="AL161" i="5"/>
  <c r="AK161" i="5"/>
  <c r="AJ161" i="5"/>
  <c r="AL160" i="5"/>
  <c r="AK160" i="5"/>
  <c r="AJ160" i="5"/>
  <c r="AL159" i="5"/>
  <c r="AK159" i="5"/>
  <c r="AJ159" i="5"/>
  <c r="AL158" i="5"/>
  <c r="AK158" i="5"/>
  <c r="AJ158" i="5"/>
  <c r="AL157" i="5"/>
  <c r="AK157" i="5"/>
  <c r="AJ157" i="5"/>
  <c r="AL156" i="5"/>
  <c r="AK156" i="5"/>
  <c r="AJ156" i="5"/>
  <c r="AL155" i="5"/>
  <c r="AK155" i="5"/>
  <c r="AJ155" i="5"/>
  <c r="AL154" i="5"/>
  <c r="AK154" i="5"/>
  <c r="AJ154" i="5"/>
  <c r="AL153" i="5"/>
  <c r="AK153" i="5"/>
  <c r="AJ153" i="5"/>
  <c r="AL152" i="5"/>
  <c r="AK152" i="5"/>
  <c r="AJ152" i="5"/>
  <c r="AL151" i="5"/>
  <c r="AK151" i="5"/>
  <c r="AJ151" i="5"/>
  <c r="AL150" i="5"/>
  <c r="AK150" i="5"/>
  <c r="AJ150" i="5"/>
  <c r="AL149" i="5"/>
  <c r="AK149" i="5"/>
  <c r="AJ149" i="5"/>
  <c r="AL148" i="5"/>
  <c r="AK148" i="5"/>
  <c r="AJ148" i="5"/>
  <c r="AL147" i="5"/>
  <c r="AK147" i="5"/>
  <c r="AJ147" i="5"/>
  <c r="AL146" i="5"/>
  <c r="AK146" i="5"/>
  <c r="AJ146" i="5"/>
  <c r="AL145" i="5"/>
  <c r="AK145" i="5"/>
  <c r="AJ145" i="5"/>
  <c r="AL144" i="5"/>
  <c r="AK144" i="5"/>
  <c r="AJ144" i="5"/>
  <c r="AL143" i="5"/>
  <c r="AK143" i="5"/>
  <c r="AJ143" i="5"/>
  <c r="AL142" i="5"/>
  <c r="AK142" i="5"/>
  <c r="AJ142" i="5"/>
  <c r="AL141" i="5"/>
  <c r="AK141" i="5"/>
  <c r="AJ141" i="5"/>
  <c r="AL140" i="5"/>
  <c r="AK140" i="5"/>
  <c r="AJ140" i="5"/>
  <c r="AL139" i="5"/>
  <c r="AK139" i="5"/>
  <c r="AJ139" i="5"/>
  <c r="AL138" i="5"/>
  <c r="AK138" i="5"/>
  <c r="AJ138" i="5"/>
  <c r="AL137" i="5"/>
  <c r="AK137" i="5"/>
  <c r="AJ137" i="5"/>
  <c r="AL136" i="5"/>
  <c r="AK136" i="5"/>
  <c r="AJ136" i="5"/>
  <c r="AL135" i="5"/>
  <c r="AK135" i="5"/>
  <c r="AJ135" i="5"/>
  <c r="AL134" i="5"/>
  <c r="AK134" i="5"/>
  <c r="AJ134" i="5"/>
  <c r="AL133" i="5"/>
  <c r="AK133" i="5"/>
  <c r="AJ133" i="5"/>
  <c r="AL132" i="5"/>
  <c r="AK132" i="5"/>
  <c r="AJ132" i="5"/>
  <c r="AL131" i="5"/>
  <c r="AK131" i="5"/>
  <c r="AJ131" i="5"/>
  <c r="AL130" i="5"/>
  <c r="AK130" i="5"/>
  <c r="AJ130" i="5"/>
  <c r="AL129" i="5"/>
  <c r="AK129" i="5"/>
  <c r="AJ129" i="5"/>
  <c r="AL128" i="5"/>
  <c r="AK128" i="5"/>
  <c r="AJ128" i="5"/>
  <c r="AL127" i="5"/>
  <c r="AK127" i="5"/>
  <c r="AJ127" i="5"/>
  <c r="AL126" i="5"/>
  <c r="AK126" i="5"/>
  <c r="AJ126" i="5"/>
  <c r="AL125" i="5"/>
  <c r="AK125" i="5"/>
  <c r="AJ125" i="5"/>
  <c r="AL124" i="5"/>
  <c r="AK124" i="5"/>
  <c r="AJ124" i="5"/>
  <c r="AL123" i="5"/>
  <c r="AK123" i="5"/>
  <c r="AJ123" i="5"/>
  <c r="AL122" i="5"/>
  <c r="AK122" i="5"/>
  <c r="AJ122" i="5"/>
  <c r="AL121" i="5"/>
  <c r="AK121" i="5"/>
  <c r="AJ121" i="5"/>
  <c r="AL120" i="5"/>
  <c r="AK120" i="5"/>
  <c r="AJ120" i="5"/>
  <c r="AL119" i="5"/>
  <c r="AK119" i="5"/>
  <c r="AJ119" i="5"/>
  <c r="AL118" i="5"/>
  <c r="AK118" i="5"/>
  <c r="AJ118" i="5"/>
  <c r="AL117" i="5"/>
  <c r="AK117" i="5"/>
  <c r="AJ117" i="5"/>
  <c r="AL116" i="5"/>
  <c r="AK116" i="5"/>
  <c r="AJ116" i="5"/>
  <c r="AL115" i="5"/>
  <c r="AK115" i="5"/>
  <c r="AJ115" i="5"/>
  <c r="AL114" i="5"/>
  <c r="AK114" i="5"/>
  <c r="AJ114" i="5"/>
  <c r="AL113" i="5"/>
  <c r="AK113" i="5"/>
  <c r="AJ113" i="5"/>
  <c r="AL112" i="5"/>
  <c r="AK112" i="5"/>
  <c r="AJ112" i="5"/>
  <c r="AJ111" i="5"/>
  <c r="AL110" i="5"/>
  <c r="AK110" i="5"/>
  <c r="AJ110" i="5"/>
  <c r="AK109" i="5"/>
  <c r="AJ109" i="5"/>
  <c r="AL108" i="5"/>
  <c r="AK108" i="5"/>
  <c r="AJ108" i="5"/>
  <c r="AL107" i="5"/>
  <c r="AK107" i="5"/>
  <c r="AL106" i="5"/>
  <c r="AK106" i="5"/>
  <c r="AJ106" i="5"/>
  <c r="AL105" i="5"/>
  <c r="AK105" i="5"/>
  <c r="AJ105" i="5"/>
  <c r="AL104" i="5"/>
  <c r="AK104" i="5"/>
  <c r="AJ104" i="5"/>
  <c r="AL103" i="5"/>
  <c r="AK103" i="5"/>
  <c r="AJ103" i="5"/>
  <c r="AL102" i="5"/>
  <c r="AK102" i="5"/>
  <c r="AJ102" i="5"/>
  <c r="AL101" i="5"/>
  <c r="AK101" i="5"/>
  <c r="AJ101" i="5"/>
  <c r="AL100" i="5"/>
  <c r="AK100" i="5"/>
  <c r="AJ100" i="5"/>
  <c r="AL99" i="5"/>
  <c r="AK99" i="5"/>
  <c r="AJ99" i="5"/>
  <c r="AL98" i="5"/>
  <c r="AK98" i="5"/>
  <c r="AJ98" i="5"/>
  <c r="AL97" i="5"/>
  <c r="AK97" i="5"/>
  <c r="AJ97" i="5"/>
  <c r="AL96" i="5"/>
  <c r="AK96" i="5"/>
  <c r="AJ96" i="5"/>
  <c r="AL95" i="5"/>
  <c r="AK95" i="5"/>
  <c r="AJ95" i="5"/>
  <c r="AL94" i="5"/>
  <c r="AK94" i="5"/>
  <c r="AJ94" i="5"/>
  <c r="AL93" i="5"/>
  <c r="AK93" i="5"/>
  <c r="AJ93" i="5"/>
  <c r="AL92" i="5"/>
  <c r="AK92" i="5"/>
  <c r="AJ92" i="5"/>
  <c r="AL91" i="5"/>
  <c r="AK91" i="5"/>
  <c r="AJ91" i="5"/>
  <c r="AL90" i="5"/>
  <c r="AK90" i="5"/>
  <c r="AJ90" i="5"/>
  <c r="AL89" i="5"/>
  <c r="AK89" i="5"/>
  <c r="AJ89" i="5"/>
  <c r="AL88" i="5"/>
  <c r="AK88" i="5"/>
  <c r="AJ88" i="5"/>
  <c r="AL87" i="5"/>
  <c r="AK87" i="5"/>
  <c r="AJ87" i="5"/>
  <c r="AL86" i="5"/>
  <c r="AK86" i="5"/>
  <c r="AJ86" i="5"/>
  <c r="AL85" i="5"/>
  <c r="AK85" i="5"/>
  <c r="AJ85" i="5"/>
  <c r="AL84" i="5"/>
  <c r="AK84" i="5"/>
  <c r="AJ84" i="5"/>
  <c r="AL83" i="5"/>
  <c r="AK83" i="5"/>
  <c r="AJ83" i="5"/>
  <c r="AL82" i="5"/>
  <c r="AK82" i="5"/>
  <c r="AJ82" i="5"/>
  <c r="AL81" i="5"/>
  <c r="AK81" i="5"/>
  <c r="AJ81" i="5"/>
  <c r="AL80" i="5"/>
  <c r="AK80" i="5"/>
  <c r="AJ80" i="5"/>
  <c r="AL79" i="5"/>
  <c r="AK79" i="5"/>
  <c r="AJ79" i="5"/>
  <c r="AL78" i="5"/>
  <c r="AK78" i="5"/>
  <c r="AJ78" i="5"/>
  <c r="AL77" i="5"/>
  <c r="AK77" i="5"/>
  <c r="AJ77" i="5"/>
  <c r="AL76" i="5"/>
  <c r="AK76" i="5"/>
  <c r="AJ76" i="5"/>
  <c r="AL75" i="5"/>
  <c r="AK75" i="5"/>
  <c r="AJ75" i="5"/>
  <c r="AL74" i="5"/>
  <c r="AK74" i="5"/>
  <c r="AJ74" i="5"/>
  <c r="AL73" i="5"/>
  <c r="AK73" i="5"/>
  <c r="AJ73" i="5"/>
  <c r="AL72" i="5"/>
  <c r="AK72" i="5"/>
  <c r="AJ72" i="5"/>
  <c r="AL71" i="5"/>
  <c r="AK71" i="5"/>
  <c r="AJ71" i="5"/>
  <c r="AL70" i="5"/>
  <c r="AK70" i="5"/>
  <c r="AJ70" i="5"/>
  <c r="AL69" i="5"/>
  <c r="AK69" i="5"/>
  <c r="AJ69" i="5"/>
  <c r="AL68" i="5"/>
  <c r="AK68" i="5"/>
  <c r="AJ68" i="5"/>
  <c r="AL67" i="5"/>
  <c r="AK67" i="5"/>
  <c r="AJ67" i="5"/>
  <c r="AL66" i="5"/>
  <c r="AK66" i="5"/>
  <c r="AJ66" i="5"/>
  <c r="AL65" i="5"/>
  <c r="AK65" i="5"/>
  <c r="AJ65" i="5"/>
  <c r="AL64" i="5"/>
  <c r="AK64" i="5"/>
  <c r="AJ64" i="5"/>
  <c r="AL63" i="5"/>
  <c r="AK63" i="5"/>
  <c r="AJ63" i="5"/>
  <c r="AL62" i="5"/>
  <c r="AK62" i="5"/>
  <c r="AJ62" i="5"/>
  <c r="AL61" i="5"/>
  <c r="AK61" i="5"/>
  <c r="AJ61" i="5"/>
  <c r="AL60" i="5"/>
  <c r="AK60" i="5"/>
  <c r="AJ60" i="5"/>
  <c r="AL59" i="5"/>
  <c r="AK59" i="5"/>
  <c r="AJ59" i="5"/>
  <c r="AL58" i="5"/>
  <c r="AK58" i="5"/>
  <c r="AJ58" i="5"/>
  <c r="AL57" i="5"/>
  <c r="AK57" i="5"/>
  <c r="AJ57" i="5"/>
  <c r="AL56" i="5"/>
  <c r="AK56" i="5"/>
  <c r="AJ56" i="5"/>
  <c r="AL55" i="5"/>
  <c r="AK55" i="5"/>
  <c r="AJ55" i="5"/>
  <c r="AL54" i="5"/>
  <c r="AK54" i="5"/>
  <c r="AJ54" i="5"/>
  <c r="AL53" i="5"/>
  <c r="AK53" i="5"/>
  <c r="AJ53" i="5"/>
  <c r="AL52" i="5"/>
  <c r="AK52" i="5"/>
  <c r="AJ52" i="5"/>
  <c r="AL51" i="5"/>
  <c r="AK51" i="5"/>
  <c r="AJ51" i="5"/>
  <c r="AL50" i="5"/>
  <c r="AK50" i="5"/>
  <c r="AJ50" i="5"/>
  <c r="AL49" i="5"/>
  <c r="AK49" i="5"/>
  <c r="AJ49" i="5"/>
  <c r="AL48" i="5"/>
  <c r="AK48" i="5"/>
  <c r="AJ48" i="5"/>
  <c r="AL47" i="5"/>
  <c r="AK47" i="5"/>
  <c r="AJ47" i="5"/>
  <c r="AL46" i="5"/>
  <c r="AK46" i="5"/>
  <c r="AJ46" i="5"/>
  <c r="AL45" i="5"/>
  <c r="AK45" i="5"/>
  <c r="AJ45" i="5"/>
  <c r="AL44" i="5"/>
  <c r="AK44" i="5"/>
  <c r="AJ44" i="5"/>
  <c r="AL43" i="5"/>
  <c r="AK43" i="5"/>
  <c r="AJ43" i="5"/>
  <c r="AL42" i="5"/>
  <c r="AK42" i="5"/>
  <c r="AJ42" i="5"/>
  <c r="AL41" i="5"/>
  <c r="AK41" i="5"/>
  <c r="AJ41" i="5"/>
  <c r="AL40" i="5"/>
  <c r="AK40" i="5"/>
  <c r="AJ40" i="5"/>
  <c r="AL39" i="5"/>
  <c r="AK39" i="5"/>
  <c r="AJ39" i="5"/>
  <c r="AL38" i="5"/>
  <c r="AK38" i="5"/>
  <c r="AJ38" i="5"/>
  <c r="AL37" i="5"/>
  <c r="AK37" i="5"/>
  <c r="AJ37" i="5"/>
  <c r="AL36" i="5"/>
  <c r="AK36" i="5"/>
  <c r="AJ36" i="5"/>
  <c r="AL35" i="5"/>
  <c r="AK35" i="5"/>
  <c r="AJ35" i="5"/>
  <c r="AL34" i="5"/>
  <c r="AK34" i="5"/>
  <c r="AJ34" i="5"/>
  <c r="AL33" i="5"/>
  <c r="AK33" i="5"/>
  <c r="AJ33" i="5"/>
  <c r="AL32" i="5"/>
  <c r="AK32" i="5"/>
  <c r="AJ32" i="5"/>
  <c r="AL31" i="5"/>
  <c r="AK31" i="5"/>
  <c r="AJ31" i="5"/>
  <c r="AL30" i="5"/>
  <c r="AK30" i="5"/>
  <c r="AJ30" i="5"/>
  <c r="AL29" i="5"/>
  <c r="AK29" i="5"/>
  <c r="AJ29" i="5"/>
  <c r="AL28" i="5"/>
  <c r="AK28" i="5"/>
  <c r="AJ28" i="5"/>
  <c r="AL27" i="5"/>
  <c r="AK27" i="5"/>
  <c r="AJ27" i="5"/>
  <c r="AL26" i="5"/>
  <c r="AK26" i="5"/>
  <c r="AJ26" i="5"/>
  <c r="AL25" i="5"/>
  <c r="AK25" i="5"/>
  <c r="AJ25" i="5"/>
  <c r="AL24" i="5"/>
  <c r="AK24" i="5"/>
  <c r="AJ24" i="5"/>
  <c r="AL23" i="5"/>
  <c r="AK23" i="5"/>
  <c r="AJ23" i="5"/>
  <c r="AL22" i="5"/>
  <c r="AK22" i="5"/>
  <c r="AJ22" i="5"/>
  <c r="AL21" i="5"/>
  <c r="AK21" i="5"/>
  <c r="AJ21" i="5"/>
  <c r="AL20" i="5"/>
  <c r="AK20" i="5"/>
  <c r="AJ20" i="5"/>
  <c r="AL19" i="5"/>
  <c r="AK19" i="5"/>
  <c r="AJ19" i="5"/>
  <c r="AL18" i="5"/>
  <c r="AK18" i="5"/>
  <c r="AJ18" i="5"/>
  <c r="AL17" i="5"/>
  <c r="AK17" i="5"/>
  <c r="AJ17" i="5"/>
  <c r="AL16" i="5"/>
  <c r="AK16" i="5"/>
  <c r="AJ16" i="5"/>
  <c r="AL15" i="5"/>
  <c r="AK15" i="5"/>
  <c r="AJ15" i="5"/>
  <c r="AL14" i="5"/>
  <c r="AK14" i="5"/>
  <c r="AJ14" i="5"/>
  <c r="AL13" i="5"/>
  <c r="AK13" i="5"/>
  <c r="AJ13" i="5"/>
  <c r="AL12" i="5"/>
  <c r="AK12" i="5"/>
  <c r="AJ12" i="5"/>
  <c r="AL11" i="5"/>
  <c r="AK11" i="5"/>
  <c r="AJ11" i="5"/>
  <c r="AL10" i="5"/>
  <c r="AK10" i="5"/>
  <c r="AJ10" i="5"/>
  <c r="AL9" i="5"/>
  <c r="AK9" i="5"/>
  <c r="AJ9" i="5"/>
  <c r="AL8" i="5"/>
  <c r="AK8" i="5"/>
  <c r="AJ8" i="5"/>
  <c r="AL7" i="5"/>
  <c r="AK7" i="5"/>
  <c r="AJ7" i="5"/>
  <c r="AL6" i="5"/>
  <c r="AK6" i="5"/>
  <c r="AJ6" i="5"/>
  <c r="AL5" i="5"/>
  <c r="AK5" i="5"/>
  <c r="AJ5" i="5"/>
  <c r="N249" i="1"/>
  <c r="N244" i="1"/>
  <c r="N235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215" i="3"/>
  <c r="N214" i="3"/>
  <c r="N213" i="3"/>
  <c r="N210" i="3"/>
  <c r="N209" i="3"/>
  <c r="N208" i="3"/>
  <c r="N205" i="3"/>
  <c r="N204" i="3"/>
  <c r="N203" i="3"/>
  <c r="N202" i="3"/>
  <c r="N199" i="3"/>
  <c r="N198" i="3"/>
  <c r="N195" i="3"/>
  <c r="N194" i="3"/>
  <c r="N193" i="3"/>
  <c r="N190" i="3"/>
  <c r="N189" i="3"/>
  <c r="N186" i="3"/>
  <c r="N185" i="3"/>
  <c r="N184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229" i="2"/>
  <c r="N228" i="2"/>
  <c r="N227" i="2"/>
  <c r="N226" i="2"/>
  <c r="N224" i="2"/>
  <c r="N223" i="2"/>
  <c r="N222" i="2"/>
  <c r="N221" i="2"/>
  <c r="N219" i="2"/>
  <c r="N218" i="2"/>
  <c r="N217" i="2"/>
  <c r="N214" i="2"/>
  <c r="N213" i="2"/>
  <c r="N212" i="2"/>
  <c r="N209" i="2"/>
  <c r="N208" i="2"/>
  <c r="N207" i="2"/>
  <c r="N206" i="2"/>
  <c r="N203" i="2"/>
  <c r="N202" i="2"/>
  <c r="N199" i="2"/>
  <c r="N198" i="2"/>
  <c r="N197" i="2"/>
  <c r="N194" i="2"/>
  <c r="N193" i="2"/>
  <c r="N190" i="2"/>
  <c r="N189" i="2"/>
  <c r="N188" i="2"/>
  <c r="N184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AG337" i="5"/>
  <c r="AI333" i="5"/>
  <c r="AH333" i="5"/>
  <c r="AG333" i="5"/>
  <c r="AI317" i="5"/>
  <c r="AH317" i="5"/>
  <c r="AG317" i="5"/>
  <c r="AI316" i="5"/>
  <c r="AH316" i="5"/>
  <c r="AG316" i="5"/>
  <c r="AI315" i="5"/>
  <c r="AH315" i="5"/>
  <c r="AG315" i="5"/>
  <c r="AI314" i="5"/>
  <c r="AH314" i="5"/>
  <c r="AG314" i="5"/>
  <c r="AI313" i="5"/>
  <c r="AH313" i="5"/>
  <c r="AG313" i="5"/>
  <c r="AI312" i="5"/>
  <c r="AH312" i="5"/>
  <c r="AG312" i="5"/>
  <c r="AI311" i="5"/>
  <c r="AH311" i="5"/>
  <c r="AG311" i="5"/>
  <c r="AI310" i="5"/>
  <c r="AH310" i="5"/>
  <c r="AG310" i="5"/>
  <c r="AI309" i="5"/>
  <c r="AH309" i="5"/>
  <c r="AG309" i="5"/>
  <c r="AI308" i="5"/>
  <c r="AH308" i="5"/>
  <c r="AG308" i="5"/>
  <c r="AI307" i="5"/>
  <c r="AH307" i="5"/>
  <c r="AG307" i="5"/>
  <c r="AI306" i="5"/>
  <c r="AH306" i="5"/>
  <c r="AG306" i="5"/>
  <c r="AI305" i="5"/>
  <c r="AH305" i="5"/>
  <c r="AG305" i="5"/>
  <c r="AI304" i="5"/>
  <c r="AH304" i="5"/>
  <c r="AG304" i="5"/>
  <c r="AI303" i="5"/>
  <c r="AH303" i="5"/>
  <c r="AG303" i="5"/>
  <c r="AI302" i="5"/>
  <c r="AH302" i="5"/>
  <c r="AG302" i="5"/>
  <c r="AI301" i="5"/>
  <c r="AH301" i="5"/>
  <c r="AG301" i="5"/>
  <c r="AI300" i="5"/>
  <c r="AH300" i="5"/>
  <c r="AG300" i="5"/>
  <c r="AI299" i="5"/>
  <c r="AH299" i="5"/>
  <c r="AG299" i="5"/>
  <c r="AI298" i="5"/>
  <c r="AH298" i="5"/>
  <c r="AG298" i="5"/>
  <c r="AI297" i="5"/>
  <c r="AH297" i="5"/>
  <c r="AG297" i="5"/>
  <c r="AI296" i="5"/>
  <c r="AH296" i="5"/>
  <c r="AG296" i="5"/>
  <c r="AI295" i="5"/>
  <c r="AH295" i="5"/>
  <c r="AG295" i="5"/>
  <c r="AI294" i="5"/>
  <c r="AH294" i="5"/>
  <c r="AG294" i="5"/>
  <c r="AI293" i="5"/>
  <c r="AH293" i="5"/>
  <c r="AG293" i="5"/>
  <c r="AI292" i="5"/>
  <c r="AH292" i="5"/>
  <c r="AI291" i="5"/>
  <c r="AH291" i="5"/>
  <c r="AG291" i="5"/>
  <c r="AI290" i="5"/>
  <c r="AH290" i="5"/>
  <c r="AG290" i="5"/>
  <c r="AI289" i="5"/>
  <c r="AH289" i="5"/>
  <c r="AG289" i="5"/>
  <c r="AI288" i="5"/>
  <c r="AH288" i="5"/>
  <c r="AG288" i="5"/>
  <c r="AI287" i="5"/>
  <c r="AH287" i="5"/>
  <c r="AG287" i="5"/>
  <c r="AI286" i="5"/>
  <c r="AH286" i="5"/>
  <c r="AG286" i="5"/>
  <c r="AI285" i="5"/>
  <c r="AH285" i="5"/>
  <c r="AG285" i="5"/>
  <c r="AI284" i="5"/>
  <c r="AH284" i="5"/>
  <c r="AG284" i="5"/>
  <c r="AI283" i="5"/>
  <c r="AH283" i="5"/>
  <c r="AG283" i="5"/>
  <c r="AI282" i="5"/>
  <c r="AH282" i="5"/>
  <c r="AG282" i="5"/>
  <c r="AI281" i="5"/>
  <c r="AH281" i="5"/>
  <c r="AG281" i="5"/>
  <c r="AI280" i="5"/>
  <c r="AH280" i="5"/>
  <c r="AG280" i="5"/>
  <c r="AI279" i="5"/>
  <c r="AH279" i="5"/>
  <c r="AG279" i="5"/>
  <c r="AI278" i="5"/>
  <c r="AH278" i="5"/>
  <c r="AG278" i="5"/>
  <c r="AI277" i="5"/>
  <c r="AH277" i="5"/>
  <c r="AG277" i="5"/>
  <c r="AI276" i="5"/>
  <c r="AH276" i="5"/>
  <c r="AG276" i="5"/>
  <c r="AI275" i="5"/>
  <c r="AH275" i="5"/>
  <c r="AG275" i="5"/>
  <c r="AI274" i="5"/>
  <c r="AH274" i="5"/>
  <c r="AG274" i="5"/>
  <c r="AI273" i="5"/>
  <c r="AH273" i="5"/>
  <c r="AG273" i="5"/>
  <c r="AI272" i="5"/>
  <c r="AH272" i="5"/>
  <c r="AG272" i="5"/>
  <c r="AI271" i="5"/>
  <c r="AH271" i="5"/>
  <c r="AG271" i="5"/>
  <c r="AI270" i="5"/>
  <c r="AH270" i="5"/>
  <c r="AG270" i="5"/>
  <c r="AI269" i="5"/>
  <c r="AH269" i="5"/>
  <c r="AG269" i="5"/>
  <c r="AI268" i="5"/>
  <c r="AH268" i="5"/>
  <c r="AG268" i="5"/>
  <c r="AI267" i="5"/>
  <c r="AH267" i="5"/>
  <c r="AG267" i="5"/>
  <c r="AI266" i="5"/>
  <c r="AH266" i="5"/>
  <c r="AG266" i="5"/>
  <c r="AI265" i="5"/>
  <c r="AH265" i="5"/>
  <c r="AG265" i="5"/>
  <c r="AI264" i="5"/>
  <c r="AH264" i="5"/>
  <c r="AG264" i="5"/>
  <c r="AI263" i="5"/>
  <c r="AH263" i="5"/>
  <c r="AG263" i="5"/>
  <c r="AI262" i="5"/>
  <c r="AH262" i="5"/>
  <c r="AG262" i="5"/>
  <c r="AI261" i="5"/>
  <c r="AH261" i="5"/>
  <c r="AG261" i="5"/>
  <c r="AI260" i="5"/>
  <c r="AH260" i="5"/>
  <c r="AG260" i="5"/>
  <c r="AI259" i="5"/>
  <c r="AH259" i="5"/>
  <c r="AG259" i="5"/>
  <c r="AI258" i="5"/>
  <c r="AH258" i="5"/>
  <c r="AG258" i="5"/>
  <c r="AI257" i="5"/>
  <c r="AH257" i="5"/>
  <c r="AG257" i="5"/>
  <c r="AI256" i="5"/>
  <c r="AH256" i="5"/>
  <c r="AG256" i="5"/>
  <c r="AI255" i="5"/>
  <c r="AH255" i="5"/>
  <c r="AG255" i="5"/>
  <c r="AI254" i="5"/>
  <c r="AH254" i="5"/>
  <c r="AG254" i="5"/>
  <c r="AI253" i="5"/>
  <c r="AH253" i="5"/>
  <c r="AG253" i="5"/>
  <c r="AI252" i="5"/>
  <c r="AH252" i="5"/>
  <c r="AG252" i="5"/>
  <c r="AI251" i="5"/>
  <c r="AH251" i="5"/>
  <c r="AG251" i="5"/>
  <c r="AI250" i="5"/>
  <c r="AH250" i="5"/>
  <c r="AG250" i="5"/>
  <c r="AI249" i="5"/>
  <c r="AH249" i="5"/>
  <c r="AG249" i="5"/>
  <c r="AI248" i="5"/>
  <c r="AH248" i="5"/>
  <c r="AG248" i="5"/>
  <c r="AI247" i="5"/>
  <c r="AH247" i="5"/>
  <c r="AG247" i="5"/>
  <c r="AI246" i="5"/>
  <c r="AH246" i="5"/>
  <c r="AG246" i="5"/>
  <c r="AI245" i="5"/>
  <c r="AH245" i="5"/>
  <c r="AG245" i="5"/>
  <c r="AI244" i="5"/>
  <c r="AH244" i="5"/>
  <c r="AG244" i="5"/>
  <c r="AI243" i="5"/>
  <c r="AH243" i="5"/>
  <c r="AG243" i="5"/>
  <c r="AI242" i="5"/>
  <c r="AH242" i="5"/>
  <c r="AG242" i="5"/>
  <c r="AI241" i="5"/>
  <c r="AH241" i="5"/>
  <c r="AG241" i="5"/>
  <c r="AI240" i="5"/>
  <c r="AH240" i="5"/>
  <c r="AG240" i="5"/>
  <c r="AI239" i="5"/>
  <c r="AH239" i="5"/>
  <c r="AG239" i="5"/>
  <c r="AI238" i="5"/>
  <c r="AH238" i="5"/>
  <c r="AG238" i="5"/>
  <c r="AI237" i="5"/>
  <c r="AH237" i="5"/>
  <c r="AG237" i="5"/>
  <c r="AI236" i="5"/>
  <c r="AH236" i="5"/>
  <c r="AG236" i="5"/>
  <c r="AI235" i="5"/>
  <c r="AH235" i="5"/>
  <c r="AG235" i="5"/>
  <c r="AI234" i="5"/>
  <c r="AH234" i="5"/>
  <c r="AG234" i="5"/>
  <c r="AI233" i="5"/>
  <c r="AH233" i="5"/>
  <c r="AG233" i="5"/>
  <c r="AI232" i="5"/>
  <c r="AH232" i="5"/>
  <c r="AG232" i="5"/>
  <c r="AI231" i="5"/>
  <c r="AH231" i="5"/>
  <c r="AG231" i="5"/>
  <c r="AI230" i="5"/>
  <c r="AH230" i="5"/>
  <c r="AG230" i="5"/>
  <c r="AI229" i="5"/>
  <c r="AH229" i="5"/>
  <c r="AG229" i="5"/>
  <c r="AI228" i="5"/>
  <c r="AH228" i="5"/>
  <c r="AG228" i="5"/>
  <c r="AI227" i="5"/>
  <c r="AH227" i="5"/>
  <c r="AG227" i="5"/>
  <c r="AI226" i="5"/>
  <c r="AH226" i="5"/>
  <c r="AG226" i="5"/>
  <c r="AI225" i="5"/>
  <c r="AH225" i="5"/>
  <c r="AG225" i="5"/>
  <c r="AI224" i="5"/>
  <c r="AH224" i="5"/>
  <c r="AG224" i="5"/>
  <c r="AI223" i="5"/>
  <c r="AH223" i="5"/>
  <c r="AG223" i="5"/>
  <c r="AI222" i="5"/>
  <c r="AH222" i="5"/>
  <c r="AG222" i="5"/>
  <c r="AI221" i="5"/>
  <c r="AH221" i="5"/>
  <c r="AG221" i="5"/>
  <c r="AI220" i="5"/>
  <c r="AH220" i="5"/>
  <c r="AG220" i="5"/>
  <c r="AI219" i="5"/>
  <c r="AH219" i="5"/>
  <c r="AG219" i="5"/>
  <c r="AI218" i="5"/>
  <c r="AH218" i="5"/>
  <c r="AG218" i="5"/>
  <c r="AI217" i="5"/>
  <c r="AH217" i="5"/>
  <c r="AG217" i="5"/>
  <c r="AI216" i="5"/>
  <c r="AH216" i="5"/>
  <c r="AG216" i="5"/>
  <c r="AI215" i="5"/>
  <c r="AH215" i="5"/>
  <c r="AG215" i="5"/>
  <c r="AI214" i="5"/>
  <c r="AH214" i="5"/>
  <c r="AG214" i="5"/>
  <c r="AI213" i="5"/>
  <c r="AH213" i="5"/>
  <c r="AG213" i="5"/>
  <c r="AI212" i="5"/>
  <c r="AH212" i="5"/>
  <c r="AG212" i="5"/>
  <c r="AI211" i="5"/>
  <c r="AH211" i="5"/>
  <c r="AG211" i="5"/>
  <c r="AI210" i="5"/>
  <c r="AH210" i="5"/>
  <c r="AG210" i="5"/>
  <c r="AI209" i="5"/>
  <c r="AH209" i="5"/>
  <c r="AG209" i="5"/>
  <c r="AI208" i="5"/>
  <c r="AH208" i="5"/>
  <c r="AG208" i="5"/>
  <c r="AI207" i="5"/>
  <c r="AH207" i="5"/>
  <c r="AG207" i="5"/>
  <c r="AI206" i="5"/>
  <c r="AH206" i="5"/>
  <c r="AG206" i="5"/>
  <c r="AI205" i="5"/>
  <c r="AH205" i="5"/>
  <c r="AG205" i="5"/>
  <c r="AI204" i="5"/>
  <c r="AH204" i="5"/>
  <c r="AG204" i="5"/>
  <c r="AI203" i="5"/>
  <c r="AH203" i="5"/>
  <c r="AG203" i="5"/>
  <c r="AI202" i="5"/>
  <c r="AH202" i="5"/>
  <c r="AG202" i="5"/>
  <c r="AI201" i="5"/>
  <c r="AH201" i="5"/>
  <c r="AG201" i="5"/>
  <c r="AI200" i="5"/>
  <c r="AH200" i="5"/>
  <c r="AG200" i="5"/>
  <c r="AI199" i="5"/>
  <c r="AH199" i="5"/>
  <c r="AG199" i="5"/>
  <c r="AI198" i="5"/>
  <c r="AH198" i="5"/>
  <c r="AG198" i="5"/>
  <c r="AI197" i="5"/>
  <c r="AH197" i="5"/>
  <c r="AG197" i="5"/>
  <c r="AI196" i="5"/>
  <c r="AH196" i="5"/>
  <c r="AG196" i="5"/>
  <c r="AI195" i="5"/>
  <c r="AH195" i="5"/>
  <c r="AG195" i="5"/>
  <c r="AI194" i="5"/>
  <c r="AH194" i="5"/>
  <c r="AG194" i="5"/>
  <c r="AI193" i="5"/>
  <c r="AH193" i="5"/>
  <c r="AG193" i="5"/>
  <c r="AI192" i="5"/>
  <c r="AH192" i="5"/>
  <c r="AG192" i="5"/>
  <c r="AI191" i="5"/>
  <c r="AH191" i="5"/>
  <c r="AG191" i="5"/>
  <c r="AI190" i="5"/>
  <c r="AH190" i="5"/>
  <c r="AG190" i="5"/>
  <c r="AI189" i="5"/>
  <c r="AH189" i="5"/>
  <c r="AG189" i="5"/>
  <c r="AI188" i="5"/>
  <c r="AH188" i="5"/>
  <c r="AG188" i="5"/>
  <c r="AI187" i="5"/>
  <c r="AH187" i="5"/>
  <c r="AG187" i="5"/>
  <c r="AI186" i="5"/>
  <c r="AH186" i="5"/>
  <c r="AG186" i="5"/>
  <c r="AI185" i="5"/>
  <c r="AH185" i="5"/>
  <c r="AG185" i="5"/>
  <c r="AI184" i="5"/>
  <c r="AH184" i="5"/>
  <c r="AG184" i="5"/>
  <c r="AI183" i="5"/>
  <c r="AH183" i="5"/>
  <c r="AG183" i="5"/>
  <c r="AI182" i="5"/>
  <c r="AH182" i="5"/>
  <c r="AG182" i="5"/>
  <c r="AI181" i="5"/>
  <c r="AH181" i="5"/>
  <c r="AG181" i="5"/>
  <c r="AI180" i="5"/>
  <c r="AH180" i="5"/>
  <c r="AG180" i="5"/>
  <c r="AI179" i="5"/>
  <c r="AH179" i="5"/>
  <c r="AG179" i="5"/>
  <c r="AI178" i="5"/>
  <c r="AH178" i="5"/>
  <c r="AG178" i="5"/>
  <c r="AI177" i="5"/>
  <c r="AH177" i="5"/>
  <c r="AG177" i="5"/>
  <c r="AI176" i="5"/>
  <c r="AH176" i="5"/>
  <c r="AG176" i="5"/>
  <c r="AI175" i="5"/>
  <c r="AH175" i="5"/>
  <c r="AG175" i="5"/>
  <c r="AI174" i="5"/>
  <c r="AH174" i="5"/>
  <c r="AG174" i="5"/>
  <c r="AI173" i="5"/>
  <c r="AH173" i="5"/>
  <c r="AG173" i="5"/>
  <c r="AI172" i="5"/>
  <c r="AH172" i="5"/>
  <c r="AG172" i="5"/>
  <c r="AI171" i="5"/>
  <c r="AH171" i="5"/>
  <c r="AG171" i="5"/>
  <c r="AI170" i="5"/>
  <c r="AH170" i="5"/>
  <c r="AG170" i="5"/>
  <c r="AI169" i="5"/>
  <c r="AH169" i="5"/>
  <c r="AG169" i="5"/>
  <c r="AI168" i="5"/>
  <c r="AH168" i="5"/>
  <c r="AG168" i="5"/>
  <c r="AI167" i="5"/>
  <c r="AH167" i="5"/>
  <c r="AG167" i="5"/>
  <c r="AI166" i="5"/>
  <c r="AH166" i="5"/>
  <c r="AG166" i="5"/>
  <c r="AI165" i="5"/>
  <c r="AH165" i="5"/>
  <c r="AG165" i="5"/>
  <c r="AI164" i="5"/>
  <c r="AH164" i="5"/>
  <c r="AG164" i="5"/>
  <c r="AI163" i="5"/>
  <c r="AH163" i="5"/>
  <c r="AG163" i="5"/>
  <c r="AI162" i="5"/>
  <c r="AH162" i="5"/>
  <c r="AG162" i="5"/>
  <c r="AI161" i="5"/>
  <c r="AH161" i="5"/>
  <c r="AG161" i="5"/>
  <c r="AI160" i="5"/>
  <c r="AH160" i="5"/>
  <c r="AG160" i="5"/>
  <c r="AI159" i="5"/>
  <c r="AH159" i="5"/>
  <c r="AG159" i="5"/>
  <c r="AI158" i="5"/>
  <c r="AH158" i="5"/>
  <c r="AG158" i="5"/>
  <c r="AI157" i="5"/>
  <c r="AH157" i="5"/>
  <c r="AG157" i="5"/>
  <c r="AI156" i="5"/>
  <c r="AH156" i="5"/>
  <c r="AG156" i="5"/>
  <c r="AI155" i="5"/>
  <c r="AH155" i="5"/>
  <c r="AG155" i="5"/>
  <c r="AI154" i="5"/>
  <c r="AH154" i="5"/>
  <c r="AG154" i="5"/>
  <c r="AI153" i="5"/>
  <c r="AH153" i="5"/>
  <c r="AG153" i="5"/>
  <c r="AI152" i="5"/>
  <c r="AH152" i="5"/>
  <c r="AG152" i="5"/>
  <c r="AI151" i="5"/>
  <c r="AH151" i="5"/>
  <c r="AG151" i="5"/>
  <c r="AI150" i="5"/>
  <c r="AH150" i="5"/>
  <c r="AG150" i="5"/>
  <c r="AI149" i="5"/>
  <c r="AH149" i="5"/>
  <c r="AG149" i="5"/>
  <c r="AI148" i="5"/>
  <c r="AH148" i="5"/>
  <c r="AG148" i="5"/>
  <c r="AI147" i="5"/>
  <c r="AH147" i="5"/>
  <c r="AG147" i="5"/>
  <c r="AI146" i="5"/>
  <c r="AH146" i="5"/>
  <c r="AG146" i="5"/>
  <c r="AI145" i="5"/>
  <c r="AH145" i="5"/>
  <c r="AG145" i="5"/>
  <c r="AI144" i="5"/>
  <c r="AH144" i="5"/>
  <c r="AG144" i="5"/>
  <c r="AI143" i="5"/>
  <c r="AH143" i="5"/>
  <c r="AG143" i="5"/>
  <c r="AI142" i="5"/>
  <c r="AH142" i="5"/>
  <c r="AG142" i="5"/>
  <c r="AI141" i="5"/>
  <c r="AH141" i="5"/>
  <c r="AG141" i="5"/>
  <c r="AI140" i="5"/>
  <c r="AH140" i="5"/>
  <c r="AG140" i="5"/>
  <c r="AI139" i="5"/>
  <c r="AH139" i="5"/>
  <c r="AG139" i="5"/>
  <c r="AI138" i="5"/>
  <c r="AH138" i="5"/>
  <c r="AG138" i="5"/>
  <c r="AI137" i="5"/>
  <c r="AH137" i="5"/>
  <c r="AG137" i="5"/>
  <c r="AI136" i="5"/>
  <c r="AH136" i="5"/>
  <c r="AG136" i="5"/>
  <c r="AI135" i="5"/>
  <c r="AH135" i="5"/>
  <c r="AG135" i="5"/>
  <c r="AI134" i="5"/>
  <c r="AH134" i="5"/>
  <c r="AG134" i="5"/>
  <c r="AI133" i="5"/>
  <c r="AH133" i="5"/>
  <c r="AG133" i="5"/>
  <c r="AI132" i="5"/>
  <c r="AH132" i="5"/>
  <c r="AG132" i="5"/>
  <c r="AI131" i="5"/>
  <c r="AH131" i="5"/>
  <c r="AG131" i="5"/>
  <c r="AI130" i="5"/>
  <c r="AH130" i="5"/>
  <c r="AG130" i="5"/>
  <c r="AI129" i="5"/>
  <c r="AH129" i="5"/>
  <c r="AG129" i="5"/>
  <c r="AI128" i="5"/>
  <c r="AH128" i="5"/>
  <c r="AG128" i="5"/>
  <c r="AI127" i="5"/>
  <c r="AH127" i="5"/>
  <c r="AG127" i="5"/>
  <c r="AI126" i="5"/>
  <c r="AH126" i="5"/>
  <c r="AG126" i="5"/>
  <c r="AI125" i="5"/>
  <c r="AH125" i="5"/>
  <c r="AG125" i="5"/>
  <c r="AI124" i="5"/>
  <c r="AH124" i="5"/>
  <c r="AG124" i="5"/>
  <c r="AI123" i="5"/>
  <c r="AH123" i="5"/>
  <c r="AG123" i="5"/>
  <c r="AI122" i="5"/>
  <c r="AH122" i="5"/>
  <c r="AG122" i="5"/>
  <c r="AI121" i="5"/>
  <c r="AH121" i="5"/>
  <c r="AG121" i="5"/>
  <c r="AI120" i="5"/>
  <c r="AH120" i="5"/>
  <c r="AG120" i="5"/>
  <c r="AI119" i="5"/>
  <c r="AH119" i="5"/>
  <c r="AG119" i="5"/>
  <c r="AI118" i="5"/>
  <c r="AH118" i="5"/>
  <c r="AG118" i="5"/>
  <c r="AI117" i="5"/>
  <c r="AH117" i="5"/>
  <c r="AG117" i="5"/>
  <c r="AI116" i="5"/>
  <c r="AH116" i="5"/>
  <c r="AG116" i="5"/>
  <c r="AI115" i="5"/>
  <c r="AH115" i="5"/>
  <c r="AG115" i="5"/>
  <c r="AI114" i="5"/>
  <c r="AH114" i="5"/>
  <c r="AG114" i="5"/>
  <c r="AI113" i="5"/>
  <c r="AH113" i="5"/>
  <c r="AG113" i="5"/>
  <c r="AI112" i="5"/>
  <c r="AH112" i="5"/>
  <c r="AG112" i="5"/>
  <c r="AG111" i="5"/>
  <c r="AI110" i="5"/>
  <c r="AH110" i="5"/>
  <c r="AG110" i="5"/>
  <c r="AH109" i="5"/>
  <c r="AG109" i="5"/>
  <c r="AI108" i="5"/>
  <c r="AH108" i="5"/>
  <c r="AG108" i="5"/>
  <c r="AI107" i="5"/>
  <c r="AH107" i="5"/>
  <c r="AI106" i="5"/>
  <c r="AH106" i="5"/>
  <c r="AG106" i="5"/>
  <c r="AI105" i="5"/>
  <c r="AH105" i="5"/>
  <c r="AG105" i="5"/>
  <c r="AI104" i="5"/>
  <c r="AH104" i="5"/>
  <c r="AG104" i="5"/>
  <c r="AI103" i="5"/>
  <c r="AH103" i="5"/>
  <c r="AG103" i="5"/>
  <c r="AI102" i="5"/>
  <c r="AH102" i="5"/>
  <c r="AG102" i="5"/>
  <c r="AI101" i="5"/>
  <c r="AH101" i="5"/>
  <c r="AG101" i="5"/>
  <c r="AI100" i="5"/>
  <c r="AH100" i="5"/>
  <c r="AG100" i="5"/>
  <c r="AI99" i="5"/>
  <c r="AH99" i="5"/>
  <c r="AG99" i="5"/>
  <c r="AI98" i="5"/>
  <c r="AH98" i="5"/>
  <c r="AG98" i="5"/>
  <c r="AI97" i="5"/>
  <c r="AH97" i="5"/>
  <c r="AG97" i="5"/>
  <c r="AI96" i="5"/>
  <c r="AH96" i="5"/>
  <c r="AG96" i="5"/>
  <c r="AI95" i="5"/>
  <c r="AH95" i="5"/>
  <c r="AG95" i="5"/>
  <c r="AI94" i="5"/>
  <c r="AH94" i="5"/>
  <c r="AG94" i="5"/>
  <c r="AI93" i="5"/>
  <c r="AH93" i="5"/>
  <c r="AG93" i="5"/>
  <c r="AI92" i="5"/>
  <c r="AH92" i="5"/>
  <c r="AG92" i="5"/>
  <c r="AI91" i="5"/>
  <c r="AH91" i="5"/>
  <c r="AG91" i="5"/>
  <c r="AI90" i="5"/>
  <c r="AH90" i="5"/>
  <c r="AG90" i="5"/>
  <c r="AI89" i="5"/>
  <c r="AH89" i="5"/>
  <c r="AG89" i="5"/>
  <c r="AI88" i="5"/>
  <c r="AH88" i="5"/>
  <c r="AG88" i="5"/>
  <c r="AI87" i="5"/>
  <c r="AH87" i="5"/>
  <c r="AG87" i="5"/>
  <c r="AI86" i="5"/>
  <c r="AH86" i="5"/>
  <c r="AG86" i="5"/>
  <c r="AI85" i="5"/>
  <c r="AH85" i="5"/>
  <c r="AG85" i="5"/>
  <c r="AI84" i="5"/>
  <c r="AH84" i="5"/>
  <c r="AG84" i="5"/>
  <c r="AI83" i="5"/>
  <c r="AH83" i="5"/>
  <c r="AG83" i="5"/>
  <c r="AI82" i="5"/>
  <c r="AH82" i="5"/>
  <c r="AG82" i="5"/>
  <c r="AI81" i="5"/>
  <c r="AH81" i="5"/>
  <c r="AG81" i="5"/>
  <c r="AI80" i="5"/>
  <c r="AH80" i="5"/>
  <c r="AG80" i="5"/>
  <c r="AI79" i="5"/>
  <c r="AH79" i="5"/>
  <c r="AG79" i="5"/>
  <c r="AI78" i="5"/>
  <c r="AH78" i="5"/>
  <c r="AG78" i="5"/>
  <c r="AI77" i="5"/>
  <c r="AH77" i="5"/>
  <c r="AG77" i="5"/>
  <c r="AI76" i="5"/>
  <c r="AH76" i="5"/>
  <c r="AG76" i="5"/>
  <c r="AI75" i="5"/>
  <c r="AH75" i="5"/>
  <c r="AG75" i="5"/>
  <c r="AI74" i="5"/>
  <c r="AH74" i="5"/>
  <c r="AG74" i="5"/>
  <c r="AI73" i="5"/>
  <c r="AH73" i="5"/>
  <c r="AG73" i="5"/>
  <c r="AI72" i="5"/>
  <c r="AH72" i="5"/>
  <c r="AG72" i="5"/>
  <c r="AI71" i="5"/>
  <c r="AH71" i="5"/>
  <c r="AG71" i="5"/>
  <c r="AI70" i="5"/>
  <c r="AH70" i="5"/>
  <c r="AG70" i="5"/>
  <c r="AI69" i="5"/>
  <c r="AH69" i="5"/>
  <c r="AG69" i="5"/>
  <c r="AI68" i="5"/>
  <c r="AH68" i="5"/>
  <c r="AG68" i="5"/>
  <c r="AI67" i="5"/>
  <c r="AH67" i="5"/>
  <c r="AG67" i="5"/>
  <c r="AI66" i="5"/>
  <c r="AH66" i="5"/>
  <c r="AG66" i="5"/>
  <c r="AI65" i="5"/>
  <c r="AH65" i="5"/>
  <c r="AG65" i="5"/>
  <c r="AI64" i="5"/>
  <c r="AH64" i="5"/>
  <c r="AG64" i="5"/>
  <c r="AI63" i="5"/>
  <c r="AH63" i="5"/>
  <c r="AG63" i="5"/>
  <c r="AI62" i="5"/>
  <c r="AH62" i="5"/>
  <c r="AG62" i="5"/>
  <c r="AI61" i="5"/>
  <c r="AH61" i="5"/>
  <c r="AG61" i="5"/>
  <c r="AI60" i="5"/>
  <c r="AH60" i="5"/>
  <c r="AG60" i="5"/>
  <c r="AI59" i="5"/>
  <c r="AH59" i="5"/>
  <c r="AG59" i="5"/>
  <c r="AI58" i="5"/>
  <c r="AH58" i="5"/>
  <c r="AG58" i="5"/>
  <c r="AI57" i="5"/>
  <c r="AH57" i="5"/>
  <c r="AG57" i="5"/>
  <c r="AI56" i="5"/>
  <c r="AH56" i="5"/>
  <c r="AG56" i="5"/>
  <c r="AI55" i="5"/>
  <c r="AH55" i="5"/>
  <c r="AG55" i="5"/>
  <c r="AI54" i="5"/>
  <c r="AH54" i="5"/>
  <c r="AG54" i="5"/>
  <c r="AI53" i="5"/>
  <c r="AH53" i="5"/>
  <c r="AG53" i="5"/>
  <c r="AI52" i="5"/>
  <c r="AH52" i="5"/>
  <c r="AG52" i="5"/>
  <c r="AI51" i="5"/>
  <c r="AH51" i="5"/>
  <c r="AG51" i="5"/>
  <c r="AI50" i="5"/>
  <c r="AH50" i="5"/>
  <c r="AG50" i="5"/>
  <c r="AI49" i="5"/>
  <c r="AH49" i="5"/>
  <c r="AG49" i="5"/>
  <c r="AI48" i="5"/>
  <c r="AH48" i="5"/>
  <c r="AG48" i="5"/>
  <c r="AI47" i="5"/>
  <c r="AH47" i="5"/>
  <c r="AG47" i="5"/>
  <c r="AI46" i="5"/>
  <c r="AH46" i="5"/>
  <c r="AG46" i="5"/>
  <c r="AI45" i="5"/>
  <c r="AH45" i="5"/>
  <c r="AG45" i="5"/>
  <c r="AI44" i="5"/>
  <c r="AH44" i="5"/>
  <c r="AG44" i="5"/>
  <c r="AI43" i="5"/>
  <c r="AH43" i="5"/>
  <c r="AG43" i="5"/>
  <c r="AI42" i="5"/>
  <c r="AH42" i="5"/>
  <c r="AG42" i="5"/>
  <c r="AI41" i="5"/>
  <c r="AH41" i="5"/>
  <c r="AG41" i="5"/>
  <c r="AI40" i="5"/>
  <c r="AH40" i="5"/>
  <c r="AG40" i="5"/>
  <c r="AI39" i="5"/>
  <c r="AH39" i="5"/>
  <c r="AG39" i="5"/>
  <c r="AI38" i="5"/>
  <c r="AH38" i="5"/>
  <c r="AG38" i="5"/>
  <c r="AI37" i="5"/>
  <c r="AH37" i="5"/>
  <c r="AG37" i="5"/>
  <c r="AI36" i="5"/>
  <c r="AH36" i="5"/>
  <c r="AG36" i="5"/>
  <c r="AI35" i="5"/>
  <c r="AH35" i="5"/>
  <c r="AG35" i="5"/>
  <c r="AI34" i="5"/>
  <c r="AH34" i="5"/>
  <c r="AG34" i="5"/>
  <c r="AI33" i="5"/>
  <c r="AH33" i="5"/>
  <c r="AG33" i="5"/>
  <c r="AI32" i="5"/>
  <c r="AH32" i="5"/>
  <c r="AG32" i="5"/>
  <c r="AI31" i="5"/>
  <c r="AH31" i="5"/>
  <c r="AG31" i="5"/>
  <c r="AI30" i="5"/>
  <c r="AH30" i="5"/>
  <c r="AG30" i="5"/>
  <c r="AI29" i="5"/>
  <c r="AH29" i="5"/>
  <c r="AG29" i="5"/>
  <c r="AI28" i="5"/>
  <c r="AH28" i="5"/>
  <c r="AG28" i="5"/>
  <c r="AI27" i="5"/>
  <c r="AH27" i="5"/>
  <c r="AG27" i="5"/>
  <c r="AI26" i="5"/>
  <c r="AH26" i="5"/>
  <c r="AG26" i="5"/>
  <c r="AI25" i="5"/>
  <c r="AH25" i="5"/>
  <c r="AG25" i="5"/>
  <c r="AI24" i="5"/>
  <c r="AH24" i="5"/>
  <c r="AG24" i="5"/>
  <c r="AI23" i="5"/>
  <c r="AH23" i="5"/>
  <c r="AG23" i="5"/>
  <c r="AI22" i="5"/>
  <c r="AH22" i="5"/>
  <c r="AG22" i="5"/>
  <c r="AI21" i="5"/>
  <c r="AH21" i="5"/>
  <c r="AG21" i="5"/>
  <c r="AI20" i="5"/>
  <c r="AH20" i="5"/>
  <c r="AG20" i="5"/>
  <c r="AI19" i="5"/>
  <c r="AH19" i="5"/>
  <c r="AG19" i="5"/>
  <c r="AI18" i="5"/>
  <c r="AH18" i="5"/>
  <c r="AG18" i="5"/>
  <c r="AI17" i="5"/>
  <c r="AH17" i="5"/>
  <c r="AG17" i="5"/>
  <c r="AI16" i="5"/>
  <c r="AH16" i="5"/>
  <c r="AG16" i="5"/>
  <c r="AI15" i="5"/>
  <c r="AH15" i="5"/>
  <c r="AG15" i="5"/>
  <c r="AI14" i="5"/>
  <c r="AH14" i="5"/>
  <c r="AG14" i="5"/>
  <c r="AI13" i="5"/>
  <c r="AH13" i="5"/>
  <c r="AG13" i="5"/>
  <c r="AI12" i="5"/>
  <c r="AH12" i="5"/>
  <c r="AG12" i="5"/>
  <c r="AI11" i="5"/>
  <c r="AH11" i="5"/>
  <c r="AG11" i="5"/>
  <c r="AI10" i="5"/>
  <c r="AH10" i="5"/>
  <c r="AG10" i="5"/>
  <c r="AI9" i="5"/>
  <c r="AH9" i="5"/>
  <c r="AG9" i="5"/>
  <c r="AI8" i="5"/>
  <c r="AH8" i="5"/>
  <c r="AG8" i="5"/>
  <c r="AI7" i="5"/>
  <c r="AH7" i="5"/>
  <c r="AG7" i="5"/>
  <c r="AI6" i="5"/>
  <c r="AH6" i="5"/>
  <c r="AG6" i="5"/>
  <c r="AI5" i="5"/>
  <c r="AH5" i="5"/>
  <c r="AG5" i="5"/>
  <c r="M249" i="1"/>
  <c r="M244" i="1"/>
  <c r="M235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215" i="3"/>
  <c r="M214" i="3"/>
  <c r="M213" i="3"/>
  <c r="M210" i="3"/>
  <c r="M209" i="3"/>
  <c r="M208" i="3"/>
  <c r="M205" i="3"/>
  <c r="M204" i="3"/>
  <c r="M203" i="3"/>
  <c r="M202" i="3"/>
  <c r="M199" i="3"/>
  <c r="M198" i="3"/>
  <c r="M195" i="3"/>
  <c r="M194" i="3"/>
  <c r="M193" i="3"/>
  <c r="M190" i="3"/>
  <c r="M189" i="3"/>
  <c r="M186" i="3"/>
  <c r="M185" i="3"/>
  <c r="M184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29" i="2"/>
  <c r="M228" i="2"/>
  <c r="M227" i="2"/>
  <c r="M226" i="2"/>
  <c r="M224" i="2"/>
  <c r="M223" i="2"/>
  <c r="M222" i="2"/>
  <c r="M221" i="2"/>
  <c r="M219" i="2"/>
  <c r="M218" i="2"/>
  <c r="M217" i="2"/>
  <c r="M214" i="2"/>
  <c r="M213" i="2"/>
  <c r="M212" i="2"/>
  <c r="M209" i="2"/>
  <c r="M208" i="2"/>
  <c r="M207" i="2"/>
  <c r="M206" i="2"/>
  <c r="M203" i="2"/>
  <c r="M202" i="2"/>
  <c r="M199" i="2"/>
  <c r="M198" i="2"/>
  <c r="M197" i="2"/>
  <c r="M194" i="2"/>
  <c r="M193" i="2"/>
  <c r="M190" i="2"/>
  <c r="M189" i="2"/>
  <c r="M188" i="2"/>
  <c r="M184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AD337" i="5"/>
  <c r="AF333" i="5"/>
  <c r="AE333" i="5"/>
  <c r="AD333" i="5"/>
  <c r="AF317" i="5"/>
  <c r="AE317" i="5"/>
  <c r="AD317" i="5"/>
  <c r="AF316" i="5"/>
  <c r="AE316" i="5"/>
  <c r="AD316" i="5"/>
  <c r="AF315" i="5"/>
  <c r="AE315" i="5"/>
  <c r="AD315" i="5"/>
  <c r="AF314" i="5"/>
  <c r="AE314" i="5"/>
  <c r="AD314" i="5"/>
  <c r="AF313" i="5"/>
  <c r="AE313" i="5"/>
  <c r="AD313" i="5"/>
  <c r="AF312" i="5"/>
  <c r="AE312" i="5"/>
  <c r="AD312" i="5"/>
  <c r="AF311" i="5"/>
  <c r="AE311" i="5"/>
  <c r="AD311" i="5"/>
  <c r="AF310" i="5"/>
  <c r="AE310" i="5"/>
  <c r="AD310" i="5"/>
  <c r="AF309" i="5"/>
  <c r="AE309" i="5"/>
  <c r="AD309" i="5"/>
  <c r="AF308" i="5"/>
  <c r="AE308" i="5"/>
  <c r="AD308" i="5"/>
  <c r="AF307" i="5"/>
  <c r="AE307" i="5"/>
  <c r="AD307" i="5"/>
  <c r="AF306" i="5"/>
  <c r="AE306" i="5"/>
  <c r="AD306" i="5"/>
  <c r="AF305" i="5"/>
  <c r="AE305" i="5"/>
  <c r="AD305" i="5"/>
  <c r="AF304" i="5"/>
  <c r="AE304" i="5"/>
  <c r="AD304" i="5"/>
  <c r="AF303" i="5"/>
  <c r="AE303" i="5"/>
  <c r="AD303" i="5"/>
  <c r="AF302" i="5"/>
  <c r="AE302" i="5"/>
  <c r="AD302" i="5"/>
  <c r="AF301" i="5"/>
  <c r="AE301" i="5"/>
  <c r="AD301" i="5"/>
  <c r="AF300" i="5"/>
  <c r="AE300" i="5"/>
  <c r="AD300" i="5"/>
  <c r="AF299" i="5"/>
  <c r="AE299" i="5"/>
  <c r="AD299" i="5"/>
  <c r="AF298" i="5"/>
  <c r="AE298" i="5"/>
  <c r="AD298" i="5"/>
  <c r="AF297" i="5"/>
  <c r="AE297" i="5"/>
  <c r="AD297" i="5"/>
  <c r="AF296" i="5"/>
  <c r="AE296" i="5"/>
  <c r="AD296" i="5"/>
  <c r="AF295" i="5"/>
  <c r="AE295" i="5"/>
  <c r="AD295" i="5"/>
  <c r="AF294" i="5"/>
  <c r="AE294" i="5"/>
  <c r="AD294" i="5"/>
  <c r="AF293" i="5"/>
  <c r="AE293" i="5"/>
  <c r="AD293" i="5"/>
  <c r="AF292" i="5"/>
  <c r="AE292" i="5"/>
  <c r="AF291" i="5"/>
  <c r="AE291" i="5"/>
  <c r="AD291" i="5"/>
  <c r="AF290" i="5"/>
  <c r="AE290" i="5"/>
  <c r="AD290" i="5"/>
  <c r="AF289" i="5"/>
  <c r="AE289" i="5"/>
  <c r="AD289" i="5"/>
  <c r="AF288" i="5"/>
  <c r="AE288" i="5"/>
  <c r="AD288" i="5"/>
  <c r="AF287" i="5"/>
  <c r="AE287" i="5"/>
  <c r="AD287" i="5"/>
  <c r="AF286" i="5"/>
  <c r="AE286" i="5"/>
  <c r="AD286" i="5"/>
  <c r="AF285" i="5"/>
  <c r="AE285" i="5"/>
  <c r="AD285" i="5"/>
  <c r="AF284" i="5"/>
  <c r="AE284" i="5"/>
  <c r="AD284" i="5"/>
  <c r="AF283" i="5"/>
  <c r="AE283" i="5"/>
  <c r="AD283" i="5"/>
  <c r="AF282" i="5"/>
  <c r="AE282" i="5"/>
  <c r="AD282" i="5"/>
  <c r="AF281" i="5"/>
  <c r="AE281" i="5"/>
  <c r="AD281" i="5"/>
  <c r="AF280" i="5"/>
  <c r="AE280" i="5"/>
  <c r="AD280" i="5"/>
  <c r="AF279" i="5"/>
  <c r="AE279" i="5"/>
  <c r="AD279" i="5"/>
  <c r="AF278" i="5"/>
  <c r="AE278" i="5"/>
  <c r="AD278" i="5"/>
  <c r="AF277" i="5"/>
  <c r="AE277" i="5"/>
  <c r="AD277" i="5"/>
  <c r="AF276" i="5"/>
  <c r="AE276" i="5"/>
  <c r="AD276" i="5"/>
  <c r="AF275" i="5"/>
  <c r="AE275" i="5"/>
  <c r="AD275" i="5"/>
  <c r="AF274" i="5"/>
  <c r="AE274" i="5"/>
  <c r="AD274" i="5"/>
  <c r="AF273" i="5"/>
  <c r="AE273" i="5"/>
  <c r="AD273" i="5"/>
  <c r="AF272" i="5"/>
  <c r="AE272" i="5"/>
  <c r="AD272" i="5"/>
  <c r="AF271" i="5"/>
  <c r="AE271" i="5"/>
  <c r="AD271" i="5"/>
  <c r="AF270" i="5"/>
  <c r="AE270" i="5"/>
  <c r="AD270" i="5"/>
  <c r="AF269" i="5"/>
  <c r="AE269" i="5"/>
  <c r="AD269" i="5"/>
  <c r="AF268" i="5"/>
  <c r="AE268" i="5"/>
  <c r="AD268" i="5"/>
  <c r="AF267" i="5"/>
  <c r="AE267" i="5"/>
  <c r="AD267" i="5"/>
  <c r="AF266" i="5"/>
  <c r="AE266" i="5"/>
  <c r="AD266" i="5"/>
  <c r="AF265" i="5"/>
  <c r="AE265" i="5"/>
  <c r="AD265" i="5"/>
  <c r="AF264" i="5"/>
  <c r="AE264" i="5"/>
  <c r="AD264" i="5"/>
  <c r="AF263" i="5"/>
  <c r="AE263" i="5"/>
  <c r="AD263" i="5"/>
  <c r="AF262" i="5"/>
  <c r="AE262" i="5"/>
  <c r="AD262" i="5"/>
  <c r="AF261" i="5"/>
  <c r="AE261" i="5"/>
  <c r="AD261" i="5"/>
  <c r="AF260" i="5"/>
  <c r="AE260" i="5"/>
  <c r="AD260" i="5"/>
  <c r="AF259" i="5"/>
  <c r="AE259" i="5"/>
  <c r="AD259" i="5"/>
  <c r="AF258" i="5"/>
  <c r="AE258" i="5"/>
  <c r="AD258" i="5"/>
  <c r="AF257" i="5"/>
  <c r="AE257" i="5"/>
  <c r="AD257" i="5"/>
  <c r="AF256" i="5"/>
  <c r="AE256" i="5"/>
  <c r="AD256" i="5"/>
  <c r="AF255" i="5"/>
  <c r="AE255" i="5"/>
  <c r="AD255" i="5"/>
  <c r="AF254" i="5"/>
  <c r="AE254" i="5"/>
  <c r="AD254" i="5"/>
  <c r="AF253" i="5"/>
  <c r="AE253" i="5"/>
  <c r="AD253" i="5"/>
  <c r="AF252" i="5"/>
  <c r="AE252" i="5"/>
  <c r="AD252" i="5"/>
  <c r="AF251" i="5"/>
  <c r="AE251" i="5"/>
  <c r="AD251" i="5"/>
  <c r="AF250" i="5"/>
  <c r="AE250" i="5"/>
  <c r="AD250" i="5"/>
  <c r="AF249" i="5"/>
  <c r="AE249" i="5"/>
  <c r="AD249" i="5"/>
  <c r="AF248" i="5"/>
  <c r="AE248" i="5"/>
  <c r="AD248" i="5"/>
  <c r="AF247" i="5"/>
  <c r="AE247" i="5"/>
  <c r="AD247" i="5"/>
  <c r="AF246" i="5"/>
  <c r="AE246" i="5"/>
  <c r="AD246" i="5"/>
  <c r="AF245" i="5"/>
  <c r="AE245" i="5"/>
  <c r="AD245" i="5"/>
  <c r="AF244" i="5"/>
  <c r="AE244" i="5"/>
  <c r="AD244" i="5"/>
  <c r="AF243" i="5"/>
  <c r="AE243" i="5"/>
  <c r="AD243" i="5"/>
  <c r="AF242" i="5"/>
  <c r="AE242" i="5"/>
  <c r="AD242" i="5"/>
  <c r="AF241" i="5"/>
  <c r="AE241" i="5"/>
  <c r="AD241" i="5"/>
  <c r="AF240" i="5"/>
  <c r="AE240" i="5"/>
  <c r="AD240" i="5"/>
  <c r="AF239" i="5"/>
  <c r="AE239" i="5"/>
  <c r="AD239" i="5"/>
  <c r="AF238" i="5"/>
  <c r="AE238" i="5"/>
  <c r="AD238" i="5"/>
  <c r="AF237" i="5"/>
  <c r="AE237" i="5"/>
  <c r="AD237" i="5"/>
  <c r="AF236" i="5"/>
  <c r="AE236" i="5"/>
  <c r="AD236" i="5"/>
  <c r="AF235" i="5"/>
  <c r="AE235" i="5"/>
  <c r="AD235" i="5"/>
  <c r="AF234" i="5"/>
  <c r="AE234" i="5"/>
  <c r="AD234" i="5"/>
  <c r="AF233" i="5"/>
  <c r="AE233" i="5"/>
  <c r="AD233" i="5"/>
  <c r="AF232" i="5"/>
  <c r="AE232" i="5"/>
  <c r="AD232" i="5"/>
  <c r="AF231" i="5"/>
  <c r="AE231" i="5"/>
  <c r="AD231" i="5"/>
  <c r="AF230" i="5"/>
  <c r="AE230" i="5"/>
  <c r="AD230" i="5"/>
  <c r="AF229" i="5"/>
  <c r="AE229" i="5"/>
  <c r="AD229" i="5"/>
  <c r="AF228" i="5"/>
  <c r="AE228" i="5"/>
  <c r="AD228" i="5"/>
  <c r="AF227" i="5"/>
  <c r="AE227" i="5"/>
  <c r="AD227" i="5"/>
  <c r="AF226" i="5"/>
  <c r="AE226" i="5"/>
  <c r="AD226" i="5"/>
  <c r="AF225" i="5"/>
  <c r="AE225" i="5"/>
  <c r="AD225" i="5"/>
  <c r="AF224" i="5"/>
  <c r="AE224" i="5"/>
  <c r="AD224" i="5"/>
  <c r="AF223" i="5"/>
  <c r="AE223" i="5"/>
  <c r="AD223" i="5"/>
  <c r="AF222" i="5"/>
  <c r="AE222" i="5"/>
  <c r="AD222" i="5"/>
  <c r="AF221" i="5"/>
  <c r="AE221" i="5"/>
  <c r="AD221" i="5"/>
  <c r="AF220" i="5"/>
  <c r="AE220" i="5"/>
  <c r="AD220" i="5"/>
  <c r="AF219" i="5"/>
  <c r="AE219" i="5"/>
  <c r="AD219" i="5"/>
  <c r="AF218" i="5"/>
  <c r="AE218" i="5"/>
  <c r="AD218" i="5"/>
  <c r="AF217" i="5"/>
  <c r="AE217" i="5"/>
  <c r="AD217" i="5"/>
  <c r="AF216" i="5"/>
  <c r="AE216" i="5"/>
  <c r="AD216" i="5"/>
  <c r="AF215" i="5"/>
  <c r="AE215" i="5"/>
  <c r="AD215" i="5"/>
  <c r="AF214" i="5"/>
  <c r="AE214" i="5"/>
  <c r="AD214" i="5"/>
  <c r="AF213" i="5"/>
  <c r="AE213" i="5"/>
  <c r="AD213" i="5"/>
  <c r="AF212" i="5"/>
  <c r="AE212" i="5"/>
  <c r="AD212" i="5"/>
  <c r="AF211" i="5"/>
  <c r="AE211" i="5"/>
  <c r="AD211" i="5"/>
  <c r="AF210" i="5"/>
  <c r="AE210" i="5"/>
  <c r="AD210" i="5"/>
  <c r="AF209" i="5"/>
  <c r="AE209" i="5"/>
  <c r="AD209" i="5"/>
  <c r="AF208" i="5"/>
  <c r="AE208" i="5"/>
  <c r="AD208" i="5"/>
  <c r="AF207" i="5"/>
  <c r="AE207" i="5"/>
  <c r="AD207" i="5"/>
  <c r="AF206" i="5"/>
  <c r="AE206" i="5"/>
  <c r="AD206" i="5"/>
  <c r="AF205" i="5"/>
  <c r="AE205" i="5"/>
  <c r="AD205" i="5"/>
  <c r="AF204" i="5"/>
  <c r="AE204" i="5"/>
  <c r="AD204" i="5"/>
  <c r="AF203" i="5"/>
  <c r="AE203" i="5"/>
  <c r="AD203" i="5"/>
  <c r="AF202" i="5"/>
  <c r="AE202" i="5"/>
  <c r="AD202" i="5"/>
  <c r="AF201" i="5"/>
  <c r="AE201" i="5"/>
  <c r="AD201" i="5"/>
  <c r="AF200" i="5"/>
  <c r="AE200" i="5"/>
  <c r="AD200" i="5"/>
  <c r="AF199" i="5"/>
  <c r="AE199" i="5"/>
  <c r="AD199" i="5"/>
  <c r="AF198" i="5"/>
  <c r="AE198" i="5"/>
  <c r="AD198" i="5"/>
  <c r="AF197" i="5"/>
  <c r="AE197" i="5"/>
  <c r="AD197" i="5"/>
  <c r="AF196" i="5"/>
  <c r="AE196" i="5"/>
  <c r="AD196" i="5"/>
  <c r="AF195" i="5"/>
  <c r="AE195" i="5"/>
  <c r="AD195" i="5"/>
  <c r="AF194" i="5"/>
  <c r="AE194" i="5"/>
  <c r="AD194" i="5"/>
  <c r="AF193" i="5"/>
  <c r="AE193" i="5"/>
  <c r="AD193" i="5"/>
  <c r="AF192" i="5"/>
  <c r="AE192" i="5"/>
  <c r="AD192" i="5"/>
  <c r="AF191" i="5"/>
  <c r="AE191" i="5"/>
  <c r="AD191" i="5"/>
  <c r="AF190" i="5"/>
  <c r="AE190" i="5"/>
  <c r="AD190" i="5"/>
  <c r="AF189" i="5"/>
  <c r="AE189" i="5"/>
  <c r="AD189" i="5"/>
  <c r="AF188" i="5"/>
  <c r="AE188" i="5"/>
  <c r="AD188" i="5"/>
  <c r="AF187" i="5"/>
  <c r="AE187" i="5"/>
  <c r="AD187" i="5"/>
  <c r="AF186" i="5"/>
  <c r="AE186" i="5"/>
  <c r="AD186" i="5"/>
  <c r="AF185" i="5"/>
  <c r="AE185" i="5"/>
  <c r="AD185" i="5"/>
  <c r="AF184" i="5"/>
  <c r="AE184" i="5"/>
  <c r="AD184" i="5"/>
  <c r="AF183" i="5"/>
  <c r="AE183" i="5"/>
  <c r="AD183" i="5"/>
  <c r="AF182" i="5"/>
  <c r="AE182" i="5"/>
  <c r="AD182" i="5"/>
  <c r="AF181" i="5"/>
  <c r="AE181" i="5"/>
  <c r="AD181" i="5"/>
  <c r="AF180" i="5"/>
  <c r="AE180" i="5"/>
  <c r="AD180" i="5"/>
  <c r="AF179" i="5"/>
  <c r="AE179" i="5"/>
  <c r="AD179" i="5"/>
  <c r="AF178" i="5"/>
  <c r="AE178" i="5"/>
  <c r="AD178" i="5"/>
  <c r="AF177" i="5"/>
  <c r="AE177" i="5"/>
  <c r="AD177" i="5"/>
  <c r="AF176" i="5"/>
  <c r="AE176" i="5"/>
  <c r="AD176" i="5"/>
  <c r="AF175" i="5"/>
  <c r="AE175" i="5"/>
  <c r="AD175" i="5"/>
  <c r="AF174" i="5"/>
  <c r="AE174" i="5"/>
  <c r="AD174" i="5"/>
  <c r="AF173" i="5"/>
  <c r="AE173" i="5"/>
  <c r="AD173" i="5"/>
  <c r="AF172" i="5"/>
  <c r="AE172" i="5"/>
  <c r="AD172" i="5"/>
  <c r="AF171" i="5"/>
  <c r="AE171" i="5"/>
  <c r="AD171" i="5"/>
  <c r="AF170" i="5"/>
  <c r="AE170" i="5"/>
  <c r="AD170" i="5"/>
  <c r="AF169" i="5"/>
  <c r="AE169" i="5"/>
  <c r="AD169" i="5"/>
  <c r="AF168" i="5"/>
  <c r="AE168" i="5"/>
  <c r="AD168" i="5"/>
  <c r="AF167" i="5"/>
  <c r="AE167" i="5"/>
  <c r="AD167" i="5"/>
  <c r="AF166" i="5"/>
  <c r="AE166" i="5"/>
  <c r="AD166" i="5"/>
  <c r="AF165" i="5"/>
  <c r="AE165" i="5"/>
  <c r="AD165" i="5"/>
  <c r="AF164" i="5"/>
  <c r="AE164" i="5"/>
  <c r="AD164" i="5"/>
  <c r="AF163" i="5"/>
  <c r="AE163" i="5"/>
  <c r="AD163" i="5"/>
  <c r="AF162" i="5"/>
  <c r="AE162" i="5"/>
  <c r="AD162" i="5"/>
  <c r="AF161" i="5"/>
  <c r="AE161" i="5"/>
  <c r="AD161" i="5"/>
  <c r="AF160" i="5"/>
  <c r="AE160" i="5"/>
  <c r="AD160" i="5"/>
  <c r="AF159" i="5"/>
  <c r="AE159" i="5"/>
  <c r="AD159" i="5"/>
  <c r="AF158" i="5"/>
  <c r="AE158" i="5"/>
  <c r="AD158" i="5"/>
  <c r="AF157" i="5"/>
  <c r="AE157" i="5"/>
  <c r="AD157" i="5"/>
  <c r="AF156" i="5"/>
  <c r="AE156" i="5"/>
  <c r="AD156" i="5"/>
  <c r="AF155" i="5"/>
  <c r="AE155" i="5"/>
  <c r="AD155" i="5"/>
  <c r="AF154" i="5"/>
  <c r="AE154" i="5"/>
  <c r="AD154" i="5"/>
  <c r="AF153" i="5"/>
  <c r="AE153" i="5"/>
  <c r="AD153" i="5"/>
  <c r="AF152" i="5"/>
  <c r="AE152" i="5"/>
  <c r="AD152" i="5"/>
  <c r="AF151" i="5"/>
  <c r="AE151" i="5"/>
  <c r="AD151" i="5"/>
  <c r="AF150" i="5"/>
  <c r="AE150" i="5"/>
  <c r="AD150" i="5"/>
  <c r="AF149" i="5"/>
  <c r="AE149" i="5"/>
  <c r="AD149" i="5"/>
  <c r="AF148" i="5"/>
  <c r="AE148" i="5"/>
  <c r="AD148" i="5"/>
  <c r="AF147" i="5"/>
  <c r="AE147" i="5"/>
  <c r="AD147" i="5"/>
  <c r="AF146" i="5"/>
  <c r="AE146" i="5"/>
  <c r="AD146" i="5"/>
  <c r="AF145" i="5"/>
  <c r="AE145" i="5"/>
  <c r="AD145" i="5"/>
  <c r="AF144" i="5"/>
  <c r="AE144" i="5"/>
  <c r="AD144" i="5"/>
  <c r="AF143" i="5"/>
  <c r="AE143" i="5"/>
  <c r="AD143" i="5"/>
  <c r="AF142" i="5"/>
  <c r="AE142" i="5"/>
  <c r="AD142" i="5"/>
  <c r="AF141" i="5"/>
  <c r="AE141" i="5"/>
  <c r="AD141" i="5"/>
  <c r="AF140" i="5"/>
  <c r="AE140" i="5"/>
  <c r="AD140" i="5"/>
  <c r="AF139" i="5"/>
  <c r="AE139" i="5"/>
  <c r="AD139" i="5"/>
  <c r="AF138" i="5"/>
  <c r="AE138" i="5"/>
  <c r="AD138" i="5"/>
  <c r="AF137" i="5"/>
  <c r="AE137" i="5"/>
  <c r="AD137" i="5"/>
  <c r="AF136" i="5"/>
  <c r="AE136" i="5"/>
  <c r="AD136" i="5"/>
  <c r="AF135" i="5"/>
  <c r="AE135" i="5"/>
  <c r="AD135" i="5"/>
  <c r="AF134" i="5"/>
  <c r="AE134" i="5"/>
  <c r="AD134" i="5"/>
  <c r="AF133" i="5"/>
  <c r="AE133" i="5"/>
  <c r="AD133" i="5"/>
  <c r="AF132" i="5"/>
  <c r="AE132" i="5"/>
  <c r="AD132" i="5"/>
  <c r="AF131" i="5"/>
  <c r="AE131" i="5"/>
  <c r="AD131" i="5"/>
  <c r="AF130" i="5"/>
  <c r="AE130" i="5"/>
  <c r="AD130" i="5"/>
  <c r="AF129" i="5"/>
  <c r="AE129" i="5"/>
  <c r="AD129" i="5"/>
  <c r="AF128" i="5"/>
  <c r="AE128" i="5"/>
  <c r="AD128" i="5"/>
  <c r="AF127" i="5"/>
  <c r="AE127" i="5"/>
  <c r="AD127" i="5"/>
  <c r="AF126" i="5"/>
  <c r="AE126" i="5"/>
  <c r="AD126" i="5"/>
  <c r="AF125" i="5"/>
  <c r="AE125" i="5"/>
  <c r="AD125" i="5"/>
  <c r="AF124" i="5"/>
  <c r="AE124" i="5"/>
  <c r="AD124" i="5"/>
  <c r="AF123" i="5"/>
  <c r="AE123" i="5"/>
  <c r="AD123" i="5"/>
  <c r="AF122" i="5"/>
  <c r="AE122" i="5"/>
  <c r="AD122" i="5"/>
  <c r="AF121" i="5"/>
  <c r="AE121" i="5"/>
  <c r="AD121" i="5"/>
  <c r="AF120" i="5"/>
  <c r="AE120" i="5"/>
  <c r="AD120" i="5"/>
  <c r="AF119" i="5"/>
  <c r="AE119" i="5"/>
  <c r="AD119" i="5"/>
  <c r="AF118" i="5"/>
  <c r="AE118" i="5"/>
  <c r="AD118" i="5"/>
  <c r="AF117" i="5"/>
  <c r="AE117" i="5"/>
  <c r="AD117" i="5"/>
  <c r="AF116" i="5"/>
  <c r="AE116" i="5"/>
  <c r="AD116" i="5"/>
  <c r="AF115" i="5"/>
  <c r="AE115" i="5"/>
  <c r="AD115" i="5"/>
  <c r="AF114" i="5"/>
  <c r="AE114" i="5"/>
  <c r="AD114" i="5"/>
  <c r="AF113" i="5"/>
  <c r="AE113" i="5"/>
  <c r="AD113" i="5"/>
  <c r="AF112" i="5"/>
  <c r="AE112" i="5"/>
  <c r="AD112" i="5"/>
  <c r="AD111" i="5"/>
  <c r="AF110" i="5"/>
  <c r="AE110" i="5"/>
  <c r="AD110" i="5"/>
  <c r="AE109" i="5"/>
  <c r="AD109" i="5"/>
  <c r="AF108" i="5"/>
  <c r="AE108" i="5"/>
  <c r="AD108" i="5"/>
  <c r="AF107" i="5"/>
  <c r="AE107" i="5"/>
  <c r="AF106" i="5"/>
  <c r="AE106" i="5"/>
  <c r="AD106" i="5"/>
  <c r="AF105" i="5"/>
  <c r="AE105" i="5"/>
  <c r="AD105" i="5"/>
  <c r="AF104" i="5"/>
  <c r="AE104" i="5"/>
  <c r="AD104" i="5"/>
  <c r="AF103" i="5"/>
  <c r="AE103" i="5"/>
  <c r="AD103" i="5"/>
  <c r="AF102" i="5"/>
  <c r="AE102" i="5"/>
  <c r="AD102" i="5"/>
  <c r="AF101" i="5"/>
  <c r="AE101" i="5"/>
  <c r="AD101" i="5"/>
  <c r="AF100" i="5"/>
  <c r="AE100" i="5"/>
  <c r="AD100" i="5"/>
  <c r="AF99" i="5"/>
  <c r="AE99" i="5"/>
  <c r="AD99" i="5"/>
  <c r="AF98" i="5"/>
  <c r="AE98" i="5"/>
  <c r="AD98" i="5"/>
  <c r="AF97" i="5"/>
  <c r="AE97" i="5"/>
  <c r="AD97" i="5"/>
  <c r="AF96" i="5"/>
  <c r="AE96" i="5"/>
  <c r="AD96" i="5"/>
  <c r="AF95" i="5"/>
  <c r="AE95" i="5"/>
  <c r="AD95" i="5"/>
  <c r="AF94" i="5"/>
  <c r="AE94" i="5"/>
  <c r="AD94" i="5"/>
  <c r="AF93" i="5"/>
  <c r="AE93" i="5"/>
  <c r="AD93" i="5"/>
  <c r="AF92" i="5"/>
  <c r="AE92" i="5"/>
  <c r="AD92" i="5"/>
  <c r="AF91" i="5"/>
  <c r="AE91" i="5"/>
  <c r="AD91" i="5"/>
  <c r="AF90" i="5"/>
  <c r="AE90" i="5"/>
  <c r="AD90" i="5"/>
  <c r="AF89" i="5"/>
  <c r="AE89" i="5"/>
  <c r="AD89" i="5"/>
  <c r="AF88" i="5"/>
  <c r="AE88" i="5"/>
  <c r="AD88" i="5"/>
  <c r="AF87" i="5"/>
  <c r="AE87" i="5"/>
  <c r="AD87" i="5"/>
  <c r="AF86" i="5"/>
  <c r="AE86" i="5"/>
  <c r="AD86" i="5"/>
  <c r="AF85" i="5"/>
  <c r="AE85" i="5"/>
  <c r="AD85" i="5"/>
  <c r="AF84" i="5"/>
  <c r="AE84" i="5"/>
  <c r="AD84" i="5"/>
  <c r="AF83" i="5"/>
  <c r="AE83" i="5"/>
  <c r="AD83" i="5"/>
  <c r="AF82" i="5"/>
  <c r="AE82" i="5"/>
  <c r="AD82" i="5"/>
  <c r="AF81" i="5"/>
  <c r="AE81" i="5"/>
  <c r="AD81" i="5"/>
  <c r="AF80" i="5"/>
  <c r="AE80" i="5"/>
  <c r="AD80" i="5"/>
  <c r="AF79" i="5"/>
  <c r="AE79" i="5"/>
  <c r="AD79" i="5"/>
  <c r="AF78" i="5"/>
  <c r="AE78" i="5"/>
  <c r="AD78" i="5"/>
  <c r="AF77" i="5"/>
  <c r="AE77" i="5"/>
  <c r="AD77" i="5"/>
  <c r="AF76" i="5"/>
  <c r="AE76" i="5"/>
  <c r="AD76" i="5"/>
  <c r="AF75" i="5"/>
  <c r="AE75" i="5"/>
  <c r="AD75" i="5"/>
  <c r="AF74" i="5"/>
  <c r="AE74" i="5"/>
  <c r="AD74" i="5"/>
  <c r="AF73" i="5"/>
  <c r="AE73" i="5"/>
  <c r="AD73" i="5"/>
  <c r="AF72" i="5"/>
  <c r="AE72" i="5"/>
  <c r="AD72" i="5"/>
  <c r="AF71" i="5"/>
  <c r="AE71" i="5"/>
  <c r="AD71" i="5"/>
  <c r="AF70" i="5"/>
  <c r="AE70" i="5"/>
  <c r="AD70" i="5"/>
  <c r="AF69" i="5"/>
  <c r="AE69" i="5"/>
  <c r="AD69" i="5"/>
  <c r="AF68" i="5"/>
  <c r="AE68" i="5"/>
  <c r="AD68" i="5"/>
  <c r="AF67" i="5"/>
  <c r="AE67" i="5"/>
  <c r="AD67" i="5"/>
  <c r="AF66" i="5"/>
  <c r="AE66" i="5"/>
  <c r="AD66" i="5"/>
  <c r="AF65" i="5"/>
  <c r="AE65" i="5"/>
  <c r="AD65" i="5"/>
  <c r="AF64" i="5"/>
  <c r="AE64" i="5"/>
  <c r="AD64" i="5"/>
  <c r="AF63" i="5"/>
  <c r="AE63" i="5"/>
  <c r="AD63" i="5"/>
  <c r="AF62" i="5"/>
  <c r="AE62" i="5"/>
  <c r="AD62" i="5"/>
  <c r="AF61" i="5"/>
  <c r="AE61" i="5"/>
  <c r="AD61" i="5"/>
  <c r="AF60" i="5"/>
  <c r="AE60" i="5"/>
  <c r="AD60" i="5"/>
  <c r="AF59" i="5"/>
  <c r="AE59" i="5"/>
  <c r="AD59" i="5"/>
  <c r="AF58" i="5"/>
  <c r="AE58" i="5"/>
  <c r="AD58" i="5"/>
  <c r="AF57" i="5"/>
  <c r="AE57" i="5"/>
  <c r="AD57" i="5"/>
  <c r="AF56" i="5"/>
  <c r="AE56" i="5"/>
  <c r="AD56" i="5"/>
  <c r="AF55" i="5"/>
  <c r="AE55" i="5"/>
  <c r="AD55" i="5"/>
  <c r="AF54" i="5"/>
  <c r="AE54" i="5"/>
  <c r="AD54" i="5"/>
  <c r="AF53" i="5"/>
  <c r="AE53" i="5"/>
  <c r="AD53" i="5"/>
  <c r="AF52" i="5"/>
  <c r="AE52" i="5"/>
  <c r="AD52" i="5"/>
  <c r="AF51" i="5"/>
  <c r="AE51" i="5"/>
  <c r="AD51" i="5"/>
  <c r="AF50" i="5"/>
  <c r="AE50" i="5"/>
  <c r="AD50" i="5"/>
  <c r="AF49" i="5"/>
  <c r="AE49" i="5"/>
  <c r="AD49" i="5"/>
  <c r="AF48" i="5"/>
  <c r="AE48" i="5"/>
  <c r="AD48" i="5"/>
  <c r="AF47" i="5"/>
  <c r="AE47" i="5"/>
  <c r="AD47" i="5"/>
  <c r="AF46" i="5"/>
  <c r="AE46" i="5"/>
  <c r="AD46" i="5"/>
  <c r="AF45" i="5"/>
  <c r="AE45" i="5"/>
  <c r="AD45" i="5"/>
  <c r="AF44" i="5"/>
  <c r="AE44" i="5"/>
  <c r="AD44" i="5"/>
  <c r="AF43" i="5"/>
  <c r="AE43" i="5"/>
  <c r="AD43" i="5"/>
  <c r="AF42" i="5"/>
  <c r="AE42" i="5"/>
  <c r="AD42" i="5"/>
  <c r="AF41" i="5"/>
  <c r="AE41" i="5"/>
  <c r="AD41" i="5"/>
  <c r="AF40" i="5"/>
  <c r="AE40" i="5"/>
  <c r="AD40" i="5"/>
  <c r="AF39" i="5"/>
  <c r="AE39" i="5"/>
  <c r="AD39" i="5"/>
  <c r="AF38" i="5"/>
  <c r="AE38" i="5"/>
  <c r="AD38" i="5"/>
  <c r="AF37" i="5"/>
  <c r="AE37" i="5"/>
  <c r="AD37" i="5"/>
  <c r="AF36" i="5"/>
  <c r="AE36" i="5"/>
  <c r="AD36" i="5"/>
  <c r="AF35" i="5"/>
  <c r="AE35" i="5"/>
  <c r="AD35" i="5"/>
  <c r="AF34" i="5"/>
  <c r="AE34" i="5"/>
  <c r="AD34" i="5"/>
  <c r="AF33" i="5"/>
  <c r="AE33" i="5"/>
  <c r="AD33" i="5"/>
  <c r="AF32" i="5"/>
  <c r="AE32" i="5"/>
  <c r="AD32" i="5"/>
  <c r="AF31" i="5"/>
  <c r="AE31" i="5"/>
  <c r="AD31" i="5"/>
  <c r="AF30" i="5"/>
  <c r="AE30" i="5"/>
  <c r="AD30" i="5"/>
  <c r="AF29" i="5"/>
  <c r="AE29" i="5"/>
  <c r="AD29" i="5"/>
  <c r="AF28" i="5"/>
  <c r="AE28" i="5"/>
  <c r="AD28" i="5"/>
  <c r="AF27" i="5"/>
  <c r="AE27" i="5"/>
  <c r="AD27" i="5"/>
  <c r="AF26" i="5"/>
  <c r="AE26" i="5"/>
  <c r="AD26" i="5"/>
  <c r="AF25" i="5"/>
  <c r="AE25" i="5"/>
  <c r="AD25" i="5"/>
  <c r="AF24" i="5"/>
  <c r="AE24" i="5"/>
  <c r="AD24" i="5"/>
  <c r="AF23" i="5"/>
  <c r="AE23" i="5"/>
  <c r="AD23" i="5"/>
  <c r="AF22" i="5"/>
  <c r="AE22" i="5"/>
  <c r="AD22" i="5"/>
  <c r="AF21" i="5"/>
  <c r="AE21" i="5"/>
  <c r="AD21" i="5"/>
  <c r="AF20" i="5"/>
  <c r="AE20" i="5"/>
  <c r="AD20" i="5"/>
  <c r="AF19" i="5"/>
  <c r="AE19" i="5"/>
  <c r="AD19" i="5"/>
  <c r="AF18" i="5"/>
  <c r="AE18" i="5"/>
  <c r="AD18" i="5"/>
  <c r="AF17" i="5"/>
  <c r="AE17" i="5"/>
  <c r="AD17" i="5"/>
  <c r="AF16" i="5"/>
  <c r="AE16" i="5"/>
  <c r="AD16" i="5"/>
  <c r="AF15" i="5"/>
  <c r="AE15" i="5"/>
  <c r="AD15" i="5"/>
  <c r="AF14" i="5"/>
  <c r="AE14" i="5"/>
  <c r="AD14" i="5"/>
  <c r="AF13" i="5"/>
  <c r="AE13" i="5"/>
  <c r="AD13" i="5"/>
  <c r="AF12" i="5"/>
  <c r="AE12" i="5"/>
  <c r="AD12" i="5"/>
  <c r="AF11" i="5"/>
  <c r="AE11" i="5"/>
  <c r="AD11" i="5"/>
  <c r="AF10" i="5"/>
  <c r="AE10" i="5"/>
  <c r="AD10" i="5"/>
  <c r="AF9" i="5"/>
  <c r="AE9" i="5"/>
  <c r="AD9" i="5"/>
  <c r="AF8" i="5"/>
  <c r="AE8" i="5"/>
  <c r="AD8" i="5"/>
  <c r="AF7" i="5"/>
  <c r="AE7" i="5"/>
  <c r="AD7" i="5"/>
  <c r="AF6" i="5"/>
  <c r="AE6" i="5"/>
  <c r="AD6" i="5"/>
  <c r="AF5" i="5"/>
  <c r="AE5" i="5"/>
  <c r="AD5" i="5"/>
  <c r="L249" i="1"/>
  <c r="L244" i="1"/>
  <c r="L235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215" i="3"/>
  <c r="L214" i="3"/>
  <c r="L213" i="3"/>
  <c r="L210" i="3"/>
  <c r="L209" i="3"/>
  <c r="L208" i="3"/>
  <c r="L205" i="3"/>
  <c r="L204" i="3"/>
  <c r="L203" i="3"/>
  <c r="L202" i="3"/>
  <c r="L199" i="3"/>
  <c r="L198" i="3"/>
  <c r="L195" i="3"/>
  <c r="L194" i="3"/>
  <c r="L193" i="3"/>
  <c r="L190" i="3"/>
  <c r="L189" i="3"/>
  <c r="L186" i="3"/>
  <c r="L185" i="3"/>
  <c r="L184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/>
  <c r="L229" i="2"/>
  <c r="L228" i="2"/>
  <c r="L227" i="2"/>
  <c r="L226" i="2"/>
  <c r="L224" i="2"/>
  <c r="L223" i="2"/>
  <c r="L222" i="2"/>
  <c r="L221" i="2"/>
  <c r="L219" i="2"/>
  <c r="L218" i="2"/>
  <c r="L217" i="2"/>
  <c r="L214" i="2"/>
  <c r="L213" i="2"/>
  <c r="L212" i="2"/>
  <c r="L209" i="2"/>
  <c r="L208" i="2"/>
  <c r="L207" i="2"/>
  <c r="L206" i="2"/>
  <c r="L203" i="2"/>
  <c r="L202" i="2"/>
  <c r="L199" i="2"/>
  <c r="L198" i="2"/>
  <c r="L197" i="2"/>
  <c r="L194" i="2"/>
  <c r="L193" i="2"/>
  <c r="L190" i="2"/>
  <c r="L189" i="2"/>
  <c r="L188" i="2"/>
  <c r="L184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AA337" i="5"/>
  <c r="AC333" i="5"/>
  <c r="AB333" i="5"/>
  <c r="AA333" i="5"/>
  <c r="AC317" i="5"/>
  <c r="AB317" i="5"/>
  <c r="AA317" i="5"/>
  <c r="AC316" i="5"/>
  <c r="AB316" i="5"/>
  <c r="AA316" i="5"/>
  <c r="AC315" i="5"/>
  <c r="AB315" i="5"/>
  <c r="AA315" i="5"/>
  <c r="AC314" i="5"/>
  <c r="AB314" i="5"/>
  <c r="AA314" i="5"/>
  <c r="AC313" i="5"/>
  <c r="AB313" i="5"/>
  <c r="AA313" i="5"/>
  <c r="AC312" i="5"/>
  <c r="AB312" i="5"/>
  <c r="AA312" i="5"/>
  <c r="AC311" i="5"/>
  <c r="AB311" i="5"/>
  <c r="AA311" i="5"/>
  <c r="AC310" i="5"/>
  <c r="AB310" i="5"/>
  <c r="AA310" i="5"/>
  <c r="AC309" i="5"/>
  <c r="AB309" i="5"/>
  <c r="AA309" i="5"/>
  <c r="AC308" i="5"/>
  <c r="AB308" i="5"/>
  <c r="AA308" i="5"/>
  <c r="AC307" i="5"/>
  <c r="AB307" i="5"/>
  <c r="AA307" i="5"/>
  <c r="AC306" i="5"/>
  <c r="AB306" i="5"/>
  <c r="AA306" i="5"/>
  <c r="AC305" i="5"/>
  <c r="AB305" i="5"/>
  <c r="AA305" i="5"/>
  <c r="AC304" i="5"/>
  <c r="AB304" i="5"/>
  <c r="AA304" i="5"/>
  <c r="AC303" i="5"/>
  <c r="AB303" i="5"/>
  <c r="AA303" i="5"/>
  <c r="AC302" i="5"/>
  <c r="AB302" i="5"/>
  <c r="AA302" i="5"/>
  <c r="AC301" i="5"/>
  <c r="AB301" i="5"/>
  <c r="AA301" i="5"/>
  <c r="AC300" i="5"/>
  <c r="AB300" i="5"/>
  <c r="AA300" i="5"/>
  <c r="AC299" i="5"/>
  <c r="AB299" i="5"/>
  <c r="AA299" i="5"/>
  <c r="AC298" i="5"/>
  <c r="AB298" i="5"/>
  <c r="AA298" i="5"/>
  <c r="AC297" i="5"/>
  <c r="AB297" i="5"/>
  <c r="AA297" i="5"/>
  <c r="AC296" i="5"/>
  <c r="AB296" i="5"/>
  <c r="AA296" i="5"/>
  <c r="AC295" i="5"/>
  <c r="AB295" i="5"/>
  <c r="AA295" i="5"/>
  <c r="AC294" i="5"/>
  <c r="AB294" i="5"/>
  <c r="AA294" i="5"/>
  <c r="AC293" i="5"/>
  <c r="AB293" i="5"/>
  <c r="AA293" i="5"/>
  <c r="AC292" i="5"/>
  <c r="AB292" i="5"/>
  <c r="AC291" i="5"/>
  <c r="AB291" i="5"/>
  <c r="AA291" i="5"/>
  <c r="AC290" i="5"/>
  <c r="AB290" i="5"/>
  <c r="AA290" i="5"/>
  <c r="AC289" i="5"/>
  <c r="AB289" i="5"/>
  <c r="AA289" i="5"/>
  <c r="AC288" i="5"/>
  <c r="AB288" i="5"/>
  <c r="AA288" i="5"/>
  <c r="AC287" i="5"/>
  <c r="AB287" i="5"/>
  <c r="AA287" i="5"/>
  <c r="AC286" i="5"/>
  <c r="AB286" i="5"/>
  <c r="AA286" i="5"/>
  <c r="AC285" i="5"/>
  <c r="AB285" i="5"/>
  <c r="AA285" i="5"/>
  <c r="AC284" i="5"/>
  <c r="AB284" i="5"/>
  <c r="AA284" i="5"/>
  <c r="AC283" i="5"/>
  <c r="AB283" i="5"/>
  <c r="AA283" i="5"/>
  <c r="AC282" i="5"/>
  <c r="AB282" i="5"/>
  <c r="AA282" i="5"/>
  <c r="AC281" i="5"/>
  <c r="AB281" i="5"/>
  <c r="AA281" i="5"/>
  <c r="AC280" i="5"/>
  <c r="AB280" i="5"/>
  <c r="AA280" i="5"/>
  <c r="AC279" i="5"/>
  <c r="AB279" i="5"/>
  <c r="AA279" i="5"/>
  <c r="AC278" i="5"/>
  <c r="AB278" i="5"/>
  <c r="AA278" i="5"/>
  <c r="AC277" i="5"/>
  <c r="AB277" i="5"/>
  <c r="AA277" i="5"/>
  <c r="AC276" i="5"/>
  <c r="AB276" i="5"/>
  <c r="AA276" i="5"/>
  <c r="AC275" i="5"/>
  <c r="AB275" i="5"/>
  <c r="AA275" i="5"/>
  <c r="AC274" i="5"/>
  <c r="AB274" i="5"/>
  <c r="AA274" i="5"/>
  <c r="AC273" i="5"/>
  <c r="AB273" i="5"/>
  <c r="AA273" i="5"/>
  <c r="AC272" i="5"/>
  <c r="AB272" i="5"/>
  <c r="AA272" i="5"/>
  <c r="AC271" i="5"/>
  <c r="AB271" i="5"/>
  <c r="AA271" i="5"/>
  <c r="AC270" i="5"/>
  <c r="AB270" i="5"/>
  <c r="AA270" i="5"/>
  <c r="AC269" i="5"/>
  <c r="AB269" i="5"/>
  <c r="AA269" i="5"/>
  <c r="AC268" i="5"/>
  <c r="AB268" i="5"/>
  <c r="AA268" i="5"/>
  <c r="AC267" i="5"/>
  <c r="AB267" i="5"/>
  <c r="AA267" i="5"/>
  <c r="AC266" i="5"/>
  <c r="AB266" i="5"/>
  <c r="AA266" i="5"/>
  <c r="AC265" i="5"/>
  <c r="AB265" i="5"/>
  <c r="AA265" i="5"/>
  <c r="AC264" i="5"/>
  <c r="AB264" i="5"/>
  <c r="AA264" i="5"/>
  <c r="AC263" i="5"/>
  <c r="AB263" i="5"/>
  <c r="AA263" i="5"/>
  <c r="AC262" i="5"/>
  <c r="AB262" i="5"/>
  <c r="AA262" i="5"/>
  <c r="AC261" i="5"/>
  <c r="AB261" i="5"/>
  <c r="AA261" i="5"/>
  <c r="AC260" i="5"/>
  <c r="AB260" i="5"/>
  <c r="AA260" i="5"/>
  <c r="AC259" i="5"/>
  <c r="AB259" i="5"/>
  <c r="AA259" i="5"/>
  <c r="AC258" i="5"/>
  <c r="AB258" i="5"/>
  <c r="AA258" i="5"/>
  <c r="AC257" i="5"/>
  <c r="AB257" i="5"/>
  <c r="AA257" i="5"/>
  <c r="AC256" i="5"/>
  <c r="AB256" i="5"/>
  <c r="AA256" i="5"/>
  <c r="AC255" i="5"/>
  <c r="AB255" i="5"/>
  <c r="AA255" i="5"/>
  <c r="AC254" i="5"/>
  <c r="AB254" i="5"/>
  <c r="AA254" i="5"/>
  <c r="AC253" i="5"/>
  <c r="AB253" i="5"/>
  <c r="AA253" i="5"/>
  <c r="AC252" i="5"/>
  <c r="AB252" i="5"/>
  <c r="AA252" i="5"/>
  <c r="AC251" i="5"/>
  <c r="AB251" i="5"/>
  <c r="AA251" i="5"/>
  <c r="AC250" i="5"/>
  <c r="AB250" i="5"/>
  <c r="AA250" i="5"/>
  <c r="AC249" i="5"/>
  <c r="AB249" i="5"/>
  <c r="AA249" i="5"/>
  <c r="AC248" i="5"/>
  <c r="AB248" i="5"/>
  <c r="AA248" i="5"/>
  <c r="AC247" i="5"/>
  <c r="AB247" i="5"/>
  <c r="AA247" i="5"/>
  <c r="AC246" i="5"/>
  <c r="AB246" i="5"/>
  <c r="AA246" i="5"/>
  <c r="AC245" i="5"/>
  <c r="AB245" i="5"/>
  <c r="AA245" i="5"/>
  <c r="AC244" i="5"/>
  <c r="AB244" i="5"/>
  <c r="AA244" i="5"/>
  <c r="AC243" i="5"/>
  <c r="AB243" i="5"/>
  <c r="AA243" i="5"/>
  <c r="AC242" i="5"/>
  <c r="AB242" i="5"/>
  <c r="AA242" i="5"/>
  <c r="AC241" i="5"/>
  <c r="AB241" i="5"/>
  <c r="AA241" i="5"/>
  <c r="AC240" i="5"/>
  <c r="AB240" i="5"/>
  <c r="AA240" i="5"/>
  <c r="AC239" i="5"/>
  <c r="AB239" i="5"/>
  <c r="AA239" i="5"/>
  <c r="AC238" i="5"/>
  <c r="AB238" i="5"/>
  <c r="AA238" i="5"/>
  <c r="AC237" i="5"/>
  <c r="AB237" i="5"/>
  <c r="AA237" i="5"/>
  <c r="AC236" i="5"/>
  <c r="AB236" i="5"/>
  <c r="AA236" i="5"/>
  <c r="AC235" i="5"/>
  <c r="AB235" i="5"/>
  <c r="AA235" i="5"/>
  <c r="AC234" i="5"/>
  <c r="AB234" i="5"/>
  <c r="AA234" i="5"/>
  <c r="AC233" i="5"/>
  <c r="AB233" i="5"/>
  <c r="AA233" i="5"/>
  <c r="AC232" i="5"/>
  <c r="AB232" i="5"/>
  <c r="AA232" i="5"/>
  <c r="AC231" i="5"/>
  <c r="AB231" i="5"/>
  <c r="AA231" i="5"/>
  <c r="AC230" i="5"/>
  <c r="AB230" i="5"/>
  <c r="AA230" i="5"/>
  <c r="AC229" i="5"/>
  <c r="AB229" i="5"/>
  <c r="AA229" i="5"/>
  <c r="AC228" i="5"/>
  <c r="AB228" i="5"/>
  <c r="AA228" i="5"/>
  <c r="AC227" i="5"/>
  <c r="AB227" i="5"/>
  <c r="AA227" i="5"/>
  <c r="AC226" i="5"/>
  <c r="AB226" i="5"/>
  <c r="AA226" i="5"/>
  <c r="AC225" i="5"/>
  <c r="AB225" i="5"/>
  <c r="AA225" i="5"/>
  <c r="AC224" i="5"/>
  <c r="AB224" i="5"/>
  <c r="AA224" i="5"/>
  <c r="AC223" i="5"/>
  <c r="AB223" i="5"/>
  <c r="AA223" i="5"/>
  <c r="AC222" i="5"/>
  <c r="AB222" i="5"/>
  <c r="AA222" i="5"/>
  <c r="AC221" i="5"/>
  <c r="AB221" i="5"/>
  <c r="AA221" i="5"/>
  <c r="AC220" i="5"/>
  <c r="AB220" i="5"/>
  <c r="AA220" i="5"/>
  <c r="AC219" i="5"/>
  <c r="AB219" i="5"/>
  <c r="AA219" i="5"/>
  <c r="AC218" i="5"/>
  <c r="AB218" i="5"/>
  <c r="AA218" i="5"/>
  <c r="AC217" i="5"/>
  <c r="AB217" i="5"/>
  <c r="AA217" i="5"/>
  <c r="AC216" i="5"/>
  <c r="AB216" i="5"/>
  <c r="AA216" i="5"/>
  <c r="AC215" i="5"/>
  <c r="AB215" i="5"/>
  <c r="AA215" i="5"/>
  <c r="AC214" i="5"/>
  <c r="AB214" i="5"/>
  <c r="AA214" i="5"/>
  <c r="AC213" i="5"/>
  <c r="AB213" i="5"/>
  <c r="AA213" i="5"/>
  <c r="AC212" i="5"/>
  <c r="AB212" i="5"/>
  <c r="AA212" i="5"/>
  <c r="AC211" i="5"/>
  <c r="AB211" i="5"/>
  <c r="AA211" i="5"/>
  <c r="AC210" i="5"/>
  <c r="AB210" i="5"/>
  <c r="AA210" i="5"/>
  <c r="AC209" i="5"/>
  <c r="AB209" i="5"/>
  <c r="AA209" i="5"/>
  <c r="AC208" i="5"/>
  <c r="AB208" i="5"/>
  <c r="AA208" i="5"/>
  <c r="AC207" i="5"/>
  <c r="AB207" i="5"/>
  <c r="AA207" i="5"/>
  <c r="AC206" i="5"/>
  <c r="AB206" i="5"/>
  <c r="AA206" i="5"/>
  <c r="AC205" i="5"/>
  <c r="AB205" i="5"/>
  <c r="AA205" i="5"/>
  <c r="AC204" i="5"/>
  <c r="AB204" i="5"/>
  <c r="AA204" i="5"/>
  <c r="AC203" i="5"/>
  <c r="AB203" i="5"/>
  <c r="AA203" i="5"/>
  <c r="AC202" i="5"/>
  <c r="AB202" i="5"/>
  <c r="AA202" i="5"/>
  <c r="AC201" i="5"/>
  <c r="AB201" i="5"/>
  <c r="AA201" i="5"/>
  <c r="AC200" i="5"/>
  <c r="AB200" i="5"/>
  <c r="AA200" i="5"/>
  <c r="AC199" i="5"/>
  <c r="AB199" i="5"/>
  <c r="AA199" i="5"/>
  <c r="AC198" i="5"/>
  <c r="AB198" i="5"/>
  <c r="AA198" i="5"/>
  <c r="AC197" i="5"/>
  <c r="AB197" i="5"/>
  <c r="AA197" i="5"/>
  <c r="AC196" i="5"/>
  <c r="AB196" i="5"/>
  <c r="AA196" i="5"/>
  <c r="AC195" i="5"/>
  <c r="AB195" i="5"/>
  <c r="AA195" i="5"/>
  <c r="AC194" i="5"/>
  <c r="AB194" i="5"/>
  <c r="AA194" i="5"/>
  <c r="AC193" i="5"/>
  <c r="AB193" i="5"/>
  <c r="AA193" i="5"/>
  <c r="AC192" i="5"/>
  <c r="AB192" i="5"/>
  <c r="AA192" i="5"/>
  <c r="AC191" i="5"/>
  <c r="AB191" i="5"/>
  <c r="AA191" i="5"/>
  <c r="AC190" i="5"/>
  <c r="AB190" i="5"/>
  <c r="AA190" i="5"/>
  <c r="AC189" i="5"/>
  <c r="AB189" i="5"/>
  <c r="AA189" i="5"/>
  <c r="AC188" i="5"/>
  <c r="AB188" i="5"/>
  <c r="AA188" i="5"/>
  <c r="AC187" i="5"/>
  <c r="AB187" i="5"/>
  <c r="AA187" i="5"/>
  <c r="AC186" i="5"/>
  <c r="AB186" i="5"/>
  <c r="AA186" i="5"/>
  <c r="AC185" i="5"/>
  <c r="AB185" i="5"/>
  <c r="AA185" i="5"/>
  <c r="AC184" i="5"/>
  <c r="AB184" i="5"/>
  <c r="AA184" i="5"/>
  <c r="AC183" i="5"/>
  <c r="AB183" i="5"/>
  <c r="AA183" i="5"/>
  <c r="AC182" i="5"/>
  <c r="AB182" i="5"/>
  <c r="AA182" i="5"/>
  <c r="AC181" i="5"/>
  <c r="AB181" i="5"/>
  <c r="AA181" i="5"/>
  <c r="AC180" i="5"/>
  <c r="AB180" i="5"/>
  <c r="AA180" i="5"/>
  <c r="AC179" i="5"/>
  <c r="AB179" i="5"/>
  <c r="AA179" i="5"/>
  <c r="AC178" i="5"/>
  <c r="AB178" i="5"/>
  <c r="AA178" i="5"/>
  <c r="AC177" i="5"/>
  <c r="AB177" i="5"/>
  <c r="AA177" i="5"/>
  <c r="AC176" i="5"/>
  <c r="AB176" i="5"/>
  <c r="AA176" i="5"/>
  <c r="AC175" i="5"/>
  <c r="AB175" i="5"/>
  <c r="AA175" i="5"/>
  <c r="AC174" i="5"/>
  <c r="AB174" i="5"/>
  <c r="AA174" i="5"/>
  <c r="AC173" i="5"/>
  <c r="AB173" i="5"/>
  <c r="AA173" i="5"/>
  <c r="AC172" i="5"/>
  <c r="AB172" i="5"/>
  <c r="AA172" i="5"/>
  <c r="AC171" i="5"/>
  <c r="AB171" i="5"/>
  <c r="AA171" i="5"/>
  <c r="AC170" i="5"/>
  <c r="AB170" i="5"/>
  <c r="AA170" i="5"/>
  <c r="AC169" i="5"/>
  <c r="AB169" i="5"/>
  <c r="AA169" i="5"/>
  <c r="AC168" i="5"/>
  <c r="AB168" i="5"/>
  <c r="AA168" i="5"/>
  <c r="AC167" i="5"/>
  <c r="AB167" i="5"/>
  <c r="AA167" i="5"/>
  <c r="AC166" i="5"/>
  <c r="AB166" i="5"/>
  <c r="AA166" i="5"/>
  <c r="AC165" i="5"/>
  <c r="AB165" i="5"/>
  <c r="AA165" i="5"/>
  <c r="AC164" i="5"/>
  <c r="AB164" i="5"/>
  <c r="AA164" i="5"/>
  <c r="AC163" i="5"/>
  <c r="AB163" i="5"/>
  <c r="AA163" i="5"/>
  <c r="AC162" i="5"/>
  <c r="AB162" i="5"/>
  <c r="AA162" i="5"/>
  <c r="AC161" i="5"/>
  <c r="AB161" i="5"/>
  <c r="AA161" i="5"/>
  <c r="AC160" i="5"/>
  <c r="AB160" i="5"/>
  <c r="AA160" i="5"/>
  <c r="AC159" i="5"/>
  <c r="AB159" i="5"/>
  <c r="AA159" i="5"/>
  <c r="AC158" i="5"/>
  <c r="AB158" i="5"/>
  <c r="AA158" i="5"/>
  <c r="AC157" i="5"/>
  <c r="AB157" i="5"/>
  <c r="AA157" i="5"/>
  <c r="AC156" i="5"/>
  <c r="AB156" i="5"/>
  <c r="AA156" i="5"/>
  <c r="AC155" i="5"/>
  <c r="AB155" i="5"/>
  <c r="AA155" i="5"/>
  <c r="AC154" i="5"/>
  <c r="AB154" i="5"/>
  <c r="AA154" i="5"/>
  <c r="AC153" i="5"/>
  <c r="AB153" i="5"/>
  <c r="AA153" i="5"/>
  <c r="AC152" i="5"/>
  <c r="AB152" i="5"/>
  <c r="AA152" i="5"/>
  <c r="AC151" i="5"/>
  <c r="AB151" i="5"/>
  <c r="AA151" i="5"/>
  <c r="AC150" i="5"/>
  <c r="AB150" i="5"/>
  <c r="AA150" i="5"/>
  <c r="AC149" i="5"/>
  <c r="AB149" i="5"/>
  <c r="AA149" i="5"/>
  <c r="AC148" i="5"/>
  <c r="AB148" i="5"/>
  <c r="AA148" i="5"/>
  <c r="AC147" i="5"/>
  <c r="AB147" i="5"/>
  <c r="AA147" i="5"/>
  <c r="AC146" i="5"/>
  <c r="AB146" i="5"/>
  <c r="AA146" i="5"/>
  <c r="AC145" i="5"/>
  <c r="AB145" i="5"/>
  <c r="AA145" i="5"/>
  <c r="AC144" i="5"/>
  <c r="AB144" i="5"/>
  <c r="AA144" i="5"/>
  <c r="AC143" i="5"/>
  <c r="AB143" i="5"/>
  <c r="AA143" i="5"/>
  <c r="AC142" i="5"/>
  <c r="AB142" i="5"/>
  <c r="AA142" i="5"/>
  <c r="AC141" i="5"/>
  <c r="AB141" i="5"/>
  <c r="AA141" i="5"/>
  <c r="AC140" i="5"/>
  <c r="AB140" i="5"/>
  <c r="AA140" i="5"/>
  <c r="AC139" i="5"/>
  <c r="AB139" i="5"/>
  <c r="AA139" i="5"/>
  <c r="AC138" i="5"/>
  <c r="AB138" i="5"/>
  <c r="AA138" i="5"/>
  <c r="AC137" i="5"/>
  <c r="AB137" i="5"/>
  <c r="AA137" i="5"/>
  <c r="AC136" i="5"/>
  <c r="AB136" i="5"/>
  <c r="AA136" i="5"/>
  <c r="AC135" i="5"/>
  <c r="AB135" i="5"/>
  <c r="AA135" i="5"/>
  <c r="AC134" i="5"/>
  <c r="AB134" i="5"/>
  <c r="AA134" i="5"/>
  <c r="AC133" i="5"/>
  <c r="AB133" i="5"/>
  <c r="AA133" i="5"/>
  <c r="AC132" i="5"/>
  <c r="AB132" i="5"/>
  <c r="AA132" i="5"/>
  <c r="AC131" i="5"/>
  <c r="AB131" i="5"/>
  <c r="AA131" i="5"/>
  <c r="AC130" i="5"/>
  <c r="AB130" i="5"/>
  <c r="AA130" i="5"/>
  <c r="AC129" i="5"/>
  <c r="AB129" i="5"/>
  <c r="AA129" i="5"/>
  <c r="AC128" i="5"/>
  <c r="AB128" i="5"/>
  <c r="AA128" i="5"/>
  <c r="AC127" i="5"/>
  <c r="AB127" i="5"/>
  <c r="AA127" i="5"/>
  <c r="AC126" i="5"/>
  <c r="AB126" i="5"/>
  <c r="AA126" i="5"/>
  <c r="AC125" i="5"/>
  <c r="AB125" i="5"/>
  <c r="AA125" i="5"/>
  <c r="AC124" i="5"/>
  <c r="AB124" i="5"/>
  <c r="AA124" i="5"/>
  <c r="AC123" i="5"/>
  <c r="AB123" i="5"/>
  <c r="AA123" i="5"/>
  <c r="AC122" i="5"/>
  <c r="AB122" i="5"/>
  <c r="AA122" i="5"/>
  <c r="AC121" i="5"/>
  <c r="AB121" i="5"/>
  <c r="AA121" i="5"/>
  <c r="AC120" i="5"/>
  <c r="AB120" i="5"/>
  <c r="AA120" i="5"/>
  <c r="AC119" i="5"/>
  <c r="AB119" i="5"/>
  <c r="AA119" i="5"/>
  <c r="AC118" i="5"/>
  <c r="AB118" i="5"/>
  <c r="AA118" i="5"/>
  <c r="AC117" i="5"/>
  <c r="AB117" i="5"/>
  <c r="AA117" i="5"/>
  <c r="AC116" i="5"/>
  <c r="AB116" i="5"/>
  <c r="AA116" i="5"/>
  <c r="AC115" i="5"/>
  <c r="AB115" i="5"/>
  <c r="AA115" i="5"/>
  <c r="AC114" i="5"/>
  <c r="AB114" i="5"/>
  <c r="AA114" i="5"/>
  <c r="AC113" i="5"/>
  <c r="AB113" i="5"/>
  <c r="AA113" i="5"/>
  <c r="AC112" i="5"/>
  <c r="AB112" i="5"/>
  <c r="AA112" i="5"/>
  <c r="AA111" i="5"/>
  <c r="AC110" i="5"/>
  <c r="AB110" i="5"/>
  <c r="AA110" i="5"/>
  <c r="AB109" i="5"/>
  <c r="AA109" i="5"/>
  <c r="AC108" i="5"/>
  <c r="AB108" i="5"/>
  <c r="AA108" i="5"/>
  <c r="AC107" i="5"/>
  <c r="AB107" i="5"/>
  <c r="AC106" i="5"/>
  <c r="AB106" i="5"/>
  <c r="AA106" i="5"/>
  <c r="AC105" i="5"/>
  <c r="AB105" i="5"/>
  <c r="AA105" i="5"/>
  <c r="AC104" i="5"/>
  <c r="AB104" i="5"/>
  <c r="AA104" i="5"/>
  <c r="AC103" i="5"/>
  <c r="AB103" i="5"/>
  <c r="AA103" i="5"/>
  <c r="AC102" i="5"/>
  <c r="AB102" i="5"/>
  <c r="AA102" i="5"/>
  <c r="AC101" i="5"/>
  <c r="AB101" i="5"/>
  <c r="AA101" i="5"/>
  <c r="AC100" i="5"/>
  <c r="AB100" i="5"/>
  <c r="AA100" i="5"/>
  <c r="AC99" i="5"/>
  <c r="AB99" i="5"/>
  <c r="AA99" i="5"/>
  <c r="AC98" i="5"/>
  <c r="AB98" i="5"/>
  <c r="AA98" i="5"/>
  <c r="AC97" i="5"/>
  <c r="AB97" i="5"/>
  <c r="AA97" i="5"/>
  <c r="AC96" i="5"/>
  <c r="AB96" i="5"/>
  <c r="AA96" i="5"/>
  <c r="AC95" i="5"/>
  <c r="AB95" i="5"/>
  <c r="AA95" i="5"/>
  <c r="AC94" i="5"/>
  <c r="AB94" i="5"/>
  <c r="AA94" i="5"/>
  <c r="AC93" i="5"/>
  <c r="AB93" i="5"/>
  <c r="AA93" i="5"/>
  <c r="AC92" i="5"/>
  <c r="AB92" i="5"/>
  <c r="AA92" i="5"/>
  <c r="AC91" i="5"/>
  <c r="AB91" i="5"/>
  <c r="AA91" i="5"/>
  <c r="AC90" i="5"/>
  <c r="AB90" i="5"/>
  <c r="AA90" i="5"/>
  <c r="AC89" i="5"/>
  <c r="AB89" i="5"/>
  <c r="AA89" i="5"/>
  <c r="AC88" i="5"/>
  <c r="AB88" i="5"/>
  <c r="AA88" i="5"/>
  <c r="AC87" i="5"/>
  <c r="AB87" i="5"/>
  <c r="AA87" i="5"/>
  <c r="AC86" i="5"/>
  <c r="AB86" i="5"/>
  <c r="AA86" i="5"/>
  <c r="AC85" i="5"/>
  <c r="AB85" i="5"/>
  <c r="AA85" i="5"/>
  <c r="AC84" i="5"/>
  <c r="AB84" i="5"/>
  <c r="AA84" i="5"/>
  <c r="AC83" i="5"/>
  <c r="AB83" i="5"/>
  <c r="AA83" i="5"/>
  <c r="AC82" i="5"/>
  <c r="AB82" i="5"/>
  <c r="AA82" i="5"/>
  <c r="AC81" i="5"/>
  <c r="AB81" i="5"/>
  <c r="AA81" i="5"/>
  <c r="AC80" i="5"/>
  <c r="AB80" i="5"/>
  <c r="AA80" i="5"/>
  <c r="AC79" i="5"/>
  <c r="AB79" i="5"/>
  <c r="AA79" i="5"/>
  <c r="AC78" i="5"/>
  <c r="AB78" i="5"/>
  <c r="AA78" i="5"/>
  <c r="AC77" i="5"/>
  <c r="AB77" i="5"/>
  <c r="AA77" i="5"/>
  <c r="AC76" i="5"/>
  <c r="AB76" i="5"/>
  <c r="AA76" i="5"/>
  <c r="AC75" i="5"/>
  <c r="AB75" i="5"/>
  <c r="AA75" i="5"/>
  <c r="AC74" i="5"/>
  <c r="AB74" i="5"/>
  <c r="AA74" i="5"/>
  <c r="AC73" i="5"/>
  <c r="AB73" i="5"/>
  <c r="AA73" i="5"/>
  <c r="AC72" i="5"/>
  <c r="AB72" i="5"/>
  <c r="AA72" i="5"/>
  <c r="AC71" i="5"/>
  <c r="AB71" i="5"/>
  <c r="AA71" i="5"/>
  <c r="AC70" i="5"/>
  <c r="AB70" i="5"/>
  <c r="AA70" i="5"/>
  <c r="AC69" i="5"/>
  <c r="AB69" i="5"/>
  <c r="AA69" i="5"/>
  <c r="AC68" i="5"/>
  <c r="AB68" i="5"/>
  <c r="AA68" i="5"/>
  <c r="AC67" i="5"/>
  <c r="AB67" i="5"/>
  <c r="AA67" i="5"/>
  <c r="AC66" i="5"/>
  <c r="AB66" i="5"/>
  <c r="AA66" i="5"/>
  <c r="AC65" i="5"/>
  <c r="AB65" i="5"/>
  <c r="AA65" i="5"/>
  <c r="AC64" i="5"/>
  <c r="AB64" i="5"/>
  <c r="AA64" i="5"/>
  <c r="AC63" i="5"/>
  <c r="AB63" i="5"/>
  <c r="AA63" i="5"/>
  <c r="AC62" i="5"/>
  <c r="AB62" i="5"/>
  <c r="AA62" i="5"/>
  <c r="AC61" i="5"/>
  <c r="AB61" i="5"/>
  <c r="AA61" i="5"/>
  <c r="AC60" i="5"/>
  <c r="AB60" i="5"/>
  <c r="AA60" i="5"/>
  <c r="AC59" i="5"/>
  <c r="AB59" i="5"/>
  <c r="AA59" i="5"/>
  <c r="AC58" i="5"/>
  <c r="AB58" i="5"/>
  <c r="AA58" i="5"/>
  <c r="AC57" i="5"/>
  <c r="AB57" i="5"/>
  <c r="AA57" i="5"/>
  <c r="AC56" i="5"/>
  <c r="AB56" i="5"/>
  <c r="AA56" i="5"/>
  <c r="AC55" i="5"/>
  <c r="AB55" i="5"/>
  <c r="AA55" i="5"/>
  <c r="AC54" i="5"/>
  <c r="AB54" i="5"/>
  <c r="AA54" i="5"/>
  <c r="AC53" i="5"/>
  <c r="AB53" i="5"/>
  <c r="AA53" i="5"/>
  <c r="AC52" i="5"/>
  <c r="AB52" i="5"/>
  <c r="AA52" i="5"/>
  <c r="AC51" i="5"/>
  <c r="AB51" i="5"/>
  <c r="AA51" i="5"/>
  <c r="AC50" i="5"/>
  <c r="AB50" i="5"/>
  <c r="AA50" i="5"/>
  <c r="AC49" i="5"/>
  <c r="AB49" i="5"/>
  <c r="AA49" i="5"/>
  <c r="AC48" i="5"/>
  <c r="AB48" i="5"/>
  <c r="AA48" i="5"/>
  <c r="AC47" i="5"/>
  <c r="AB47" i="5"/>
  <c r="AA47" i="5"/>
  <c r="AC46" i="5"/>
  <c r="AB46" i="5"/>
  <c r="AA46" i="5"/>
  <c r="AC45" i="5"/>
  <c r="AB45" i="5"/>
  <c r="AA45" i="5"/>
  <c r="AC44" i="5"/>
  <c r="AB44" i="5"/>
  <c r="AA44" i="5"/>
  <c r="AC43" i="5"/>
  <c r="AB43" i="5"/>
  <c r="AA43" i="5"/>
  <c r="AC42" i="5"/>
  <c r="AB42" i="5"/>
  <c r="AA42" i="5"/>
  <c r="AC41" i="5"/>
  <c r="AB41" i="5"/>
  <c r="AA41" i="5"/>
  <c r="AC40" i="5"/>
  <c r="AB40" i="5"/>
  <c r="AA40" i="5"/>
  <c r="AC39" i="5"/>
  <c r="AB39" i="5"/>
  <c r="AA39" i="5"/>
  <c r="AC38" i="5"/>
  <c r="AB38" i="5"/>
  <c r="AA38" i="5"/>
  <c r="AC37" i="5"/>
  <c r="AB37" i="5"/>
  <c r="AA37" i="5"/>
  <c r="AC36" i="5"/>
  <c r="AB36" i="5"/>
  <c r="AA36" i="5"/>
  <c r="AC35" i="5"/>
  <c r="AB35" i="5"/>
  <c r="AA35" i="5"/>
  <c r="AC34" i="5"/>
  <c r="AB34" i="5"/>
  <c r="AA34" i="5"/>
  <c r="AC33" i="5"/>
  <c r="AB33" i="5"/>
  <c r="AA33" i="5"/>
  <c r="AC32" i="5"/>
  <c r="AB32" i="5"/>
  <c r="AA32" i="5"/>
  <c r="AC31" i="5"/>
  <c r="AB31" i="5"/>
  <c r="AA31" i="5"/>
  <c r="AC30" i="5"/>
  <c r="AB30" i="5"/>
  <c r="AA30" i="5"/>
  <c r="AC29" i="5"/>
  <c r="AB29" i="5"/>
  <c r="AA29" i="5"/>
  <c r="AC28" i="5"/>
  <c r="AB28" i="5"/>
  <c r="AA28" i="5"/>
  <c r="AC27" i="5"/>
  <c r="AB27" i="5"/>
  <c r="AA27" i="5"/>
  <c r="AC26" i="5"/>
  <c r="AB26" i="5"/>
  <c r="AA26" i="5"/>
  <c r="AC25" i="5"/>
  <c r="AB25" i="5"/>
  <c r="AA25" i="5"/>
  <c r="AC24" i="5"/>
  <c r="AB24" i="5"/>
  <c r="AA24" i="5"/>
  <c r="AC23" i="5"/>
  <c r="AB23" i="5"/>
  <c r="AA23" i="5"/>
  <c r="AC22" i="5"/>
  <c r="AB22" i="5"/>
  <c r="AA22" i="5"/>
  <c r="AC21" i="5"/>
  <c r="AB21" i="5"/>
  <c r="AA21" i="5"/>
  <c r="AC20" i="5"/>
  <c r="AB20" i="5"/>
  <c r="AA20" i="5"/>
  <c r="AC19" i="5"/>
  <c r="AB19" i="5"/>
  <c r="AA19" i="5"/>
  <c r="AC18" i="5"/>
  <c r="AB18" i="5"/>
  <c r="AA18" i="5"/>
  <c r="AC17" i="5"/>
  <c r="AB17" i="5"/>
  <c r="AA17" i="5"/>
  <c r="AC16" i="5"/>
  <c r="AB16" i="5"/>
  <c r="AA16" i="5"/>
  <c r="AC15" i="5"/>
  <c r="AB15" i="5"/>
  <c r="AA15" i="5"/>
  <c r="AC14" i="5"/>
  <c r="AB14" i="5"/>
  <c r="AA14" i="5"/>
  <c r="AC13" i="5"/>
  <c r="AB13" i="5"/>
  <c r="AA13" i="5"/>
  <c r="AC12" i="5"/>
  <c r="AB12" i="5"/>
  <c r="AA12" i="5"/>
  <c r="AC11" i="5"/>
  <c r="AB11" i="5"/>
  <c r="AA11" i="5"/>
  <c r="AC10" i="5"/>
  <c r="AB10" i="5"/>
  <c r="AA10" i="5"/>
  <c r="AC9" i="5"/>
  <c r="AB9" i="5"/>
  <c r="AA9" i="5"/>
  <c r="AC8" i="5"/>
  <c r="AB8" i="5"/>
  <c r="AA8" i="5"/>
  <c r="AC7" i="5"/>
  <c r="AB7" i="5"/>
  <c r="AA7" i="5"/>
  <c r="AC6" i="5"/>
  <c r="AB6" i="5"/>
  <c r="AA6" i="5"/>
  <c r="AC5" i="5"/>
  <c r="AB5" i="5"/>
  <c r="AA5" i="5"/>
  <c r="K249" i="1"/>
  <c r="K244" i="1"/>
  <c r="K235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215" i="3"/>
  <c r="K214" i="3"/>
  <c r="K213" i="3"/>
  <c r="K210" i="3"/>
  <c r="K209" i="3"/>
  <c r="K208" i="3"/>
  <c r="K205" i="3"/>
  <c r="K204" i="3"/>
  <c r="K203" i="3"/>
  <c r="K202" i="3"/>
  <c r="K199" i="3"/>
  <c r="K198" i="3"/>
  <c r="K195" i="3"/>
  <c r="K194" i="3"/>
  <c r="K193" i="3"/>
  <c r="K190" i="3"/>
  <c r="K189" i="3"/>
  <c r="K186" i="3"/>
  <c r="K185" i="3"/>
  <c r="K184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29" i="2"/>
  <c r="K228" i="2"/>
  <c r="K227" i="2"/>
  <c r="K226" i="2"/>
  <c r="K224" i="2"/>
  <c r="K223" i="2"/>
  <c r="K222" i="2"/>
  <c r="K221" i="2"/>
  <c r="K219" i="2"/>
  <c r="K218" i="2"/>
  <c r="K217" i="2"/>
  <c r="K214" i="2"/>
  <c r="K213" i="2"/>
  <c r="K212" i="2"/>
  <c r="K209" i="2"/>
  <c r="K208" i="2"/>
  <c r="K207" i="2"/>
  <c r="K206" i="2"/>
  <c r="K203" i="2"/>
  <c r="K202" i="2"/>
  <c r="K199" i="2"/>
  <c r="K198" i="2"/>
  <c r="K197" i="2"/>
  <c r="K194" i="2"/>
  <c r="K193" i="2"/>
  <c r="K190" i="2"/>
  <c r="K189" i="2"/>
  <c r="K188" i="2"/>
  <c r="K184" i="2"/>
  <c r="K171" i="2"/>
  <c r="K170" i="2"/>
  <c r="K169" i="2"/>
  <c r="K168" i="2"/>
  <c r="K167" i="2"/>
  <c r="K166" i="2"/>
  <c r="K165" i="2"/>
  <c r="K164" i="2"/>
  <c r="K163" i="2"/>
  <c r="K162" i="2"/>
  <c r="K161" i="2"/>
  <c r="K160" i="2"/>
  <c r="K159" i="2"/>
  <c r="K158" i="2"/>
  <c r="K157" i="2"/>
  <c r="K156" i="2"/>
  <c r="K155" i="2"/>
  <c r="K154" i="2"/>
  <c r="K153" i="2"/>
  <c r="K152" i="2"/>
  <c r="K151" i="2"/>
  <c r="K150" i="2"/>
  <c r="K149" i="2"/>
  <c r="K148" i="2"/>
  <c r="K147" i="2"/>
  <c r="K146" i="2"/>
  <c r="K145" i="2"/>
  <c r="K144" i="2"/>
  <c r="K143" i="2"/>
  <c r="K142" i="2"/>
  <c r="K141" i="2"/>
  <c r="K140" i="2"/>
  <c r="K139" i="2"/>
  <c r="K138" i="2"/>
  <c r="K137" i="2"/>
  <c r="K136" i="2"/>
  <c r="K135" i="2"/>
  <c r="K134" i="2"/>
  <c r="K133" i="2"/>
  <c r="K132" i="2"/>
  <c r="K131" i="2"/>
  <c r="K130" i="2"/>
  <c r="K129" i="2"/>
  <c r="K128" i="2"/>
  <c r="K127" i="2"/>
  <c r="K126" i="2"/>
  <c r="K125" i="2"/>
  <c r="K124" i="2"/>
  <c r="K123" i="2"/>
  <c r="K122" i="2"/>
  <c r="K121" i="2"/>
  <c r="K120" i="2"/>
  <c r="K119" i="2"/>
  <c r="K118" i="2"/>
  <c r="K117" i="2"/>
  <c r="K116" i="2"/>
  <c r="K115" i="2"/>
  <c r="K114" i="2"/>
  <c r="K113" i="2"/>
  <c r="K112" i="2"/>
  <c r="K111" i="2"/>
  <c r="K110" i="2"/>
  <c r="K109" i="2"/>
  <c r="K108" i="2"/>
  <c r="K107" i="2"/>
  <c r="K106" i="2"/>
  <c r="K105" i="2"/>
  <c r="K104" i="2"/>
  <c r="K103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X337" i="5"/>
  <c r="Z333" i="5"/>
  <c r="Y333" i="5"/>
  <c r="X333" i="5"/>
  <c r="Z317" i="5"/>
  <c r="Y317" i="5"/>
  <c r="X317" i="5"/>
  <c r="Z316" i="5"/>
  <c r="Y316" i="5"/>
  <c r="X316" i="5"/>
  <c r="Z315" i="5"/>
  <c r="Y315" i="5"/>
  <c r="X315" i="5"/>
  <c r="Z314" i="5"/>
  <c r="Y314" i="5"/>
  <c r="X314" i="5"/>
  <c r="Z313" i="5"/>
  <c r="Y313" i="5"/>
  <c r="X313" i="5"/>
  <c r="Z312" i="5"/>
  <c r="Y312" i="5"/>
  <c r="X312" i="5"/>
  <c r="Z311" i="5"/>
  <c r="Y311" i="5"/>
  <c r="X311" i="5"/>
  <c r="Z310" i="5"/>
  <c r="Y310" i="5"/>
  <c r="X310" i="5"/>
  <c r="Z309" i="5"/>
  <c r="Y309" i="5"/>
  <c r="X309" i="5"/>
  <c r="Z308" i="5"/>
  <c r="Y308" i="5"/>
  <c r="X308" i="5"/>
  <c r="Z307" i="5"/>
  <c r="Y307" i="5"/>
  <c r="X307" i="5"/>
  <c r="Z306" i="5"/>
  <c r="Y306" i="5"/>
  <c r="X306" i="5"/>
  <c r="Z305" i="5"/>
  <c r="Y305" i="5"/>
  <c r="X305" i="5"/>
  <c r="Z304" i="5"/>
  <c r="Y304" i="5"/>
  <c r="X304" i="5"/>
  <c r="Z303" i="5"/>
  <c r="Y303" i="5"/>
  <c r="X303" i="5"/>
  <c r="Z302" i="5"/>
  <c r="Y302" i="5"/>
  <c r="X302" i="5"/>
  <c r="Z301" i="5"/>
  <c r="Y301" i="5"/>
  <c r="X301" i="5"/>
  <c r="Z300" i="5"/>
  <c r="Y300" i="5"/>
  <c r="X300" i="5"/>
  <c r="Z299" i="5"/>
  <c r="Y299" i="5"/>
  <c r="X299" i="5"/>
  <c r="Z298" i="5"/>
  <c r="Y298" i="5"/>
  <c r="X298" i="5"/>
  <c r="Z297" i="5"/>
  <c r="Y297" i="5"/>
  <c r="X297" i="5"/>
  <c r="Z296" i="5"/>
  <c r="Y296" i="5"/>
  <c r="X296" i="5"/>
  <c r="Z295" i="5"/>
  <c r="Y295" i="5"/>
  <c r="X295" i="5"/>
  <c r="Z294" i="5"/>
  <c r="Y294" i="5"/>
  <c r="X294" i="5"/>
  <c r="Z293" i="5"/>
  <c r="Y293" i="5"/>
  <c r="X293" i="5"/>
  <c r="Z292" i="5"/>
  <c r="Y292" i="5"/>
  <c r="Z291" i="5"/>
  <c r="Y291" i="5"/>
  <c r="X291" i="5"/>
  <c r="Z290" i="5"/>
  <c r="Y290" i="5"/>
  <c r="X290" i="5"/>
  <c r="Z289" i="5"/>
  <c r="Y289" i="5"/>
  <c r="X289" i="5"/>
  <c r="Z288" i="5"/>
  <c r="Y288" i="5"/>
  <c r="X288" i="5"/>
  <c r="Z287" i="5"/>
  <c r="Y287" i="5"/>
  <c r="X287" i="5"/>
  <c r="Z286" i="5"/>
  <c r="Y286" i="5"/>
  <c r="X286" i="5"/>
  <c r="Z285" i="5"/>
  <c r="Y285" i="5"/>
  <c r="X285" i="5"/>
  <c r="Z284" i="5"/>
  <c r="Y284" i="5"/>
  <c r="X284" i="5"/>
  <c r="Z283" i="5"/>
  <c r="Y283" i="5"/>
  <c r="X283" i="5"/>
  <c r="Z282" i="5"/>
  <c r="Y282" i="5"/>
  <c r="X282" i="5"/>
  <c r="Z281" i="5"/>
  <c r="Y281" i="5"/>
  <c r="X281" i="5"/>
  <c r="Z280" i="5"/>
  <c r="Y280" i="5"/>
  <c r="X280" i="5"/>
  <c r="Z279" i="5"/>
  <c r="Y279" i="5"/>
  <c r="X279" i="5"/>
  <c r="Z278" i="5"/>
  <c r="Y278" i="5"/>
  <c r="X278" i="5"/>
  <c r="Z277" i="5"/>
  <c r="Y277" i="5"/>
  <c r="X277" i="5"/>
  <c r="Z276" i="5"/>
  <c r="Y276" i="5"/>
  <c r="X276" i="5"/>
  <c r="Z275" i="5"/>
  <c r="Y275" i="5"/>
  <c r="X275" i="5"/>
  <c r="Z274" i="5"/>
  <c r="Y274" i="5"/>
  <c r="X274" i="5"/>
  <c r="Z273" i="5"/>
  <c r="Y273" i="5"/>
  <c r="X273" i="5"/>
  <c r="Z272" i="5"/>
  <c r="Y272" i="5"/>
  <c r="X272" i="5"/>
  <c r="Z271" i="5"/>
  <c r="Y271" i="5"/>
  <c r="X271" i="5"/>
  <c r="Z270" i="5"/>
  <c r="Y270" i="5"/>
  <c r="X270" i="5"/>
  <c r="Z269" i="5"/>
  <c r="Y269" i="5"/>
  <c r="X269" i="5"/>
  <c r="Z268" i="5"/>
  <c r="Y268" i="5"/>
  <c r="X268" i="5"/>
  <c r="Z267" i="5"/>
  <c r="Y267" i="5"/>
  <c r="X267" i="5"/>
  <c r="Z266" i="5"/>
  <c r="Y266" i="5"/>
  <c r="X266" i="5"/>
  <c r="Z265" i="5"/>
  <c r="Y265" i="5"/>
  <c r="X265" i="5"/>
  <c r="Z264" i="5"/>
  <c r="Y264" i="5"/>
  <c r="X264" i="5"/>
  <c r="Z263" i="5"/>
  <c r="Y263" i="5"/>
  <c r="X263" i="5"/>
  <c r="Z262" i="5"/>
  <c r="Y262" i="5"/>
  <c r="X262" i="5"/>
  <c r="Z261" i="5"/>
  <c r="Y261" i="5"/>
  <c r="X261" i="5"/>
  <c r="Z260" i="5"/>
  <c r="Y260" i="5"/>
  <c r="X260" i="5"/>
  <c r="Z259" i="5"/>
  <c r="Y259" i="5"/>
  <c r="X259" i="5"/>
  <c r="Z258" i="5"/>
  <c r="Y258" i="5"/>
  <c r="X258" i="5"/>
  <c r="Z257" i="5"/>
  <c r="Y257" i="5"/>
  <c r="X257" i="5"/>
  <c r="Z256" i="5"/>
  <c r="Y256" i="5"/>
  <c r="X256" i="5"/>
  <c r="Z255" i="5"/>
  <c r="Y255" i="5"/>
  <c r="X255" i="5"/>
  <c r="Z254" i="5"/>
  <c r="Y254" i="5"/>
  <c r="X254" i="5"/>
  <c r="Z253" i="5"/>
  <c r="Y253" i="5"/>
  <c r="X253" i="5"/>
  <c r="Z252" i="5"/>
  <c r="Y252" i="5"/>
  <c r="X252" i="5"/>
  <c r="Z251" i="5"/>
  <c r="Y251" i="5"/>
  <c r="X251" i="5"/>
  <c r="Z250" i="5"/>
  <c r="Y250" i="5"/>
  <c r="X250" i="5"/>
  <c r="Z249" i="5"/>
  <c r="Y249" i="5"/>
  <c r="X249" i="5"/>
  <c r="Z248" i="5"/>
  <c r="Y248" i="5"/>
  <c r="X248" i="5"/>
  <c r="Z247" i="5"/>
  <c r="Y247" i="5"/>
  <c r="X247" i="5"/>
  <c r="Z246" i="5"/>
  <c r="Y246" i="5"/>
  <c r="X246" i="5"/>
  <c r="Z245" i="5"/>
  <c r="Y245" i="5"/>
  <c r="X245" i="5"/>
  <c r="Z244" i="5"/>
  <c r="Y244" i="5"/>
  <c r="X244" i="5"/>
  <c r="Z243" i="5"/>
  <c r="Y243" i="5"/>
  <c r="X243" i="5"/>
  <c r="Z242" i="5"/>
  <c r="Y242" i="5"/>
  <c r="X242" i="5"/>
  <c r="Z241" i="5"/>
  <c r="Y241" i="5"/>
  <c r="X241" i="5"/>
  <c r="Z240" i="5"/>
  <c r="Y240" i="5"/>
  <c r="X240" i="5"/>
  <c r="Z239" i="5"/>
  <c r="Y239" i="5"/>
  <c r="X239" i="5"/>
  <c r="Z238" i="5"/>
  <c r="Y238" i="5"/>
  <c r="X238" i="5"/>
  <c r="Z237" i="5"/>
  <c r="Y237" i="5"/>
  <c r="X237" i="5"/>
  <c r="Z236" i="5"/>
  <c r="Y236" i="5"/>
  <c r="X236" i="5"/>
  <c r="Z235" i="5"/>
  <c r="Y235" i="5"/>
  <c r="X235" i="5"/>
  <c r="Z234" i="5"/>
  <c r="Y234" i="5"/>
  <c r="X234" i="5"/>
  <c r="Z233" i="5"/>
  <c r="Y233" i="5"/>
  <c r="X233" i="5"/>
  <c r="Z232" i="5"/>
  <c r="Y232" i="5"/>
  <c r="X232" i="5"/>
  <c r="Z231" i="5"/>
  <c r="Y231" i="5"/>
  <c r="X231" i="5"/>
  <c r="Z230" i="5"/>
  <c r="Y230" i="5"/>
  <c r="X230" i="5"/>
  <c r="Z229" i="5"/>
  <c r="Y229" i="5"/>
  <c r="X229" i="5"/>
  <c r="Z228" i="5"/>
  <c r="Y228" i="5"/>
  <c r="X228" i="5"/>
  <c r="Z227" i="5"/>
  <c r="Y227" i="5"/>
  <c r="X227" i="5"/>
  <c r="Z226" i="5"/>
  <c r="Y226" i="5"/>
  <c r="X226" i="5"/>
  <c r="Z225" i="5"/>
  <c r="Y225" i="5"/>
  <c r="X225" i="5"/>
  <c r="Z224" i="5"/>
  <c r="Y224" i="5"/>
  <c r="X224" i="5"/>
  <c r="Z223" i="5"/>
  <c r="Y223" i="5"/>
  <c r="X223" i="5"/>
  <c r="Z222" i="5"/>
  <c r="Y222" i="5"/>
  <c r="X222" i="5"/>
  <c r="Z221" i="5"/>
  <c r="Y221" i="5"/>
  <c r="X221" i="5"/>
  <c r="Z220" i="5"/>
  <c r="Y220" i="5"/>
  <c r="X220" i="5"/>
  <c r="Z219" i="5"/>
  <c r="Y219" i="5"/>
  <c r="X219" i="5"/>
  <c r="Z218" i="5"/>
  <c r="Y218" i="5"/>
  <c r="X218" i="5"/>
  <c r="Z217" i="5"/>
  <c r="Y217" i="5"/>
  <c r="X217" i="5"/>
  <c r="Z216" i="5"/>
  <c r="Y216" i="5"/>
  <c r="X216" i="5"/>
  <c r="Z215" i="5"/>
  <c r="Y215" i="5"/>
  <c r="X215" i="5"/>
  <c r="Z214" i="5"/>
  <c r="Y214" i="5"/>
  <c r="X214" i="5"/>
  <c r="Z213" i="5"/>
  <c r="Y213" i="5"/>
  <c r="X213" i="5"/>
  <c r="Z212" i="5"/>
  <c r="Y212" i="5"/>
  <c r="X212" i="5"/>
  <c r="Z211" i="5"/>
  <c r="Y211" i="5"/>
  <c r="X211" i="5"/>
  <c r="Z210" i="5"/>
  <c r="Y210" i="5"/>
  <c r="X210" i="5"/>
  <c r="Z209" i="5"/>
  <c r="Y209" i="5"/>
  <c r="X209" i="5"/>
  <c r="Z208" i="5"/>
  <c r="Y208" i="5"/>
  <c r="X208" i="5"/>
  <c r="Z207" i="5"/>
  <c r="Y207" i="5"/>
  <c r="X207" i="5"/>
  <c r="Z206" i="5"/>
  <c r="Y206" i="5"/>
  <c r="X206" i="5"/>
  <c r="Z205" i="5"/>
  <c r="Y205" i="5"/>
  <c r="X205" i="5"/>
  <c r="Z204" i="5"/>
  <c r="Y204" i="5"/>
  <c r="X204" i="5"/>
  <c r="Z203" i="5"/>
  <c r="Y203" i="5"/>
  <c r="X203" i="5"/>
  <c r="Z202" i="5"/>
  <c r="Y202" i="5"/>
  <c r="X202" i="5"/>
  <c r="Z201" i="5"/>
  <c r="Y201" i="5"/>
  <c r="X201" i="5"/>
  <c r="Z200" i="5"/>
  <c r="Y200" i="5"/>
  <c r="X200" i="5"/>
  <c r="Z199" i="5"/>
  <c r="Y199" i="5"/>
  <c r="X199" i="5"/>
  <c r="Z198" i="5"/>
  <c r="Y198" i="5"/>
  <c r="X198" i="5"/>
  <c r="Z197" i="5"/>
  <c r="Y197" i="5"/>
  <c r="X197" i="5"/>
  <c r="Z196" i="5"/>
  <c r="Y196" i="5"/>
  <c r="X196" i="5"/>
  <c r="Z195" i="5"/>
  <c r="Y195" i="5"/>
  <c r="X195" i="5"/>
  <c r="Z194" i="5"/>
  <c r="Y194" i="5"/>
  <c r="X194" i="5"/>
  <c r="Z193" i="5"/>
  <c r="Y193" i="5"/>
  <c r="X193" i="5"/>
  <c r="Z192" i="5"/>
  <c r="Y192" i="5"/>
  <c r="X192" i="5"/>
  <c r="Z191" i="5"/>
  <c r="Y191" i="5"/>
  <c r="X191" i="5"/>
  <c r="Z190" i="5"/>
  <c r="Y190" i="5"/>
  <c r="X190" i="5"/>
  <c r="Z189" i="5"/>
  <c r="Y189" i="5"/>
  <c r="X189" i="5"/>
  <c r="Z188" i="5"/>
  <c r="Y188" i="5"/>
  <c r="X188" i="5"/>
  <c r="Z187" i="5"/>
  <c r="Y187" i="5"/>
  <c r="X187" i="5"/>
  <c r="Z186" i="5"/>
  <c r="Y186" i="5"/>
  <c r="X186" i="5"/>
  <c r="Z185" i="5"/>
  <c r="Y185" i="5"/>
  <c r="X185" i="5"/>
  <c r="Z184" i="5"/>
  <c r="Y184" i="5"/>
  <c r="X184" i="5"/>
  <c r="Z183" i="5"/>
  <c r="Y183" i="5"/>
  <c r="X183" i="5"/>
  <c r="Z182" i="5"/>
  <c r="Y182" i="5"/>
  <c r="X182" i="5"/>
  <c r="Z181" i="5"/>
  <c r="Y181" i="5"/>
  <c r="X181" i="5"/>
  <c r="Z180" i="5"/>
  <c r="Y180" i="5"/>
  <c r="X180" i="5"/>
  <c r="Z179" i="5"/>
  <c r="Y179" i="5"/>
  <c r="X179" i="5"/>
  <c r="Z178" i="5"/>
  <c r="Y178" i="5"/>
  <c r="X178" i="5"/>
  <c r="Z177" i="5"/>
  <c r="Y177" i="5"/>
  <c r="X177" i="5"/>
  <c r="Z176" i="5"/>
  <c r="Y176" i="5"/>
  <c r="X176" i="5"/>
  <c r="Z175" i="5"/>
  <c r="Y175" i="5"/>
  <c r="X175" i="5"/>
  <c r="Z174" i="5"/>
  <c r="Y174" i="5"/>
  <c r="X174" i="5"/>
  <c r="Z173" i="5"/>
  <c r="Y173" i="5"/>
  <c r="X173" i="5"/>
  <c r="Z172" i="5"/>
  <c r="Y172" i="5"/>
  <c r="X172" i="5"/>
  <c r="Z171" i="5"/>
  <c r="Y171" i="5"/>
  <c r="X171" i="5"/>
  <c r="Z170" i="5"/>
  <c r="Y170" i="5"/>
  <c r="X170" i="5"/>
  <c r="Z169" i="5"/>
  <c r="Y169" i="5"/>
  <c r="X169" i="5"/>
  <c r="Z168" i="5"/>
  <c r="Y168" i="5"/>
  <c r="X168" i="5"/>
  <c r="Z167" i="5"/>
  <c r="Y167" i="5"/>
  <c r="X167" i="5"/>
  <c r="Z166" i="5"/>
  <c r="Y166" i="5"/>
  <c r="X166" i="5"/>
  <c r="Z165" i="5"/>
  <c r="Y165" i="5"/>
  <c r="X165" i="5"/>
  <c r="Z164" i="5"/>
  <c r="Y164" i="5"/>
  <c r="X164" i="5"/>
  <c r="Z163" i="5"/>
  <c r="Y163" i="5"/>
  <c r="X163" i="5"/>
  <c r="Z162" i="5"/>
  <c r="Y162" i="5"/>
  <c r="X162" i="5"/>
  <c r="Z161" i="5"/>
  <c r="Y161" i="5"/>
  <c r="X161" i="5"/>
  <c r="Z160" i="5"/>
  <c r="Y160" i="5"/>
  <c r="X160" i="5"/>
  <c r="Z159" i="5"/>
  <c r="Y159" i="5"/>
  <c r="X159" i="5"/>
  <c r="Z158" i="5"/>
  <c r="Y158" i="5"/>
  <c r="X158" i="5"/>
  <c r="Z157" i="5"/>
  <c r="Y157" i="5"/>
  <c r="X157" i="5"/>
  <c r="Z156" i="5"/>
  <c r="Y156" i="5"/>
  <c r="X156" i="5"/>
  <c r="Z155" i="5"/>
  <c r="Y155" i="5"/>
  <c r="X155" i="5"/>
  <c r="Z154" i="5"/>
  <c r="Y154" i="5"/>
  <c r="X154" i="5"/>
  <c r="Z153" i="5"/>
  <c r="Y153" i="5"/>
  <c r="X153" i="5"/>
  <c r="Z152" i="5"/>
  <c r="Y152" i="5"/>
  <c r="X152" i="5"/>
  <c r="Z151" i="5"/>
  <c r="Y151" i="5"/>
  <c r="X151" i="5"/>
  <c r="Z150" i="5"/>
  <c r="Y150" i="5"/>
  <c r="X150" i="5"/>
  <c r="Z149" i="5"/>
  <c r="Y149" i="5"/>
  <c r="X149" i="5"/>
  <c r="Z148" i="5"/>
  <c r="Y148" i="5"/>
  <c r="X148" i="5"/>
  <c r="Z147" i="5"/>
  <c r="Y147" i="5"/>
  <c r="X147" i="5"/>
  <c r="Z146" i="5"/>
  <c r="Y146" i="5"/>
  <c r="X146" i="5"/>
  <c r="Z145" i="5"/>
  <c r="Y145" i="5"/>
  <c r="X145" i="5"/>
  <c r="Z144" i="5"/>
  <c r="Y144" i="5"/>
  <c r="X144" i="5"/>
  <c r="Z143" i="5"/>
  <c r="Y143" i="5"/>
  <c r="X143" i="5"/>
  <c r="Z142" i="5"/>
  <c r="Y142" i="5"/>
  <c r="X142" i="5"/>
  <c r="Z141" i="5"/>
  <c r="Y141" i="5"/>
  <c r="X141" i="5"/>
  <c r="Z140" i="5"/>
  <c r="Y140" i="5"/>
  <c r="X140" i="5"/>
  <c r="Z139" i="5"/>
  <c r="Y139" i="5"/>
  <c r="X139" i="5"/>
  <c r="Z138" i="5"/>
  <c r="Y138" i="5"/>
  <c r="X138" i="5"/>
  <c r="Z137" i="5"/>
  <c r="Y137" i="5"/>
  <c r="X137" i="5"/>
  <c r="Z136" i="5"/>
  <c r="Y136" i="5"/>
  <c r="X136" i="5"/>
  <c r="Z135" i="5"/>
  <c r="Y135" i="5"/>
  <c r="X135" i="5"/>
  <c r="Z134" i="5"/>
  <c r="Y134" i="5"/>
  <c r="X134" i="5"/>
  <c r="Z133" i="5"/>
  <c r="Y133" i="5"/>
  <c r="X133" i="5"/>
  <c r="Z132" i="5"/>
  <c r="Y132" i="5"/>
  <c r="X132" i="5"/>
  <c r="Z131" i="5"/>
  <c r="Y131" i="5"/>
  <c r="X131" i="5"/>
  <c r="Z130" i="5"/>
  <c r="Y130" i="5"/>
  <c r="X130" i="5"/>
  <c r="Z129" i="5"/>
  <c r="Y129" i="5"/>
  <c r="X129" i="5"/>
  <c r="Z128" i="5"/>
  <c r="Y128" i="5"/>
  <c r="X128" i="5"/>
  <c r="Z127" i="5"/>
  <c r="Y127" i="5"/>
  <c r="X127" i="5"/>
  <c r="Z126" i="5"/>
  <c r="Y126" i="5"/>
  <c r="X126" i="5"/>
  <c r="Z125" i="5"/>
  <c r="Y125" i="5"/>
  <c r="X125" i="5"/>
  <c r="Z124" i="5"/>
  <c r="Y124" i="5"/>
  <c r="X124" i="5"/>
  <c r="Z123" i="5"/>
  <c r="Y123" i="5"/>
  <c r="X123" i="5"/>
  <c r="Z122" i="5"/>
  <c r="Y122" i="5"/>
  <c r="X122" i="5"/>
  <c r="Z121" i="5"/>
  <c r="Y121" i="5"/>
  <c r="X121" i="5"/>
  <c r="Z120" i="5"/>
  <c r="Y120" i="5"/>
  <c r="X120" i="5"/>
  <c r="Z119" i="5"/>
  <c r="Y119" i="5"/>
  <c r="X119" i="5"/>
  <c r="Z118" i="5"/>
  <c r="Y118" i="5"/>
  <c r="X118" i="5"/>
  <c r="Z117" i="5"/>
  <c r="Y117" i="5"/>
  <c r="X117" i="5"/>
  <c r="Z116" i="5"/>
  <c r="Y116" i="5"/>
  <c r="X116" i="5"/>
  <c r="Z115" i="5"/>
  <c r="Y115" i="5"/>
  <c r="X115" i="5"/>
  <c r="Z114" i="5"/>
  <c r="Y114" i="5"/>
  <c r="X114" i="5"/>
  <c r="Z113" i="5"/>
  <c r="Y113" i="5"/>
  <c r="X113" i="5"/>
  <c r="Z112" i="5"/>
  <c r="Y112" i="5"/>
  <c r="X112" i="5"/>
  <c r="X111" i="5"/>
  <c r="Z110" i="5"/>
  <c r="Y110" i="5"/>
  <c r="X110" i="5"/>
  <c r="Y109" i="5"/>
  <c r="X109" i="5"/>
  <c r="Z108" i="5"/>
  <c r="Y108" i="5"/>
  <c r="X108" i="5"/>
  <c r="Z107" i="5"/>
  <c r="Y107" i="5"/>
  <c r="Z106" i="5"/>
  <c r="Y106" i="5"/>
  <c r="X106" i="5"/>
  <c r="Z105" i="5"/>
  <c r="Y105" i="5"/>
  <c r="X105" i="5"/>
  <c r="Z104" i="5"/>
  <c r="Y104" i="5"/>
  <c r="X104" i="5"/>
  <c r="Z103" i="5"/>
  <c r="Y103" i="5"/>
  <c r="X103" i="5"/>
  <c r="Z102" i="5"/>
  <c r="Y102" i="5"/>
  <c r="X102" i="5"/>
  <c r="Z101" i="5"/>
  <c r="Y101" i="5"/>
  <c r="X101" i="5"/>
  <c r="Z100" i="5"/>
  <c r="Y100" i="5"/>
  <c r="X100" i="5"/>
  <c r="Z99" i="5"/>
  <c r="Y99" i="5"/>
  <c r="X99" i="5"/>
  <c r="Z98" i="5"/>
  <c r="Y98" i="5"/>
  <c r="X98" i="5"/>
  <c r="Z97" i="5"/>
  <c r="Y97" i="5"/>
  <c r="X97" i="5"/>
  <c r="Z96" i="5"/>
  <c r="Y96" i="5"/>
  <c r="X96" i="5"/>
  <c r="Z95" i="5"/>
  <c r="Y95" i="5"/>
  <c r="X95" i="5"/>
  <c r="Z94" i="5"/>
  <c r="Y94" i="5"/>
  <c r="X94" i="5"/>
  <c r="Z93" i="5"/>
  <c r="Y93" i="5"/>
  <c r="X93" i="5"/>
  <c r="Z92" i="5"/>
  <c r="Y92" i="5"/>
  <c r="X92" i="5"/>
  <c r="Z91" i="5"/>
  <c r="Y91" i="5"/>
  <c r="X91" i="5"/>
  <c r="Z90" i="5"/>
  <c r="Y90" i="5"/>
  <c r="X90" i="5"/>
  <c r="Z89" i="5"/>
  <c r="Y89" i="5"/>
  <c r="X89" i="5"/>
  <c r="Z88" i="5"/>
  <c r="Y88" i="5"/>
  <c r="X88" i="5"/>
  <c r="Z87" i="5"/>
  <c r="Y87" i="5"/>
  <c r="X87" i="5"/>
  <c r="Z86" i="5"/>
  <c r="Y86" i="5"/>
  <c r="X86" i="5"/>
  <c r="Z85" i="5"/>
  <c r="Y85" i="5"/>
  <c r="X85" i="5"/>
  <c r="Z84" i="5"/>
  <c r="Y84" i="5"/>
  <c r="X84" i="5"/>
  <c r="Z83" i="5"/>
  <c r="Y83" i="5"/>
  <c r="X83" i="5"/>
  <c r="Z82" i="5"/>
  <c r="Y82" i="5"/>
  <c r="X82" i="5"/>
  <c r="Z81" i="5"/>
  <c r="Y81" i="5"/>
  <c r="X81" i="5"/>
  <c r="Z80" i="5"/>
  <c r="Y80" i="5"/>
  <c r="X80" i="5"/>
  <c r="Z79" i="5"/>
  <c r="Y79" i="5"/>
  <c r="X79" i="5"/>
  <c r="Z78" i="5"/>
  <c r="Y78" i="5"/>
  <c r="X78" i="5"/>
  <c r="Z77" i="5"/>
  <c r="Y77" i="5"/>
  <c r="X77" i="5"/>
  <c r="Z76" i="5"/>
  <c r="Y76" i="5"/>
  <c r="X76" i="5"/>
  <c r="Z75" i="5"/>
  <c r="Y75" i="5"/>
  <c r="X75" i="5"/>
  <c r="Z74" i="5"/>
  <c r="Y74" i="5"/>
  <c r="X74" i="5"/>
  <c r="Z73" i="5"/>
  <c r="Y73" i="5"/>
  <c r="X73" i="5"/>
  <c r="Z72" i="5"/>
  <c r="Y72" i="5"/>
  <c r="X72" i="5"/>
  <c r="Z71" i="5"/>
  <c r="Y71" i="5"/>
  <c r="X71" i="5"/>
  <c r="Z70" i="5"/>
  <c r="Y70" i="5"/>
  <c r="X70" i="5"/>
  <c r="Z69" i="5"/>
  <c r="Y69" i="5"/>
  <c r="X69" i="5"/>
  <c r="Z68" i="5"/>
  <c r="Y68" i="5"/>
  <c r="X68" i="5"/>
  <c r="Z67" i="5"/>
  <c r="Y67" i="5"/>
  <c r="X67" i="5"/>
  <c r="Z66" i="5"/>
  <c r="Y66" i="5"/>
  <c r="X66" i="5"/>
  <c r="Z65" i="5"/>
  <c r="Y65" i="5"/>
  <c r="X65" i="5"/>
  <c r="Z64" i="5"/>
  <c r="Y64" i="5"/>
  <c r="X64" i="5"/>
  <c r="Z63" i="5"/>
  <c r="Y63" i="5"/>
  <c r="X63" i="5"/>
  <c r="Z62" i="5"/>
  <c r="Y62" i="5"/>
  <c r="X62" i="5"/>
  <c r="Z61" i="5"/>
  <c r="Y61" i="5"/>
  <c r="X61" i="5"/>
  <c r="Z60" i="5"/>
  <c r="Y60" i="5"/>
  <c r="X60" i="5"/>
  <c r="Z59" i="5"/>
  <c r="Y59" i="5"/>
  <c r="X59" i="5"/>
  <c r="Z58" i="5"/>
  <c r="Y58" i="5"/>
  <c r="X58" i="5"/>
  <c r="Z57" i="5"/>
  <c r="Y57" i="5"/>
  <c r="X57" i="5"/>
  <c r="Z56" i="5"/>
  <c r="Y56" i="5"/>
  <c r="X56" i="5"/>
  <c r="Z55" i="5"/>
  <c r="Y55" i="5"/>
  <c r="X55" i="5"/>
  <c r="Z54" i="5"/>
  <c r="Y54" i="5"/>
  <c r="X54" i="5"/>
  <c r="Z53" i="5"/>
  <c r="Y53" i="5"/>
  <c r="X53" i="5"/>
  <c r="Z52" i="5"/>
  <c r="Y52" i="5"/>
  <c r="X52" i="5"/>
  <c r="Z51" i="5"/>
  <c r="Y51" i="5"/>
  <c r="X51" i="5"/>
  <c r="Z50" i="5"/>
  <c r="Y50" i="5"/>
  <c r="X50" i="5"/>
  <c r="Z49" i="5"/>
  <c r="Y49" i="5"/>
  <c r="X49" i="5"/>
  <c r="Z48" i="5"/>
  <c r="Y48" i="5"/>
  <c r="X48" i="5"/>
  <c r="Z47" i="5"/>
  <c r="Y47" i="5"/>
  <c r="X47" i="5"/>
  <c r="Z46" i="5"/>
  <c r="Y46" i="5"/>
  <c r="X46" i="5"/>
  <c r="Z45" i="5"/>
  <c r="Y45" i="5"/>
  <c r="X45" i="5"/>
  <c r="Z44" i="5"/>
  <c r="Y44" i="5"/>
  <c r="X44" i="5"/>
  <c r="Z43" i="5"/>
  <c r="Y43" i="5"/>
  <c r="X43" i="5"/>
  <c r="Z42" i="5"/>
  <c r="Y42" i="5"/>
  <c r="X42" i="5"/>
  <c r="Z41" i="5"/>
  <c r="Y41" i="5"/>
  <c r="X41" i="5"/>
  <c r="Z40" i="5"/>
  <c r="Y40" i="5"/>
  <c r="X40" i="5"/>
  <c r="Z39" i="5"/>
  <c r="Y39" i="5"/>
  <c r="X39" i="5"/>
  <c r="Z38" i="5"/>
  <c r="Y38" i="5"/>
  <c r="X38" i="5"/>
  <c r="Z37" i="5"/>
  <c r="Y37" i="5"/>
  <c r="X37" i="5"/>
  <c r="Z36" i="5"/>
  <c r="Y36" i="5"/>
  <c r="X36" i="5"/>
  <c r="Z35" i="5"/>
  <c r="Y35" i="5"/>
  <c r="X35" i="5"/>
  <c r="Z34" i="5"/>
  <c r="Y34" i="5"/>
  <c r="X34" i="5"/>
  <c r="Z33" i="5"/>
  <c r="Y33" i="5"/>
  <c r="X33" i="5"/>
  <c r="Z32" i="5"/>
  <c r="Y32" i="5"/>
  <c r="X32" i="5"/>
  <c r="Z31" i="5"/>
  <c r="Y31" i="5"/>
  <c r="X31" i="5"/>
  <c r="Z30" i="5"/>
  <c r="Y30" i="5"/>
  <c r="X30" i="5"/>
  <c r="Z29" i="5"/>
  <c r="Y29" i="5"/>
  <c r="X29" i="5"/>
  <c r="Z28" i="5"/>
  <c r="Y28" i="5"/>
  <c r="X28" i="5"/>
  <c r="Z27" i="5"/>
  <c r="Y27" i="5"/>
  <c r="X27" i="5"/>
  <c r="Z26" i="5"/>
  <c r="Y26" i="5"/>
  <c r="X26" i="5"/>
  <c r="Z25" i="5"/>
  <c r="Y25" i="5"/>
  <c r="X25" i="5"/>
  <c r="Z24" i="5"/>
  <c r="Y24" i="5"/>
  <c r="X24" i="5"/>
  <c r="Z23" i="5"/>
  <c r="Y23" i="5"/>
  <c r="X23" i="5"/>
  <c r="Z22" i="5"/>
  <c r="Y22" i="5"/>
  <c r="X22" i="5"/>
  <c r="Z21" i="5"/>
  <c r="Y21" i="5"/>
  <c r="X21" i="5"/>
  <c r="Z20" i="5"/>
  <c r="Y20" i="5"/>
  <c r="X20" i="5"/>
  <c r="Z19" i="5"/>
  <c r="Y19" i="5"/>
  <c r="X19" i="5"/>
  <c r="Z18" i="5"/>
  <c r="Y18" i="5"/>
  <c r="X18" i="5"/>
  <c r="Z17" i="5"/>
  <c r="Y17" i="5"/>
  <c r="X17" i="5"/>
  <c r="Z16" i="5"/>
  <c r="Y16" i="5"/>
  <c r="X16" i="5"/>
  <c r="Z15" i="5"/>
  <c r="Y15" i="5"/>
  <c r="X15" i="5"/>
  <c r="Z14" i="5"/>
  <c r="Y14" i="5"/>
  <c r="X14" i="5"/>
  <c r="Z13" i="5"/>
  <c r="Y13" i="5"/>
  <c r="X13" i="5"/>
  <c r="Z12" i="5"/>
  <c r="Y12" i="5"/>
  <c r="X12" i="5"/>
  <c r="Z11" i="5"/>
  <c r="Y11" i="5"/>
  <c r="X11" i="5"/>
  <c r="Z10" i="5"/>
  <c r="Y10" i="5"/>
  <c r="X10" i="5"/>
  <c r="Z9" i="5"/>
  <c r="Y9" i="5"/>
  <c r="X9" i="5"/>
  <c r="Z8" i="5"/>
  <c r="Y8" i="5"/>
  <c r="X8" i="5"/>
  <c r="Z7" i="5"/>
  <c r="Y7" i="5"/>
  <c r="X7" i="5"/>
  <c r="Z6" i="5"/>
  <c r="Y6" i="5"/>
  <c r="X6" i="5"/>
  <c r="Z5" i="5"/>
  <c r="Y5" i="5"/>
  <c r="X5" i="5"/>
  <c r="J249" i="1"/>
  <c r="J244" i="1"/>
  <c r="J235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215" i="3"/>
  <c r="J214" i="3"/>
  <c r="J213" i="3"/>
  <c r="J210" i="3"/>
  <c r="J209" i="3"/>
  <c r="J208" i="3"/>
  <c r="J205" i="3"/>
  <c r="J204" i="3"/>
  <c r="J203" i="3"/>
  <c r="J202" i="3"/>
  <c r="J199" i="3"/>
  <c r="J198" i="3"/>
  <c r="J195" i="3"/>
  <c r="J194" i="3"/>
  <c r="J193" i="3"/>
  <c r="J190" i="3"/>
  <c r="J189" i="3"/>
  <c r="J186" i="3"/>
  <c r="J185" i="3"/>
  <c r="J184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29" i="2"/>
  <c r="J228" i="2"/>
  <c r="J227" i="2"/>
  <c r="J226" i="2"/>
  <c r="J224" i="2"/>
  <c r="J223" i="2"/>
  <c r="J222" i="2"/>
  <c r="J221" i="2"/>
  <c r="J219" i="2"/>
  <c r="J218" i="2"/>
  <c r="J217" i="2"/>
  <c r="J214" i="2"/>
  <c r="J213" i="2"/>
  <c r="J212" i="2"/>
  <c r="J209" i="2"/>
  <c r="J208" i="2"/>
  <c r="J207" i="2"/>
  <c r="J206" i="2"/>
  <c r="J203" i="2"/>
  <c r="J202" i="2"/>
  <c r="J199" i="2"/>
  <c r="J198" i="2"/>
  <c r="J197" i="2"/>
  <c r="J194" i="2"/>
  <c r="J193" i="2"/>
  <c r="J190" i="2"/>
  <c r="J189" i="2"/>
  <c r="J188" i="2"/>
  <c r="J184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U337" i="5"/>
  <c r="W333" i="5"/>
  <c r="V333" i="5"/>
  <c r="U333" i="5"/>
  <c r="W317" i="5"/>
  <c r="V317" i="5"/>
  <c r="U317" i="5"/>
  <c r="W316" i="5"/>
  <c r="V316" i="5"/>
  <c r="U316" i="5"/>
  <c r="W315" i="5"/>
  <c r="V315" i="5"/>
  <c r="U315" i="5"/>
  <c r="W314" i="5"/>
  <c r="V314" i="5"/>
  <c r="U314" i="5"/>
  <c r="W313" i="5"/>
  <c r="V313" i="5"/>
  <c r="U313" i="5"/>
  <c r="W312" i="5"/>
  <c r="V312" i="5"/>
  <c r="U312" i="5"/>
  <c r="W311" i="5"/>
  <c r="V311" i="5"/>
  <c r="U311" i="5"/>
  <c r="W310" i="5"/>
  <c r="V310" i="5"/>
  <c r="U310" i="5"/>
  <c r="W309" i="5"/>
  <c r="V309" i="5"/>
  <c r="U309" i="5"/>
  <c r="W308" i="5"/>
  <c r="V308" i="5"/>
  <c r="U308" i="5"/>
  <c r="W307" i="5"/>
  <c r="V307" i="5"/>
  <c r="U307" i="5"/>
  <c r="W306" i="5"/>
  <c r="V306" i="5"/>
  <c r="U306" i="5"/>
  <c r="W305" i="5"/>
  <c r="V305" i="5"/>
  <c r="U305" i="5"/>
  <c r="W304" i="5"/>
  <c r="V304" i="5"/>
  <c r="U304" i="5"/>
  <c r="W303" i="5"/>
  <c r="V303" i="5"/>
  <c r="U303" i="5"/>
  <c r="W302" i="5"/>
  <c r="V302" i="5"/>
  <c r="U302" i="5"/>
  <c r="W301" i="5"/>
  <c r="V301" i="5"/>
  <c r="U301" i="5"/>
  <c r="W300" i="5"/>
  <c r="V300" i="5"/>
  <c r="U300" i="5"/>
  <c r="W299" i="5"/>
  <c r="V299" i="5"/>
  <c r="U299" i="5"/>
  <c r="W298" i="5"/>
  <c r="V298" i="5"/>
  <c r="U298" i="5"/>
  <c r="W297" i="5"/>
  <c r="V297" i="5"/>
  <c r="U297" i="5"/>
  <c r="W296" i="5"/>
  <c r="V296" i="5"/>
  <c r="U296" i="5"/>
  <c r="W295" i="5"/>
  <c r="V295" i="5"/>
  <c r="U295" i="5"/>
  <c r="W294" i="5"/>
  <c r="V294" i="5"/>
  <c r="U294" i="5"/>
  <c r="W293" i="5"/>
  <c r="V293" i="5"/>
  <c r="U293" i="5"/>
  <c r="W292" i="5"/>
  <c r="V292" i="5"/>
  <c r="W291" i="5"/>
  <c r="V291" i="5"/>
  <c r="U291" i="5"/>
  <c r="W290" i="5"/>
  <c r="V290" i="5"/>
  <c r="U290" i="5"/>
  <c r="W289" i="5"/>
  <c r="V289" i="5"/>
  <c r="U289" i="5"/>
  <c r="W288" i="5"/>
  <c r="V288" i="5"/>
  <c r="U288" i="5"/>
  <c r="W287" i="5"/>
  <c r="V287" i="5"/>
  <c r="U287" i="5"/>
  <c r="W286" i="5"/>
  <c r="V286" i="5"/>
  <c r="U286" i="5"/>
  <c r="W285" i="5"/>
  <c r="V285" i="5"/>
  <c r="U285" i="5"/>
  <c r="W284" i="5"/>
  <c r="V284" i="5"/>
  <c r="U284" i="5"/>
  <c r="W283" i="5"/>
  <c r="V283" i="5"/>
  <c r="U283" i="5"/>
  <c r="W282" i="5"/>
  <c r="V282" i="5"/>
  <c r="U282" i="5"/>
  <c r="W281" i="5"/>
  <c r="V281" i="5"/>
  <c r="U281" i="5"/>
  <c r="W280" i="5"/>
  <c r="V280" i="5"/>
  <c r="U280" i="5"/>
  <c r="W279" i="5"/>
  <c r="V279" i="5"/>
  <c r="U279" i="5"/>
  <c r="W278" i="5"/>
  <c r="V278" i="5"/>
  <c r="U278" i="5"/>
  <c r="W277" i="5"/>
  <c r="V277" i="5"/>
  <c r="U277" i="5"/>
  <c r="W276" i="5"/>
  <c r="V276" i="5"/>
  <c r="U276" i="5"/>
  <c r="W275" i="5"/>
  <c r="V275" i="5"/>
  <c r="U275" i="5"/>
  <c r="W274" i="5"/>
  <c r="V274" i="5"/>
  <c r="U274" i="5"/>
  <c r="W273" i="5"/>
  <c r="V273" i="5"/>
  <c r="U273" i="5"/>
  <c r="W272" i="5"/>
  <c r="V272" i="5"/>
  <c r="U272" i="5"/>
  <c r="W271" i="5"/>
  <c r="V271" i="5"/>
  <c r="U271" i="5"/>
  <c r="W270" i="5"/>
  <c r="V270" i="5"/>
  <c r="U270" i="5"/>
  <c r="W269" i="5"/>
  <c r="V269" i="5"/>
  <c r="U269" i="5"/>
  <c r="W268" i="5"/>
  <c r="V268" i="5"/>
  <c r="U268" i="5"/>
  <c r="W267" i="5"/>
  <c r="V267" i="5"/>
  <c r="U267" i="5"/>
  <c r="W266" i="5"/>
  <c r="V266" i="5"/>
  <c r="U266" i="5"/>
  <c r="W265" i="5"/>
  <c r="V265" i="5"/>
  <c r="U265" i="5"/>
  <c r="W264" i="5"/>
  <c r="V264" i="5"/>
  <c r="U264" i="5"/>
  <c r="W263" i="5"/>
  <c r="V263" i="5"/>
  <c r="U263" i="5"/>
  <c r="W262" i="5"/>
  <c r="V262" i="5"/>
  <c r="U262" i="5"/>
  <c r="W261" i="5"/>
  <c r="V261" i="5"/>
  <c r="U261" i="5"/>
  <c r="W260" i="5"/>
  <c r="V260" i="5"/>
  <c r="U260" i="5"/>
  <c r="W259" i="5"/>
  <c r="V259" i="5"/>
  <c r="U259" i="5"/>
  <c r="W258" i="5"/>
  <c r="V258" i="5"/>
  <c r="U258" i="5"/>
  <c r="W257" i="5"/>
  <c r="V257" i="5"/>
  <c r="U257" i="5"/>
  <c r="W256" i="5"/>
  <c r="V256" i="5"/>
  <c r="U256" i="5"/>
  <c r="W255" i="5"/>
  <c r="V255" i="5"/>
  <c r="U255" i="5"/>
  <c r="W254" i="5"/>
  <c r="V254" i="5"/>
  <c r="U254" i="5"/>
  <c r="W253" i="5"/>
  <c r="V253" i="5"/>
  <c r="U253" i="5"/>
  <c r="W252" i="5"/>
  <c r="V252" i="5"/>
  <c r="U252" i="5"/>
  <c r="W251" i="5"/>
  <c r="V251" i="5"/>
  <c r="U251" i="5"/>
  <c r="W250" i="5"/>
  <c r="V250" i="5"/>
  <c r="U250" i="5"/>
  <c r="W249" i="5"/>
  <c r="V249" i="5"/>
  <c r="U249" i="5"/>
  <c r="W248" i="5"/>
  <c r="V248" i="5"/>
  <c r="U248" i="5"/>
  <c r="W247" i="5"/>
  <c r="V247" i="5"/>
  <c r="U247" i="5"/>
  <c r="W246" i="5"/>
  <c r="V246" i="5"/>
  <c r="U246" i="5"/>
  <c r="W245" i="5"/>
  <c r="V245" i="5"/>
  <c r="U245" i="5"/>
  <c r="W244" i="5"/>
  <c r="V244" i="5"/>
  <c r="U244" i="5"/>
  <c r="W243" i="5"/>
  <c r="V243" i="5"/>
  <c r="U243" i="5"/>
  <c r="W242" i="5"/>
  <c r="V242" i="5"/>
  <c r="U242" i="5"/>
  <c r="W241" i="5"/>
  <c r="V241" i="5"/>
  <c r="U241" i="5"/>
  <c r="W240" i="5"/>
  <c r="V240" i="5"/>
  <c r="U240" i="5"/>
  <c r="W239" i="5"/>
  <c r="V239" i="5"/>
  <c r="U239" i="5"/>
  <c r="W238" i="5"/>
  <c r="V238" i="5"/>
  <c r="U238" i="5"/>
  <c r="W237" i="5"/>
  <c r="V237" i="5"/>
  <c r="U237" i="5"/>
  <c r="W236" i="5"/>
  <c r="V236" i="5"/>
  <c r="U236" i="5"/>
  <c r="W235" i="5"/>
  <c r="V235" i="5"/>
  <c r="U235" i="5"/>
  <c r="W234" i="5"/>
  <c r="V234" i="5"/>
  <c r="U234" i="5"/>
  <c r="W233" i="5"/>
  <c r="V233" i="5"/>
  <c r="U233" i="5"/>
  <c r="W232" i="5"/>
  <c r="V232" i="5"/>
  <c r="U232" i="5"/>
  <c r="W231" i="5"/>
  <c r="V231" i="5"/>
  <c r="U231" i="5"/>
  <c r="W230" i="5"/>
  <c r="V230" i="5"/>
  <c r="U230" i="5"/>
  <c r="W229" i="5"/>
  <c r="V229" i="5"/>
  <c r="U229" i="5"/>
  <c r="W228" i="5"/>
  <c r="V228" i="5"/>
  <c r="U228" i="5"/>
  <c r="W227" i="5"/>
  <c r="V227" i="5"/>
  <c r="U227" i="5"/>
  <c r="W226" i="5"/>
  <c r="V226" i="5"/>
  <c r="U226" i="5"/>
  <c r="W225" i="5"/>
  <c r="V225" i="5"/>
  <c r="U225" i="5"/>
  <c r="W224" i="5"/>
  <c r="V224" i="5"/>
  <c r="U224" i="5"/>
  <c r="W223" i="5"/>
  <c r="V223" i="5"/>
  <c r="U223" i="5"/>
  <c r="W222" i="5"/>
  <c r="V222" i="5"/>
  <c r="U222" i="5"/>
  <c r="W221" i="5"/>
  <c r="V221" i="5"/>
  <c r="U221" i="5"/>
  <c r="W220" i="5"/>
  <c r="V220" i="5"/>
  <c r="U220" i="5"/>
  <c r="W219" i="5"/>
  <c r="V219" i="5"/>
  <c r="U219" i="5"/>
  <c r="W218" i="5"/>
  <c r="V218" i="5"/>
  <c r="U218" i="5"/>
  <c r="W217" i="5"/>
  <c r="V217" i="5"/>
  <c r="U217" i="5"/>
  <c r="W216" i="5"/>
  <c r="V216" i="5"/>
  <c r="U216" i="5"/>
  <c r="W215" i="5"/>
  <c r="V215" i="5"/>
  <c r="U215" i="5"/>
  <c r="W214" i="5"/>
  <c r="V214" i="5"/>
  <c r="U214" i="5"/>
  <c r="W213" i="5"/>
  <c r="V213" i="5"/>
  <c r="U213" i="5"/>
  <c r="W212" i="5"/>
  <c r="V212" i="5"/>
  <c r="U212" i="5"/>
  <c r="W211" i="5"/>
  <c r="V211" i="5"/>
  <c r="U211" i="5"/>
  <c r="W210" i="5"/>
  <c r="V210" i="5"/>
  <c r="U210" i="5"/>
  <c r="W209" i="5"/>
  <c r="V209" i="5"/>
  <c r="U209" i="5"/>
  <c r="W208" i="5"/>
  <c r="V208" i="5"/>
  <c r="U208" i="5"/>
  <c r="W207" i="5"/>
  <c r="V207" i="5"/>
  <c r="U207" i="5"/>
  <c r="W206" i="5"/>
  <c r="V206" i="5"/>
  <c r="U206" i="5"/>
  <c r="W205" i="5"/>
  <c r="V205" i="5"/>
  <c r="U205" i="5"/>
  <c r="W204" i="5"/>
  <c r="V204" i="5"/>
  <c r="U204" i="5"/>
  <c r="W203" i="5"/>
  <c r="V203" i="5"/>
  <c r="U203" i="5"/>
  <c r="W202" i="5"/>
  <c r="V202" i="5"/>
  <c r="U202" i="5"/>
  <c r="W201" i="5"/>
  <c r="V201" i="5"/>
  <c r="U201" i="5"/>
  <c r="W200" i="5"/>
  <c r="V200" i="5"/>
  <c r="U200" i="5"/>
  <c r="W199" i="5"/>
  <c r="V199" i="5"/>
  <c r="U199" i="5"/>
  <c r="W198" i="5"/>
  <c r="V198" i="5"/>
  <c r="U198" i="5"/>
  <c r="W197" i="5"/>
  <c r="V197" i="5"/>
  <c r="U197" i="5"/>
  <c r="W196" i="5"/>
  <c r="V196" i="5"/>
  <c r="U196" i="5"/>
  <c r="W195" i="5"/>
  <c r="V195" i="5"/>
  <c r="U195" i="5"/>
  <c r="W194" i="5"/>
  <c r="V194" i="5"/>
  <c r="U194" i="5"/>
  <c r="W193" i="5"/>
  <c r="V193" i="5"/>
  <c r="U193" i="5"/>
  <c r="W192" i="5"/>
  <c r="V192" i="5"/>
  <c r="U192" i="5"/>
  <c r="W191" i="5"/>
  <c r="V191" i="5"/>
  <c r="U191" i="5"/>
  <c r="W190" i="5"/>
  <c r="V190" i="5"/>
  <c r="U190" i="5"/>
  <c r="W189" i="5"/>
  <c r="V189" i="5"/>
  <c r="U189" i="5"/>
  <c r="W188" i="5"/>
  <c r="V188" i="5"/>
  <c r="U188" i="5"/>
  <c r="W187" i="5"/>
  <c r="V187" i="5"/>
  <c r="U187" i="5"/>
  <c r="W186" i="5"/>
  <c r="V186" i="5"/>
  <c r="U186" i="5"/>
  <c r="W185" i="5"/>
  <c r="V185" i="5"/>
  <c r="U185" i="5"/>
  <c r="W184" i="5"/>
  <c r="V184" i="5"/>
  <c r="U184" i="5"/>
  <c r="W183" i="5"/>
  <c r="V183" i="5"/>
  <c r="U183" i="5"/>
  <c r="W182" i="5"/>
  <c r="V182" i="5"/>
  <c r="U182" i="5"/>
  <c r="W181" i="5"/>
  <c r="V181" i="5"/>
  <c r="U181" i="5"/>
  <c r="W180" i="5"/>
  <c r="V180" i="5"/>
  <c r="U180" i="5"/>
  <c r="W179" i="5"/>
  <c r="V179" i="5"/>
  <c r="U179" i="5"/>
  <c r="W178" i="5"/>
  <c r="V178" i="5"/>
  <c r="U178" i="5"/>
  <c r="W177" i="5"/>
  <c r="V177" i="5"/>
  <c r="U177" i="5"/>
  <c r="W176" i="5"/>
  <c r="V176" i="5"/>
  <c r="U176" i="5"/>
  <c r="W175" i="5"/>
  <c r="V175" i="5"/>
  <c r="U175" i="5"/>
  <c r="W174" i="5"/>
  <c r="V174" i="5"/>
  <c r="U174" i="5"/>
  <c r="W173" i="5"/>
  <c r="V173" i="5"/>
  <c r="U173" i="5"/>
  <c r="W172" i="5"/>
  <c r="V172" i="5"/>
  <c r="U172" i="5"/>
  <c r="W171" i="5"/>
  <c r="V171" i="5"/>
  <c r="U171" i="5"/>
  <c r="W170" i="5"/>
  <c r="V170" i="5"/>
  <c r="U170" i="5"/>
  <c r="W169" i="5"/>
  <c r="V169" i="5"/>
  <c r="U169" i="5"/>
  <c r="W168" i="5"/>
  <c r="V168" i="5"/>
  <c r="U168" i="5"/>
  <c r="W167" i="5"/>
  <c r="V167" i="5"/>
  <c r="U167" i="5"/>
  <c r="W166" i="5"/>
  <c r="V166" i="5"/>
  <c r="U166" i="5"/>
  <c r="W165" i="5"/>
  <c r="V165" i="5"/>
  <c r="U165" i="5"/>
  <c r="W164" i="5"/>
  <c r="V164" i="5"/>
  <c r="U164" i="5"/>
  <c r="W163" i="5"/>
  <c r="V163" i="5"/>
  <c r="U163" i="5"/>
  <c r="W162" i="5"/>
  <c r="V162" i="5"/>
  <c r="U162" i="5"/>
  <c r="W161" i="5"/>
  <c r="V161" i="5"/>
  <c r="U161" i="5"/>
  <c r="W160" i="5"/>
  <c r="V160" i="5"/>
  <c r="U160" i="5"/>
  <c r="W159" i="5"/>
  <c r="V159" i="5"/>
  <c r="U159" i="5"/>
  <c r="W158" i="5"/>
  <c r="V158" i="5"/>
  <c r="U158" i="5"/>
  <c r="W157" i="5"/>
  <c r="V157" i="5"/>
  <c r="U157" i="5"/>
  <c r="W156" i="5"/>
  <c r="V156" i="5"/>
  <c r="U156" i="5"/>
  <c r="W155" i="5"/>
  <c r="V155" i="5"/>
  <c r="U155" i="5"/>
  <c r="W154" i="5"/>
  <c r="V154" i="5"/>
  <c r="U154" i="5"/>
  <c r="W153" i="5"/>
  <c r="V153" i="5"/>
  <c r="U153" i="5"/>
  <c r="W152" i="5"/>
  <c r="V152" i="5"/>
  <c r="U152" i="5"/>
  <c r="W151" i="5"/>
  <c r="V151" i="5"/>
  <c r="U151" i="5"/>
  <c r="W150" i="5"/>
  <c r="V150" i="5"/>
  <c r="U150" i="5"/>
  <c r="W149" i="5"/>
  <c r="V149" i="5"/>
  <c r="U149" i="5"/>
  <c r="W148" i="5"/>
  <c r="V148" i="5"/>
  <c r="U148" i="5"/>
  <c r="W147" i="5"/>
  <c r="V147" i="5"/>
  <c r="U147" i="5"/>
  <c r="W146" i="5"/>
  <c r="V146" i="5"/>
  <c r="U146" i="5"/>
  <c r="W145" i="5"/>
  <c r="V145" i="5"/>
  <c r="U145" i="5"/>
  <c r="W144" i="5"/>
  <c r="V144" i="5"/>
  <c r="U144" i="5"/>
  <c r="W143" i="5"/>
  <c r="V143" i="5"/>
  <c r="U143" i="5"/>
  <c r="W142" i="5"/>
  <c r="V142" i="5"/>
  <c r="U142" i="5"/>
  <c r="W141" i="5"/>
  <c r="V141" i="5"/>
  <c r="U141" i="5"/>
  <c r="W140" i="5"/>
  <c r="V140" i="5"/>
  <c r="U140" i="5"/>
  <c r="W139" i="5"/>
  <c r="V139" i="5"/>
  <c r="U139" i="5"/>
  <c r="W138" i="5"/>
  <c r="V138" i="5"/>
  <c r="U138" i="5"/>
  <c r="W137" i="5"/>
  <c r="V137" i="5"/>
  <c r="U137" i="5"/>
  <c r="W136" i="5"/>
  <c r="V136" i="5"/>
  <c r="U136" i="5"/>
  <c r="W135" i="5"/>
  <c r="V135" i="5"/>
  <c r="U135" i="5"/>
  <c r="W134" i="5"/>
  <c r="V134" i="5"/>
  <c r="U134" i="5"/>
  <c r="W133" i="5"/>
  <c r="V133" i="5"/>
  <c r="U133" i="5"/>
  <c r="W132" i="5"/>
  <c r="V132" i="5"/>
  <c r="U132" i="5"/>
  <c r="W131" i="5"/>
  <c r="V131" i="5"/>
  <c r="U131" i="5"/>
  <c r="W130" i="5"/>
  <c r="V130" i="5"/>
  <c r="U130" i="5"/>
  <c r="W129" i="5"/>
  <c r="V129" i="5"/>
  <c r="U129" i="5"/>
  <c r="W128" i="5"/>
  <c r="V128" i="5"/>
  <c r="U128" i="5"/>
  <c r="W127" i="5"/>
  <c r="V127" i="5"/>
  <c r="U127" i="5"/>
  <c r="W126" i="5"/>
  <c r="V126" i="5"/>
  <c r="U126" i="5"/>
  <c r="W125" i="5"/>
  <c r="V125" i="5"/>
  <c r="U125" i="5"/>
  <c r="W124" i="5"/>
  <c r="V124" i="5"/>
  <c r="U124" i="5"/>
  <c r="W123" i="5"/>
  <c r="V123" i="5"/>
  <c r="U123" i="5"/>
  <c r="W122" i="5"/>
  <c r="V122" i="5"/>
  <c r="U122" i="5"/>
  <c r="W121" i="5"/>
  <c r="V121" i="5"/>
  <c r="U121" i="5"/>
  <c r="W120" i="5"/>
  <c r="V120" i="5"/>
  <c r="U120" i="5"/>
  <c r="W119" i="5"/>
  <c r="V119" i="5"/>
  <c r="U119" i="5"/>
  <c r="W118" i="5"/>
  <c r="V118" i="5"/>
  <c r="U118" i="5"/>
  <c r="W117" i="5"/>
  <c r="V117" i="5"/>
  <c r="U117" i="5"/>
  <c r="W116" i="5"/>
  <c r="V116" i="5"/>
  <c r="U116" i="5"/>
  <c r="W115" i="5"/>
  <c r="V115" i="5"/>
  <c r="U115" i="5"/>
  <c r="W114" i="5"/>
  <c r="V114" i="5"/>
  <c r="U114" i="5"/>
  <c r="W113" i="5"/>
  <c r="V113" i="5"/>
  <c r="U113" i="5"/>
  <c r="W112" i="5"/>
  <c r="V112" i="5"/>
  <c r="U112" i="5"/>
  <c r="U111" i="5"/>
  <c r="W110" i="5"/>
  <c r="V110" i="5"/>
  <c r="U110" i="5"/>
  <c r="V109" i="5"/>
  <c r="U109" i="5"/>
  <c r="W108" i="5"/>
  <c r="V108" i="5"/>
  <c r="U108" i="5"/>
  <c r="W107" i="5"/>
  <c r="V107" i="5"/>
  <c r="W106" i="5"/>
  <c r="V106" i="5"/>
  <c r="U106" i="5"/>
  <c r="W105" i="5"/>
  <c r="V105" i="5"/>
  <c r="U105" i="5"/>
  <c r="W104" i="5"/>
  <c r="V104" i="5"/>
  <c r="U104" i="5"/>
  <c r="W103" i="5"/>
  <c r="V103" i="5"/>
  <c r="U103" i="5"/>
  <c r="W102" i="5"/>
  <c r="V102" i="5"/>
  <c r="U102" i="5"/>
  <c r="W101" i="5"/>
  <c r="V101" i="5"/>
  <c r="U101" i="5"/>
  <c r="W100" i="5"/>
  <c r="V100" i="5"/>
  <c r="U100" i="5"/>
  <c r="W99" i="5"/>
  <c r="V99" i="5"/>
  <c r="U99" i="5"/>
  <c r="W98" i="5"/>
  <c r="V98" i="5"/>
  <c r="U98" i="5"/>
  <c r="W97" i="5"/>
  <c r="V97" i="5"/>
  <c r="U97" i="5"/>
  <c r="W96" i="5"/>
  <c r="V96" i="5"/>
  <c r="U96" i="5"/>
  <c r="W95" i="5"/>
  <c r="V95" i="5"/>
  <c r="U95" i="5"/>
  <c r="W94" i="5"/>
  <c r="V94" i="5"/>
  <c r="U94" i="5"/>
  <c r="W93" i="5"/>
  <c r="V93" i="5"/>
  <c r="U93" i="5"/>
  <c r="W92" i="5"/>
  <c r="V92" i="5"/>
  <c r="U92" i="5"/>
  <c r="W91" i="5"/>
  <c r="V91" i="5"/>
  <c r="U91" i="5"/>
  <c r="W90" i="5"/>
  <c r="V90" i="5"/>
  <c r="U90" i="5"/>
  <c r="W89" i="5"/>
  <c r="V89" i="5"/>
  <c r="U89" i="5"/>
  <c r="W88" i="5"/>
  <c r="V88" i="5"/>
  <c r="U88" i="5"/>
  <c r="W87" i="5"/>
  <c r="V87" i="5"/>
  <c r="U87" i="5"/>
  <c r="W86" i="5"/>
  <c r="V86" i="5"/>
  <c r="U86" i="5"/>
  <c r="W85" i="5"/>
  <c r="V85" i="5"/>
  <c r="U85" i="5"/>
  <c r="W84" i="5"/>
  <c r="V84" i="5"/>
  <c r="U84" i="5"/>
  <c r="W83" i="5"/>
  <c r="V83" i="5"/>
  <c r="U83" i="5"/>
  <c r="W82" i="5"/>
  <c r="V82" i="5"/>
  <c r="U82" i="5"/>
  <c r="W81" i="5"/>
  <c r="V81" i="5"/>
  <c r="U81" i="5"/>
  <c r="W80" i="5"/>
  <c r="V80" i="5"/>
  <c r="U80" i="5"/>
  <c r="W79" i="5"/>
  <c r="V79" i="5"/>
  <c r="U79" i="5"/>
  <c r="W78" i="5"/>
  <c r="V78" i="5"/>
  <c r="U78" i="5"/>
  <c r="W77" i="5"/>
  <c r="V77" i="5"/>
  <c r="U77" i="5"/>
  <c r="W76" i="5"/>
  <c r="V76" i="5"/>
  <c r="U76" i="5"/>
  <c r="W75" i="5"/>
  <c r="V75" i="5"/>
  <c r="U75" i="5"/>
  <c r="W74" i="5"/>
  <c r="V74" i="5"/>
  <c r="U74" i="5"/>
  <c r="W73" i="5"/>
  <c r="V73" i="5"/>
  <c r="U73" i="5"/>
  <c r="W72" i="5"/>
  <c r="V72" i="5"/>
  <c r="U72" i="5"/>
  <c r="W71" i="5"/>
  <c r="V71" i="5"/>
  <c r="U71" i="5"/>
  <c r="W70" i="5"/>
  <c r="V70" i="5"/>
  <c r="U70" i="5"/>
  <c r="W69" i="5"/>
  <c r="V69" i="5"/>
  <c r="U69" i="5"/>
  <c r="W68" i="5"/>
  <c r="V68" i="5"/>
  <c r="U68" i="5"/>
  <c r="W67" i="5"/>
  <c r="V67" i="5"/>
  <c r="U67" i="5"/>
  <c r="W66" i="5"/>
  <c r="V66" i="5"/>
  <c r="U66" i="5"/>
  <c r="W65" i="5"/>
  <c r="V65" i="5"/>
  <c r="U65" i="5"/>
  <c r="W64" i="5"/>
  <c r="V64" i="5"/>
  <c r="U64" i="5"/>
  <c r="W63" i="5"/>
  <c r="V63" i="5"/>
  <c r="U63" i="5"/>
  <c r="W62" i="5"/>
  <c r="V62" i="5"/>
  <c r="U62" i="5"/>
  <c r="W61" i="5"/>
  <c r="V61" i="5"/>
  <c r="U61" i="5"/>
  <c r="W60" i="5"/>
  <c r="V60" i="5"/>
  <c r="U60" i="5"/>
  <c r="W59" i="5"/>
  <c r="V59" i="5"/>
  <c r="U59" i="5"/>
  <c r="W58" i="5"/>
  <c r="V58" i="5"/>
  <c r="U58" i="5"/>
  <c r="W57" i="5"/>
  <c r="V57" i="5"/>
  <c r="U57" i="5"/>
  <c r="W56" i="5"/>
  <c r="V56" i="5"/>
  <c r="U56" i="5"/>
  <c r="W55" i="5"/>
  <c r="V55" i="5"/>
  <c r="U55" i="5"/>
  <c r="W54" i="5"/>
  <c r="V54" i="5"/>
  <c r="U54" i="5"/>
  <c r="W53" i="5"/>
  <c r="V53" i="5"/>
  <c r="U53" i="5"/>
  <c r="W52" i="5"/>
  <c r="V52" i="5"/>
  <c r="U52" i="5"/>
  <c r="W51" i="5"/>
  <c r="V51" i="5"/>
  <c r="U51" i="5"/>
  <c r="W50" i="5"/>
  <c r="V50" i="5"/>
  <c r="U50" i="5"/>
  <c r="W49" i="5"/>
  <c r="V49" i="5"/>
  <c r="U49" i="5"/>
  <c r="W48" i="5"/>
  <c r="V48" i="5"/>
  <c r="U48" i="5"/>
  <c r="W47" i="5"/>
  <c r="V47" i="5"/>
  <c r="U47" i="5"/>
  <c r="W46" i="5"/>
  <c r="V46" i="5"/>
  <c r="U46" i="5"/>
  <c r="W45" i="5"/>
  <c r="V45" i="5"/>
  <c r="U45" i="5"/>
  <c r="W44" i="5"/>
  <c r="V44" i="5"/>
  <c r="U44" i="5"/>
  <c r="W43" i="5"/>
  <c r="V43" i="5"/>
  <c r="U43" i="5"/>
  <c r="W42" i="5"/>
  <c r="V42" i="5"/>
  <c r="U42" i="5"/>
  <c r="W41" i="5"/>
  <c r="V41" i="5"/>
  <c r="U41" i="5"/>
  <c r="W40" i="5"/>
  <c r="V40" i="5"/>
  <c r="U40" i="5"/>
  <c r="W39" i="5"/>
  <c r="V39" i="5"/>
  <c r="U39" i="5"/>
  <c r="W38" i="5"/>
  <c r="V38" i="5"/>
  <c r="U38" i="5"/>
  <c r="W37" i="5"/>
  <c r="V37" i="5"/>
  <c r="U37" i="5"/>
  <c r="W36" i="5"/>
  <c r="V36" i="5"/>
  <c r="U36" i="5"/>
  <c r="W35" i="5"/>
  <c r="V35" i="5"/>
  <c r="U35" i="5"/>
  <c r="W34" i="5"/>
  <c r="V34" i="5"/>
  <c r="U34" i="5"/>
  <c r="W33" i="5"/>
  <c r="V33" i="5"/>
  <c r="U33" i="5"/>
  <c r="W32" i="5"/>
  <c r="V32" i="5"/>
  <c r="U32" i="5"/>
  <c r="W31" i="5"/>
  <c r="V31" i="5"/>
  <c r="U31" i="5"/>
  <c r="W30" i="5"/>
  <c r="V30" i="5"/>
  <c r="U30" i="5"/>
  <c r="W29" i="5"/>
  <c r="V29" i="5"/>
  <c r="U29" i="5"/>
  <c r="W28" i="5"/>
  <c r="V28" i="5"/>
  <c r="U28" i="5"/>
  <c r="W27" i="5"/>
  <c r="V27" i="5"/>
  <c r="U27" i="5"/>
  <c r="W26" i="5"/>
  <c r="V26" i="5"/>
  <c r="U26" i="5"/>
  <c r="W25" i="5"/>
  <c r="V25" i="5"/>
  <c r="U25" i="5"/>
  <c r="W24" i="5"/>
  <c r="V24" i="5"/>
  <c r="U24" i="5"/>
  <c r="W23" i="5"/>
  <c r="V23" i="5"/>
  <c r="U23" i="5"/>
  <c r="W22" i="5"/>
  <c r="V22" i="5"/>
  <c r="U22" i="5"/>
  <c r="W21" i="5"/>
  <c r="V21" i="5"/>
  <c r="U21" i="5"/>
  <c r="W20" i="5"/>
  <c r="V20" i="5"/>
  <c r="U20" i="5"/>
  <c r="W19" i="5"/>
  <c r="V19" i="5"/>
  <c r="U19" i="5"/>
  <c r="W18" i="5"/>
  <c r="V18" i="5"/>
  <c r="U18" i="5"/>
  <c r="W17" i="5"/>
  <c r="V17" i="5"/>
  <c r="U17" i="5"/>
  <c r="W16" i="5"/>
  <c r="V16" i="5"/>
  <c r="U16" i="5"/>
  <c r="W15" i="5"/>
  <c r="V15" i="5"/>
  <c r="U15" i="5"/>
  <c r="W14" i="5"/>
  <c r="V14" i="5"/>
  <c r="U14" i="5"/>
  <c r="W13" i="5"/>
  <c r="V13" i="5"/>
  <c r="U13" i="5"/>
  <c r="W12" i="5"/>
  <c r="V12" i="5"/>
  <c r="U12" i="5"/>
  <c r="W11" i="5"/>
  <c r="V11" i="5"/>
  <c r="U11" i="5"/>
  <c r="W10" i="5"/>
  <c r="V10" i="5"/>
  <c r="U10" i="5"/>
  <c r="W9" i="5"/>
  <c r="V9" i="5"/>
  <c r="U9" i="5"/>
  <c r="W8" i="5"/>
  <c r="V8" i="5"/>
  <c r="U8" i="5"/>
  <c r="W7" i="5"/>
  <c r="V7" i="5"/>
  <c r="U7" i="5"/>
  <c r="W6" i="5"/>
  <c r="V6" i="5"/>
  <c r="U6" i="5"/>
  <c r="W5" i="5"/>
  <c r="V5" i="5"/>
  <c r="U5" i="5"/>
  <c r="I249" i="1"/>
  <c r="I244" i="1"/>
  <c r="I235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215" i="3"/>
  <c r="I214" i="3"/>
  <c r="I213" i="3"/>
  <c r="I210" i="3"/>
  <c r="I209" i="3"/>
  <c r="I208" i="3"/>
  <c r="I205" i="3"/>
  <c r="I204" i="3"/>
  <c r="I203" i="3"/>
  <c r="I202" i="3"/>
  <c r="I199" i="3"/>
  <c r="I198" i="3"/>
  <c r="I195" i="3"/>
  <c r="I194" i="3"/>
  <c r="I193" i="3"/>
  <c r="I190" i="3"/>
  <c r="I189" i="3"/>
  <c r="I186" i="3"/>
  <c r="I185" i="3"/>
  <c r="I184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29" i="2"/>
  <c r="I228" i="2"/>
  <c r="I227" i="2"/>
  <c r="I226" i="2"/>
  <c r="I224" i="2"/>
  <c r="I223" i="2"/>
  <c r="I222" i="2"/>
  <c r="I221" i="2"/>
  <c r="I219" i="2"/>
  <c r="I218" i="2"/>
  <c r="I217" i="2"/>
  <c r="I214" i="2"/>
  <c r="I213" i="2"/>
  <c r="I212" i="2"/>
  <c r="I209" i="2"/>
  <c r="I208" i="2"/>
  <c r="I207" i="2"/>
  <c r="I206" i="2"/>
  <c r="I203" i="2"/>
  <c r="I202" i="2"/>
  <c r="I199" i="2"/>
  <c r="I198" i="2"/>
  <c r="I197" i="2"/>
  <c r="I194" i="2"/>
  <c r="I193" i="2"/>
  <c r="I190" i="2"/>
  <c r="I189" i="2"/>
  <c r="I188" i="2"/>
  <c r="I184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AO349" i="5"/>
  <c r="AN349" i="5"/>
  <c r="AL349" i="5"/>
  <c r="AK349" i="5"/>
  <c r="AI349" i="5"/>
  <c r="AH349" i="5"/>
  <c r="AF349" i="5"/>
  <c r="AE349" i="5"/>
  <c r="AC349" i="5"/>
  <c r="AB349" i="5"/>
  <c r="Z349" i="5"/>
  <c r="Y349" i="5"/>
  <c r="W349" i="5"/>
  <c r="V349" i="5"/>
  <c r="AN343" i="5"/>
  <c r="AI343" i="5"/>
  <c r="AF343" i="5"/>
  <c r="AE343" i="5"/>
  <c r="AB343" i="5"/>
  <c r="W343" i="5"/>
  <c r="AO342" i="5"/>
  <c r="AN342" i="5"/>
  <c r="AL342" i="5"/>
  <c r="AK342" i="5"/>
  <c r="AI342" i="5"/>
  <c r="AH342" i="5"/>
  <c r="AF342" i="5"/>
  <c r="AE342" i="5"/>
  <c r="AC342" i="5"/>
  <c r="AB342" i="5"/>
  <c r="Z342" i="5"/>
  <c r="Y342" i="5"/>
  <c r="W342" i="5"/>
  <c r="V342" i="5"/>
  <c r="AO339" i="5"/>
  <c r="AO344" i="5" s="1"/>
  <c r="AN339" i="5"/>
  <c r="AN344" i="5" s="1"/>
  <c r="AL339" i="5"/>
  <c r="AL344" i="5" s="1"/>
  <c r="AK339" i="5"/>
  <c r="AK344" i="5" s="1"/>
  <c r="AI339" i="5"/>
  <c r="AI344" i="5" s="1"/>
  <c r="AH339" i="5"/>
  <c r="AH344" i="5" s="1"/>
  <c r="AF339" i="5"/>
  <c r="AF344" i="5" s="1"/>
  <c r="AE339" i="5"/>
  <c r="AE344" i="5" s="1"/>
  <c r="AC339" i="5"/>
  <c r="AC344" i="5" s="1"/>
  <c r="AB339" i="5"/>
  <c r="AB344" i="5" s="1"/>
  <c r="Z339" i="5"/>
  <c r="Z344" i="5" s="1"/>
  <c r="Y339" i="5"/>
  <c r="Y344" i="5" s="1"/>
  <c r="W339" i="5"/>
  <c r="W344" i="5" s="1"/>
  <c r="V339" i="5"/>
  <c r="V344" i="5" s="1"/>
  <c r="AO343" i="5"/>
  <c r="AL343" i="5"/>
  <c r="AK343" i="5"/>
  <c r="AH343" i="5"/>
  <c r="AG343" i="5"/>
  <c r="AC343" i="5"/>
  <c r="Z343" i="5"/>
  <c r="Y343" i="5"/>
  <c r="V343" i="5"/>
  <c r="U343" i="5"/>
  <c r="AO325" i="5"/>
  <c r="AL325" i="5"/>
  <c r="AI325" i="5"/>
  <c r="AF325" i="5"/>
  <c r="AC325" i="5"/>
  <c r="Z325" i="5"/>
  <c r="W325" i="5"/>
  <c r="AO321" i="5"/>
  <c r="AO327" i="5" s="1"/>
  <c r="AN321" i="5"/>
  <c r="AN327" i="5" s="1"/>
  <c r="AM321" i="5"/>
  <c r="AL321" i="5"/>
  <c r="AL327" i="5" s="1"/>
  <c r="AK321" i="5"/>
  <c r="AK327" i="5" s="1"/>
  <c r="AJ321" i="5"/>
  <c r="AI321" i="5"/>
  <c r="AI327" i="5" s="1"/>
  <c r="AH321" i="5"/>
  <c r="AH327" i="5" s="1"/>
  <c r="AG321" i="5"/>
  <c r="AF321" i="5"/>
  <c r="AF327" i="5" s="1"/>
  <c r="AE321" i="5"/>
  <c r="AE327" i="5" s="1"/>
  <c r="AD321" i="5"/>
  <c r="AC321" i="5"/>
  <c r="AC327" i="5" s="1"/>
  <c r="AB321" i="5"/>
  <c r="AB327" i="5" s="1"/>
  <c r="AA321" i="5"/>
  <c r="Z321" i="5"/>
  <c r="Z327" i="5" s="1"/>
  <c r="Y321" i="5"/>
  <c r="Y327" i="5" s="1"/>
  <c r="X321" i="5"/>
  <c r="W321" i="5"/>
  <c r="W327" i="5" s="1"/>
  <c r="V321" i="5"/>
  <c r="V327" i="5" s="1"/>
  <c r="U321" i="5"/>
  <c r="AM349" i="5"/>
  <c r="AJ349" i="5"/>
  <c r="AG349" i="5"/>
  <c r="AD349" i="5"/>
  <c r="AA349" i="5"/>
  <c r="X349" i="5"/>
  <c r="U349" i="5"/>
  <c r="AO347" i="5"/>
  <c r="AN347" i="5"/>
  <c r="AM347" i="5"/>
  <c r="AL347" i="5"/>
  <c r="AK347" i="5"/>
  <c r="AJ347" i="5"/>
  <c r="AI347" i="5"/>
  <c r="AH347" i="5"/>
  <c r="AG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AO109" i="5"/>
  <c r="AO348" i="5" s="1"/>
  <c r="AN346" i="5"/>
  <c r="AM346" i="5"/>
  <c r="AK348" i="5"/>
  <c r="AJ346" i="5"/>
  <c r="AH348" i="5"/>
  <c r="AG348" i="5"/>
  <c r="AF109" i="5"/>
  <c r="AF346" i="5" s="1"/>
  <c r="AE346" i="5"/>
  <c r="AD348" i="5"/>
  <c r="AC109" i="5"/>
  <c r="AC348" i="5" s="1"/>
  <c r="AB346" i="5"/>
  <c r="AA346" i="5"/>
  <c r="Y348" i="5"/>
  <c r="X346" i="5"/>
  <c r="V348" i="5"/>
  <c r="U348" i="5"/>
  <c r="AO318" i="5"/>
  <c r="AO326" i="5" s="1"/>
  <c r="AN318" i="5"/>
  <c r="AN326" i="5" s="1"/>
  <c r="AM318" i="5"/>
  <c r="AK318" i="5"/>
  <c r="AK326" i="5" s="1"/>
  <c r="AJ318" i="5"/>
  <c r="AH318" i="5"/>
  <c r="AH326" i="5" s="1"/>
  <c r="AG318" i="5"/>
  <c r="AF318" i="5"/>
  <c r="AF326" i="5" s="1"/>
  <c r="AE318" i="5"/>
  <c r="AE326" i="5" s="1"/>
  <c r="AD318" i="5"/>
  <c r="AC318" i="5"/>
  <c r="AC326" i="5" s="1"/>
  <c r="AB318" i="5"/>
  <c r="AB326" i="5" s="1"/>
  <c r="AA318" i="5"/>
  <c r="Y318" i="5"/>
  <c r="Y326" i="5" s="1"/>
  <c r="X318" i="5"/>
  <c r="V318" i="5"/>
  <c r="V326" i="5" s="1"/>
  <c r="U318" i="5"/>
  <c r="L262" i="1"/>
  <c r="N261" i="1"/>
  <c r="J261" i="1"/>
  <c r="O260" i="1"/>
  <c r="K260" i="1"/>
  <c r="O256" i="1"/>
  <c r="L256" i="1"/>
  <c r="K256" i="1"/>
  <c r="M256" i="1"/>
  <c r="I256" i="1"/>
  <c r="L234" i="1"/>
  <c r="L236" i="1" s="1"/>
  <c r="L240" i="1" s="1"/>
  <c r="O234" i="1"/>
  <c r="O236" i="1" s="1"/>
  <c r="O240" i="1" s="1"/>
  <c r="N234" i="1"/>
  <c r="N236" i="1" s="1"/>
  <c r="N240" i="1" s="1"/>
  <c r="M234" i="1"/>
  <c r="M236" i="1" s="1"/>
  <c r="M240" i="1" s="1"/>
  <c r="K234" i="1"/>
  <c r="K236" i="1" s="1"/>
  <c r="K240" i="1" s="1"/>
  <c r="J234" i="1"/>
  <c r="J236" i="1" s="1"/>
  <c r="J240" i="1" s="1"/>
  <c r="I234" i="1"/>
  <c r="I236" i="1" s="1"/>
  <c r="I240" i="1" s="1"/>
  <c r="O262" i="1"/>
  <c r="N262" i="1"/>
  <c r="M262" i="1"/>
  <c r="K262" i="1"/>
  <c r="J262" i="1"/>
  <c r="I262" i="1"/>
  <c r="N260" i="1"/>
  <c r="M260" i="1"/>
  <c r="L260" i="1"/>
  <c r="J260" i="1"/>
  <c r="I260" i="1"/>
  <c r="O259" i="1"/>
  <c r="M261" i="1"/>
  <c r="L259" i="1"/>
  <c r="K259" i="1"/>
  <c r="I261" i="1"/>
  <c r="O231" i="1"/>
  <c r="N231" i="1"/>
  <c r="M231" i="1"/>
  <c r="L231" i="1"/>
  <c r="K231" i="1"/>
  <c r="J231" i="1"/>
  <c r="I231" i="1"/>
  <c r="O223" i="3"/>
  <c r="N223" i="3"/>
  <c r="M223" i="3"/>
  <c r="L223" i="3"/>
  <c r="K223" i="3"/>
  <c r="J223" i="3"/>
  <c r="I223" i="3"/>
  <c r="L222" i="3"/>
  <c r="O222" i="3"/>
  <c r="K222" i="3"/>
  <c r="N222" i="3"/>
  <c r="M222" i="3"/>
  <c r="J222" i="3"/>
  <c r="I222" i="3"/>
  <c r="O221" i="3"/>
  <c r="M221" i="3"/>
  <c r="L221" i="3"/>
  <c r="K221" i="3"/>
  <c r="I221" i="3"/>
  <c r="O179" i="3"/>
  <c r="K179" i="3"/>
  <c r="N179" i="3"/>
  <c r="M179" i="3"/>
  <c r="L179" i="3"/>
  <c r="J179" i="3"/>
  <c r="I179" i="3"/>
  <c r="O173" i="3"/>
  <c r="O225" i="3" s="1"/>
  <c r="N173" i="3"/>
  <c r="N225" i="3" s="1"/>
  <c r="M173" i="3"/>
  <c r="M225" i="3" s="1"/>
  <c r="L173" i="3"/>
  <c r="L225" i="3" s="1"/>
  <c r="K173" i="3"/>
  <c r="K225" i="3" s="1"/>
  <c r="J173" i="3"/>
  <c r="J225" i="3" s="1"/>
  <c r="I173" i="3"/>
  <c r="I225" i="3" s="1"/>
  <c r="N221" i="3"/>
  <c r="J221" i="3"/>
  <c r="O219" i="3"/>
  <c r="N219" i="3"/>
  <c r="M219" i="3"/>
  <c r="L219" i="3"/>
  <c r="K219" i="3"/>
  <c r="J219" i="3"/>
  <c r="I219" i="3"/>
  <c r="O220" i="3"/>
  <c r="N220" i="3"/>
  <c r="M220" i="3"/>
  <c r="L220" i="3"/>
  <c r="K220" i="3"/>
  <c r="J220" i="3"/>
  <c r="I220" i="3"/>
  <c r="O177" i="3"/>
  <c r="N177" i="3"/>
  <c r="M177" i="3"/>
  <c r="L177" i="3"/>
  <c r="K177" i="3"/>
  <c r="J177" i="3"/>
  <c r="I177" i="3"/>
  <c r="O172" i="3"/>
  <c r="O224" i="3" s="1"/>
  <c r="N172" i="3"/>
  <c r="N224" i="3" s="1"/>
  <c r="M218" i="3"/>
  <c r="L172" i="3"/>
  <c r="L224" i="3" s="1"/>
  <c r="K172" i="3"/>
  <c r="K224" i="3" s="1"/>
  <c r="J172" i="3"/>
  <c r="J224" i="3" s="1"/>
  <c r="I218" i="3"/>
  <c r="N283" i="2"/>
  <c r="J283" i="2"/>
  <c r="N280" i="2"/>
  <c r="J280" i="2"/>
  <c r="M278" i="2"/>
  <c r="I278" i="2"/>
  <c r="O273" i="2"/>
  <c r="L273" i="2"/>
  <c r="K273" i="2"/>
  <c r="M271" i="2"/>
  <c r="I271" i="2"/>
  <c r="N268" i="2"/>
  <c r="J268" i="2"/>
  <c r="M267" i="2"/>
  <c r="I267" i="2"/>
  <c r="O274" i="2"/>
  <c r="N274" i="2"/>
  <c r="M274" i="2"/>
  <c r="L274" i="2"/>
  <c r="K274" i="2"/>
  <c r="J274" i="2"/>
  <c r="I274" i="2"/>
  <c r="M248" i="2"/>
  <c r="L248" i="2"/>
  <c r="I248" i="2"/>
  <c r="O248" i="2"/>
  <c r="N248" i="2"/>
  <c r="K248" i="2"/>
  <c r="J248" i="2"/>
  <c r="N247" i="2"/>
  <c r="M273" i="2"/>
  <c r="J247" i="2"/>
  <c r="I273" i="2"/>
  <c r="O247" i="2"/>
  <c r="M247" i="2"/>
  <c r="L247" i="2"/>
  <c r="K247" i="2"/>
  <c r="I247" i="2"/>
  <c r="O272" i="2"/>
  <c r="N179" i="2"/>
  <c r="L272" i="2"/>
  <c r="K272" i="2"/>
  <c r="J179" i="2"/>
  <c r="N272" i="2"/>
  <c r="M272" i="2"/>
  <c r="J272" i="2"/>
  <c r="I272" i="2"/>
  <c r="M246" i="2"/>
  <c r="I246" i="2"/>
  <c r="O246" i="2"/>
  <c r="L246" i="2"/>
  <c r="K246" i="2"/>
  <c r="O271" i="2"/>
  <c r="N271" i="2"/>
  <c r="L271" i="2"/>
  <c r="K271" i="2"/>
  <c r="J271" i="2"/>
  <c r="O245" i="2"/>
  <c r="N245" i="2"/>
  <c r="M245" i="2"/>
  <c r="K245" i="2"/>
  <c r="J245" i="2"/>
  <c r="I245" i="2"/>
  <c r="O270" i="2"/>
  <c r="N270" i="2"/>
  <c r="M283" i="2"/>
  <c r="L270" i="2"/>
  <c r="K270" i="2"/>
  <c r="J270" i="2"/>
  <c r="I283" i="2"/>
  <c r="O269" i="2"/>
  <c r="N269" i="2"/>
  <c r="M269" i="2"/>
  <c r="L269" i="2"/>
  <c r="K269" i="2"/>
  <c r="J269" i="2"/>
  <c r="I269" i="2"/>
  <c r="O275" i="2"/>
  <c r="N275" i="2"/>
  <c r="M275" i="2"/>
  <c r="L275" i="2"/>
  <c r="K275" i="2"/>
  <c r="J275" i="2"/>
  <c r="I275" i="2"/>
  <c r="O268" i="2"/>
  <c r="M268" i="2"/>
  <c r="L268" i="2"/>
  <c r="K268" i="2"/>
  <c r="I268" i="2"/>
  <c r="O267" i="2"/>
  <c r="N267" i="2"/>
  <c r="L267" i="2"/>
  <c r="K267" i="2"/>
  <c r="J267" i="2"/>
  <c r="N255" i="2"/>
  <c r="M255" i="2"/>
  <c r="J255" i="2"/>
  <c r="I255" i="2"/>
  <c r="O255" i="2"/>
  <c r="L255" i="2"/>
  <c r="K255" i="2"/>
  <c r="M179" i="2"/>
  <c r="I179" i="2"/>
  <c r="O281" i="2"/>
  <c r="N281" i="2"/>
  <c r="M281" i="2"/>
  <c r="L281" i="2"/>
  <c r="K281" i="2"/>
  <c r="J281" i="2"/>
  <c r="I281" i="2"/>
  <c r="O260" i="2"/>
  <c r="N260" i="2"/>
  <c r="M260" i="2"/>
  <c r="L260" i="2"/>
  <c r="K260" i="2"/>
  <c r="J260" i="2"/>
  <c r="I260" i="2"/>
  <c r="O280" i="2"/>
  <c r="M280" i="2"/>
  <c r="L179" i="2"/>
  <c r="K280" i="2"/>
  <c r="I280" i="2"/>
  <c r="O253" i="2"/>
  <c r="K253" i="2"/>
  <c r="O174" i="2"/>
  <c r="O250" i="2" s="1"/>
  <c r="N253" i="2"/>
  <c r="M174" i="2"/>
  <c r="M250" i="2" s="1"/>
  <c r="L174" i="2"/>
  <c r="L250" i="2" s="1"/>
  <c r="K174" i="2"/>
  <c r="K250" i="2" s="1"/>
  <c r="J253" i="2"/>
  <c r="I174" i="2"/>
  <c r="I250" i="2" s="1"/>
  <c r="L245" i="2"/>
  <c r="O243" i="2"/>
  <c r="N243" i="2"/>
  <c r="M243" i="2"/>
  <c r="L243" i="2"/>
  <c r="K243" i="2"/>
  <c r="J243" i="2"/>
  <c r="I243" i="2"/>
  <c r="O279" i="2"/>
  <c r="N279" i="2"/>
  <c r="M279" i="2"/>
  <c r="L279" i="2"/>
  <c r="K279" i="2"/>
  <c r="J279" i="2"/>
  <c r="I279" i="2"/>
  <c r="O278" i="2"/>
  <c r="N278" i="2"/>
  <c r="L278" i="2"/>
  <c r="K278" i="2"/>
  <c r="J278" i="2"/>
  <c r="N261" i="2"/>
  <c r="J261" i="2"/>
  <c r="O261" i="2"/>
  <c r="M261" i="2"/>
  <c r="L261" i="2"/>
  <c r="K261" i="2"/>
  <c r="I261" i="2"/>
  <c r="O256" i="2"/>
  <c r="N256" i="2"/>
  <c r="M256" i="2"/>
  <c r="L256" i="2"/>
  <c r="K256" i="2"/>
  <c r="J256" i="2"/>
  <c r="I256" i="2"/>
  <c r="L259" i="2"/>
  <c r="O259" i="2"/>
  <c r="N259" i="2"/>
  <c r="M259" i="2"/>
  <c r="K259" i="2"/>
  <c r="J259" i="2"/>
  <c r="I259" i="2"/>
  <c r="O258" i="2"/>
  <c r="K258" i="2"/>
  <c r="N258" i="2"/>
  <c r="M258" i="2"/>
  <c r="L258" i="2"/>
  <c r="J258" i="2"/>
  <c r="I258" i="2"/>
  <c r="O244" i="2"/>
  <c r="N244" i="2"/>
  <c r="M244" i="2"/>
  <c r="L244" i="2"/>
  <c r="K244" i="2"/>
  <c r="J244" i="2"/>
  <c r="I244" i="2"/>
  <c r="O254" i="2"/>
  <c r="N254" i="2"/>
  <c r="M254" i="2"/>
  <c r="L254" i="2"/>
  <c r="K254" i="2"/>
  <c r="J254" i="2"/>
  <c r="I254" i="2"/>
  <c r="O277" i="2"/>
  <c r="N277" i="2"/>
  <c r="M277" i="2"/>
  <c r="L277" i="2"/>
  <c r="K277" i="2"/>
  <c r="J277" i="2"/>
  <c r="I277" i="2"/>
  <c r="O276" i="2"/>
  <c r="N276" i="2"/>
  <c r="M276" i="2"/>
  <c r="L276" i="2"/>
  <c r="K276" i="2"/>
  <c r="J276" i="2"/>
  <c r="I276" i="2"/>
  <c r="O173" i="2"/>
  <c r="N257" i="2"/>
  <c r="M242" i="2"/>
  <c r="L173" i="2"/>
  <c r="K173" i="2"/>
  <c r="J257" i="2"/>
  <c r="I242" i="2"/>
  <c r="H225" i="1"/>
  <c r="H226" i="1"/>
  <c r="H227" i="1"/>
  <c r="H228" i="1"/>
  <c r="H229" i="1"/>
  <c r="H224" i="1"/>
  <c r="G225" i="1"/>
  <c r="G226" i="1"/>
  <c r="G227" i="1"/>
  <c r="G228" i="1"/>
  <c r="G229" i="1"/>
  <c r="G224" i="1"/>
  <c r="F225" i="1"/>
  <c r="F226" i="1"/>
  <c r="F227" i="1"/>
  <c r="F228" i="1"/>
  <c r="F229" i="1"/>
  <c r="F224" i="1"/>
  <c r="E225" i="1"/>
  <c r="E226" i="1"/>
  <c r="E227" i="1"/>
  <c r="E228" i="1"/>
  <c r="E229" i="1"/>
  <c r="E224" i="1"/>
  <c r="E235" i="1"/>
  <c r="T313" i="5"/>
  <c r="T314" i="5"/>
  <c r="T315" i="5"/>
  <c r="T316" i="5"/>
  <c r="T317" i="5"/>
  <c r="T312" i="5"/>
  <c r="S313" i="5"/>
  <c r="S314" i="5"/>
  <c r="S315" i="5"/>
  <c r="S316" i="5"/>
  <c r="S317" i="5"/>
  <c r="S312" i="5"/>
  <c r="R313" i="5"/>
  <c r="R314" i="5"/>
  <c r="R315" i="5"/>
  <c r="R316" i="5"/>
  <c r="R317" i="5"/>
  <c r="R312" i="5"/>
  <c r="T310" i="5"/>
  <c r="T311" i="5"/>
  <c r="S310" i="5"/>
  <c r="S311" i="5"/>
  <c r="R310" i="5"/>
  <c r="R311" i="5"/>
  <c r="Q313" i="5"/>
  <c r="Q314" i="5"/>
  <c r="Q315" i="5"/>
  <c r="Q316" i="5"/>
  <c r="Q317" i="5"/>
  <c r="P313" i="5"/>
  <c r="P314" i="5"/>
  <c r="P315" i="5"/>
  <c r="P316" i="5"/>
  <c r="P317" i="5"/>
  <c r="O313" i="5"/>
  <c r="O314" i="5"/>
  <c r="O315" i="5"/>
  <c r="O316" i="5"/>
  <c r="O317" i="5"/>
  <c r="Q312" i="5"/>
  <c r="P312" i="5"/>
  <c r="O312" i="5"/>
  <c r="Q310" i="5"/>
  <c r="Q311" i="5"/>
  <c r="P310" i="5"/>
  <c r="P311" i="5"/>
  <c r="O310" i="5"/>
  <c r="O311" i="5"/>
  <c r="T292" i="5"/>
  <c r="S292" i="5"/>
  <c r="Q292" i="5"/>
  <c r="P292" i="5"/>
  <c r="N292" i="5"/>
  <c r="M292" i="5"/>
  <c r="K292" i="5"/>
  <c r="J292" i="5"/>
  <c r="N313" i="5"/>
  <c r="N314" i="5"/>
  <c r="N315" i="5"/>
  <c r="N316" i="5"/>
  <c r="N317" i="5"/>
  <c r="N312" i="5"/>
  <c r="M313" i="5"/>
  <c r="M314" i="5"/>
  <c r="M315" i="5"/>
  <c r="M316" i="5"/>
  <c r="M317" i="5"/>
  <c r="M312" i="5"/>
  <c r="N310" i="5"/>
  <c r="N311" i="5"/>
  <c r="M310" i="5"/>
  <c r="M311" i="5"/>
  <c r="L313" i="5"/>
  <c r="L314" i="5"/>
  <c r="L315" i="5"/>
  <c r="L316" i="5"/>
  <c r="L317" i="5"/>
  <c r="L312" i="5"/>
  <c r="L310" i="5"/>
  <c r="L311" i="5"/>
  <c r="K313" i="5"/>
  <c r="K314" i="5"/>
  <c r="K315" i="5"/>
  <c r="K316" i="5"/>
  <c r="K317" i="5"/>
  <c r="K312" i="5"/>
  <c r="K310" i="5"/>
  <c r="K311" i="5"/>
  <c r="J313" i="5"/>
  <c r="J314" i="5"/>
  <c r="J315" i="5"/>
  <c r="J316" i="5"/>
  <c r="J317" i="5"/>
  <c r="J312" i="5"/>
  <c r="J310" i="5"/>
  <c r="J311" i="5"/>
  <c r="I313" i="5"/>
  <c r="I314" i="5"/>
  <c r="I315" i="5"/>
  <c r="I316" i="5"/>
  <c r="I317" i="5"/>
  <c r="I312" i="5"/>
  <c r="I311" i="5"/>
  <c r="I310" i="5"/>
  <c r="E311" i="5"/>
  <c r="E312" i="5"/>
  <c r="E313" i="5"/>
  <c r="E314" i="5"/>
  <c r="E315" i="5"/>
  <c r="E316" i="5"/>
  <c r="E317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I288" i="5"/>
  <c r="K289" i="5"/>
  <c r="E222" i="1"/>
  <c r="K291" i="5"/>
  <c r="K297" i="5"/>
  <c r="K298" i="5"/>
  <c r="I299" i="5"/>
  <c r="K300" i="5"/>
  <c r="K301" i="5"/>
  <c r="K302" i="5"/>
  <c r="I303" i="5"/>
  <c r="K304" i="5"/>
  <c r="K293" i="5"/>
  <c r="K294" i="5"/>
  <c r="I295" i="5"/>
  <c r="K296" i="5"/>
  <c r="K305" i="5"/>
  <c r="K306" i="5"/>
  <c r="I307" i="5"/>
  <c r="K308" i="5"/>
  <c r="K309" i="5"/>
  <c r="R337" i="5"/>
  <c r="T333" i="5"/>
  <c r="S333" i="5"/>
  <c r="R333" i="5"/>
  <c r="T309" i="5"/>
  <c r="S309" i="5"/>
  <c r="R309" i="5"/>
  <c r="T308" i="5"/>
  <c r="S308" i="5"/>
  <c r="R308" i="5"/>
  <c r="T307" i="5"/>
  <c r="S307" i="5"/>
  <c r="R307" i="5"/>
  <c r="T306" i="5"/>
  <c r="S306" i="5"/>
  <c r="R306" i="5"/>
  <c r="T305" i="5"/>
  <c r="S305" i="5"/>
  <c r="R305" i="5"/>
  <c r="T304" i="5"/>
  <c r="S304" i="5"/>
  <c r="R304" i="5"/>
  <c r="T303" i="5"/>
  <c r="S303" i="5"/>
  <c r="R303" i="5"/>
  <c r="T302" i="5"/>
  <c r="S302" i="5"/>
  <c r="R302" i="5"/>
  <c r="T301" i="5"/>
  <c r="S301" i="5"/>
  <c r="R301" i="5"/>
  <c r="T300" i="5"/>
  <c r="S300" i="5"/>
  <c r="R300" i="5"/>
  <c r="T299" i="5"/>
  <c r="S299" i="5"/>
  <c r="R299" i="5"/>
  <c r="T298" i="5"/>
  <c r="S298" i="5"/>
  <c r="R298" i="5"/>
  <c r="T297" i="5"/>
  <c r="S297" i="5"/>
  <c r="R297" i="5"/>
  <c r="T296" i="5"/>
  <c r="S296" i="5"/>
  <c r="R296" i="5"/>
  <c r="T295" i="5"/>
  <c r="S295" i="5"/>
  <c r="R295" i="5"/>
  <c r="T294" i="5"/>
  <c r="S294" i="5"/>
  <c r="R294" i="5"/>
  <c r="T293" i="5"/>
  <c r="S293" i="5"/>
  <c r="R293" i="5"/>
  <c r="T291" i="5"/>
  <c r="S291" i="5"/>
  <c r="R291" i="5"/>
  <c r="T290" i="5"/>
  <c r="S290" i="5"/>
  <c r="R290" i="5"/>
  <c r="T289" i="5"/>
  <c r="S289" i="5"/>
  <c r="R289" i="5"/>
  <c r="T288" i="5"/>
  <c r="S288" i="5"/>
  <c r="R288" i="5"/>
  <c r="T287" i="5"/>
  <c r="S287" i="5"/>
  <c r="R287" i="5"/>
  <c r="T286" i="5"/>
  <c r="S286" i="5"/>
  <c r="R286" i="5"/>
  <c r="T285" i="5"/>
  <c r="S285" i="5"/>
  <c r="R285" i="5"/>
  <c r="T284" i="5"/>
  <c r="S284" i="5"/>
  <c r="R284" i="5"/>
  <c r="T283" i="5"/>
  <c r="S283" i="5"/>
  <c r="R283" i="5"/>
  <c r="T282" i="5"/>
  <c r="S282" i="5"/>
  <c r="R282" i="5"/>
  <c r="T281" i="5"/>
  <c r="S281" i="5"/>
  <c r="R281" i="5"/>
  <c r="T280" i="5"/>
  <c r="S280" i="5"/>
  <c r="R280" i="5"/>
  <c r="T279" i="5"/>
  <c r="S279" i="5"/>
  <c r="R279" i="5"/>
  <c r="T278" i="5"/>
  <c r="S278" i="5"/>
  <c r="R278" i="5"/>
  <c r="T277" i="5"/>
  <c r="S277" i="5"/>
  <c r="R277" i="5"/>
  <c r="T276" i="5"/>
  <c r="S276" i="5"/>
  <c r="R276" i="5"/>
  <c r="T275" i="5"/>
  <c r="S275" i="5"/>
  <c r="R275" i="5"/>
  <c r="T274" i="5"/>
  <c r="S274" i="5"/>
  <c r="R274" i="5"/>
  <c r="T273" i="5"/>
  <c r="S273" i="5"/>
  <c r="R273" i="5"/>
  <c r="T272" i="5"/>
  <c r="S272" i="5"/>
  <c r="R272" i="5"/>
  <c r="T271" i="5"/>
  <c r="S271" i="5"/>
  <c r="R271" i="5"/>
  <c r="T270" i="5"/>
  <c r="S270" i="5"/>
  <c r="R270" i="5"/>
  <c r="T269" i="5"/>
  <c r="S269" i="5"/>
  <c r="R269" i="5"/>
  <c r="T268" i="5"/>
  <c r="S268" i="5"/>
  <c r="R268" i="5"/>
  <c r="T267" i="5"/>
  <c r="S267" i="5"/>
  <c r="R267" i="5"/>
  <c r="T266" i="5"/>
  <c r="S266" i="5"/>
  <c r="R266" i="5"/>
  <c r="T265" i="5"/>
  <c r="S265" i="5"/>
  <c r="R265" i="5"/>
  <c r="T264" i="5"/>
  <c r="S264" i="5"/>
  <c r="R264" i="5"/>
  <c r="T263" i="5"/>
  <c r="S263" i="5"/>
  <c r="R263" i="5"/>
  <c r="T262" i="5"/>
  <c r="S262" i="5"/>
  <c r="R262" i="5"/>
  <c r="T261" i="5"/>
  <c r="S261" i="5"/>
  <c r="R261" i="5"/>
  <c r="T260" i="5"/>
  <c r="S260" i="5"/>
  <c r="R260" i="5"/>
  <c r="T259" i="5"/>
  <c r="S259" i="5"/>
  <c r="R259" i="5"/>
  <c r="T258" i="5"/>
  <c r="S258" i="5"/>
  <c r="R258" i="5"/>
  <c r="T257" i="5"/>
  <c r="S257" i="5"/>
  <c r="R257" i="5"/>
  <c r="T256" i="5"/>
  <c r="S256" i="5"/>
  <c r="R256" i="5"/>
  <c r="T255" i="5"/>
  <c r="S255" i="5"/>
  <c r="R255" i="5"/>
  <c r="T254" i="5"/>
  <c r="S254" i="5"/>
  <c r="R254" i="5"/>
  <c r="T253" i="5"/>
  <c r="S253" i="5"/>
  <c r="R253" i="5"/>
  <c r="T252" i="5"/>
  <c r="S252" i="5"/>
  <c r="R252" i="5"/>
  <c r="T251" i="5"/>
  <c r="S251" i="5"/>
  <c r="R251" i="5"/>
  <c r="T250" i="5"/>
  <c r="S250" i="5"/>
  <c r="R250" i="5"/>
  <c r="T249" i="5"/>
  <c r="S249" i="5"/>
  <c r="R249" i="5"/>
  <c r="T248" i="5"/>
  <c r="S248" i="5"/>
  <c r="R248" i="5"/>
  <c r="T247" i="5"/>
  <c r="S247" i="5"/>
  <c r="R247" i="5"/>
  <c r="T246" i="5"/>
  <c r="S246" i="5"/>
  <c r="R246" i="5"/>
  <c r="T245" i="5"/>
  <c r="S245" i="5"/>
  <c r="R245" i="5"/>
  <c r="T244" i="5"/>
  <c r="S244" i="5"/>
  <c r="R244" i="5"/>
  <c r="T243" i="5"/>
  <c r="S243" i="5"/>
  <c r="R243" i="5"/>
  <c r="T242" i="5"/>
  <c r="S242" i="5"/>
  <c r="R242" i="5"/>
  <c r="T241" i="5"/>
  <c r="S241" i="5"/>
  <c r="R241" i="5"/>
  <c r="T240" i="5"/>
  <c r="S240" i="5"/>
  <c r="R240" i="5"/>
  <c r="T239" i="5"/>
  <c r="S239" i="5"/>
  <c r="R239" i="5"/>
  <c r="T238" i="5"/>
  <c r="S238" i="5"/>
  <c r="R238" i="5"/>
  <c r="T237" i="5"/>
  <c r="S237" i="5"/>
  <c r="R237" i="5"/>
  <c r="T236" i="5"/>
  <c r="S236" i="5"/>
  <c r="R236" i="5"/>
  <c r="T235" i="5"/>
  <c r="S235" i="5"/>
  <c r="R235" i="5"/>
  <c r="T234" i="5"/>
  <c r="S234" i="5"/>
  <c r="R234" i="5"/>
  <c r="T233" i="5"/>
  <c r="S233" i="5"/>
  <c r="R233" i="5"/>
  <c r="T232" i="5"/>
  <c r="S232" i="5"/>
  <c r="R232" i="5"/>
  <c r="T231" i="5"/>
  <c r="S231" i="5"/>
  <c r="R231" i="5"/>
  <c r="T230" i="5"/>
  <c r="S230" i="5"/>
  <c r="R230" i="5"/>
  <c r="T229" i="5"/>
  <c r="S229" i="5"/>
  <c r="R229" i="5"/>
  <c r="T228" i="5"/>
  <c r="S228" i="5"/>
  <c r="R228" i="5"/>
  <c r="T227" i="5"/>
  <c r="S227" i="5"/>
  <c r="R227" i="5"/>
  <c r="T226" i="5"/>
  <c r="S226" i="5"/>
  <c r="R226" i="5"/>
  <c r="T225" i="5"/>
  <c r="S225" i="5"/>
  <c r="R225" i="5"/>
  <c r="T224" i="5"/>
  <c r="S224" i="5"/>
  <c r="R224" i="5"/>
  <c r="T223" i="5"/>
  <c r="S223" i="5"/>
  <c r="R223" i="5"/>
  <c r="T222" i="5"/>
  <c r="S222" i="5"/>
  <c r="R222" i="5"/>
  <c r="T221" i="5"/>
  <c r="S221" i="5"/>
  <c r="R221" i="5"/>
  <c r="T220" i="5"/>
  <c r="S220" i="5"/>
  <c r="R220" i="5"/>
  <c r="T219" i="5"/>
  <c r="S219" i="5"/>
  <c r="R219" i="5"/>
  <c r="T218" i="5"/>
  <c r="S218" i="5"/>
  <c r="R218" i="5"/>
  <c r="T217" i="5"/>
  <c r="S217" i="5"/>
  <c r="R217" i="5"/>
  <c r="T216" i="5"/>
  <c r="S216" i="5"/>
  <c r="R216" i="5"/>
  <c r="T215" i="5"/>
  <c r="S215" i="5"/>
  <c r="R215" i="5"/>
  <c r="T214" i="5"/>
  <c r="S214" i="5"/>
  <c r="R214" i="5"/>
  <c r="T213" i="5"/>
  <c r="S213" i="5"/>
  <c r="R213" i="5"/>
  <c r="T212" i="5"/>
  <c r="S212" i="5"/>
  <c r="R212" i="5"/>
  <c r="T211" i="5"/>
  <c r="S211" i="5"/>
  <c r="R211" i="5"/>
  <c r="T210" i="5"/>
  <c r="S210" i="5"/>
  <c r="R210" i="5"/>
  <c r="T209" i="5"/>
  <c r="S209" i="5"/>
  <c r="R209" i="5"/>
  <c r="T208" i="5"/>
  <c r="S208" i="5"/>
  <c r="R208" i="5"/>
  <c r="T207" i="5"/>
  <c r="S207" i="5"/>
  <c r="R207" i="5"/>
  <c r="T206" i="5"/>
  <c r="S206" i="5"/>
  <c r="R206" i="5"/>
  <c r="T205" i="5"/>
  <c r="S205" i="5"/>
  <c r="R205" i="5"/>
  <c r="T204" i="5"/>
  <c r="S204" i="5"/>
  <c r="R204" i="5"/>
  <c r="T203" i="5"/>
  <c r="S203" i="5"/>
  <c r="R203" i="5"/>
  <c r="T202" i="5"/>
  <c r="S202" i="5"/>
  <c r="R202" i="5"/>
  <c r="T201" i="5"/>
  <c r="S201" i="5"/>
  <c r="R201" i="5"/>
  <c r="T200" i="5"/>
  <c r="S200" i="5"/>
  <c r="R200" i="5"/>
  <c r="T199" i="5"/>
  <c r="S199" i="5"/>
  <c r="R199" i="5"/>
  <c r="T198" i="5"/>
  <c r="S198" i="5"/>
  <c r="R198" i="5"/>
  <c r="T197" i="5"/>
  <c r="S197" i="5"/>
  <c r="R197" i="5"/>
  <c r="T196" i="5"/>
  <c r="S196" i="5"/>
  <c r="R196" i="5"/>
  <c r="T195" i="5"/>
  <c r="S195" i="5"/>
  <c r="R195" i="5"/>
  <c r="T194" i="5"/>
  <c r="S194" i="5"/>
  <c r="R194" i="5"/>
  <c r="T193" i="5"/>
  <c r="S193" i="5"/>
  <c r="R193" i="5"/>
  <c r="T192" i="5"/>
  <c r="S192" i="5"/>
  <c r="R192" i="5"/>
  <c r="T191" i="5"/>
  <c r="S191" i="5"/>
  <c r="R191" i="5"/>
  <c r="T190" i="5"/>
  <c r="S190" i="5"/>
  <c r="R190" i="5"/>
  <c r="T189" i="5"/>
  <c r="S189" i="5"/>
  <c r="R189" i="5"/>
  <c r="T188" i="5"/>
  <c r="S188" i="5"/>
  <c r="R188" i="5"/>
  <c r="T187" i="5"/>
  <c r="S187" i="5"/>
  <c r="R187" i="5"/>
  <c r="T186" i="5"/>
  <c r="S186" i="5"/>
  <c r="R186" i="5"/>
  <c r="T185" i="5"/>
  <c r="S185" i="5"/>
  <c r="R185" i="5"/>
  <c r="T184" i="5"/>
  <c r="S184" i="5"/>
  <c r="R184" i="5"/>
  <c r="T183" i="5"/>
  <c r="S183" i="5"/>
  <c r="R183" i="5"/>
  <c r="T182" i="5"/>
  <c r="S182" i="5"/>
  <c r="R182" i="5"/>
  <c r="T181" i="5"/>
  <c r="S181" i="5"/>
  <c r="R181" i="5"/>
  <c r="T180" i="5"/>
  <c r="S180" i="5"/>
  <c r="R180" i="5"/>
  <c r="T179" i="5"/>
  <c r="S179" i="5"/>
  <c r="R179" i="5"/>
  <c r="T178" i="5"/>
  <c r="S178" i="5"/>
  <c r="R178" i="5"/>
  <c r="T177" i="5"/>
  <c r="S177" i="5"/>
  <c r="R177" i="5"/>
  <c r="T176" i="5"/>
  <c r="S176" i="5"/>
  <c r="R176" i="5"/>
  <c r="T175" i="5"/>
  <c r="S175" i="5"/>
  <c r="R175" i="5"/>
  <c r="T174" i="5"/>
  <c r="S174" i="5"/>
  <c r="R174" i="5"/>
  <c r="T173" i="5"/>
  <c r="S173" i="5"/>
  <c r="R173" i="5"/>
  <c r="T172" i="5"/>
  <c r="S172" i="5"/>
  <c r="R172" i="5"/>
  <c r="T171" i="5"/>
  <c r="S171" i="5"/>
  <c r="R171" i="5"/>
  <c r="T170" i="5"/>
  <c r="S170" i="5"/>
  <c r="R170" i="5"/>
  <c r="T169" i="5"/>
  <c r="S169" i="5"/>
  <c r="R169" i="5"/>
  <c r="T168" i="5"/>
  <c r="S168" i="5"/>
  <c r="R168" i="5"/>
  <c r="T167" i="5"/>
  <c r="S167" i="5"/>
  <c r="R167" i="5"/>
  <c r="T166" i="5"/>
  <c r="S166" i="5"/>
  <c r="R166" i="5"/>
  <c r="T165" i="5"/>
  <c r="S165" i="5"/>
  <c r="R165" i="5"/>
  <c r="T164" i="5"/>
  <c r="S164" i="5"/>
  <c r="R164" i="5"/>
  <c r="T163" i="5"/>
  <c r="S163" i="5"/>
  <c r="R163" i="5"/>
  <c r="T162" i="5"/>
  <c r="S162" i="5"/>
  <c r="R162" i="5"/>
  <c r="T161" i="5"/>
  <c r="S161" i="5"/>
  <c r="R161" i="5"/>
  <c r="T160" i="5"/>
  <c r="S160" i="5"/>
  <c r="R160" i="5"/>
  <c r="T159" i="5"/>
  <c r="S159" i="5"/>
  <c r="R159" i="5"/>
  <c r="T158" i="5"/>
  <c r="S158" i="5"/>
  <c r="R158" i="5"/>
  <c r="T157" i="5"/>
  <c r="S157" i="5"/>
  <c r="R157" i="5"/>
  <c r="T156" i="5"/>
  <c r="S156" i="5"/>
  <c r="R156" i="5"/>
  <c r="T155" i="5"/>
  <c r="S155" i="5"/>
  <c r="R155" i="5"/>
  <c r="T154" i="5"/>
  <c r="S154" i="5"/>
  <c r="R154" i="5"/>
  <c r="T153" i="5"/>
  <c r="S153" i="5"/>
  <c r="R153" i="5"/>
  <c r="T152" i="5"/>
  <c r="S152" i="5"/>
  <c r="R152" i="5"/>
  <c r="T151" i="5"/>
  <c r="S151" i="5"/>
  <c r="R151" i="5"/>
  <c r="T150" i="5"/>
  <c r="S150" i="5"/>
  <c r="R150" i="5"/>
  <c r="T149" i="5"/>
  <c r="S149" i="5"/>
  <c r="R149" i="5"/>
  <c r="T148" i="5"/>
  <c r="S148" i="5"/>
  <c r="R148" i="5"/>
  <c r="T147" i="5"/>
  <c r="S147" i="5"/>
  <c r="R147" i="5"/>
  <c r="T146" i="5"/>
  <c r="S146" i="5"/>
  <c r="R146" i="5"/>
  <c r="T145" i="5"/>
  <c r="S145" i="5"/>
  <c r="R145" i="5"/>
  <c r="T144" i="5"/>
  <c r="S144" i="5"/>
  <c r="R144" i="5"/>
  <c r="T143" i="5"/>
  <c r="S143" i="5"/>
  <c r="R143" i="5"/>
  <c r="T142" i="5"/>
  <c r="S142" i="5"/>
  <c r="R142" i="5"/>
  <c r="T141" i="5"/>
  <c r="S141" i="5"/>
  <c r="R141" i="5"/>
  <c r="T140" i="5"/>
  <c r="S140" i="5"/>
  <c r="R140" i="5"/>
  <c r="T139" i="5"/>
  <c r="S139" i="5"/>
  <c r="R139" i="5"/>
  <c r="T138" i="5"/>
  <c r="S138" i="5"/>
  <c r="R138" i="5"/>
  <c r="T137" i="5"/>
  <c r="S137" i="5"/>
  <c r="R137" i="5"/>
  <c r="T136" i="5"/>
  <c r="S136" i="5"/>
  <c r="R136" i="5"/>
  <c r="T135" i="5"/>
  <c r="S135" i="5"/>
  <c r="R135" i="5"/>
  <c r="T134" i="5"/>
  <c r="S134" i="5"/>
  <c r="R134" i="5"/>
  <c r="T133" i="5"/>
  <c r="S133" i="5"/>
  <c r="R133" i="5"/>
  <c r="T132" i="5"/>
  <c r="S132" i="5"/>
  <c r="R132" i="5"/>
  <c r="T131" i="5"/>
  <c r="S131" i="5"/>
  <c r="R131" i="5"/>
  <c r="T130" i="5"/>
  <c r="S130" i="5"/>
  <c r="R130" i="5"/>
  <c r="T129" i="5"/>
  <c r="S129" i="5"/>
  <c r="R129" i="5"/>
  <c r="T128" i="5"/>
  <c r="S128" i="5"/>
  <c r="R128" i="5"/>
  <c r="T127" i="5"/>
  <c r="S127" i="5"/>
  <c r="R127" i="5"/>
  <c r="T126" i="5"/>
  <c r="S126" i="5"/>
  <c r="R126" i="5"/>
  <c r="T125" i="5"/>
  <c r="S125" i="5"/>
  <c r="R125" i="5"/>
  <c r="T124" i="5"/>
  <c r="S124" i="5"/>
  <c r="R124" i="5"/>
  <c r="T123" i="5"/>
  <c r="S123" i="5"/>
  <c r="R123" i="5"/>
  <c r="T122" i="5"/>
  <c r="S122" i="5"/>
  <c r="R122" i="5"/>
  <c r="T121" i="5"/>
  <c r="S121" i="5"/>
  <c r="R121" i="5"/>
  <c r="T120" i="5"/>
  <c r="S120" i="5"/>
  <c r="R120" i="5"/>
  <c r="T119" i="5"/>
  <c r="S119" i="5"/>
  <c r="R119" i="5"/>
  <c r="T118" i="5"/>
  <c r="S118" i="5"/>
  <c r="R118" i="5"/>
  <c r="T117" i="5"/>
  <c r="S117" i="5"/>
  <c r="R117" i="5"/>
  <c r="T116" i="5"/>
  <c r="S116" i="5"/>
  <c r="R116" i="5"/>
  <c r="T115" i="5"/>
  <c r="S115" i="5"/>
  <c r="R115" i="5"/>
  <c r="T114" i="5"/>
  <c r="S114" i="5"/>
  <c r="R114" i="5"/>
  <c r="T113" i="5"/>
  <c r="S113" i="5"/>
  <c r="R113" i="5"/>
  <c r="T112" i="5"/>
  <c r="S112" i="5"/>
  <c r="R112" i="5"/>
  <c r="R111" i="5"/>
  <c r="T110" i="5"/>
  <c r="S110" i="5"/>
  <c r="R110" i="5"/>
  <c r="S109" i="5"/>
  <c r="R109" i="5"/>
  <c r="T108" i="5"/>
  <c r="S108" i="5"/>
  <c r="R108" i="5"/>
  <c r="T107" i="5"/>
  <c r="S107" i="5"/>
  <c r="T106" i="5"/>
  <c r="S106" i="5"/>
  <c r="R106" i="5"/>
  <c r="T105" i="5"/>
  <c r="S105" i="5"/>
  <c r="R105" i="5"/>
  <c r="T104" i="5"/>
  <c r="S104" i="5"/>
  <c r="R104" i="5"/>
  <c r="T103" i="5"/>
  <c r="S103" i="5"/>
  <c r="R103" i="5"/>
  <c r="T102" i="5"/>
  <c r="S102" i="5"/>
  <c r="R102" i="5"/>
  <c r="T101" i="5"/>
  <c r="S101" i="5"/>
  <c r="R101" i="5"/>
  <c r="T100" i="5"/>
  <c r="S100" i="5"/>
  <c r="R100" i="5"/>
  <c r="T99" i="5"/>
  <c r="S99" i="5"/>
  <c r="R99" i="5"/>
  <c r="T98" i="5"/>
  <c r="S98" i="5"/>
  <c r="R98" i="5"/>
  <c r="T97" i="5"/>
  <c r="S97" i="5"/>
  <c r="R97" i="5"/>
  <c r="T96" i="5"/>
  <c r="S96" i="5"/>
  <c r="R96" i="5"/>
  <c r="T95" i="5"/>
  <c r="S95" i="5"/>
  <c r="R95" i="5"/>
  <c r="T94" i="5"/>
  <c r="S94" i="5"/>
  <c r="R94" i="5"/>
  <c r="T93" i="5"/>
  <c r="S93" i="5"/>
  <c r="R93" i="5"/>
  <c r="T92" i="5"/>
  <c r="S92" i="5"/>
  <c r="R92" i="5"/>
  <c r="T91" i="5"/>
  <c r="S91" i="5"/>
  <c r="R91" i="5"/>
  <c r="T90" i="5"/>
  <c r="S90" i="5"/>
  <c r="R90" i="5"/>
  <c r="T89" i="5"/>
  <c r="S89" i="5"/>
  <c r="R89" i="5"/>
  <c r="T88" i="5"/>
  <c r="S88" i="5"/>
  <c r="R88" i="5"/>
  <c r="T87" i="5"/>
  <c r="S87" i="5"/>
  <c r="R87" i="5"/>
  <c r="T86" i="5"/>
  <c r="S86" i="5"/>
  <c r="R86" i="5"/>
  <c r="T85" i="5"/>
  <c r="S85" i="5"/>
  <c r="R85" i="5"/>
  <c r="T84" i="5"/>
  <c r="S84" i="5"/>
  <c r="R84" i="5"/>
  <c r="T83" i="5"/>
  <c r="S83" i="5"/>
  <c r="R83" i="5"/>
  <c r="T82" i="5"/>
  <c r="S82" i="5"/>
  <c r="R82" i="5"/>
  <c r="T81" i="5"/>
  <c r="S81" i="5"/>
  <c r="R81" i="5"/>
  <c r="T80" i="5"/>
  <c r="S80" i="5"/>
  <c r="R80" i="5"/>
  <c r="T79" i="5"/>
  <c r="S79" i="5"/>
  <c r="R79" i="5"/>
  <c r="T78" i="5"/>
  <c r="S78" i="5"/>
  <c r="R78" i="5"/>
  <c r="T77" i="5"/>
  <c r="S77" i="5"/>
  <c r="R77" i="5"/>
  <c r="T76" i="5"/>
  <c r="S76" i="5"/>
  <c r="R76" i="5"/>
  <c r="T75" i="5"/>
  <c r="S75" i="5"/>
  <c r="R75" i="5"/>
  <c r="T74" i="5"/>
  <c r="S74" i="5"/>
  <c r="R74" i="5"/>
  <c r="T73" i="5"/>
  <c r="S73" i="5"/>
  <c r="R73" i="5"/>
  <c r="T72" i="5"/>
  <c r="S72" i="5"/>
  <c r="R72" i="5"/>
  <c r="T71" i="5"/>
  <c r="S71" i="5"/>
  <c r="R71" i="5"/>
  <c r="T70" i="5"/>
  <c r="S70" i="5"/>
  <c r="R70" i="5"/>
  <c r="T69" i="5"/>
  <c r="S69" i="5"/>
  <c r="R69" i="5"/>
  <c r="T68" i="5"/>
  <c r="S68" i="5"/>
  <c r="R68" i="5"/>
  <c r="T67" i="5"/>
  <c r="S67" i="5"/>
  <c r="R67" i="5"/>
  <c r="T66" i="5"/>
  <c r="S66" i="5"/>
  <c r="R66" i="5"/>
  <c r="T65" i="5"/>
  <c r="S65" i="5"/>
  <c r="R65" i="5"/>
  <c r="T64" i="5"/>
  <c r="S64" i="5"/>
  <c r="R64" i="5"/>
  <c r="T63" i="5"/>
  <c r="S63" i="5"/>
  <c r="R63" i="5"/>
  <c r="T62" i="5"/>
  <c r="S62" i="5"/>
  <c r="R62" i="5"/>
  <c r="T61" i="5"/>
  <c r="S61" i="5"/>
  <c r="R61" i="5"/>
  <c r="T60" i="5"/>
  <c r="S60" i="5"/>
  <c r="R60" i="5"/>
  <c r="T59" i="5"/>
  <c r="S59" i="5"/>
  <c r="R59" i="5"/>
  <c r="T58" i="5"/>
  <c r="S58" i="5"/>
  <c r="R58" i="5"/>
  <c r="T57" i="5"/>
  <c r="S57" i="5"/>
  <c r="R57" i="5"/>
  <c r="T56" i="5"/>
  <c r="S56" i="5"/>
  <c r="R56" i="5"/>
  <c r="T55" i="5"/>
  <c r="S55" i="5"/>
  <c r="R55" i="5"/>
  <c r="T54" i="5"/>
  <c r="S54" i="5"/>
  <c r="R54" i="5"/>
  <c r="T53" i="5"/>
  <c r="S53" i="5"/>
  <c r="R53" i="5"/>
  <c r="T52" i="5"/>
  <c r="S52" i="5"/>
  <c r="R52" i="5"/>
  <c r="T51" i="5"/>
  <c r="S51" i="5"/>
  <c r="R51" i="5"/>
  <c r="T50" i="5"/>
  <c r="S50" i="5"/>
  <c r="R50" i="5"/>
  <c r="T49" i="5"/>
  <c r="S49" i="5"/>
  <c r="R49" i="5"/>
  <c r="T48" i="5"/>
  <c r="S48" i="5"/>
  <c r="R48" i="5"/>
  <c r="T47" i="5"/>
  <c r="S47" i="5"/>
  <c r="R47" i="5"/>
  <c r="T46" i="5"/>
  <c r="S46" i="5"/>
  <c r="R46" i="5"/>
  <c r="T45" i="5"/>
  <c r="S45" i="5"/>
  <c r="R45" i="5"/>
  <c r="T44" i="5"/>
  <c r="S44" i="5"/>
  <c r="R44" i="5"/>
  <c r="T43" i="5"/>
  <c r="S43" i="5"/>
  <c r="R43" i="5"/>
  <c r="T42" i="5"/>
  <c r="S42" i="5"/>
  <c r="R42" i="5"/>
  <c r="T41" i="5"/>
  <c r="S41" i="5"/>
  <c r="R41" i="5"/>
  <c r="T40" i="5"/>
  <c r="S40" i="5"/>
  <c r="R40" i="5"/>
  <c r="T39" i="5"/>
  <c r="S39" i="5"/>
  <c r="R39" i="5"/>
  <c r="T38" i="5"/>
  <c r="S38" i="5"/>
  <c r="R38" i="5"/>
  <c r="T37" i="5"/>
  <c r="S37" i="5"/>
  <c r="R37" i="5"/>
  <c r="T36" i="5"/>
  <c r="S36" i="5"/>
  <c r="R36" i="5"/>
  <c r="T35" i="5"/>
  <c r="S35" i="5"/>
  <c r="R35" i="5"/>
  <c r="T34" i="5"/>
  <c r="S34" i="5"/>
  <c r="R34" i="5"/>
  <c r="T33" i="5"/>
  <c r="S33" i="5"/>
  <c r="R33" i="5"/>
  <c r="T32" i="5"/>
  <c r="S32" i="5"/>
  <c r="R32" i="5"/>
  <c r="T31" i="5"/>
  <c r="S31" i="5"/>
  <c r="R31" i="5"/>
  <c r="T30" i="5"/>
  <c r="S30" i="5"/>
  <c r="R30" i="5"/>
  <c r="T29" i="5"/>
  <c r="S29" i="5"/>
  <c r="R29" i="5"/>
  <c r="T28" i="5"/>
  <c r="S28" i="5"/>
  <c r="R28" i="5"/>
  <c r="T27" i="5"/>
  <c r="S27" i="5"/>
  <c r="R27" i="5"/>
  <c r="T26" i="5"/>
  <c r="S26" i="5"/>
  <c r="R26" i="5"/>
  <c r="T25" i="5"/>
  <c r="S25" i="5"/>
  <c r="R25" i="5"/>
  <c r="T24" i="5"/>
  <c r="S24" i="5"/>
  <c r="R24" i="5"/>
  <c r="T23" i="5"/>
  <c r="S23" i="5"/>
  <c r="R23" i="5"/>
  <c r="T22" i="5"/>
  <c r="S22" i="5"/>
  <c r="R22" i="5"/>
  <c r="T21" i="5"/>
  <c r="S21" i="5"/>
  <c r="R21" i="5"/>
  <c r="T20" i="5"/>
  <c r="S20" i="5"/>
  <c r="R20" i="5"/>
  <c r="T19" i="5"/>
  <c r="S19" i="5"/>
  <c r="R19" i="5"/>
  <c r="T18" i="5"/>
  <c r="S18" i="5"/>
  <c r="R18" i="5"/>
  <c r="T17" i="5"/>
  <c r="S17" i="5"/>
  <c r="R17" i="5"/>
  <c r="T16" i="5"/>
  <c r="S16" i="5"/>
  <c r="R16" i="5"/>
  <c r="T15" i="5"/>
  <c r="S15" i="5"/>
  <c r="R15" i="5"/>
  <c r="T14" i="5"/>
  <c r="S14" i="5"/>
  <c r="R14" i="5"/>
  <c r="T13" i="5"/>
  <c r="S13" i="5"/>
  <c r="R13" i="5"/>
  <c r="T12" i="5"/>
  <c r="S12" i="5"/>
  <c r="R12" i="5"/>
  <c r="T11" i="5"/>
  <c r="S11" i="5"/>
  <c r="R11" i="5"/>
  <c r="T10" i="5"/>
  <c r="S10" i="5"/>
  <c r="R10" i="5"/>
  <c r="T9" i="5"/>
  <c r="S9" i="5"/>
  <c r="R9" i="5"/>
  <c r="T8" i="5"/>
  <c r="S8" i="5"/>
  <c r="R8" i="5"/>
  <c r="T7" i="5"/>
  <c r="S7" i="5"/>
  <c r="R7" i="5"/>
  <c r="T6" i="5"/>
  <c r="S6" i="5"/>
  <c r="R6" i="5"/>
  <c r="T5" i="5"/>
  <c r="S5" i="5"/>
  <c r="R5" i="5"/>
  <c r="H249" i="1"/>
  <c r="H244" i="1"/>
  <c r="H235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234" i="1" s="1"/>
  <c r="H236" i="1" s="1"/>
  <c r="H240" i="1" s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262" i="1" s="1"/>
  <c r="H110" i="1"/>
  <c r="H109" i="1"/>
  <c r="H108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231" i="1" s="1"/>
  <c r="H5" i="1"/>
  <c r="H215" i="3"/>
  <c r="H214" i="3"/>
  <c r="H213" i="3"/>
  <c r="H210" i="3"/>
  <c r="H209" i="3"/>
  <c r="H208" i="3"/>
  <c r="H205" i="3"/>
  <c r="H204" i="3"/>
  <c r="H203" i="3"/>
  <c r="H202" i="3"/>
  <c r="H199" i="3"/>
  <c r="H198" i="3"/>
  <c r="H195" i="3"/>
  <c r="H194" i="3"/>
  <c r="H193" i="3"/>
  <c r="H190" i="3"/>
  <c r="H189" i="3"/>
  <c r="H186" i="3"/>
  <c r="H185" i="3"/>
  <c r="H184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29" i="2"/>
  <c r="H228" i="2"/>
  <c r="H227" i="2"/>
  <c r="H226" i="2"/>
  <c r="H224" i="2"/>
  <c r="H223" i="2"/>
  <c r="H222" i="2"/>
  <c r="H221" i="2"/>
  <c r="H219" i="2"/>
  <c r="H218" i="2"/>
  <c r="H217" i="2"/>
  <c r="H214" i="2"/>
  <c r="H213" i="2"/>
  <c r="H212" i="2"/>
  <c r="H209" i="2"/>
  <c r="H208" i="2"/>
  <c r="H207" i="2"/>
  <c r="H206" i="2"/>
  <c r="H203" i="2"/>
  <c r="H202" i="2"/>
  <c r="H199" i="2"/>
  <c r="H198" i="2"/>
  <c r="H197" i="2"/>
  <c r="H194" i="2"/>
  <c r="H193" i="2"/>
  <c r="H190" i="2"/>
  <c r="H189" i="2"/>
  <c r="H188" i="2"/>
  <c r="H184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O337" i="5"/>
  <c r="Q333" i="5"/>
  <c r="P333" i="5"/>
  <c r="O333" i="5"/>
  <c r="Q309" i="5"/>
  <c r="P309" i="5"/>
  <c r="O309" i="5"/>
  <c r="Q308" i="5"/>
  <c r="P308" i="5"/>
  <c r="O308" i="5"/>
  <c r="Q307" i="5"/>
  <c r="P307" i="5"/>
  <c r="O307" i="5"/>
  <c r="Q306" i="5"/>
  <c r="P306" i="5"/>
  <c r="O306" i="5"/>
  <c r="Q305" i="5"/>
  <c r="P305" i="5"/>
  <c r="O305" i="5"/>
  <c r="Q304" i="5"/>
  <c r="P304" i="5"/>
  <c r="O304" i="5"/>
  <c r="Q303" i="5"/>
  <c r="P303" i="5"/>
  <c r="O303" i="5"/>
  <c r="Q302" i="5"/>
  <c r="P302" i="5"/>
  <c r="O302" i="5"/>
  <c r="Q301" i="5"/>
  <c r="P301" i="5"/>
  <c r="O301" i="5"/>
  <c r="Q300" i="5"/>
  <c r="P300" i="5"/>
  <c r="O300" i="5"/>
  <c r="Q299" i="5"/>
  <c r="P299" i="5"/>
  <c r="O299" i="5"/>
  <c r="Q298" i="5"/>
  <c r="P298" i="5"/>
  <c r="O298" i="5"/>
  <c r="Q297" i="5"/>
  <c r="P297" i="5"/>
  <c r="O297" i="5"/>
  <c r="Q296" i="5"/>
  <c r="P296" i="5"/>
  <c r="O296" i="5"/>
  <c r="Q295" i="5"/>
  <c r="P295" i="5"/>
  <c r="O295" i="5"/>
  <c r="Q294" i="5"/>
  <c r="P294" i="5"/>
  <c r="O294" i="5"/>
  <c r="Q293" i="5"/>
  <c r="P293" i="5"/>
  <c r="O293" i="5"/>
  <c r="Q291" i="5"/>
  <c r="P291" i="5"/>
  <c r="O291" i="5"/>
  <c r="Q290" i="5"/>
  <c r="P290" i="5"/>
  <c r="O290" i="5"/>
  <c r="Q289" i="5"/>
  <c r="P289" i="5"/>
  <c r="O289" i="5"/>
  <c r="Q288" i="5"/>
  <c r="P288" i="5"/>
  <c r="O288" i="5"/>
  <c r="Q287" i="5"/>
  <c r="P287" i="5"/>
  <c r="O287" i="5"/>
  <c r="Q286" i="5"/>
  <c r="P286" i="5"/>
  <c r="O286" i="5"/>
  <c r="Q285" i="5"/>
  <c r="P285" i="5"/>
  <c r="O285" i="5"/>
  <c r="Q284" i="5"/>
  <c r="P284" i="5"/>
  <c r="O284" i="5"/>
  <c r="Q283" i="5"/>
  <c r="P283" i="5"/>
  <c r="O283" i="5"/>
  <c r="Q282" i="5"/>
  <c r="P282" i="5"/>
  <c r="O282" i="5"/>
  <c r="Q281" i="5"/>
  <c r="P281" i="5"/>
  <c r="O281" i="5"/>
  <c r="Q280" i="5"/>
  <c r="P280" i="5"/>
  <c r="O280" i="5"/>
  <c r="Q279" i="5"/>
  <c r="P279" i="5"/>
  <c r="O279" i="5"/>
  <c r="Q278" i="5"/>
  <c r="P278" i="5"/>
  <c r="O278" i="5"/>
  <c r="Q277" i="5"/>
  <c r="P277" i="5"/>
  <c r="O277" i="5"/>
  <c r="Q276" i="5"/>
  <c r="P276" i="5"/>
  <c r="O276" i="5"/>
  <c r="Q275" i="5"/>
  <c r="P275" i="5"/>
  <c r="O275" i="5"/>
  <c r="Q274" i="5"/>
  <c r="P274" i="5"/>
  <c r="O274" i="5"/>
  <c r="Q273" i="5"/>
  <c r="P273" i="5"/>
  <c r="O273" i="5"/>
  <c r="Q272" i="5"/>
  <c r="P272" i="5"/>
  <c r="O272" i="5"/>
  <c r="Q271" i="5"/>
  <c r="P271" i="5"/>
  <c r="O271" i="5"/>
  <c r="Q270" i="5"/>
  <c r="P270" i="5"/>
  <c r="O270" i="5"/>
  <c r="Q269" i="5"/>
  <c r="P269" i="5"/>
  <c r="O269" i="5"/>
  <c r="Q268" i="5"/>
  <c r="P268" i="5"/>
  <c r="O268" i="5"/>
  <c r="Q267" i="5"/>
  <c r="P267" i="5"/>
  <c r="O267" i="5"/>
  <c r="Q266" i="5"/>
  <c r="P266" i="5"/>
  <c r="O266" i="5"/>
  <c r="Q265" i="5"/>
  <c r="P265" i="5"/>
  <c r="O265" i="5"/>
  <c r="Q264" i="5"/>
  <c r="P264" i="5"/>
  <c r="O264" i="5"/>
  <c r="Q263" i="5"/>
  <c r="P263" i="5"/>
  <c r="O263" i="5"/>
  <c r="Q262" i="5"/>
  <c r="P262" i="5"/>
  <c r="O262" i="5"/>
  <c r="Q261" i="5"/>
  <c r="P261" i="5"/>
  <c r="O261" i="5"/>
  <c r="Q260" i="5"/>
  <c r="P260" i="5"/>
  <c r="O260" i="5"/>
  <c r="Q259" i="5"/>
  <c r="P259" i="5"/>
  <c r="O259" i="5"/>
  <c r="Q258" i="5"/>
  <c r="P258" i="5"/>
  <c r="O258" i="5"/>
  <c r="Q257" i="5"/>
  <c r="P257" i="5"/>
  <c r="O257" i="5"/>
  <c r="Q256" i="5"/>
  <c r="P256" i="5"/>
  <c r="O256" i="5"/>
  <c r="Q255" i="5"/>
  <c r="P255" i="5"/>
  <c r="O255" i="5"/>
  <c r="Q254" i="5"/>
  <c r="P254" i="5"/>
  <c r="O254" i="5"/>
  <c r="Q253" i="5"/>
  <c r="P253" i="5"/>
  <c r="O253" i="5"/>
  <c r="Q252" i="5"/>
  <c r="P252" i="5"/>
  <c r="O252" i="5"/>
  <c r="Q251" i="5"/>
  <c r="P251" i="5"/>
  <c r="O251" i="5"/>
  <c r="Q250" i="5"/>
  <c r="P250" i="5"/>
  <c r="O250" i="5"/>
  <c r="Q249" i="5"/>
  <c r="P249" i="5"/>
  <c r="O249" i="5"/>
  <c r="Q248" i="5"/>
  <c r="P248" i="5"/>
  <c r="O248" i="5"/>
  <c r="Q247" i="5"/>
  <c r="P247" i="5"/>
  <c r="O247" i="5"/>
  <c r="Q246" i="5"/>
  <c r="P246" i="5"/>
  <c r="O246" i="5"/>
  <c r="Q245" i="5"/>
  <c r="P245" i="5"/>
  <c r="O245" i="5"/>
  <c r="Q244" i="5"/>
  <c r="P244" i="5"/>
  <c r="O244" i="5"/>
  <c r="Q243" i="5"/>
  <c r="P243" i="5"/>
  <c r="O243" i="5"/>
  <c r="Q242" i="5"/>
  <c r="P242" i="5"/>
  <c r="O242" i="5"/>
  <c r="Q241" i="5"/>
  <c r="P241" i="5"/>
  <c r="O241" i="5"/>
  <c r="Q240" i="5"/>
  <c r="P240" i="5"/>
  <c r="O240" i="5"/>
  <c r="Q239" i="5"/>
  <c r="P239" i="5"/>
  <c r="O239" i="5"/>
  <c r="Q238" i="5"/>
  <c r="P238" i="5"/>
  <c r="O238" i="5"/>
  <c r="Q237" i="5"/>
  <c r="P237" i="5"/>
  <c r="O237" i="5"/>
  <c r="Q236" i="5"/>
  <c r="P236" i="5"/>
  <c r="O236" i="5"/>
  <c r="Q235" i="5"/>
  <c r="P235" i="5"/>
  <c r="O235" i="5"/>
  <c r="Q234" i="5"/>
  <c r="P234" i="5"/>
  <c r="O234" i="5"/>
  <c r="Q233" i="5"/>
  <c r="P233" i="5"/>
  <c r="O233" i="5"/>
  <c r="Q232" i="5"/>
  <c r="P232" i="5"/>
  <c r="O232" i="5"/>
  <c r="Q231" i="5"/>
  <c r="P231" i="5"/>
  <c r="O231" i="5"/>
  <c r="Q230" i="5"/>
  <c r="P230" i="5"/>
  <c r="O230" i="5"/>
  <c r="Q229" i="5"/>
  <c r="P229" i="5"/>
  <c r="O229" i="5"/>
  <c r="Q228" i="5"/>
  <c r="P228" i="5"/>
  <c r="O228" i="5"/>
  <c r="Q227" i="5"/>
  <c r="P227" i="5"/>
  <c r="O227" i="5"/>
  <c r="Q226" i="5"/>
  <c r="P226" i="5"/>
  <c r="O226" i="5"/>
  <c r="Q225" i="5"/>
  <c r="P225" i="5"/>
  <c r="O225" i="5"/>
  <c r="Q224" i="5"/>
  <c r="P224" i="5"/>
  <c r="O224" i="5"/>
  <c r="Q223" i="5"/>
  <c r="P223" i="5"/>
  <c r="O223" i="5"/>
  <c r="Q222" i="5"/>
  <c r="P222" i="5"/>
  <c r="O222" i="5"/>
  <c r="Q221" i="5"/>
  <c r="P221" i="5"/>
  <c r="O221" i="5"/>
  <c r="Q220" i="5"/>
  <c r="P220" i="5"/>
  <c r="O220" i="5"/>
  <c r="Q219" i="5"/>
  <c r="P219" i="5"/>
  <c r="O219" i="5"/>
  <c r="Q218" i="5"/>
  <c r="P218" i="5"/>
  <c r="O218" i="5"/>
  <c r="Q217" i="5"/>
  <c r="P217" i="5"/>
  <c r="O217" i="5"/>
  <c r="Q216" i="5"/>
  <c r="P216" i="5"/>
  <c r="O216" i="5"/>
  <c r="Q215" i="5"/>
  <c r="P215" i="5"/>
  <c r="O215" i="5"/>
  <c r="Q214" i="5"/>
  <c r="P214" i="5"/>
  <c r="O214" i="5"/>
  <c r="Q213" i="5"/>
  <c r="P213" i="5"/>
  <c r="O213" i="5"/>
  <c r="Q212" i="5"/>
  <c r="P212" i="5"/>
  <c r="O212" i="5"/>
  <c r="Q211" i="5"/>
  <c r="P211" i="5"/>
  <c r="O211" i="5"/>
  <c r="Q210" i="5"/>
  <c r="P210" i="5"/>
  <c r="O210" i="5"/>
  <c r="Q209" i="5"/>
  <c r="P209" i="5"/>
  <c r="O209" i="5"/>
  <c r="Q208" i="5"/>
  <c r="P208" i="5"/>
  <c r="O208" i="5"/>
  <c r="Q207" i="5"/>
  <c r="P207" i="5"/>
  <c r="O207" i="5"/>
  <c r="Q206" i="5"/>
  <c r="P206" i="5"/>
  <c r="O206" i="5"/>
  <c r="Q205" i="5"/>
  <c r="P205" i="5"/>
  <c r="O205" i="5"/>
  <c r="Q204" i="5"/>
  <c r="P204" i="5"/>
  <c r="O204" i="5"/>
  <c r="Q203" i="5"/>
  <c r="P203" i="5"/>
  <c r="O203" i="5"/>
  <c r="Q202" i="5"/>
  <c r="P202" i="5"/>
  <c r="O202" i="5"/>
  <c r="Q201" i="5"/>
  <c r="P201" i="5"/>
  <c r="O201" i="5"/>
  <c r="Q200" i="5"/>
  <c r="P200" i="5"/>
  <c r="O200" i="5"/>
  <c r="Q199" i="5"/>
  <c r="P199" i="5"/>
  <c r="O199" i="5"/>
  <c r="Q198" i="5"/>
  <c r="P198" i="5"/>
  <c r="O198" i="5"/>
  <c r="Q197" i="5"/>
  <c r="P197" i="5"/>
  <c r="O197" i="5"/>
  <c r="Q196" i="5"/>
  <c r="P196" i="5"/>
  <c r="O196" i="5"/>
  <c r="Q195" i="5"/>
  <c r="P195" i="5"/>
  <c r="O195" i="5"/>
  <c r="Q194" i="5"/>
  <c r="P194" i="5"/>
  <c r="O194" i="5"/>
  <c r="Q193" i="5"/>
  <c r="P193" i="5"/>
  <c r="O193" i="5"/>
  <c r="Q192" i="5"/>
  <c r="P192" i="5"/>
  <c r="O192" i="5"/>
  <c r="Q191" i="5"/>
  <c r="P191" i="5"/>
  <c r="O191" i="5"/>
  <c r="Q190" i="5"/>
  <c r="P190" i="5"/>
  <c r="O190" i="5"/>
  <c r="Q189" i="5"/>
  <c r="P189" i="5"/>
  <c r="O189" i="5"/>
  <c r="Q188" i="5"/>
  <c r="P188" i="5"/>
  <c r="O188" i="5"/>
  <c r="Q187" i="5"/>
  <c r="P187" i="5"/>
  <c r="O187" i="5"/>
  <c r="Q186" i="5"/>
  <c r="P186" i="5"/>
  <c r="O186" i="5"/>
  <c r="Q185" i="5"/>
  <c r="P185" i="5"/>
  <c r="O185" i="5"/>
  <c r="Q184" i="5"/>
  <c r="P184" i="5"/>
  <c r="O184" i="5"/>
  <c r="Q183" i="5"/>
  <c r="P183" i="5"/>
  <c r="O183" i="5"/>
  <c r="Q182" i="5"/>
  <c r="P182" i="5"/>
  <c r="O182" i="5"/>
  <c r="Q181" i="5"/>
  <c r="P181" i="5"/>
  <c r="O181" i="5"/>
  <c r="Q180" i="5"/>
  <c r="P180" i="5"/>
  <c r="O180" i="5"/>
  <c r="Q179" i="5"/>
  <c r="P179" i="5"/>
  <c r="O179" i="5"/>
  <c r="Q178" i="5"/>
  <c r="P178" i="5"/>
  <c r="O178" i="5"/>
  <c r="Q177" i="5"/>
  <c r="P177" i="5"/>
  <c r="O177" i="5"/>
  <c r="Q176" i="5"/>
  <c r="P176" i="5"/>
  <c r="O176" i="5"/>
  <c r="Q175" i="5"/>
  <c r="P175" i="5"/>
  <c r="O175" i="5"/>
  <c r="Q174" i="5"/>
  <c r="P174" i="5"/>
  <c r="O174" i="5"/>
  <c r="Q173" i="5"/>
  <c r="P173" i="5"/>
  <c r="O173" i="5"/>
  <c r="Q172" i="5"/>
  <c r="P172" i="5"/>
  <c r="O172" i="5"/>
  <c r="Q171" i="5"/>
  <c r="P171" i="5"/>
  <c r="O171" i="5"/>
  <c r="Q170" i="5"/>
  <c r="P170" i="5"/>
  <c r="O170" i="5"/>
  <c r="Q169" i="5"/>
  <c r="P169" i="5"/>
  <c r="O169" i="5"/>
  <c r="Q168" i="5"/>
  <c r="P168" i="5"/>
  <c r="O168" i="5"/>
  <c r="Q167" i="5"/>
  <c r="P167" i="5"/>
  <c r="O167" i="5"/>
  <c r="Q166" i="5"/>
  <c r="P166" i="5"/>
  <c r="O166" i="5"/>
  <c r="Q165" i="5"/>
  <c r="P165" i="5"/>
  <c r="O165" i="5"/>
  <c r="Q164" i="5"/>
  <c r="P164" i="5"/>
  <c r="O164" i="5"/>
  <c r="Q163" i="5"/>
  <c r="P163" i="5"/>
  <c r="O163" i="5"/>
  <c r="Q162" i="5"/>
  <c r="P162" i="5"/>
  <c r="O162" i="5"/>
  <c r="Q161" i="5"/>
  <c r="P161" i="5"/>
  <c r="O161" i="5"/>
  <c r="Q160" i="5"/>
  <c r="P160" i="5"/>
  <c r="O160" i="5"/>
  <c r="Q159" i="5"/>
  <c r="P159" i="5"/>
  <c r="O159" i="5"/>
  <c r="Q158" i="5"/>
  <c r="P158" i="5"/>
  <c r="O158" i="5"/>
  <c r="Q157" i="5"/>
  <c r="P157" i="5"/>
  <c r="O157" i="5"/>
  <c r="Q156" i="5"/>
  <c r="P156" i="5"/>
  <c r="O156" i="5"/>
  <c r="Q155" i="5"/>
  <c r="P155" i="5"/>
  <c r="O155" i="5"/>
  <c r="Q154" i="5"/>
  <c r="P154" i="5"/>
  <c r="O154" i="5"/>
  <c r="Q153" i="5"/>
  <c r="P153" i="5"/>
  <c r="O153" i="5"/>
  <c r="Q152" i="5"/>
  <c r="P152" i="5"/>
  <c r="O152" i="5"/>
  <c r="Q151" i="5"/>
  <c r="P151" i="5"/>
  <c r="O151" i="5"/>
  <c r="Q150" i="5"/>
  <c r="P150" i="5"/>
  <c r="O150" i="5"/>
  <c r="Q149" i="5"/>
  <c r="P149" i="5"/>
  <c r="O149" i="5"/>
  <c r="Q148" i="5"/>
  <c r="P148" i="5"/>
  <c r="O148" i="5"/>
  <c r="Q147" i="5"/>
  <c r="P147" i="5"/>
  <c r="O147" i="5"/>
  <c r="Q146" i="5"/>
  <c r="P146" i="5"/>
  <c r="O146" i="5"/>
  <c r="Q145" i="5"/>
  <c r="P145" i="5"/>
  <c r="O145" i="5"/>
  <c r="Q144" i="5"/>
  <c r="P144" i="5"/>
  <c r="O144" i="5"/>
  <c r="Q143" i="5"/>
  <c r="P143" i="5"/>
  <c r="O143" i="5"/>
  <c r="Q142" i="5"/>
  <c r="P142" i="5"/>
  <c r="O142" i="5"/>
  <c r="Q141" i="5"/>
  <c r="P141" i="5"/>
  <c r="O141" i="5"/>
  <c r="Q140" i="5"/>
  <c r="P140" i="5"/>
  <c r="O140" i="5"/>
  <c r="Q139" i="5"/>
  <c r="P139" i="5"/>
  <c r="O139" i="5"/>
  <c r="Q138" i="5"/>
  <c r="P138" i="5"/>
  <c r="O138" i="5"/>
  <c r="Q137" i="5"/>
  <c r="P137" i="5"/>
  <c r="O137" i="5"/>
  <c r="Q136" i="5"/>
  <c r="P136" i="5"/>
  <c r="O136" i="5"/>
  <c r="Q135" i="5"/>
  <c r="P135" i="5"/>
  <c r="O135" i="5"/>
  <c r="Q134" i="5"/>
  <c r="P134" i="5"/>
  <c r="O134" i="5"/>
  <c r="Q133" i="5"/>
  <c r="P133" i="5"/>
  <c r="O133" i="5"/>
  <c r="Q132" i="5"/>
  <c r="P132" i="5"/>
  <c r="O132" i="5"/>
  <c r="Q131" i="5"/>
  <c r="P131" i="5"/>
  <c r="O131" i="5"/>
  <c r="Q130" i="5"/>
  <c r="P130" i="5"/>
  <c r="O130" i="5"/>
  <c r="Q129" i="5"/>
  <c r="P129" i="5"/>
  <c r="O129" i="5"/>
  <c r="Q128" i="5"/>
  <c r="P128" i="5"/>
  <c r="O128" i="5"/>
  <c r="Q127" i="5"/>
  <c r="P127" i="5"/>
  <c r="O127" i="5"/>
  <c r="Q126" i="5"/>
  <c r="P126" i="5"/>
  <c r="O126" i="5"/>
  <c r="Q125" i="5"/>
  <c r="P125" i="5"/>
  <c r="O125" i="5"/>
  <c r="Q124" i="5"/>
  <c r="P124" i="5"/>
  <c r="O124" i="5"/>
  <c r="Q123" i="5"/>
  <c r="P123" i="5"/>
  <c r="O123" i="5"/>
  <c r="Q122" i="5"/>
  <c r="P122" i="5"/>
  <c r="O122" i="5"/>
  <c r="Q121" i="5"/>
  <c r="P121" i="5"/>
  <c r="O121" i="5"/>
  <c r="Q120" i="5"/>
  <c r="P120" i="5"/>
  <c r="O120" i="5"/>
  <c r="Q119" i="5"/>
  <c r="P119" i="5"/>
  <c r="O119" i="5"/>
  <c r="Q118" i="5"/>
  <c r="P118" i="5"/>
  <c r="O118" i="5"/>
  <c r="Q117" i="5"/>
  <c r="P117" i="5"/>
  <c r="O117" i="5"/>
  <c r="Q116" i="5"/>
  <c r="P116" i="5"/>
  <c r="O116" i="5"/>
  <c r="Q115" i="5"/>
  <c r="P115" i="5"/>
  <c r="O115" i="5"/>
  <c r="Q114" i="5"/>
  <c r="P114" i="5"/>
  <c r="O114" i="5"/>
  <c r="Q113" i="5"/>
  <c r="P113" i="5"/>
  <c r="O113" i="5"/>
  <c r="Q112" i="5"/>
  <c r="P112" i="5"/>
  <c r="O112" i="5"/>
  <c r="O111" i="5"/>
  <c r="Q110" i="5"/>
  <c r="P110" i="5"/>
  <c r="O110" i="5"/>
  <c r="P109" i="5"/>
  <c r="O109" i="5"/>
  <c r="Q108" i="5"/>
  <c r="P108" i="5"/>
  <c r="O108" i="5"/>
  <c r="Q107" i="5"/>
  <c r="P107" i="5"/>
  <c r="Q106" i="5"/>
  <c r="P106" i="5"/>
  <c r="O106" i="5"/>
  <c r="Q105" i="5"/>
  <c r="P105" i="5"/>
  <c r="O105" i="5"/>
  <c r="Q104" i="5"/>
  <c r="P104" i="5"/>
  <c r="O104" i="5"/>
  <c r="Q103" i="5"/>
  <c r="P103" i="5"/>
  <c r="O103" i="5"/>
  <c r="Q102" i="5"/>
  <c r="P102" i="5"/>
  <c r="O102" i="5"/>
  <c r="Q101" i="5"/>
  <c r="P101" i="5"/>
  <c r="O101" i="5"/>
  <c r="Q100" i="5"/>
  <c r="P100" i="5"/>
  <c r="O100" i="5"/>
  <c r="Q99" i="5"/>
  <c r="P99" i="5"/>
  <c r="O99" i="5"/>
  <c r="Q98" i="5"/>
  <c r="P98" i="5"/>
  <c r="O98" i="5"/>
  <c r="Q97" i="5"/>
  <c r="P97" i="5"/>
  <c r="O97" i="5"/>
  <c r="Q96" i="5"/>
  <c r="P96" i="5"/>
  <c r="O96" i="5"/>
  <c r="Q95" i="5"/>
  <c r="P95" i="5"/>
  <c r="O95" i="5"/>
  <c r="Q94" i="5"/>
  <c r="P94" i="5"/>
  <c r="O94" i="5"/>
  <c r="Q93" i="5"/>
  <c r="P93" i="5"/>
  <c r="O93" i="5"/>
  <c r="Q92" i="5"/>
  <c r="P92" i="5"/>
  <c r="O92" i="5"/>
  <c r="Q91" i="5"/>
  <c r="P91" i="5"/>
  <c r="O91" i="5"/>
  <c r="Q90" i="5"/>
  <c r="P90" i="5"/>
  <c r="O90" i="5"/>
  <c r="Q89" i="5"/>
  <c r="P89" i="5"/>
  <c r="O89" i="5"/>
  <c r="Q88" i="5"/>
  <c r="P88" i="5"/>
  <c r="O88" i="5"/>
  <c r="Q87" i="5"/>
  <c r="P87" i="5"/>
  <c r="O87" i="5"/>
  <c r="Q86" i="5"/>
  <c r="P86" i="5"/>
  <c r="O86" i="5"/>
  <c r="Q85" i="5"/>
  <c r="P85" i="5"/>
  <c r="O85" i="5"/>
  <c r="Q84" i="5"/>
  <c r="P84" i="5"/>
  <c r="O84" i="5"/>
  <c r="Q83" i="5"/>
  <c r="P83" i="5"/>
  <c r="O83" i="5"/>
  <c r="Q82" i="5"/>
  <c r="P82" i="5"/>
  <c r="O82" i="5"/>
  <c r="Q81" i="5"/>
  <c r="P81" i="5"/>
  <c r="O81" i="5"/>
  <c r="Q80" i="5"/>
  <c r="P80" i="5"/>
  <c r="O80" i="5"/>
  <c r="Q79" i="5"/>
  <c r="P79" i="5"/>
  <c r="O79" i="5"/>
  <c r="Q78" i="5"/>
  <c r="P78" i="5"/>
  <c r="O78" i="5"/>
  <c r="Q77" i="5"/>
  <c r="P77" i="5"/>
  <c r="O77" i="5"/>
  <c r="Q76" i="5"/>
  <c r="P76" i="5"/>
  <c r="O76" i="5"/>
  <c r="Q75" i="5"/>
  <c r="P75" i="5"/>
  <c r="O75" i="5"/>
  <c r="Q74" i="5"/>
  <c r="P74" i="5"/>
  <c r="O74" i="5"/>
  <c r="Q73" i="5"/>
  <c r="P73" i="5"/>
  <c r="O73" i="5"/>
  <c r="Q72" i="5"/>
  <c r="P72" i="5"/>
  <c r="O72" i="5"/>
  <c r="Q71" i="5"/>
  <c r="P71" i="5"/>
  <c r="O71" i="5"/>
  <c r="Q70" i="5"/>
  <c r="P70" i="5"/>
  <c r="O70" i="5"/>
  <c r="Q69" i="5"/>
  <c r="P69" i="5"/>
  <c r="O69" i="5"/>
  <c r="Q68" i="5"/>
  <c r="P68" i="5"/>
  <c r="O68" i="5"/>
  <c r="Q67" i="5"/>
  <c r="P67" i="5"/>
  <c r="O67" i="5"/>
  <c r="Q66" i="5"/>
  <c r="P66" i="5"/>
  <c r="O66" i="5"/>
  <c r="Q65" i="5"/>
  <c r="P65" i="5"/>
  <c r="O65" i="5"/>
  <c r="Q64" i="5"/>
  <c r="P64" i="5"/>
  <c r="O64" i="5"/>
  <c r="Q63" i="5"/>
  <c r="P63" i="5"/>
  <c r="O63" i="5"/>
  <c r="Q62" i="5"/>
  <c r="P62" i="5"/>
  <c r="O62" i="5"/>
  <c r="Q61" i="5"/>
  <c r="P61" i="5"/>
  <c r="O61" i="5"/>
  <c r="Q60" i="5"/>
  <c r="P60" i="5"/>
  <c r="O60" i="5"/>
  <c r="Q59" i="5"/>
  <c r="P59" i="5"/>
  <c r="O59" i="5"/>
  <c r="Q58" i="5"/>
  <c r="P58" i="5"/>
  <c r="O58" i="5"/>
  <c r="Q57" i="5"/>
  <c r="P57" i="5"/>
  <c r="O57" i="5"/>
  <c r="Q56" i="5"/>
  <c r="P56" i="5"/>
  <c r="O56" i="5"/>
  <c r="Q55" i="5"/>
  <c r="P55" i="5"/>
  <c r="O55" i="5"/>
  <c r="Q54" i="5"/>
  <c r="P54" i="5"/>
  <c r="O54" i="5"/>
  <c r="Q53" i="5"/>
  <c r="P53" i="5"/>
  <c r="O53" i="5"/>
  <c r="Q52" i="5"/>
  <c r="P52" i="5"/>
  <c r="O52" i="5"/>
  <c r="Q51" i="5"/>
  <c r="P51" i="5"/>
  <c r="O51" i="5"/>
  <c r="Q50" i="5"/>
  <c r="P50" i="5"/>
  <c r="O50" i="5"/>
  <c r="Q49" i="5"/>
  <c r="P49" i="5"/>
  <c r="O49" i="5"/>
  <c r="Q48" i="5"/>
  <c r="P48" i="5"/>
  <c r="O48" i="5"/>
  <c r="Q47" i="5"/>
  <c r="P47" i="5"/>
  <c r="O47" i="5"/>
  <c r="Q46" i="5"/>
  <c r="P46" i="5"/>
  <c r="O46" i="5"/>
  <c r="Q45" i="5"/>
  <c r="P45" i="5"/>
  <c r="O45" i="5"/>
  <c r="Q44" i="5"/>
  <c r="P44" i="5"/>
  <c r="O44" i="5"/>
  <c r="Q43" i="5"/>
  <c r="P43" i="5"/>
  <c r="O43" i="5"/>
  <c r="Q42" i="5"/>
  <c r="P42" i="5"/>
  <c r="O42" i="5"/>
  <c r="Q41" i="5"/>
  <c r="P41" i="5"/>
  <c r="O41" i="5"/>
  <c r="Q40" i="5"/>
  <c r="P40" i="5"/>
  <c r="O40" i="5"/>
  <c r="Q39" i="5"/>
  <c r="P39" i="5"/>
  <c r="O39" i="5"/>
  <c r="Q38" i="5"/>
  <c r="P38" i="5"/>
  <c r="O38" i="5"/>
  <c r="Q37" i="5"/>
  <c r="P37" i="5"/>
  <c r="O37" i="5"/>
  <c r="Q36" i="5"/>
  <c r="P36" i="5"/>
  <c r="O36" i="5"/>
  <c r="Q35" i="5"/>
  <c r="P35" i="5"/>
  <c r="O35" i="5"/>
  <c r="Q34" i="5"/>
  <c r="P34" i="5"/>
  <c r="O34" i="5"/>
  <c r="Q33" i="5"/>
  <c r="P33" i="5"/>
  <c r="O33" i="5"/>
  <c r="Q32" i="5"/>
  <c r="P32" i="5"/>
  <c r="O32" i="5"/>
  <c r="Q31" i="5"/>
  <c r="P31" i="5"/>
  <c r="O31" i="5"/>
  <c r="Q30" i="5"/>
  <c r="P30" i="5"/>
  <c r="O30" i="5"/>
  <c r="Q29" i="5"/>
  <c r="P29" i="5"/>
  <c r="O29" i="5"/>
  <c r="Q28" i="5"/>
  <c r="P28" i="5"/>
  <c r="O28" i="5"/>
  <c r="Q27" i="5"/>
  <c r="P27" i="5"/>
  <c r="O27" i="5"/>
  <c r="Q26" i="5"/>
  <c r="P26" i="5"/>
  <c r="O26" i="5"/>
  <c r="Q25" i="5"/>
  <c r="P25" i="5"/>
  <c r="O25" i="5"/>
  <c r="Q24" i="5"/>
  <c r="P24" i="5"/>
  <c r="O24" i="5"/>
  <c r="Q23" i="5"/>
  <c r="P23" i="5"/>
  <c r="O23" i="5"/>
  <c r="Q22" i="5"/>
  <c r="P22" i="5"/>
  <c r="O22" i="5"/>
  <c r="Q21" i="5"/>
  <c r="P21" i="5"/>
  <c r="O21" i="5"/>
  <c r="Q20" i="5"/>
  <c r="P20" i="5"/>
  <c r="O20" i="5"/>
  <c r="Q19" i="5"/>
  <c r="P19" i="5"/>
  <c r="O19" i="5"/>
  <c r="Q18" i="5"/>
  <c r="P18" i="5"/>
  <c r="O18" i="5"/>
  <c r="Q17" i="5"/>
  <c r="P17" i="5"/>
  <c r="O17" i="5"/>
  <c r="Q16" i="5"/>
  <c r="P16" i="5"/>
  <c r="O16" i="5"/>
  <c r="Q15" i="5"/>
  <c r="P15" i="5"/>
  <c r="O15" i="5"/>
  <c r="Q14" i="5"/>
  <c r="P14" i="5"/>
  <c r="O14" i="5"/>
  <c r="Q13" i="5"/>
  <c r="P13" i="5"/>
  <c r="O13" i="5"/>
  <c r="Q12" i="5"/>
  <c r="P12" i="5"/>
  <c r="O12" i="5"/>
  <c r="Q11" i="5"/>
  <c r="P11" i="5"/>
  <c r="O11" i="5"/>
  <c r="Q10" i="5"/>
  <c r="P10" i="5"/>
  <c r="O10" i="5"/>
  <c r="Q9" i="5"/>
  <c r="P9" i="5"/>
  <c r="O9" i="5"/>
  <c r="Q8" i="5"/>
  <c r="P8" i="5"/>
  <c r="O8" i="5"/>
  <c r="Q7" i="5"/>
  <c r="P7" i="5"/>
  <c r="O7" i="5"/>
  <c r="Q6" i="5"/>
  <c r="P6" i="5"/>
  <c r="O6" i="5"/>
  <c r="Q5" i="5"/>
  <c r="P5" i="5"/>
  <c r="O5" i="5"/>
  <c r="G249" i="1"/>
  <c r="G244" i="1"/>
  <c r="G235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234" i="1" s="1"/>
  <c r="G236" i="1" s="1"/>
  <c r="G240" i="1" s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231" i="1" s="1"/>
  <c r="G5" i="1"/>
  <c r="G215" i="3"/>
  <c r="G214" i="3"/>
  <c r="G213" i="3"/>
  <c r="G210" i="3"/>
  <c r="G209" i="3"/>
  <c r="G208" i="3"/>
  <c r="G205" i="3"/>
  <c r="G204" i="3"/>
  <c r="G203" i="3"/>
  <c r="G202" i="3"/>
  <c r="G199" i="3"/>
  <c r="G198" i="3"/>
  <c r="G195" i="3"/>
  <c r="G194" i="3"/>
  <c r="G193" i="3"/>
  <c r="G190" i="3"/>
  <c r="G189" i="3"/>
  <c r="G186" i="3"/>
  <c r="G185" i="3"/>
  <c r="G184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229" i="2"/>
  <c r="G228" i="2"/>
  <c r="G227" i="2"/>
  <c r="G226" i="2"/>
  <c r="G224" i="2"/>
  <c r="G223" i="2"/>
  <c r="G222" i="2"/>
  <c r="G221" i="2"/>
  <c r="G219" i="2"/>
  <c r="G218" i="2"/>
  <c r="G217" i="2"/>
  <c r="G214" i="2"/>
  <c r="G213" i="2"/>
  <c r="G212" i="2"/>
  <c r="G209" i="2"/>
  <c r="G208" i="2"/>
  <c r="G207" i="2"/>
  <c r="G206" i="2"/>
  <c r="G203" i="2"/>
  <c r="G202" i="2"/>
  <c r="G199" i="2"/>
  <c r="G198" i="2"/>
  <c r="G197" i="2"/>
  <c r="G194" i="2"/>
  <c r="G193" i="2"/>
  <c r="G190" i="2"/>
  <c r="G189" i="2"/>
  <c r="G188" i="2"/>
  <c r="G184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L337" i="5"/>
  <c r="N333" i="5"/>
  <c r="M333" i="5"/>
  <c r="L333" i="5"/>
  <c r="N309" i="5"/>
  <c r="M309" i="5"/>
  <c r="L309" i="5"/>
  <c r="N308" i="5"/>
  <c r="M308" i="5"/>
  <c r="L308" i="5"/>
  <c r="N307" i="5"/>
  <c r="M307" i="5"/>
  <c r="L307" i="5"/>
  <c r="N306" i="5"/>
  <c r="M306" i="5"/>
  <c r="L306" i="5"/>
  <c r="N305" i="5"/>
  <c r="M305" i="5"/>
  <c r="L305" i="5"/>
  <c r="N304" i="5"/>
  <c r="M304" i="5"/>
  <c r="L304" i="5"/>
  <c r="N303" i="5"/>
  <c r="M303" i="5"/>
  <c r="L303" i="5"/>
  <c r="N302" i="5"/>
  <c r="M302" i="5"/>
  <c r="L302" i="5"/>
  <c r="N301" i="5"/>
  <c r="M301" i="5"/>
  <c r="L301" i="5"/>
  <c r="N300" i="5"/>
  <c r="M300" i="5"/>
  <c r="L300" i="5"/>
  <c r="N299" i="5"/>
  <c r="M299" i="5"/>
  <c r="L299" i="5"/>
  <c r="N298" i="5"/>
  <c r="M298" i="5"/>
  <c r="L298" i="5"/>
  <c r="N297" i="5"/>
  <c r="M297" i="5"/>
  <c r="L297" i="5"/>
  <c r="N296" i="5"/>
  <c r="M296" i="5"/>
  <c r="L296" i="5"/>
  <c r="N295" i="5"/>
  <c r="M295" i="5"/>
  <c r="L295" i="5"/>
  <c r="N294" i="5"/>
  <c r="M294" i="5"/>
  <c r="L294" i="5"/>
  <c r="N293" i="5"/>
  <c r="M293" i="5"/>
  <c r="L293" i="5"/>
  <c r="N291" i="5"/>
  <c r="M291" i="5"/>
  <c r="L291" i="5"/>
  <c r="N290" i="5"/>
  <c r="M290" i="5"/>
  <c r="L290" i="5"/>
  <c r="N289" i="5"/>
  <c r="M289" i="5"/>
  <c r="L289" i="5"/>
  <c r="N288" i="5"/>
  <c r="M288" i="5"/>
  <c r="L288" i="5"/>
  <c r="N287" i="5"/>
  <c r="M287" i="5"/>
  <c r="L287" i="5"/>
  <c r="N286" i="5"/>
  <c r="M286" i="5"/>
  <c r="L286" i="5"/>
  <c r="N285" i="5"/>
  <c r="M285" i="5"/>
  <c r="L285" i="5"/>
  <c r="N284" i="5"/>
  <c r="M284" i="5"/>
  <c r="L284" i="5"/>
  <c r="N283" i="5"/>
  <c r="M283" i="5"/>
  <c r="L283" i="5"/>
  <c r="N282" i="5"/>
  <c r="M282" i="5"/>
  <c r="L282" i="5"/>
  <c r="N281" i="5"/>
  <c r="M281" i="5"/>
  <c r="L281" i="5"/>
  <c r="N280" i="5"/>
  <c r="M280" i="5"/>
  <c r="L280" i="5"/>
  <c r="N279" i="5"/>
  <c r="M279" i="5"/>
  <c r="L279" i="5"/>
  <c r="N278" i="5"/>
  <c r="M278" i="5"/>
  <c r="L278" i="5"/>
  <c r="N277" i="5"/>
  <c r="M277" i="5"/>
  <c r="L277" i="5"/>
  <c r="N276" i="5"/>
  <c r="M276" i="5"/>
  <c r="L276" i="5"/>
  <c r="N275" i="5"/>
  <c r="M275" i="5"/>
  <c r="L275" i="5"/>
  <c r="N274" i="5"/>
  <c r="M274" i="5"/>
  <c r="L274" i="5"/>
  <c r="N273" i="5"/>
  <c r="M273" i="5"/>
  <c r="L273" i="5"/>
  <c r="N272" i="5"/>
  <c r="M272" i="5"/>
  <c r="L272" i="5"/>
  <c r="N271" i="5"/>
  <c r="M271" i="5"/>
  <c r="L271" i="5"/>
  <c r="N270" i="5"/>
  <c r="M270" i="5"/>
  <c r="L270" i="5"/>
  <c r="N269" i="5"/>
  <c r="M269" i="5"/>
  <c r="L269" i="5"/>
  <c r="N268" i="5"/>
  <c r="M268" i="5"/>
  <c r="L268" i="5"/>
  <c r="N267" i="5"/>
  <c r="M267" i="5"/>
  <c r="L267" i="5"/>
  <c r="N266" i="5"/>
  <c r="M266" i="5"/>
  <c r="L266" i="5"/>
  <c r="N265" i="5"/>
  <c r="M265" i="5"/>
  <c r="L265" i="5"/>
  <c r="N264" i="5"/>
  <c r="M264" i="5"/>
  <c r="L264" i="5"/>
  <c r="N263" i="5"/>
  <c r="M263" i="5"/>
  <c r="L263" i="5"/>
  <c r="N262" i="5"/>
  <c r="M262" i="5"/>
  <c r="L262" i="5"/>
  <c r="N261" i="5"/>
  <c r="M261" i="5"/>
  <c r="L261" i="5"/>
  <c r="N260" i="5"/>
  <c r="M260" i="5"/>
  <c r="L260" i="5"/>
  <c r="N259" i="5"/>
  <c r="M259" i="5"/>
  <c r="L259" i="5"/>
  <c r="N258" i="5"/>
  <c r="M258" i="5"/>
  <c r="L258" i="5"/>
  <c r="N257" i="5"/>
  <c r="M257" i="5"/>
  <c r="L257" i="5"/>
  <c r="N256" i="5"/>
  <c r="M256" i="5"/>
  <c r="L256" i="5"/>
  <c r="N255" i="5"/>
  <c r="M255" i="5"/>
  <c r="L255" i="5"/>
  <c r="N254" i="5"/>
  <c r="M254" i="5"/>
  <c r="L254" i="5"/>
  <c r="N253" i="5"/>
  <c r="M253" i="5"/>
  <c r="L253" i="5"/>
  <c r="N252" i="5"/>
  <c r="M252" i="5"/>
  <c r="L252" i="5"/>
  <c r="N251" i="5"/>
  <c r="M251" i="5"/>
  <c r="L251" i="5"/>
  <c r="N250" i="5"/>
  <c r="M250" i="5"/>
  <c r="L250" i="5"/>
  <c r="N249" i="5"/>
  <c r="M249" i="5"/>
  <c r="L249" i="5"/>
  <c r="N248" i="5"/>
  <c r="M248" i="5"/>
  <c r="L248" i="5"/>
  <c r="N247" i="5"/>
  <c r="M247" i="5"/>
  <c r="L247" i="5"/>
  <c r="N246" i="5"/>
  <c r="M246" i="5"/>
  <c r="L246" i="5"/>
  <c r="N245" i="5"/>
  <c r="M245" i="5"/>
  <c r="L245" i="5"/>
  <c r="N244" i="5"/>
  <c r="M244" i="5"/>
  <c r="L244" i="5"/>
  <c r="N243" i="5"/>
  <c r="M243" i="5"/>
  <c r="L243" i="5"/>
  <c r="N242" i="5"/>
  <c r="M242" i="5"/>
  <c r="L242" i="5"/>
  <c r="N241" i="5"/>
  <c r="M241" i="5"/>
  <c r="L241" i="5"/>
  <c r="N240" i="5"/>
  <c r="M240" i="5"/>
  <c r="L240" i="5"/>
  <c r="N239" i="5"/>
  <c r="M239" i="5"/>
  <c r="L239" i="5"/>
  <c r="N238" i="5"/>
  <c r="M238" i="5"/>
  <c r="L238" i="5"/>
  <c r="N237" i="5"/>
  <c r="M237" i="5"/>
  <c r="L237" i="5"/>
  <c r="N236" i="5"/>
  <c r="M236" i="5"/>
  <c r="L236" i="5"/>
  <c r="N235" i="5"/>
  <c r="M235" i="5"/>
  <c r="L235" i="5"/>
  <c r="N234" i="5"/>
  <c r="M234" i="5"/>
  <c r="L234" i="5"/>
  <c r="N233" i="5"/>
  <c r="M233" i="5"/>
  <c r="L233" i="5"/>
  <c r="N232" i="5"/>
  <c r="M232" i="5"/>
  <c r="L232" i="5"/>
  <c r="N231" i="5"/>
  <c r="M231" i="5"/>
  <c r="L231" i="5"/>
  <c r="N230" i="5"/>
  <c r="M230" i="5"/>
  <c r="L230" i="5"/>
  <c r="N229" i="5"/>
  <c r="M229" i="5"/>
  <c r="L229" i="5"/>
  <c r="N228" i="5"/>
  <c r="M228" i="5"/>
  <c r="L228" i="5"/>
  <c r="N227" i="5"/>
  <c r="M227" i="5"/>
  <c r="L227" i="5"/>
  <c r="N226" i="5"/>
  <c r="M226" i="5"/>
  <c r="L226" i="5"/>
  <c r="N225" i="5"/>
  <c r="M225" i="5"/>
  <c r="L225" i="5"/>
  <c r="N224" i="5"/>
  <c r="M224" i="5"/>
  <c r="L224" i="5"/>
  <c r="N223" i="5"/>
  <c r="M223" i="5"/>
  <c r="L223" i="5"/>
  <c r="N222" i="5"/>
  <c r="M222" i="5"/>
  <c r="L222" i="5"/>
  <c r="N221" i="5"/>
  <c r="M221" i="5"/>
  <c r="L221" i="5"/>
  <c r="N220" i="5"/>
  <c r="M220" i="5"/>
  <c r="L220" i="5"/>
  <c r="N219" i="5"/>
  <c r="M219" i="5"/>
  <c r="L219" i="5"/>
  <c r="N218" i="5"/>
  <c r="M218" i="5"/>
  <c r="L218" i="5"/>
  <c r="N217" i="5"/>
  <c r="M217" i="5"/>
  <c r="L217" i="5"/>
  <c r="N216" i="5"/>
  <c r="M216" i="5"/>
  <c r="L216" i="5"/>
  <c r="N215" i="5"/>
  <c r="M215" i="5"/>
  <c r="L215" i="5"/>
  <c r="N214" i="5"/>
  <c r="M214" i="5"/>
  <c r="L214" i="5"/>
  <c r="N213" i="5"/>
  <c r="M213" i="5"/>
  <c r="L213" i="5"/>
  <c r="N212" i="5"/>
  <c r="M212" i="5"/>
  <c r="L212" i="5"/>
  <c r="N211" i="5"/>
  <c r="M211" i="5"/>
  <c r="L211" i="5"/>
  <c r="N210" i="5"/>
  <c r="M210" i="5"/>
  <c r="L210" i="5"/>
  <c r="N209" i="5"/>
  <c r="M209" i="5"/>
  <c r="L209" i="5"/>
  <c r="N208" i="5"/>
  <c r="M208" i="5"/>
  <c r="L208" i="5"/>
  <c r="N207" i="5"/>
  <c r="M207" i="5"/>
  <c r="L207" i="5"/>
  <c r="N206" i="5"/>
  <c r="M206" i="5"/>
  <c r="L206" i="5"/>
  <c r="N205" i="5"/>
  <c r="M205" i="5"/>
  <c r="L205" i="5"/>
  <c r="N204" i="5"/>
  <c r="M204" i="5"/>
  <c r="L204" i="5"/>
  <c r="N203" i="5"/>
  <c r="M203" i="5"/>
  <c r="L203" i="5"/>
  <c r="N202" i="5"/>
  <c r="M202" i="5"/>
  <c r="L202" i="5"/>
  <c r="N201" i="5"/>
  <c r="M201" i="5"/>
  <c r="L201" i="5"/>
  <c r="N200" i="5"/>
  <c r="M200" i="5"/>
  <c r="L200" i="5"/>
  <c r="N199" i="5"/>
  <c r="M199" i="5"/>
  <c r="L199" i="5"/>
  <c r="N198" i="5"/>
  <c r="M198" i="5"/>
  <c r="L198" i="5"/>
  <c r="N197" i="5"/>
  <c r="M197" i="5"/>
  <c r="L197" i="5"/>
  <c r="N196" i="5"/>
  <c r="M196" i="5"/>
  <c r="L196" i="5"/>
  <c r="N195" i="5"/>
  <c r="M195" i="5"/>
  <c r="L195" i="5"/>
  <c r="N194" i="5"/>
  <c r="M194" i="5"/>
  <c r="L194" i="5"/>
  <c r="N193" i="5"/>
  <c r="M193" i="5"/>
  <c r="L193" i="5"/>
  <c r="N192" i="5"/>
  <c r="M192" i="5"/>
  <c r="L192" i="5"/>
  <c r="N191" i="5"/>
  <c r="M191" i="5"/>
  <c r="L191" i="5"/>
  <c r="N190" i="5"/>
  <c r="M190" i="5"/>
  <c r="L190" i="5"/>
  <c r="N189" i="5"/>
  <c r="M189" i="5"/>
  <c r="L189" i="5"/>
  <c r="N188" i="5"/>
  <c r="M188" i="5"/>
  <c r="L188" i="5"/>
  <c r="N187" i="5"/>
  <c r="M187" i="5"/>
  <c r="L187" i="5"/>
  <c r="N186" i="5"/>
  <c r="M186" i="5"/>
  <c r="L186" i="5"/>
  <c r="N185" i="5"/>
  <c r="M185" i="5"/>
  <c r="L185" i="5"/>
  <c r="N184" i="5"/>
  <c r="M184" i="5"/>
  <c r="L184" i="5"/>
  <c r="N183" i="5"/>
  <c r="M183" i="5"/>
  <c r="L183" i="5"/>
  <c r="N182" i="5"/>
  <c r="M182" i="5"/>
  <c r="L182" i="5"/>
  <c r="N181" i="5"/>
  <c r="M181" i="5"/>
  <c r="L181" i="5"/>
  <c r="N180" i="5"/>
  <c r="M180" i="5"/>
  <c r="L180" i="5"/>
  <c r="N179" i="5"/>
  <c r="M179" i="5"/>
  <c r="L179" i="5"/>
  <c r="N178" i="5"/>
  <c r="M178" i="5"/>
  <c r="L178" i="5"/>
  <c r="N177" i="5"/>
  <c r="M177" i="5"/>
  <c r="L177" i="5"/>
  <c r="N176" i="5"/>
  <c r="M176" i="5"/>
  <c r="L176" i="5"/>
  <c r="N175" i="5"/>
  <c r="M175" i="5"/>
  <c r="L175" i="5"/>
  <c r="N174" i="5"/>
  <c r="M174" i="5"/>
  <c r="L174" i="5"/>
  <c r="N173" i="5"/>
  <c r="M173" i="5"/>
  <c r="L173" i="5"/>
  <c r="N172" i="5"/>
  <c r="M172" i="5"/>
  <c r="L172" i="5"/>
  <c r="N171" i="5"/>
  <c r="M171" i="5"/>
  <c r="L171" i="5"/>
  <c r="N170" i="5"/>
  <c r="M170" i="5"/>
  <c r="L170" i="5"/>
  <c r="N169" i="5"/>
  <c r="M169" i="5"/>
  <c r="L169" i="5"/>
  <c r="N168" i="5"/>
  <c r="M168" i="5"/>
  <c r="L168" i="5"/>
  <c r="N167" i="5"/>
  <c r="M167" i="5"/>
  <c r="L167" i="5"/>
  <c r="N166" i="5"/>
  <c r="M166" i="5"/>
  <c r="L166" i="5"/>
  <c r="N165" i="5"/>
  <c r="M165" i="5"/>
  <c r="L165" i="5"/>
  <c r="N164" i="5"/>
  <c r="M164" i="5"/>
  <c r="L164" i="5"/>
  <c r="N163" i="5"/>
  <c r="M163" i="5"/>
  <c r="L163" i="5"/>
  <c r="N162" i="5"/>
  <c r="M162" i="5"/>
  <c r="L162" i="5"/>
  <c r="N161" i="5"/>
  <c r="M161" i="5"/>
  <c r="L161" i="5"/>
  <c r="N160" i="5"/>
  <c r="M160" i="5"/>
  <c r="L160" i="5"/>
  <c r="N159" i="5"/>
  <c r="M159" i="5"/>
  <c r="L159" i="5"/>
  <c r="N158" i="5"/>
  <c r="M158" i="5"/>
  <c r="L158" i="5"/>
  <c r="N157" i="5"/>
  <c r="M157" i="5"/>
  <c r="L157" i="5"/>
  <c r="N156" i="5"/>
  <c r="M156" i="5"/>
  <c r="L156" i="5"/>
  <c r="N155" i="5"/>
  <c r="M155" i="5"/>
  <c r="L155" i="5"/>
  <c r="N154" i="5"/>
  <c r="M154" i="5"/>
  <c r="L154" i="5"/>
  <c r="N153" i="5"/>
  <c r="M153" i="5"/>
  <c r="L153" i="5"/>
  <c r="N152" i="5"/>
  <c r="M152" i="5"/>
  <c r="L152" i="5"/>
  <c r="N151" i="5"/>
  <c r="M151" i="5"/>
  <c r="L151" i="5"/>
  <c r="N150" i="5"/>
  <c r="M150" i="5"/>
  <c r="L150" i="5"/>
  <c r="N149" i="5"/>
  <c r="M149" i="5"/>
  <c r="L149" i="5"/>
  <c r="N148" i="5"/>
  <c r="M148" i="5"/>
  <c r="L148" i="5"/>
  <c r="N147" i="5"/>
  <c r="M147" i="5"/>
  <c r="L147" i="5"/>
  <c r="N146" i="5"/>
  <c r="M146" i="5"/>
  <c r="L146" i="5"/>
  <c r="N145" i="5"/>
  <c r="M145" i="5"/>
  <c r="L145" i="5"/>
  <c r="N144" i="5"/>
  <c r="M144" i="5"/>
  <c r="L144" i="5"/>
  <c r="N143" i="5"/>
  <c r="M143" i="5"/>
  <c r="L143" i="5"/>
  <c r="N142" i="5"/>
  <c r="M142" i="5"/>
  <c r="L142" i="5"/>
  <c r="N141" i="5"/>
  <c r="M141" i="5"/>
  <c r="L141" i="5"/>
  <c r="N140" i="5"/>
  <c r="M140" i="5"/>
  <c r="L140" i="5"/>
  <c r="N139" i="5"/>
  <c r="M139" i="5"/>
  <c r="L139" i="5"/>
  <c r="N138" i="5"/>
  <c r="M138" i="5"/>
  <c r="L138" i="5"/>
  <c r="N137" i="5"/>
  <c r="M137" i="5"/>
  <c r="L137" i="5"/>
  <c r="N136" i="5"/>
  <c r="M136" i="5"/>
  <c r="L136" i="5"/>
  <c r="N135" i="5"/>
  <c r="M135" i="5"/>
  <c r="L135" i="5"/>
  <c r="N134" i="5"/>
  <c r="M134" i="5"/>
  <c r="L134" i="5"/>
  <c r="N133" i="5"/>
  <c r="M133" i="5"/>
  <c r="L133" i="5"/>
  <c r="N132" i="5"/>
  <c r="M132" i="5"/>
  <c r="L132" i="5"/>
  <c r="N131" i="5"/>
  <c r="M131" i="5"/>
  <c r="L131" i="5"/>
  <c r="N130" i="5"/>
  <c r="M130" i="5"/>
  <c r="L130" i="5"/>
  <c r="N129" i="5"/>
  <c r="M129" i="5"/>
  <c r="L129" i="5"/>
  <c r="N128" i="5"/>
  <c r="M128" i="5"/>
  <c r="L128" i="5"/>
  <c r="N127" i="5"/>
  <c r="M127" i="5"/>
  <c r="L127" i="5"/>
  <c r="N126" i="5"/>
  <c r="M126" i="5"/>
  <c r="L126" i="5"/>
  <c r="N125" i="5"/>
  <c r="M125" i="5"/>
  <c r="L125" i="5"/>
  <c r="N124" i="5"/>
  <c r="M124" i="5"/>
  <c r="L124" i="5"/>
  <c r="N123" i="5"/>
  <c r="M123" i="5"/>
  <c r="L123" i="5"/>
  <c r="N122" i="5"/>
  <c r="M122" i="5"/>
  <c r="L122" i="5"/>
  <c r="N121" i="5"/>
  <c r="M121" i="5"/>
  <c r="L121" i="5"/>
  <c r="N120" i="5"/>
  <c r="M120" i="5"/>
  <c r="L120" i="5"/>
  <c r="N119" i="5"/>
  <c r="M119" i="5"/>
  <c r="L119" i="5"/>
  <c r="N118" i="5"/>
  <c r="M118" i="5"/>
  <c r="L118" i="5"/>
  <c r="N117" i="5"/>
  <c r="M117" i="5"/>
  <c r="L117" i="5"/>
  <c r="N116" i="5"/>
  <c r="M116" i="5"/>
  <c r="L116" i="5"/>
  <c r="N115" i="5"/>
  <c r="M115" i="5"/>
  <c r="L115" i="5"/>
  <c r="N114" i="5"/>
  <c r="M114" i="5"/>
  <c r="L114" i="5"/>
  <c r="N113" i="5"/>
  <c r="M113" i="5"/>
  <c r="L113" i="5"/>
  <c r="N112" i="5"/>
  <c r="M112" i="5"/>
  <c r="L112" i="5"/>
  <c r="L111" i="5"/>
  <c r="N110" i="5"/>
  <c r="M110" i="5"/>
  <c r="L110" i="5"/>
  <c r="M109" i="5"/>
  <c r="L109" i="5"/>
  <c r="N108" i="5"/>
  <c r="M108" i="5"/>
  <c r="L108" i="5"/>
  <c r="N107" i="5"/>
  <c r="M107" i="5"/>
  <c r="N106" i="5"/>
  <c r="M106" i="5"/>
  <c r="L106" i="5"/>
  <c r="N105" i="5"/>
  <c r="M105" i="5"/>
  <c r="L105" i="5"/>
  <c r="N104" i="5"/>
  <c r="M104" i="5"/>
  <c r="L104" i="5"/>
  <c r="N103" i="5"/>
  <c r="M103" i="5"/>
  <c r="L103" i="5"/>
  <c r="N102" i="5"/>
  <c r="M102" i="5"/>
  <c r="L102" i="5"/>
  <c r="N101" i="5"/>
  <c r="M101" i="5"/>
  <c r="L101" i="5"/>
  <c r="N100" i="5"/>
  <c r="M100" i="5"/>
  <c r="L100" i="5"/>
  <c r="N99" i="5"/>
  <c r="M99" i="5"/>
  <c r="L99" i="5"/>
  <c r="N98" i="5"/>
  <c r="M98" i="5"/>
  <c r="L98" i="5"/>
  <c r="N97" i="5"/>
  <c r="M97" i="5"/>
  <c r="L97" i="5"/>
  <c r="N96" i="5"/>
  <c r="M96" i="5"/>
  <c r="L96" i="5"/>
  <c r="N95" i="5"/>
  <c r="M95" i="5"/>
  <c r="L95" i="5"/>
  <c r="N94" i="5"/>
  <c r="M94" i="5"/>
  <c r="L94" i="5"/>
  <c r="N93" i="5"/>
  <c r="M93" i="5"/>
  <c r="L93" i="5"/>
  <c r="N92" i="5"/>
  <c r="M92" i="5"/>
  <c r="L92" i="5"/>
  <c r="N91" i="5"/>
  <c r="M91" i="5"/>
  <c r="L91" i="5"/>
  <c r="N90" i="5"/>
  <c r="M90" i="5"/>
  <c r="L90" i="5"/>
  <c r="N89" i="5"/>
  <c r="M89" i="5"/>
  <c r="L89" i="5"/>
  <c r="N88" i="5"/>
  <c r="M88" i="5"/>
  <c r="L88" i="5"/>
  <c r="N87" i="5"/>
  <c r="M87" i="5"/>
  <c r="L87" i="5"/>
  <c r="N86" i="5"/>
  <c r="M86" i="5"/>
  <c r="L86" i="5"/>
  <c r="N85" i="5"/>
  <c r="M85" i="5"/>
  <c r="L85" i="5"/>
  <c r="N84" i="5"/>
  <c r="M84" i="5"/>
  <c r="L84" i="5"/>
  <c r="N83" i="5"/>
  <c r="M83" i="5"/>
  <c r="L83" i="5"/>
  <c r="N82" i="5"/>
  <c r="M82" i="5"/>
  <c r="L82" i="5"/>
  <c r="N81" i="5"/>
  <c r="M81" i="5"/>
  <c r="L81" i="5"/>
  <c r="N80" i="5"/>
  <c r="M80" i="5"/>
  <c r="L80" i="5"/>
  <c r="N79" i="5"/>
  <c r="M79" i="5"/>
  <c r="L79" i="5"/>
  <c r="N78" i="5"/>
  <c r="M78" i="5"/>
  <c r="L78" i="5"/>
  <c r="N77" i="5"/>
  <c r="M77" i="5"/>
  <c r="L77" i="5"/>
  <c r="N76" i="5"/>
  <c r="M76" i="5"/>
  <c r="L76" i="5"/>
  <c r="N75" i="5"/>
  <c r="M75" i="5"/>
  <c r="L75" i="5"/>
  <c r="N74" i="5"/>
  <c r="M74" i="5"/>
  <c r="L74" i="5"/>
  <c r="N73" i="5"/>
  <c r="M73" i="5"/>
  <c r="L73" i="5"/>
  <c r="N72" i="5"/>
  <c r="M72" i="5"/>
  <c r="L72" i="5"/>
  <c r="N71" i="5"/>
  <c r="M71" i="5"/>
  <c r="L71" i="5"/>
  <c r="N70" i="5"/>
  <c r="M70" i="5"/>
  <c r="L70" i="5"/>
  <c r="N69" i="5"/>
  <c r="M69" i="5"/>
  <c r="L69" i="5"/>
  <c r="N68" i="5"/>
  <c r="M68" i="5"/>
  <c r="L68" i="5"/>
  <c r="N67" i="5"/>
  <c r="M67" i="5"/>
  <c r="L67" i="5"/>
  <c r="N66" i="5"/>
  <c r="M66" i="5"/>
  <c r="L66" i="5"/>
  <c r="N65" i="5"/>
  <c r="M65" i="5"/>
  <c r="L65" i="5"/>
  <c r="N64" i="5"/>
  <c r="M64" i="5"/>
  <c r="L64" i="5"/>
  <c r="N63" i="5"/>
  <c r="M63" i="5"/>
  <c r="L63" i="5"/>
  <c r="N62" i="5"/>
  <c r="M62" i="5"/>
  <c r="L62" i="5"/>
  <c r="N61" i="5"/>
  <c r="M61" i="5"/>
  <c r="L61" i="5"/>
  <c r="N60" i="5"/>
  <c r="M60" i="5"/>
  <c r="L60" i="5"/>
  <c r="N59" i="5"/>
  <c r="M59" i="5"/>
  <c r="L59" i="5"/>
  <c r="N58" i="5"/>
  <c r="M58" i="5"/>
  <c r="L58" i="5"/>
  <c r="N57" i="5"/>
  <c r="M57" i="5"/>
  <c r="L57" i="5"/>
  <c r="N56" i="5"/>
  <c r="M56" i="5"/>
  <c r="L56" i="5"/>
  <c r="N55" i="5"/>
  <c r="M55" i="5"/>
  <c r="L55" i="5"/>
  <c r="N54" i="5"/>
  <c r="M54" i="5"/>
  <c r="L54" i="5"/>
  <c r="N53" i="5"/>
  <c r="M53" i="5"/>
  <c r="L53" i="5"/>
  <c r="N52" i="5"/>
  <c r="M52" i="5"/>
  <c r="L52" i="5"/>
  <c r="N51" i="5"/>
  <c r="M51" i="5"/>
  <c r="L51" i="5"/>
  <c r="N50" i="5"/>
  <c r="M50" i="5"/>
  <c r="L50" i="5"/>
  <c r="N49" i="5"/>
  <c r="M49" i="5"/>
  <c r="L49" i="5"/>
  <c r="N48" i="5"/>
  <c r="M48" i="5"/>
  <c r="L48" i="5"/>
  <c r="N47" i="5"/>
  <c r="M47" i="5"/>
  <c r="L47" i="5"/>
  <c r="N46" i="5"/>
  <c r="M46" i="5"/>
  <c r="L46" i="5"/>
  <c r="N45" i="5"/>
  <c r="M45" i="5"/>
  <c r="L45" i="5"/>
  <c r="N44" i="5"/>
  <c r="M44" i="5"/>
  <c r="L44" i="5"/>
  <c r="N43" i="5"/>
  <c r="M43" i="5"/>
  <c r="L43" i="5"/>
  <c r="N42" i="5"/>
  <c r="M42" i="5"/>
  <c r="L42" i="5"/>
  <c r="N41" i="5"/>
  <c r="M41" i="5"/>
  <c r="L41" i="5"/>
  <c r="N40" i="5"/>
  <c r="M40" i="5"/>
  <c r="L40" i="5"/>
  <c r="N39" i="5"/>
  <c r="M39" i="5"/>
  <c r="L39" i="5"/>
  <c r="N38" i="5"/>
  <c r="M38" i="5"/>
  <c r="L38" i="5"/>
  <c r="N37" i="5"/>
  <c r="M37" i="5"/>
  <c r="L37" i="5"/>
  <c r="N36" i="5"/>
  <c r="M36" i="5"/>
  <c r="L36" i="5"/>
  <c r="N35" i="5"/>
  <c r="M35" i="5"/>
  <c r="L35" i="5"/>
  <c r="N34" i="5"/>
  <c r="M34" i="5"/>
  <c r="L34" i="5"/>
  <c r="N33" i="5"/>
  <c r="M33" i="5"/>
  <c r="L33" i="5"/>
  <c r="N32" i="5"/>
  <c r="M32" i="5"/>
  <c r="L32" i="5"/>
  <c r="N31" i="5"/>
  <c r="M31" i="5"/>
  <c r="L31" i="5"/>
  <c r="N30" i="5"/>
  <c r="M30" i="5"/>
  <c r="L30" i="5"/>
  <c r="N29" i="5"/>
  <c r="M29" i="5"/>
  <c r="L29" i="5"/>
  <c r="N28" i="5"/>
  <c r="M28" i="5"/>
  <c r="L28" i="5"/>
  <c r="N27" i="5"/>
  <c r="M27" i="5"/>
  <c r="L27" i="5"/>
  <c r="N26" i="5"/>
  <c r="M26" i="5"/>
  <c r="L26" i="5"/>
  <c r="N25" i="5"/>
  <c r="M25" i="5"/>
  <c r="L25" i="5"/>
  <c r="N24" i="5"/>
  <c r="M24" i="5"/>
  <c r="L24" i="5"/>
  <c r="N23" i="5"/>
  <c r="M23" i="5"/>
  <c r="L23" i="5"/>
  <c r="N22" i="5"/>
  <c r="M22" i="5"/>
  <c r="L22" i="5"/>
  <c r="N21" i="5"/>
  <c r="M21" i="5"/>
  <c r="L21" i="5"/>
  <c r="N20" i="5"/>
  <c r="M20" i="5"/>
  <c r="L20" i="5"/>
  <c r="N19" i="5"/>
  <c r="M19" i="5"/>
  <c r="L19" i="5"/>
  <c r="N18" i="5"/>
  <c r="M18" i="5"/>
  <c r="L18" i="5"/>
  <c r="N17" i="5"/>
  <c r="M17" i="5"/>
  <c r="L17" i="5"/>
  <c r="N16" i="5"/>
  <c r="M16" i="5"/>
  <c r="L16" i="5"/>
  <c r="N15" i="5"/>
  <c r="M15" i="5"/>
  <c r="L15" i="5"/>
  <c r="N14" i="5"/>
  <c r="M14" i="5"/>
  <c r="L14" i="5"/>
  <c r="N13" i="5"/>
  <c r="M13" i="5"/>
  <c r="L13" i="5"/>
  <c r="N12" i="5"/>
  <c r="M12" i="5"/>
  <c r="L12" i="5"/>
  <c r="N11" i="5"/>
  <c r="M11" i="5"/>
  <c r="L11" i="5"/>
  <c r="N10" i="5"/>
  <c r="M10" i="5"/>
  <c r="L10" i="5"/>
  <c r="N9" i="5"/>
  <c r="M9" i="5"/>
  <c r="L9" i="5"/>
  <c r="N8" i="5"/>
  <c r="M8" i="5"/>
  <c r="L8" i="5"/>
  <c r="N7" i="5"/>
  <c r="M7" i="5"/>
  <c r="L7" i="5"/>
  <c r="N6" i="5"/>
  <c r="M6" i="5"/>
  <c r="L6" i="5"/>
  <c r="N5" i="5"/>
  <c r="M5" i="5"/>
  <c r="L5" i="5"/>
  <c r="F249" i="1"/>
  <c r="F244" i="1"/>
  <c r="F235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262" i="1" s="1"/>
  <c r="F110" i="1"/>
  <c r="F109" i="1"/>
  <c r="F108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231" i="1" s="1"/>
  <c r="F5" i="1"/>
  <c r="F215" i="3"/>
  <c r="F214" i="3"/>
  <c r="F213" i="3"/>
  <c r="F210" i="3"/>
  <c r="F209" i="3"/>
  <c r="F208" i="3"/>
  <c r="F205" i="3"/>
  <c r="F204" i="3"/>
  <c r="F203" i="3"/>
  <c r="F202" i="3"/>
  <c r="F199" i="3"/>
  <c r="F198" i="3"/>
  <c r="F195" i="3"/>
  <c r="F194" i="3"/>
  <c r="F193" i="3"/>
  <c r="F190" i="3"/>
  <c r="F189" i="3"/>
  <c r="F186" i="3"/>
  <c r="F185" i="3"/>
  <c r="F184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29" i="2"/>
  <c r="F228" i="2"/>
  <c r="F227" i="2"/>
  <c r="F226" i="2"/>
  <c r="F224" i="2"/>
  <c r="F223" i="2"/>
  <c r="F222" i="2"/>
  <c r="F221" i="2"/>
  <c r="F219" i="2"/>
  <c r="F218" i="2"/>
  <c r="F217" i="2"/>
  <c r="F214" i="2"/>
  <c r="F213" i="2"/>
  <c r="F212" i="2"/>
  <c r="F209" i="2"/>
  <c r="F208" i="2"/>
  <c r="F207" i="2"/>
  <c r="F206" i="2"/>
  <c r="F203" i="2"/>
  <c r="F202" i="2"/>
  <c r="F199" i="2"/>
  <c r="F198" i="2"/>
  <c r="F197" i="2"/>
  <c r="F194" i="2"/>
  <c r="F193" i="2"/>
  <c r="F190" i="2"/>
  <c r="F189" i="2"/>
  <c r="F188" i="2"/>
  <c r="F184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K333" i="5"/>
  <c r="J333" i="5"/>
  <c r="I333" i="5"/>
  <c r="J309" i="5"/>
  <c r="I309" i="5"/>
  <c r="J308" i="5"/>
  <c r="I308" i="5"/>
  <c r="J307" i="5"/>
  <c r="J306" i="5"/>
  <c r="I306" i="5"/>
  <c r="J305" i="5"/>
  <c r="I305" i="5"/>
  <c r="J304" i="5"/>
  <c r="I304" i="5"/>
  <c r="J303" i="5"/>
  <c r="J302" i="5"/>
  <c r="I302" i="5"/>
  <c r="J301" i="5"/>
  <c r="I301" i="5"/>
  <c r="J300" i="5"/>
  <c r="I300" i="5"/>
  <c r="J299" i="5"/>
  <c r="J298" i="5"/>
  <c r="I298" i="5"/>
  <c r="J297" i="5"/>
  <c r="I297" i="5"/>
  <c r="J296" i="5"/>
  <c r="I296" i="5"/>
  <c r="J295" i="5"/>
  <c r="J294" i="5"/>
  <c r="I294" i="5"/>
  <c r="J293" i="5"/>
  <c r="I293" i="5"/>
  <c r="J291" i="5"/>
  <c r="I291" i="5"/>
  <c r="J290" i="5"/>
  <c r="I290" i="5"/>
  <c r="J289" i="5"/>
  <c r="I289" i="5"/>
  <c r="J288" i="5"/>
  <c r="J287" i="5"/>
  <c r="I287" i="5"/>
  <c r="J286" i="5"/>
  <c r="I286" i="5"/>
  <c r="J285" i="5"/>
  <c r="I285" i="5"/>
  <c r="J284" i="5"/>
  <c r="I284" i="5"/>
  <c r="J283" i="5"/>
  <c r="I283" i="5"/>
  <c r="J282" i="5"/>
  <c r="I282" i="5"/>
  <c r="J281" i="5"/>
  <c r="I281" i="5"/>
  <c r="J280" i="5"/>
  <c r="I280" i="5"/>
  <c r="J279" i="5"/>
  <c r="I279" i="5"/>
  <c r="J278" i="5"/>
  <c r="I278" i="5"/>
  <c r="J277" i="5"/>
  <c r="I277" i="5"/>
  <c r="J276" i="5"/>
  <c r="I276" i="5"/>
  <c r="J275" i="5"/>
  <c r="I275" i="5"/>
  <c r="J274" i="5"/>
  <c r="I274" i="5"/>
  <c r="J273" i="5"/>
  <c r="I273" i="5"/>
  <c r="J272" i="5"/>
  <c r="I272" i="5"/>
  <c r="J271" i="5"/>
  <c r="I271" i="5"/>
  <c r="J270" i="5"/>
  <c r="I270" i="5"/>
  <c r="J269" i="5"/>
  <c r="I269" i="5"/>
  <c r="J268" i="5"/>
  <c r="I268" i="5"/>
  <c r="J267" i="5"/>
  <c r="I267" i="5"/>
  <c r="J266" i="5"/>
  <c r="I266" i="5"/>
  <c r="J265" i="5"/>
  <c r="I265" i="5"/>
  <c r="J264" i="5"/>
  <c r="I264" i="5"/>
  <c r="J263" i="5"/>
  <c r="I263" i="5"/>
  <c r="J262" i="5"/>
  <c r="I262" i="5"/>
  <c r="J261" i="5"/>
  <c r="I261" i="5"/>
  <c r="J260" i="5"/>
  <c r="I260" i="5"/>
  <c r="J259" i="5"/>
  <c r="I259" i="5"/>
  <c r="J258" i="5"/>
  <c r="I258" i="5"/>
  <c r="J257" i="5"/>
  <c r="I257" i="5"/>
  <c r="J256" i="5"/>
  <c r="I256" i="5"/>
  <c r="J255" i="5"/>
  <c r="I255" i="5"/>
  <c r="J254" i="5"/>
  <c r="I254" i="5"/>
  <c r="J253" i="5"/>
  <c r="I253" i="5"/>
  <c r="J252" i="5"/>
  <c r="I252" i="5"/>
  <c r="J251" i="5"/>
  <c r="I251" i="5"/>
  <c r="J250" i="5"/>
  <c r="I250" i="5"/>
  <c r="J249" i="5"/>
  <c r="I249" i="5"/>
  <c r="J248" i="5"/>
  <c r="I248" i="5"/>
  <c r="J247" i="5"/>
  <c r="I247" i="5"/>
  <c r="J246" i="5"/>
  <c r="I246" i="5"/>
  <c r="J245" i="5"/>
  <c r="I245" i="5"/>
  <c r="J244" i="5"/>
  <c r="I244" i="5"/>
  <c r="J243" i="5"/>
  <c r="I243" i="5"/>
  <c r="J242" i="5"/>
  <c r="I242" i="5"/>
  <c r="J241" i="5"/>
  <c r="I241" i="5"/>
  <c r="J240" i="5"/>
  <c r="I240" i="5"/>
  <c r="J239" i="5"/>
  <c r="I239" i="5"/>
  <c r="J238" i="5"/>
  <c r="I238" i="5"/>
  <c r="J237" i="5"/>
  <c r="I237" i="5"/>
  <c r="J236" i="5"/>
  <c r="I236" i="5"/>
  <c r="J235" i="5"/>
  <c r="I235" i="5"/>
  <c r="J234" i="5"/>
  <c r="I234" i="5"/>
  <c r="J233" i="5"/>
  <c r="I233" i="5"/>
  <c r="J232" i="5"/>
  <c r="I232" i="5"/>
  <c r="J231" i="5"/>
  <c r="I231" i="5"/>
  <c r="K230" i="5"/>
  <c r="J230" i="5"/>
  <c r="I230" i="5"/>
  <c r="K229" i="5"/>
  <c r="J229" i="5"/>
  <c r="I229" i="5"/>
  <c r="K228" i="5"/>
  <c r="J228" i="5"/>
  <c r="I228" i="5"/>
  <c r="K227" i="5"/>
  <c r="J227" i="5"/>
  <c r="I227" i="5"/>
  <c r="K226" i="5"/>
  <c r="J226" i="5"/>
  <c r="I226" i="5"/>
  <c r="K225" i="5"/>
  <c r="J225" i="5"/>
  <c r="I225" i="5"/>
  <c r="K224" i="5"/>
  <c r="J224" i="5"/>
  <c r="I224" i="5"/>
  <c r="K223" i="5"/>
  <c r="J223" i="5"/>
  <c r="I223" i="5"/>
  <c r="K222" i="5"/>
  <c r="J222" i="5"/>
  <c r="I222" i="5"/>
  <c r="K221" i="5"/>
  <c r="J221" i="5"/>
  <c r="I221" i="5"/>
  <c r="K220" i="5"/>
  <c r="J220" i="5"/>
  <c r="I220" i="5"/>
  <c r="K219" i="5"/>
  <c r="J219" i="5"/>
  <c r="I219" i="5"/>
  <c r="K218" i="5"/>
  <c r="J218" i="5"/>
  <c r="I218" i="5"/>
  <c r="K217" i="5"/>
  <c r="J217" i="5"/>
  <c r="I217" i="5"/>
  <c r="K216" i="5"/>
  <c r="J216" i="5"/>
  <c r="I216" i="5"/>
  <c r="K215" i="5"/>
  <c r="J215" i="5"/>
  <c r="I215" i="5"/>
  <c r="K214" i="5"/>
  <c r="J214" i="5"/>
  <c r="I214" i="5"/>
  <c r="K213" i="5"/>
  <c r="J213" i="5"/>
  <c r="I213" i="5"/>
  <c r="K212" i="5"/>
  <c r="J212" i="5"/>
  <c r="I212" i="5"/>
  <c r="K211" i="5"/>
  <c r="J211" i="5"/>
  <c r="I211" i="5"/>
  <c r="K210" i="5"/>
  <c r="J210" i="5"/>
  <c r="I210" i="5"/>
  <c r="K209" i="5"/>
  <c r="J209" i="5"/>
  <c r="I209" i="5"/>
  <c r="K208" i="5"/>
  <c r="J208" i="5"/>
  <c r="I208" i="5"/>
  <c r="K207" i="5"/>
  <c r="J207" i="5"/>
  <c r="I207" i="5"/>
  <c r="K206" i="5"/>
  <c r="J206" i="5"/>
  <c r="I206" i="5"/>
  <c r="K205" i="5"/>
  <c r="J205" i="5"/>
  <c r="I205" i="5"/>
  <c r="K204" i="5"/>
  <c r="J204" i="5"/>
  <c r="I204" i="5"/>
  <c r="K203" i="5"/>
  <c r="J203" i="5"/>
  <c r="I203" i="5"/>
  <c r="K202" i="5"/>
  <c r="J202" i="5"/>
  <c r="I202" i="5"/>
  <c r="K201" i="5"/>
  <c r="J201" i="5"/>
  <c r="I201" i="5"/>
  <c r="K200" i="5"/>
  <c r="J200" i="5"/>
  <c r="I200" i="5"/>
  <c r="K199" i="5"/>
  <c r="J199" i="5"/>
  <c r="I199" i="5"/>
  <c r="K198" i="5"/>
  <c r="J198" i="5"/>
  <c r="I198" i="5"/>
  <c r="K197" i="5"/>
  <c r="J197" i="5"/>
  <c r="I197" i="5"/>
  <c r="K196" i="5"/>
  <c r="J196" i="5"/>
  <c r="I196" i="5"/>
  <c r="K195" i="5"/>
  <c r="J195" i="5"/>
  <c r="I195" i="5"/>
  <c r="K194" i="5"/>
  <c r="J194" i="5"/>
  <c r="I194" i="5"/>
  <c r="K193" i="5"/>
  <c r="J193" i="5"/>
  <c r="I193" i="5"/>
  <c r="K192" i="5"/>
  <c r="J192" i="5"/>
  <c r="I192" i="5"/>
  <c r="K191" i="5"/>
  <c r="J191" i="5"/>
  <c r="I191" i="5"/>
  <c r="K190" i="5"/>
  <c r="J190" i="5"/>
  <c r="I190" i="5"/>
  <c r="K189" i="5"/>
  <c r="J189" i="5"/>
  <c r="I189" i="5"/>
  <c r="K188" i="5"/>
  <c r="J188" i="5"/>
  <c r="I188" i="5"/>
  <c r="K187" i="5"/>
  <c r="J187" i="5"/>
  <c r="I187" i="5"/>
  <c r="K186" i="5"/>
  <c r="J186" i="5"/>
  <c r="I186" i="5"/>
  <c r="K185" i="5"/>
  <c r="J185" i="5"/>
  <c r="I185" i="5"/>
  <c r="K184" i="5"/>
  <c r="J184" i="5"/>
  <c r="I184" i="5"/>
  <c r="K183" i="5"/>
  <c r="J183" i="5"/>
  <c r="I183" i="5"/>
  <c r="K182" i="5"/>
  <c r="J182" i="5"/>
  <c r="I182" i="5"/>
  <c r="K181" i="5"/>
  <c r="J181" i="5"/>
  <c r="I181" i="5"/>
  <c r="K180" i="5"/>
  <c r="J180" i="5"/>
  <c r="I180" i="5"/>
  <c r="K179" i="5"/>
  <c r="J179" i="5"/>
  <c r="I179" i="5"/>
  <c r="K178" i="5"/>
  <c r="J178" i="5"/>
  <c r="I178" i="5"/>
  <c r="K177" i="5"/>
  <c r="J177" i="5"/>
  <c r="I177" i="5"/>
  <c r="K176" i="5"/>
  <c r="J176" i="5"/>
  <c r="I176" i="5"/>
  <c r="K175" i="5"/>
  <c r="J175" i="5"/>
  <c r="I175" i="5"/>
  <c r="K174" i="5"/>
  <c r="J174" i="5"/>
  <c r="I174" i="5"/>
  <c r="K173" i="5"/>
  <c r="J173" i="5"/>
  <c r="I173" i="5"/>
  <c r="K172" i="5"/>
  <c r="J172" i="5"/>
  <c r="I172" i="5"/>
  <c r="K171" i="5"/>
  <c r="J171" i="5"/>
  <c r="I171" i="5"/>
  <c r="K170" i="5"/>
  <c r="J170" i="5"/>
  <c r="I170" i="5"/>
  <c r="K169" i="5"/>
  <c r="J169" i="5"/>
  <c r="I169" i="5"/>
  <c r="K168" i="5"/>
  <c r="J168" i="5"/>
  <c r="I168" i="5"/>
  <c r="K167" i="5"/>
  <c r="J167" i="5"/>
  <c r="I167" i="5"/>
  <c r="K166" i="5"/>
  <c r="J166" i="5"/>
  <c r="I166" i="5"/>
  <c r="K165" i="5"/>
  <c r="J165" i="5"/>
  <c r="I165" i="5"/>
  <c r="K164" i="5"/>
  <c r="J164" i="5"/>
  <c r="I164" i="5"/>
  <c r="K163" i="5"/>
  <c r="J163" i="5"/>
  <c r="I163" i="5"/>
  <c r="K162" i="5"/>
  <c r="J162" i="5"/>
  <c r="I162" i="5"/>
  <c r="K161" i="5"/>
  <c r="J161" i="5"/>
  <c r="I161" i="5"/>
  <c r="K160" i="5"/>
  <c r="J160" i="5"/>
  <c r="I160" i="5"/>
  <c r="K159" i="5"/>
  <c r="J159" i="5"/>
  <c r="I159" i="5"/>
  <c r="K158" i="5"/>
  <c r="J158" i="5"/>
  <c r="I158" i="5"/>
  <c r="K157" i="5"/>
  <c r="J157" i="5"/>
  <c r="I157" i="5"/>
  <c r="K156" i="5"/>
  <c r="J156" i="5"/>
  <c r="I156" i="5"/>
  <c r="K155" i="5"/>
  <c r="J155" i="5"/>
  <c r="I155" i="5"/>
  <c r="K154" i="5"/>
  <c r="J154" i="5"/>
  <c r="I154" i="5"/>
  <c r="K153" i="5"/>
  <c r="J153" i="5"/>
  <c r="I153" i="5"/>
  <c r="K152" i="5"/>
  <c r="J152" i="5"/>
  <c r="I152" i="5"/>
  <c r="K151" i="5"/>
  <c r="J151" i="5"/>
  <c r="I151" i="5"/>
  <c r="K150" i="5"/>
  <c r="J150" i="5"/>
  <c r="I150" i="5"/>
  <c r="K149" i="5"/>
  <c r="J149" i="5"/>
  <c r="I149" i="5"/>
  <c r="K148" i="5"/>
  <c r="J148" i="5"/>
  <c r="I148" i="5"/>
  <c r="K147" i="5"/>
  <c r="J147" i="5"/>
  <c r="I147" i="5"/>
  <c r="K146" i="5"/>
  <c r="J146" i="5"/>
  <c r="I146" i="5"/>
  <c r="K145" i="5"/>
  <c r="J145" i="5"/>
  <c r="I145" i="5"/>
  <c r="K144" i="5"/>
  <c r="J144" i="5"/>
  <c r="I144" i="5"/>
  <c r="K143" i="5"/>
  <c r="J143" i="5"/>
  <c r="I143" i="5"/>
  <c r="K142" i="5"/>
  <c r="J142" i="5"/>
  <c r="I142" i="5"/>
  <c r="K141" i="5"/>
  <c r="J141" i="5"/>
  <c r="I141" i="5"/>
  <c r="K140" i="5"/>
  <c r="J140" i="5"/>
  <c r="I140" i="5"/>
  <c r="K139" i="5"/>
  <c r="J139" i="5"/>
  <c r="I139" i="5"/>
  <c r="K138" i="5"/>
  <c r="J138" i="5"/>
  <c r="I138" i="5"/>
  <c r="K137" i="5"/>
  <c r="J137" i="5"/>
  <c r="I137" i="5"/>
  <c r="K136" i="5"/>
  <c r="J136" i="5"/>
  <c r="I136" i="5"/>
  <c r="K135" i="5"/>
  <c r="J135" i="5"/>
  <c r="I135" i="5"/>
  <c r="K134" i="5"/>
  <c r="J134" i="5"/>
  <c r="I134" i="5"/>
  <c r="K133" i="5"/>
  <c r="J133" i="5"/>
  <c r="I133" i="5"/>
  <c r="K132" i="5"/>
  <c r="J132" i="5"/>
  <c r="I132" i="5"/>
  <c r="K131" i="5"/>
  <c r="J131" i="5"/>
  <c r="I131" i="5"/>
  <c r="K130" i="5"/>
  <c r="J130" i="5"/>
  <c r="I130" i="5"/>
  <c r="K129" i="5"/>
  <c r="J129" i="5"/>
  <c r="I129" i="5"/>
  <c r="K128" i="5"/>
  <c r="J128" i="5"/>
  <c r="I128" i="5"/>
  <c r="K127" i="5"/>
  <c r="J127" i="5"/>
  <c r="I127" i="5"/>
  <c r="K126" i="5"/>
  <c r="J126" i="5"/>
  <c r="I126" i="5"/>
  <c r="K125" i="5"/>
  <c r="J125" i="5"/>
  <c r="I125" i="5"/>
  <c r="K124" i="5"/>
  <c r="J124" i="5"/>
  <c r="I124" i="5"/>
  <c r="K123" i="5"/>
  <c r="J123" i="5"/>
  <c r="I123" i="5"/>
  <c r="K122" i="5"/>
  <c r="J122" i="5"/>
  <c r="I122" i="5"/>
  <c r="K121" i="5"/>
  <c r="J121" i="5"/>
  <c r="I121" i="5"/>
  <c r="K120" i="5"/>
  <c r="J120" i="5"/>
  <c r="I120" i="5"/>
  <c r="K119" i="5"/>
  <c r="J119" i="5"/>
  <c r="I119" i="5"/>
  <c r="K118" i="5"/>
  <c r="J118" i="5"/>
  <c r="I118" i="5"/>
  <c r="K117" i="5"/>
  <c r="J117" i="5"/>
  <c r="I117" i="5"/>
  <c r="K116" i="5"/>
  <c r="J116" i="5"/>
  <c r="I116" i="5"/>
  <c r="K115" i="5"/>
  <c r="J115" i="5"/>
  <c r="I115" i="5"/>
  <c r="K114" i="5"/>
  <c r="J114" i="5"/>
  <c r="I114" i="5"/>
  <c r="K113" i="5"/>
  <c r="J113" i="5"/>
  <c r="I113" i="5"/>
  <c r="K112" i="5"/>
  <c r="J112" i="5"/>
  <c r="I112" i="5"/>
  <c r="I111" i="5"/>
  <c r="K110" i="5"/>
  <c r="J110" i="5"/>
  <c r="I110" i="5"/>
  <c r="J109" i="5"/>
  <c r="I109" i="5"/>
  <c r="K108" i="5"/>
  <c r="J108" i="5"/>
  <c r="I108" i="5"/>
  <c r="K107" i="5"/>
  <c r="J107" i="5"/>
  <c r="K106" i="5"/>
  <c r="J106" i="5"/>
  <c r="I106" i="5"/>
  <c r="K105" i="5"/>
  <c r="J105" i="5"/>
  <c r="I105" i="5"/>
  <c r="K104" i="5"/>
  <c r="J104" i="5"/>
  <c r="I104" i="5"/>
  <c r="K103" i="5"/>
  <c r="J103" i="5"/>
  <c r="I103" i="5"/>
  <c r="K102" i="5"/>
  <c r="J102" i="5"/>
  <c r="I102" i="5"/>
  <c r="K101" i="5"/>
  <c r="J101" i="5"/>
  <c r="I101" i="5"/>
  <c r="K100" i="5"/>
  <c r="J100" i="5"/>
  <c r="I100" i="5"/>
  <c r="K99" i="5"/>
  <c r="J99" i="5"/>
  <c r="I99" i="5"/>
  <c r="K98" i="5"/>
  <c r="J98" i="5"/>
  <c r="I98" i="5"/>
  <c r="K97" i="5"/>
  <c r="J97" i="5"/>
  <c r="I97" i="5"/>
  <c r="K96" i="5"/>
  <c r="J96" i="5"/>
  <c r="I96" i="5"/>
  <c r="K95" i="5"/>
  <c r="J95" i="5"/>
  <c r="I95" i="5"/>
  <c r="K94" i="5"/>
  <c r="J94" i="5"/>
  <c r="I94" i="5"/>
  <c r="K93" i="5"/>
  <c r="J93" i="5"/>
  <c r="I93" i="5"/>
  <c r="K92" i="5"/>
  <c r="J92" i="5"/>
  <c r="I92" i="5"/>
  <c r="K91" i="5"/>
  <c r="J91" i="5"/>
  <c r="I91" i="5"/>
  <c r="K90" i="5"/>
  <c r="J90" i="5"/>
  <c r="I90" i="5"/>
  <c r="K89" i="5"/>
  <c r="J89" i="5"/>
  <c r="I89" i="5"/>
  <c r="K88" i="5"/>
  <c r="J88" i="5"/>
  <c r="I88" i="5"/>
  <c r="K87" i="5"/>
  <c r="J87" i="5"/>
  <c r="I87" i="5"/>
  <c r="K86" i="5"/>
  <c r="J86" i="5"/>
  <c r="I86" i="5"/>
  <c r="K85" i="5"/>
  <c r="J85" i="5"/>
  <c r="I85" i="5"/>
  <c r="K84" i="5"/>
  <c r="J84" i="5"/>
  <c r="I84" i="5"/>
  <c r="K83" i="5"/>
  <c r="J83" i="5"/>
  <c r="I83" i="5"/>
  <c r="K82" i="5"/>
  <c r="J82" i="5"/>
  <c r="I82" i="5"/>
  <c r="K81" i="5"/>
  <c r="J81" i="5"/>
  <c r="I81" i="5"/>
  <c r="K80" i="5"/>
  <c r="J80" i="5"/>
  <c r="I80" i="5"/>
  <c r="K79" i="5"/>
  <c r="J79" i="5"/>
  <c r="I79" i="5"/>
  <c r="K78" i="5"/>
  <c r="J78" i="5"/>
  <c r="I78" i="5"/>
  <c r="K77" i="5"/>
  <c r="J77" i="5"/>
  <c r="I77" i="5"/>
  <c r="K76" i="5"/>
  <c r="J76" i="5"/>
  <c r="I76" i="5"/>
  <c r="K75" i="5"/>
  <c r="J75" i="5"/>
  <c r="I75" i="5"/>
  <c r="K74" i="5"/>
  <c r="J74" i="5"/>
  <c r="I74" i="5"/>
  <c r="K73" i="5"/>
  <c r="J73" i="5"/>
  <c r="I73" i="5"/>
  <c r="K72" i="5"/>
  <c r="J72" i="5"/>
  <c r="I72" i="5"/>
  <c r="K71" i="5"/>
  <c r="J71" i="5"/>
  <c r="I71" i="5"/>
  <c r="K70" i="5"/>
  <c r="J70" i="5"/>
  <c r="I70" i="5"/>
  <c r="K69" i="5"/>
  <c r="J69" i="5"/>
  <c r="I69" i="5"/>
  <c r="K68" i="5"/>
  <c r="J68" i="5"/>
  <c r="I68" i="5"/>
  <c r="K67" i="5"/>
  <c r="J67" i="5"/>
  <c r="I67" i="5"/>
  <c r="K66" i="5"/>
  <c r="J66" i="5"/>
  <c r="I66" i="5"/>
  <c r="K65" i="5"/>
  <c r="J65" i="5"/>
  <c r="I65" i="5"/>
  <c r="K64" i="5"/>
  <c r="J64" i="5"/>
  <c r="I64" i="5"/>
  <c r="K63" i="5"/>
  <c r="J63" i="5"/>
  <c r="I63" i="5"/>
  <c r="K62" i="5"/>
  <c r="J62" i="5"/>
  <c r="I62" i="5"/>
  <c r="K61" i="5"/>
  <c r="J61" i="5"/>
  <c r="I61" i="5"/>
  <c r="K60" i="5"/>
  <c r="J60" i="5"/>
  <c r="I60" i="5"/>
  <c r="K59" i="5"/>
  <c r="J59" i="5"/>
  <c r="I59" i="5"/>
  <c r="K58" i="5"/>
  <c r="J58" i="5"/>
  <c r="I58" i="5"/>
  <c r="K57" i="5"/>
  <c r="J57" i="5"/>
  <c r="I57" i="5"/>
  <c r="K56" i="5"/>
  <c r="J56" i="5"/>
  <c r="I56" i="5"/>
  <c r="K55" i="5"/>
  <c r="J55" i="5"/>
  <c r="I55" i="5"/>
  <c r="K54" i="5"/>
  <c r="J54" i="5"/>
  <c r="I54" i="5"/>
  <c r="K53" i="5"/>
  <c r="J53" i="5"/>
  <c r="I53" i="5"/>
  <c r="K52" i="5"/>
  <c r="J52" i="5"/>
  <c r="I52" i="5"/>
  <c r="K51" i="5"/>
  <c r="J51" i="5"/>
  <c r="I51" i="5"/>
  <c r="K50" i="5"/>
  <c r="J50" i="5"/>
  <c r="I50" i="5"/>
  <c r="K49" i="5"/>
  <c r="J49" i="5"/>
  <c r="I49" i="5"/>
  <c r="K48" i="5"/>
  <c r="J48" i="5"/>
  <c r="I48" i="5"/>
  <c r="K47" i="5"/>
  <c r="J47" i="5"/>
  <c r="I47" i="5"/>
  <c r="K46" i="5"/>
  <c r="J46" i="5"/>
  <c r="I46" i="5"/>
  <c r="K45" i="5"/>
  <c r="J45" i="5"/>
  <c r="I45" i="5"/>
  <c r="K44" i="5"/>
  <c r="J44" i="5"/>
  <c r="I44" i="5"/>
  <c r="K43" i="5"/>
  <c r="J43" i="5"/>
  <c r="I43" i="5"/>
  <c r="K42" i="5"/>
  <c r="J42" i="5"/>
  <c r="I42" i="5"/>
  <c r="K41" i="5"/>
  <c r="J41" i="5"/>
  <c r="I41" i="5"/>
  <c r="K40" i="5"/>
  <c r="J40" i="5"/>
  <c r="I40" i="5"/>
  <c r="K39" i="5"/>
  <c r="J39" i="5"/>
  <c r="I39" i="5"/>
  <c r="K38" i="5"/>
  <c r="J38" i="5"/>
  <c r="I38" i="5"/>
  <c r="K37" i="5"/>
  <c r="J37" i="5"/>
  <c r="I37" i="5"/>
  <c r="K36" i="5"/>
  <c r="J36" i="5"/>
  <c r="I36" i="5"/>
  <c r="K35" i="5"/>
  <c r="J35" i="5"/>
  <c r="I35" i="5"/>
  <c r="K34" i="5"/>
  <c r="J34" i="5"/>
  <c r="I34" i="5"/>
  <c r="K33" i="5"/>
  <c r="J33" i="5"/>
  <c r="I33" i="5"/>
  <c r="K32" i="5"/>
  <c r="J32" i="5"/>
  <c r="I32" i="5"/>
  <c r="K31" i="5"/>
  <c r="J31" i="5"/>
  <c r="I31" i="5"/>
  <c r="K30" i="5"/>
  <c r="J30" i="5"/>
  <c r="I30" i="5"/>
  <c r="K29" i="5"/>
  <c r="J29" i="5"/>
  <c r="I29" i="5"/>
  <c r="K28" i="5"/>
  <c r="J28" i="5"/>
  <c r="I28" i="5"/>
  <c r="K27" i="5"/>
  <c r="J27" i="5"/>
  <c r="I27" i="5"/>
  <c r="K26" i="5"/>
  <c r="J26" i="5"/>
  <c r="I26" i="5"/>
  <c r="K25" i="5"/>
  <c r="J25" i="5"/>
  <c r="I25" i="5"/>
  <c r="K24" i="5"/>
  <c r="J24" i="5"/>
  <c r="I24" i="5"/>
  <c r="K23" i="5"/>
  <c r="J23" i="5"/>
  <c r="I23" i="5"/>
  <c r="K22" i="5"/>
  <c r="J22" i="5"/>
  <c r="I22" i="5"/>
  <c r="K21" i="5"/>
  <c r="J21" i="5"/>
  <c r="I21" i="5"/>
  <c r="K20" i="5"/>
  <c r="J20" i="5"/>
  <c r="I20" i="5"/>
  <c r="K19" i="5"/>
  <c r="J19" i="5"/>
  <c r="I19" i="5"/>
  <c r="K18" i="5"/>
  <c r="J18" i="5"/>
  <c r="I18" i="5"/>
  <c r="K17" i="5"/>
  <c r="J17" i="5"/>
  <c r="I17" i="5"/>
  <c r="K16" i="5"/>
  <c r="J16" i="5"/>
  <c r="I16" i="5"/>
  <c r="K15" i="5"/>
  <c r="J15" i="5"/>
  <c r="I15" i="5"/>
  <c r="K14" i="5"/>
  <c r="J14" i="5"/>
  <c r="I14" i="5"/>
  <c r="K13" i="5"/>
  <c r="J13" i="5"/>
  <c r="I13" i="5"/>
  <c r="K12" i="5"/>
  <c r="J12" i="5"/>
  <c r="I12" i="5"/>
  <c r="K11" i="5"/>
  <c r="J11" i="5"/>
  <c r="I11" i="5"/>
  <c r="K10" i="5"/>
  <c r="J10" i="5"/>
  <c r="I10" i="5"/>
  <c r="K9" i="5"/>
  <c r="J9" i="5"/>
  <c r="I9" i="5"/>
  <c r="K8" i="5"/>
  <c r="J8" i="5"/>
  <c r="I8" i="5"/>
  <c r="K7" i="5"/>
  <c r="J7" i="5"/>
  <c r="I7" i="5"/>
  <c r="K6" i="5"/>
  <c r="J6" i="5"/>
  <c r="I6" i="5"/>
  <c r="K5" i="5"/>
  <c r="J5" i="5"/>
  <c r="I5" i="5"/>
  <c r="E244" i="1"/>
  <c r="E223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262" i="1" s="1"/>
  <c r="E110" i="1"/>
  <c r="E109" i="1"/>
  <c r="E108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15" i="3"/>
  <c r="E214" i="3"/>
  <c r="E213" i="3"/>
  <c r="E210" i="3"/>
  <c r="E209" i="3"/>
  <c r="E208" i="3"/>
  <c r="E205" i="3"/>
  <c r="E204" i="3"/>
  <c r="E203" i="3"/>
  <c r="E202" i="3"/>
  <c r="E199" i="3"/>
  <c r="E198" i="3"/>
  <c r="E195" i="3"/>
  <c r="E194" i="3"/>
  <c r="E193" i="3"/>
  <c r="E190" i="3"/>
  <c r="E189" i="3"/>
  <c r="E186" i="3"/>
  <c r="E185" i="3"/>
  <c r="E184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29" i="2"/>
  <c r="E228" i="2"/>
  <c r="E227" i="2"/>
  <c r="E226" i="2"/>
  <c r="E224" i="2"/>
  <c r="E223" i="2"/>
  <c r="E222" i="2"/>
  <c r="E221" i="2"/>
  <c r="E219" i="2"/>
  <c r="E218" i="2"/>
  <c r="E217" i="2"/>
  <c r="E214" i="2"/>
  <c r="E213" i="2"/>
  <c r="E212" i="2"/>
  <c r="E209" i="2"/>
  <c r="E208" i="2"/>
  <c r="E207" i="2"/>
  <c r="E206" i="2"/>
  <c r="E203" i="2"/>
  <c r="E202" i="2"/>
  <c r="E199" i="2"/>
  <c r="E198" i="2"/>
  <c r="E197" i="2"/>
  <c r="E194" i="2"/>
  <c r="E193" i="2"/>
  <c r="E190" i="2"/>
  <c r="E189" i="2"/>
  <c r="E188" i="2"/>
  <c r="E184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F337" i="5"/>
  <c r="H333" i="5"/>
  <c r="G333" i="5"/>
  <c r="F333" i="5"/>
  <c r="H317" i="5"/>
  <c r="G317" i="5"/>
  <c r="F317" i="5"/>
  <c r="H316" i="5"/>
  <c r="G316" i="5"/>
  <c r="F316" i="5"/>
  <c r="H315" i="5"/>
  <c r="G315" i="5"/>
  <c r="F315" i="5"/>
  <c r="H314" i="5"/>
  <c r="G314" i="5"/>
  <c r="F314" i="5"/>
  <c r="H313" i="5"/>
  <c r="G313" i="5"/>
  <c r="F313" i="5"/>
  <c r="H312" i="5"/>
  <c r="G312" i="5"/>
  <c r="F312" i="5"/>
  <c r="H311" i="5"/>
  <c r="G311" i="5"/>
  <c r="F311" i="5"/>
  <c r="H309" i="5"/>
  <c r="G309" i="5"/>
  <c r="F309" i="5"/>
  <c r="H308" i="5"/>
  <c r="G308" i="5"/>
  <c r="F308" i="5"/>
  <c r="H307" i="5"/>
  <c r="G307" i="5"/>
  <c r="F307" i="5"/>
  <c r="H306" i="5"/>
  <c r="G306" i="5"/>
  <c r="F306" i="5"/>
  <c r="H305" i="5"/>
  <c r="G305" i="5"/>
  <c r="F305" i="5"/>
  <c r="H304" i="5"/>
  <c r="G304" i="5"/>
  <c r="F304" i="5"/>
  <c r="H303" i="5"/>
  <c r="G303" i="5"/>
  <c r="F303" i="5"/>
  <c r="H302" i="5"/>
  <c r="G302" i="5"/>
  <c r="F302" i="5"/>
  <c r="H301" i="5"/>
  <c r="G301" i="5"/>
  <c r="F301" i="5"/>
  <c r="H300" i="5"/>
  <c r="G300" i="5"/>
  <c r="F300" i="5"/>
  <c r="H299" i="5"/>
  <c r="G299" i="5"/>
  <c r="F299" i="5"/>
  <c r="H298" i="5"/>
  <c r="G298" i="5"/>
  <c r="F298" i="5"/>
  <c r="H297" i="5"/>
  <c r="G297" i="5"/>
  <c r="F297" i="5"/>
  <c r="H296" i="5"/>
  <c r="G296" i="5"/>
  <c r="F296" i="5"/>
  <c r="H295" i="5"/>
  <c r="G295" i="5"/>
  <c r="F295" i="5"/>
  <c r="H294" i="5"/>
  <c r="G294" i="5"/>
  <c r="F294" i="5"/>
  <c r="H293" i="5"/>
  <c r="G293" i="5"/>
  <c r="F293" i="5"/>
  <c r="H292" i="5"/>
  <c r="G292" i="5"/>
  <c r="H291" i="5"/>
  <c r="G291" i="5"/>
  <c r="F291" i="5"/>
  <c r="H290" i="5"/>
  <c r="G290" i="5"/>
  <c r="F290" i="5"/>
  <c r="H289" i="5"/>
  <c r="G289" i="5"/>
  <c r="F289" i="5"/>
  <c r="H288" i="5"/>
  <c r="G288" i="5"/>
  <c r="F288" i="5"/>
  <c r="H287" i="5"/>
  <c r="G287" i="5"/>
  <c r="F287" i="5"/>
  <c r="H286" i="5"/>
  <c r="G286" i="5"/>
  <c r="F286" i="5"/>
  <c r="H285" i="5"/>
  <c r="G285" i="5"/>
  <c r="F285" i="5"/>
  <c r="H284" i="5"/>
  <c r="G284" i="5"/>
  <c r="F284" i="5"/>
  <c r="H283" i="5"/>
  <c r="G283" i="5"/>
  <c r="F283" i="5"/>
  <c r="H282" i="5"/>
  <c r="G282" i="5"/>
  <c r="F282" i="5"/>
  <c r="H281" i="5"/>
  <c r="G281" i="5"/>
  <c r="F281" i="5"/>
  <c r="H280" i="5"/>
  <c r="G280" i="5"/>
  <c r="F280" i="5"/>
  <c r="H279" i="5"/>
  <c r="G279" i="5"/>
  <c r="F279" i="5"/>
  <c r="H278" i="5"/>
  <c r="G278" i="5"/>
  <c r="F278" i="5"/>
  <c r="H277" i="5"/>
  <c r="G277" i="5"/>
  <c r="F277" i="5"/>
  <c r="H276" i="5"/>
  <c r="G276" i="5"/>
  <c r="F276" i="5"/>
  <c r="H275" i="5"/>
  <c r="G275" i="5"/>
  <c r="F275" i="5"/>
  <c r="H274" i="5"/>
  <c r="G274" i="5"/>
  <c r="F274" i="5"/>
  <c r="H273" i="5"/>
  <c r="G273" i="5"/>
  <c r="F273" i="5"/>
  <c r="H272" i="5"/>
  <c r="G272" i="5"/>
  <c r="F272" i="5"/>
  <c r="H271" i="5"/>
  <c r="G271" i="5"/>
  <c r="F271" i="5"/>
  <c r="H270" i="5"/>
  <c r="G270" i="5"/>
  <c r="F270" i="5"/>
  <c r="H269" i="5"/>
  <c r="G269" i="5"/>
  <c r="F269" i="5"/>
  <c r="H268" i="5"/>
  <c r="G268" i="5"/>
  <c r="F268" i="5"/>
  <c r="H267" i="5"/>
  <c r="G267" i="5"/>
  <c r="F267" i="5"/>
  <c r="H266" i="5"/>
  <c r="G266" i="5"/>
  <c r="F266" i="5"/>
  <c r="H265" i="5"/>
  <c r="G265" i="5"/>
  <c r="F265" i="5"/>
  <c r="H264" i="5"/>
  <c r="G264" i="5"/>
  <c r="F264" i="5"/>
  <c r="H263" i="5"/>
  <c r="G263" i="5"/>
  <c r="F263" i="5"/>
  <c r="H262" i="5"/>
  <c r="G262" i="5"/>
  <c r="F262" i="5"/>
  <c r="H261" i="5"/>
  <c r="G261" i="5"/>
  <c r="F261" i="5"/>
  <c r="H260" i="5"/>
  <c r="G260" i="5"/>
  <c r="F260" i="5"/>
  <c r="H259" i="5"/>
  <c r="G259" i="5"/>
  <c r="F259" i="5"/>
  <c r="H258" i="5"/>
  <c r="G258" i="5"/>
  <c r="F258" i="5"/>
  <c r="H257" i="5"/>
  <c r="G257" i="5"/>
  <c r="F257" i="5"/>
  <c r="H256" i="5"/>
  <c r="G256" i="5"/>
  <c r="F256" i="5"/>
  <c r="H255" i="5"/>
  <c r="G255" i="5"/>
  <c r="F255" i="5"/>
  <c r="H254" i="5"/>
  <c r="G254" i="5"/>
  <c r="F254" i="5"/>
  <c r="H253" i="5"/>
  <c r="G253" i="5"/>
  <c r="F253" i="5"/>
  <c r="H252" i="5"/>
  <c r="G252" i="5"/>
  <c r="F252" i="5"/>
  <c r="H251" i="5"/>
  <c r="G251" i="5"/>
  <c r="F251" i="5"/>
  <c r="H250" i="5"/>
  <c r="G250" i="5"/>
  <c r="F250" i="5"/>
  <c r="H249" i="5"/>
  <c r="G249" i="5"/>
  <c r="F249" i="5"/>
  <c r="H248" i="5"/>
  <c r="G248" i="5"/>
  <c r="F248" i="5"/>
  <c r="H247" i="5"/>
  <c r="G247" i="5"/>
  <c r="F247" i="5"/>
  <c r="H246" i="5"/>
  <c r="G246" i="5"/>
  <c r="F246" i="5"/>
  <c r="H245" i="5"/>
  <c r="G245" i="5"/>
  <c r="F245" i="5"/>
  <c r="H244" i="5"/>
  <c r="G244" i="5"/>
  <c r="F244" i="5"/>
  <c r="H243" i="5"/>
  <c r="G243" i="5"/>
  <c r="F243" i="5"/>
  <c r="H242" i="5"/>
  <c r="G242" i="5"/>
  <c r="F242" i="5"/>
  <c r="H241" i="5"/>
  <c r="G241" i="5"/>
  <c r="F241" i="5"/>
  <c r="H240" i="5"/>
  <c r="G240" i="5"/>
  <c r="F240" i="5"/>
  <c r="H239" i="5"/>
  <c r="G239" i="5"/>
  <c r="F239" i="5"/>
  <c r="H238" i="5"/>
  <c r="G238" i="5"/>
  <c r="F238" i="5"/>
  <c r="H237" i="5"/>
  <c r="G237" i="5"/>
  <c r="F237" i="5"/>
  <c r="H236" i="5"/>
  <c r="G236" i="5"/>
  <c r="F236" i="5"/>
  <c r="H235" i="5"/>
  <c r="G235" i="5"/>
  <c r="F235" i="5"/>
  <c r="H234" i="5"/>
  <c r="G234" i="5"/>
  <c r="F234" i="5"/>
  <c r="H233" i="5"/>
  <c r="G233" i="5"/>
  <c r="F233" i="5"/>
  <c r="H232" i="5"/>
  <c r="G232" i="5"/>
  <c r="F232" i="5"/>
  <c r="H231" i="5"/>
  <c r="G231" i="5"/>
  <c r="F231" i="5"/>
  <c r="H230" i="5"/>
  <c r="G230" i="5"/>
  <c r="F230" i="5"/>
  <c r="H229" i="5"/>
  <c r="G229" i="5"/>
  <c r="F229" i="5"/>
  <c r="H228" i="5"/>
  <c r="G228" i="5"/>
  <c r="F228" i="5"/>
  <c r="H227" i="5"/>
  <c r="G227" i="5"/>
  <c r="F227" i="5"/>
  <c r="H226" i="5"/>
  <c r="G226" i="5"/>
  <c r="F226" i="5"/>
  <c r="H225" i="5"/>
  <c r="G225" i="5"/>
  <c r="F225" i="5"/>
  <c r="H224" i="5"/>
  <c r="G224" i="5"/>
  <c r="F224" i="5"/>
  <c r="H223" i="5"/>
  <c r="G223" i="5"/>
  <c r="F223" i="5"/>
  <c r="H222" i="5"/>
  <c r="G222" i="5"/>
  <c r="F222" i="5"/>
  <c r="H221" i="5"/>
  <c r="G221" i="5"/>
  <c r="F221" i="5"/>
  <c r="H220" i="5"/>
  <c r="G220" i="5"/>
  <c r="F220" i="5"/>
  <c r="H219" i="5"/>
  <c r="G219" i="5"/>
  <c r="F219" i="5"/>
  <c r="H218" i="5"/>
  <c r="G218" i="5"/>
  <c r="F218" i="5"/>
  <c r="H217" i="5"/>
  <c r="G217" i="5"/>
  <c r="F217" i="5"/>
  <c r="H216" i="5"/>
  <c r="G216" i="5"/>
  <c r="F216" i="5"/>
  <c r="H215" i="5"/>
  <c r="G215" i="5"/>
  <c r="F215" i="5"/>
  <c r="H214" i="5"/>
  <c r="G214" i="5"/>
  <c r="F214" i="5"/>
  <c r="H213" i="5"/>
  <c r="G213" i="5"/>
  <c r="F213" i="5"/>
  <c r="H212" i="5"/>
  <c r="G212" i="5"/>
  <c r="F212" i="5"/>
  <c r="H211" i="5"/>
  <c r="G211" i="5"/>
  <c r="F211" i="5"/>
  <c r="H210" i="5"/>
  <c r="G210" i="5"/>
  <c r="F210" i="5"/>
  <c r="H209" i="5"/>
  <c r="G209" i="5"/>
  <c r="F209" i="5"/>
  <c r="H208" i="5"/>
  <c r="G208" i="5"/>
  <c r="F208" i="5"/>
  <c r="H207" i="5"/>
  <c r="G207" i="5"/>
  <c r="F207" i="5"/>
  <c r="H206" i="5"/>
  <c r="G206" i="5"/>
  <c r="F206" i="5"/>
  <c r="H205" i="5"/>
  <c r="G205" i="5"/>
  <c r="F205" i="5"/>
  <c r="H204" i="5"/>
  <c r="G204" i="5"/>
  <c r="F204" i="5"/>
  <c r="H203" i="5"/>
  <c r="G203" i="5"/>
  <c r="F203" i="5"/>
  <c r="H202" i="5"/>
  <c r="G202" i="5"/>
  <c r="F202" i="5"/>
  <c r="H201" i="5"/>
  <c r="G201" i="5"/>
  <c r="F201" i="5"/>
  <c r="H200" i="5"/>
  <c r="G200" i="5"/>
  <c r="F200" i="5"/>
  <c r="H199" i="5"/>
  <c r="G199" i="5"/>
  <c r="F199" i="5"/>
  <c r="H198" i="5"/>
  <c r="G198" i="5"/>
  <c r="F198" i="5"/>
  <c r="H197" i="5"/>
  <c r="G197" i="5"/>
  <c r="F197" i="5"/>
  <c r="H196" i="5"/>
  <c r="G196" i="5"/>
  <c r="F196" i="5"/>
  <c r="H195" i="5"/>
  <c r="G195" i="5"/>
  <c r="F195" i="5"/>
  <c r="H194" i="5"/>
  <c r="G194" i="5"/>
  <c r="F194" i="5"/>
  <c r="H193" i="5"/>
  <c r="G193" i="5"/>
  <c r="F193" i="5"/>
  <c r="H192" i="5"/>
  <c r="G192" i="5"/>
  <c r="F192" i="5"/>
  <c r="H191" i="5"/>
  <c r="G191" i="5"/>
  <c r="F191" i="5"/>
  <c r="H190" i="5"/>
  <c r="G190" i="5"/>
  <c r="F190" i="5"/>
  <c r="H189" i="5"/>
  <c r="G189" i="5"/>
  <c r="F189" i="5"/>
  <c r="H188" i="5"/>
  <c r="G188" i="5"/>
  <c r="F188" i="5"/>
  <c r="H187" i="5"/>
  <c r="G187" i="5"/>
  <c r="F187" i="5"/>
  <c r="H186" i="5"/>
  <c r="G186" i="5"/>
  <c r="F186" i="5"/>
  <c r="H185" i="5"/>
  <c r="G185" i="5"/>
  <c r="F185" i="5"/>
  <c r="H184" i="5"/>
  <c r="G184" i="5"/>
  <c r="F184" i="5"/>
  <c r="H183" i="5"/>
  <c r="G183" i="5"/>
  <c r="F183" i="5"/>
  <c r="H182" i="5"/>
  <c r="G182" i="5"/>
  <c r="F182" i="5"/>
  <c r="H181" i="5"/>
  <c r="G181" i="5"/>
  <c r="F181" i="5"/>
  <c r="H180" i="5"/>
  <c r="G180" i="5"/>
  <c r="F180" i="5"/>
  <c r="H179" i="5"/>
  <c r="G179" i="5"/>
  <c r="F179" i="5"/>
  <c r="H178" i="5"/>
  <c r="G178" i="5"/>
  <c r="F178" i="5"/>
  <c r="H177" i="5"/>
  <c r="G177" i="5"/>
  <c r="F177" i="5"/>
  <c r="H176" i="5"/>
  <c r="G176" i="5"/>
  <c r="F176" i="5"/>
  <c r="H175" i="5"/>
  <c r="G175" i="5"/>
  <c r="F175" i="5"/>
  <c r="H174" i="5"/>
  <c r="G174" i="5"/>
  <c r="F174" i="5"/>
  <c r="H173" i="5"/>
  <c r="G173" i="5"/>
  <c r="F173" i="5"/>
  <c r="H172" i="5"/>
  <c r="G172" i="5"/>
  <c r="F172" i="5"/>
  <c r="H171" i="5"/>
  <c r="G171" i="5"/>
  <c r="F171" i="5"/>
  <c r="H170" i="5"/>
  <c r="G170" i="5"/>
  <c r="F170" i="5"/>
  <c r="H169" i="5"/>
  <c r="G169" i="5"/>
  <c r="F169" i="5"/>
  <c r="H168" i="5"/>
  <c r="G168" i="5"/>
  <c r="F168" i="5"/>
  <c r="H167" i="5"/>
  <c r="G167" i="5"/>
  <c r="F167" i="5"/>
  <c r="H166" i="5"/>
  <c r="G166" i="5"/>
  <c r="F166" i="5"/>
  <c r="H165" i="5"/>
  <c r="G165" i="5"/>
  <c r="F165" i="5"/>
  <c r="H164" i="5"/>
  <c r="G164" i="5"/>
  <c r="F164" i="5"/>
  <c r="H163" i="5"/>
  <c r="G163" i="5"/>
  <c r="F163" i="5"/>
  <c r="H162" i="5"/>
  <c r="G162" i="5"/>
  <c r="F162" i="5"/>
  <c r="H161" i="5"/>
  <c r="G161" i="5"/>
  <c r="F161" i="5"/>
  <c r="H160" i="5"/>
  <c r="G160" i="5"/>
  <c r="F160" i="5"/>
  <c r="H159" i="5"/>
  <c r="G159" i="5"/>
  <c r="F159" i="5"/>
  <c r="H158" i="5"/>
  <c r="G158" i="5"/>
  <c r="F158" i="5"/>
  <c r="H157" i="5"/>
  <c r="G157" i="5"/>
  <c r="F157" i="5"/>
  <c r="H156" i="5"/>
  <c r="G156" i="5"/>
  <c r="F156" i="5"/>
  <c r="H155" i="5"/>
  <c r="G155" i="5"/>
  <c r="F155" i="5"/>
  <c r="H154" i="5"/>
  <c r="G154" i="5"/>
  <c r="F154" i="5"/>
  <c r="H153" i="5"/>
  <c r="G153" i="5"/>
  <c r="F153" i="5"/>
  <c r="H152" i="5"/>
  <c r="G152" i="5"/>
  <c r="F152" i="5"/>
  <c r="H151" i="5"/>
  <c r="G151" i="5"/>
  <c r="F151" i="5"/>
  <c r="H150" i="5"/>
  <c r="G150" i="5"/>
  <c r="F150" i="5"/>
  <c r="H149" i="5"/>
  <c r="G149" i="5"/>
  <c r="F149" i="5"/>
  <c r="H148" i="5"/>
  <c r="G148" i="5"/>
  <c r="F148" i="5"/>
  <c r="H147" i="5"/>
  <c r="G147" i="5"/>
  <c r="F147" i="5"/>
  <c r="H146" i="5"/>
  <c r="G146" i="5"/>
  <c r="F146" i="5"/>
  <c r="H145" i="5"/>
  <c r="G145" i="5"/>
  <c r="F145" i="5"/>
  <c r="H144" i="5"/>
  <c r="G144" i="5"/>
  <c r="F144" i="5"/>
  <c r="H143" i="5"/>
  <c r="G143" i="5"/>
  <c r="F143" i="5"/>
  <c r="H142" i="5"/>
  <c r="G142" i="5"/>
  <c r="F142" i="5"/>
  <c r="H141" i="5"/>
  <c r="G141" i="5"/>
  <c r="F141" i="5"/>
  <c r="H140" i="5"/>
  <c r="G140" i="5"/>
  <c r="F140" i="5"/>
  <c r="H139" i="5"/>
  <c r="G139" i="5"/>
  <c r="F139" i="5"/>
  <c r="H138" i="5"/>
  <c r="G138" i="5"/>
  <c r="F138" i="5"/>
  <c r="H137" i="5"/>
  <c r="G137" i="5"/>
  <c r="F137" i="5"/>
  <c r="H136" i="5"/>
  <c r="G136" i="5"/>
  <c r="F136" i="5"/>
  <c r="H135" i="5"/>
  <c r="G135" i="5"/>
  <c r="F135" i="5"/>
  <c r="H134" i="5"/>
  <c r="G134" i="5"/>
  <c r="F134" i="5"/>
  <c r="H133" i="5"/>
  <c r="G133" i="5"/>
  <c r="F133" i="5"/>
  <c r="H132" i="5"/>
  <c r="G132" i="5"/>
  <c r="F132" i="5"/>
  <c r="H131" i="5"/>
  <c r="G131" i="5"/>
  <c r="F131" i="5"/>
  <c r="H130" i="5"/>
  <c r="G130" i="5"/>
  <c r="F130" i="5"/>
  <c r="H129" i="5"/>
  <c r="G129" i="5"/>
  <c r="F129" i="5"/>
  <c r="H128" i="5"/>
  <c r="G128" i="5"/>
  <c r="F128" i="5"/>
  <c r="H127" i="5"/>
  <c r="G127" i="5"/>
  <c r="F127" i="5"/>
  <c r="H126" i="5"/>
  <c r="G126" i="5"/>
  <c r="F126" i="5"/>
  <c r="H125" i="5"/>
  <c r="G125" i="5"/>
  <c r="F125" i="5"/>
  <c r="H124" i="5"/>
  <c r="G124" i="5"/>
  <c r="F124" i="5"/>
  <c r="H123" i="5"/>
  <c r="G123" i="5"/>
  <c r="F123" i="5"/>
  <c r="H122" i="5"/>
  <c r="G122" i="5"/>
  <c r="F122" i="5"/>
  <c r="H121" i="5"/>
  <c r="G121" i="5"/>
  <c r="F121" i="5"/>
  <c r="H120" i="5"/>
  <c r="G120" i="5"/>
  <c r="F120" i="5"/>
  <c r="H119" i="5"/>
  <c r="G119" i="5"/>
  <c r="F119" i="5"/>
  <c r="H118" i="5"/>
  <c r="G118" i="5"/>
  <c r="F118" i="5"/>
  <c r="H117" i="5"/>
  <c r="G117" i="5"/>
  <c r="F117" i="5"/>
  <c r="H116" i="5"/>
  <c r="G116" i="5"/>
  <c r="F116" i="5"/>
  <c r="H115" i="5"/>
  <c r="G115" i="5"/>
  <c r="F115" i="5"/>
  <c r="H114" i="5"/>
  <c r="G114" i="5"/>
  <c r="F114" i="5"/>
  <c r="H113" i="5"/>
  <c r="G113" i="5"/>
  <c r="F113" i="5"/>
  <c r="H112" i="5"/>
  <c r="G112" i="5"/>
  <c r="F112" i="5"/>
  <c r="F111" i="5"/>
  <c r="F349" i="5" s="1"/>
  <c r="H110" i="5"/>
  <c r="G110" i="5"/>
  <c r="F110" i="5"/>
  <c r="G109" i="5"/>
  <c r="F109" i="5"/>
  <c r="H108" i="5"/>
  <c r="G108" i="5"/>
  <c r="F108" i="5"/>
  <c r="H107" i="5"/>
  <c r="G107" i="5"/>
  <c r="H106" i="5"/>
  <c r="G106" i="5"/>
  <c r="F106" i="5"/>
  <c r="H105" i="5"/>
  <c r="G105" i="5"/>
  <c r="F105" i="5"/>
  <c r="H104" i="5"/>
  <c r="G104" i="5"/>
  <c r="F104" i="5"/>
  <c r="H103" i="5"/>
  <c r="G103" i="5"/>
  <c r="F103" i="5"/>
  <c r="H102" i="5"/>
  <c r="G102" i="5"/>
  <c r="F102" i="5"/>
  <c r="H101" i="5"/>
  <c r="G101" i="5"/>
  <c r="F101" i="5"/>
  <c r="H100" i="5"/>
  <c r="G100" i="5"/>
  <c r="F100" i="5"/>
  <c r="H99" i="5"/>
  <c r="G99" i="5"/>
  <c r="F99" i="5"/>
  <c r="H98" i="5"/>
  <c r="G98" i="5"/>
  <c r="F98" i="5"/>
  <c r="H97" i="5"/>
  <c r="G97" i="5"/>
  <c r="F97" i="5"/>
  <c r="H96" i="5"/>
  <c r="G96" i="5"/>
  <c r="F96" i="5"/>
  <c r="H95" i="5"/>
  <c r="G95" i="5"/>
  <c r="F95" i="5"/>
  <c r="H94" i="5"/>
  <c r="G94" i="5"/>
  <c r="F94" i="5"/>
  <c r="H93" i="5"/>
  <c r="G93" i="5"/>
  <c r="F93" i="5"/>
  <c r="H92" i="5"/>
  <c r="G92" i="5"/>
  <c r="F92" i="5"/>
  <c r="H91" i="5"/>
  <c r="G91" i="5"/>
  <c r="F91" i="5"/>
  <c r="H90" i="5"/>
  <c r="G90" i="5"/>
  <c r="F90" i="5"/>
  <c r="H89" i="5"/>
  <c r="G89" i="5"/>
  <c r="F89" i="5"/>
  <c r="H88" i="5"/>
  <c r="G88" i="5"/>
  <c r="F88" i="5"/>
  <c r="H87" i="5"/>
  <c r="G87" i="5"/>
  <c r="F87" i="5"/>
  <c r="H86" i="5"/>
  <c r="G86" i="5"/>
  <c r="F86" i="5"/>
  <c r="H85" i="5"/>
  <c r="G85" i="5"/>
  <c r="F85" i="5"/>
  <c r="H84" i="5"/>
  <c r="G84" i="5"/>
  <c r="F84" i="5"/>
  <c r="H83" i="5"/>
  <c r="G83" i="5"/>
  <c r="F83" i="5"/>
  <c r="H82" i="5"/>
  <c r="G82" i="5"/>
  <c r="F82" i="5"/>
  <c r="H81" i="5"/>
  <c r="G81" i="5"/>
  <c r="F81" i="5"/>
  <c r="H80" i="5"/>
  <c r="G80" i="5"/>
  <c r="F80" i="5"/>
  <c r="H79" i="5"/>
  <c r="G79" i="5"/>
  <c r="F79" i="5"/>
  <c r="H78" i="5"/>
  <c r="G78" i="5"/>
  <c r="F78" i="5"/>
  <c r="H77" i="5"/>
  <c r="G77" i="5"/>
  <c r="F77" i="5"/>
  <c r="H76" i="5"/>
  <c r="G76" i="5"/>
  <c r="F76" i="5"/>
  <c r="H75" i="5"/>
  <c r="G75" i="5"/>
  <c r="F75" i="5"/>
  <c r="H74" i="5"/>
  <c r="G74" i="5"/>
  <c r="F74" i="5"/>
  <c r="H73" i="5"/>
  <c r="G73" i="5"/>
  <c r="F73" i="5"/>
  <c r="H72" i="5"/>
  <c r="G72" i="5"/>
  <c r="F72" i="5"/>
  <c r="H71" i="5"/>
  <c r="G71" i="5"/>
  <c r="F71" i="5"/>
  <c r="H70" i="5"/>
  <c r="G70" i="5"/>
  <c r="F70" i="5"/>
  <c r="H69" i="5"/>
  <c r="G69" i="5"/>
  <c r="F69" i="5"/>
  <c r="H68" i="5"/>
  <c r="G68" i="5"/>
  <c r="F68" i="5"/>
  <c r="H67" i="5"/>
  <c r="G67" i="5"/>
  <c r="F67" i="5"/>
  <c r="H66" i="5"/>
  <c r="G66" i="5"/>
  <c r="F66" i="5"/>
  <c r="H65" i="5"/>
  <c r="G65" i="5"/>
  <c r="F65" i="5"/>
  <c r="H64" i="5"/>
  <c r="G64" i="5"/>
  <c r="F64" i="5"/>
  <c r="H63" i="5"/>
  <c r="G63" i="5"/>
  <c r="F63" i="5"/>
  <c r="H62" i="5"/>
  <c r="G62" i="5"/>
  <c r="F62" i="5"/>
  <c r="H61" i="5"/>
  <c r="G61" i="5"/>
  <c r="F61" i="5"/>
  <c r="H60" i="5"/>
  <c r="G60" i="5"/>
  <c r="F60" i="5"/>
  <c r="H59" i="5"/>
  <c r="G59" i="5"/>
  <c r="F59" i="5"/>
  <c r="H58" i="5"/>
  <c r="G58" i="5"/>
  <c r="F58" i="5"/>
  <c r="H57" i="5"/>
  <c r="G57" i="5"/>
  <c r="F57" i="5"/>
  <c r="H56" i="5"/>
  <c r="G56" i="5"/>
  <c r="F56" i="5"/>
  <c r="H55" i="5"/>
  <c r="G55" i="5"/>
  <c r="F55" i="5"/>
  <c r="H54" i="5"/>
  <c r="G54" i="5"/>
  <c r="F54" i="5"/>
  <c r="H53" i="5"/>
  <c r="G53" i="5"/>
  <c r="F53" i="5"/>
  <c r="H52" i="5"/>
  <c r="G52" i="5"/>
  <c r="F52" i="5"/>
  <c r="H51" i="5"/>
  <c r="G51" i="5"/>
  <c r="F51" i="5"/>
  <c r="H50" i="5"/>
  <c r="G50" i="5"/>
  <c r="F50" i="5"/>
  <c r="H49" i="5"/>
  <c r="G49" i="5"/>
  <c r="F49" i="5"/>
  <c r="H48" i="5"/>
  <c r="G48" i="5"/>
  <c r="F48" i="5"/>
  <c r="H47" i="5"/>
  <c r="G47" i="5"/>
  <c r="F47" i="5"/>
  <c r="H46" i="5"/>
  <c r="G46" i="5"/>
  <c r="F46" i="5"/>
  <c r="H45" i="5"/>
  <c r="G45" i="5"/>
  <c r="F45" i="5"/>
  <c r="H44" i="5"/>
  <c r="G44" i="5"/>
  <c r="F44" i="5"/>
  <c r="H43" i="5"/>
  <c r="G43" i="5"/>
  <c r="F43" i="5"/>
  <c r="H42" i="5"/>
  <c r="G42" i="5"/>
  <c r="F42" i="5"/>
  <c r="H41" i="5"/>
  <c r="G41" i="5"/>
  <c r="F41" i="5"/>
  <c r="H40" i="5"/>
  <c r="G40" i="5"/>
  <c r="F40" i="5"/>
  <c r="H39" i="5"/>
  <c r="G39" i="5"/>
  <c r="F39" i="5"/>
  <c r="H38" i="5"/>
  <c r="G38" i="5"/>
  <c r="F38" i="5"/>
  <c r="H37" i="5"/>
  <c r="G37" i="5"/>
  <c r="F37" i="5"/>
  <c r="H36" i="5"/>
  <c r="G36" i="5"/>
  <c r="F36" i="5"/>
  <c r="H35" i="5"/>
  <c r="G35" i="5"/>
  <c r="F35" i="5"/>
  <c r="H34" i="5"/>
  <c r="G34" i="5"/>
  <c r="F34" i="5"/>
  <c r="H33" i="5"/>
  <c r="G33" i="5"/>
  <c r="F33" i="5"/>
  <c r="H32" i="5"/>
  <c r="G32" i="5"/>
  <c r="F32" i="5"/>
  <c r="H31" i="5"/>
  <c r="G31" i="5"/>
  <c r="F31" i="5"/>
  <c r="H30" i="5"/>
  <c r="G30" i="5"/>
  <c r="F30" i="5"/>
  <c r="H29" i="5"/>
  <c r="G29" i="5"/>
  <c r="F29" i="5"/>
  <c r="H28" i="5"/>
  <c r="G28" i="5"/>
  <c r="F28" i="5"/>
  <c r="H27" i="5"/>
  <c r="G27" i="5"/>
  <c r="F27" i="5"/>
  <c r="H26" i="5"/>
  <c r="G26" i="5"/>
  <c r="F26" i="5"/>
  <c r="H25" i="5"/>
  <c r="G25" i="5"/>
  <c r="F25" i="5"/>
  <c r="H24" i="5"/>
  <c r="G24" i="5"/>
  <c r="F24" i="5"/>
  <c r="H23" i="5"/>
  <c r="G23" i="5"/>
  <c r="F23" i="5"/>
  <c r="H22" i="5"/>
  <c r="G22" i="5"/>
  <c r="F22" i="5"/>
  <c r="H21" i="5"/>
  <c r="G21" i="5"/>
  <c r="F21" i="5"/>
  <c r="H20" i="5"/>
  <c r="G20" i="5"/>
  <c r="F20" i="5"/>
  <c r="H19" i="5"/>
  <c r="G19" i="5"/>
  <c r="F19" i="5"/>
  <c r="H18" i="5"/>
  <c r="G18" i="5"/>
  <c r="F18" i="5"/>
  <c r="H17" i="5"/>
  <c r="G17" i="5"/>
  <c r="F17" i="5"/>
  <c r="H16" i="5"/>
  <c r="G16" i="5"/>
  <c r="F16" i="5"/>
  <c r="H15" i="5"/>
  <c r="G15" i="5"/>
  <c r="F15" i="5"/>
  <c r="H14" i="5"/>
  <c r="G14" i="5"/>
  <c r="F14" i="5"/>
  <c r="H13" i="5"/>
  <c r="G13" i="5"/>
  <c r="F13" i="5"/>
  <c r="H12" i="5"/>
  <c r="G12" i="5"/>
  <c r="F12" i="5"/>
  <c r="H11" i="5"/>
  <c r="G11" i="5"/>
  <c r="F11" i="5"/>
  <c r="H10" i="5"/>
  <c r="G10" i="5"/>
  <c r="F10" i="5"/>
  <c r="H9" i="5"/>
  <c r="G9" i="5"/>
  <c r="F9" i="5"/>
  <c r="H8" i="5"/>
  <c r="G8" i="5"/>
  <c r="F8" i="5"/>
  <c r="H7" i="5"/>
  <c r="G7" i="5"/>
  <c r="F7" i="5"/>
  <c r="H6" i="5"/>
  <c r="G6" i="5"/>
  <c r="F6" i="5"/>
  <c r="H5" i="5"/>
  <c r="G5" i="5"/>
  <c r="F5" i="5"/>
  <c r="D249" i="1"/>
  <c r="D244" i="1"/>
  <c r="D235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234" i="1" s="1"/>
  <c r="D236" i="1" s="1"/>
  <c r="D240" i="1" s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262" i="1" s="1"/>
  <c r="D110" i="1"/>
  <c r="D109" i="1"/>
  <c r="D108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215" i="3"/>
  <c r="D214" i="3"/>
  <c r="D213" i="3"/>
  <c r="D210" i="3"/>
  <c r="D209" i="3"/>
  <c r="D208" i="3"/>
  <c r="D205" i="3"/>
  <c r="D204" i="3"/>
  <c r="D203" i="3"/>
  <c r="D202" i="3"/>
  <c r="D199" i="3"/>
  <c r="D198" i="3"/>
  <c r="D195" i="3"/>
  <c r="D194" i="3"/>
  <c r="D193" i="3"/>
  <c r="D190" i="3"/>
  <c r="D189" i="3"/>
  <c r="D186" i="3"/>
  <c r="D185" i="3"/>
  <c r="D184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29" i="2"/>
  <c r="D228" i="2"/>
  <c r="D227" i="2"/>
  <c r="D226" i="2"/>
  <c r="D224" i="2"/>
  <c r="D223" i="2"/>
  <c r="D222" i="2"/>
  <c r="D221" i="2"/>
  <c r="D219" i="2"/>
  <c r="D218" i="2"/>
  <c r="D217" i="2"/>
  <c r="D214" i="2"/>
  <c r="D213" i="2"/>
  <c r="D212" i="2"/>
  <c r="D209" i="2"/>
  <c r="D208" i="2"/>
  <c r="D207" i="2"/>
  <c r="D206" i="2"/>
  <c r="D203" i="2"/>
  <c r="D202" i="2"/>
  <c r="D199" i="2"/>
  <c r="D198" i="2"/>
  <c r="D197" i="2"/>
  <c r="D194" i="2"/>
  <c r="D193" i="2"/>
  <c r="D190" i="2"/>
  <c r="D189" i="2"/>
  <c r="D188" i="2"/>
  <c r="D184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C337" i="5"/>
  <c r="E333" i="5"/>
  <c r="E343" i="5" s="1"/>
  <c r="D333" i="5"/>
  <c r="C333" i="5"/>
  <c r="D317" i="5"/>
  <c r="C317" i="5"/>
  <c r="D316" i="5"/>
  <c r="C316" i="5"/>
  <c r="D315" i="5"/>
  <c r="C315" i="5"/>
  <c r="D314" i="5"/>
  <c r="C314" i="5"/>
  <c r="D313" i="5"/>
  <c r="C313" i="5"/>
  <c r="D312" i="5"/>
  <c r="C312" i="5"/>
  <c r="D311" i="5"/>
  <c r="C311" i="5"/>
  <c r="E309" i="5"/>
  <c r="D309" i="5"/>
  <c r="C309" i="5"/>
  <c r="E308" i="5"/>
  <c r="D308" i="5"/>
  <c r="C308" i="5"/>
  <c r="E307" i="5"/>
  <c r="D307" i="5"/>
  <c r="C307" i="5"/>
  <c r="E306" i="5"/>
  <c r="D306" i="5"/>
  <c r="C306" i="5"/>
  <c r="E305" i="5"/>
  <c r="D305" i="5"/>
  <c r="C305" i="5"/>
  <c r="E304" i="5"/>
  <c r="D304" i="5"/>
  <c r="C304" i="5"/>
  <c r="E303" i="5"/>
  <c r="D303" i="5"/>
  <c r="C303" i="5"/>
  <c r="E302" i="5"/>
  <c r="D302" i="5"/>
  <c r="C302" i="5"/>
  <c r="E301" i="5"/>
  <c r="D301" i="5"/>
  <c r="C301" i="5"/>
  <c r="E300" i="5"/>
  <c r="D300" i="5"/>
  <c r="C300" i="5"/>
  <c r="E299" i="5"/>
  <c r="D299" i="5"/>
  <c r="C299" i="5"/>
  <c r="E298" i="5"/>
  <c r="D298" i="5"/>
  <c r="C298" i="5"/>
  <c r="E297" i="5"/>
  <c r="D297" i="5"/>
  <c r="C297" i="5"/>
  <c r="E296" i="5"/>
  <c r="D296" i="5"/>
  <c r="C296" i="5"/>
  <c r="E295" i="5"/>
  <c r="D295" i="5"/>
  <c r="C295" i="5"/>
  <c r="E294" i="5"/>
  <c r="D294" i="5"/>
  <c r="C294" i="5"/>
  <c r="E293" i="5"/>
  <c r="D293" i="5"/>
  <c r="C293" i="5"/>
  <c r="E292" i="5"/>
  <c r="D292" i="5"/>
  <c r="E291" i="5"/>
  <c r="D291" i="5"/>
  <c r="C291" i="5"/>
  <c r="E290" i="5"/>
  <c r="D290" i="5"/>
  <c r="C290" i="5"/>
  <c r="E289" i="5"/>
  <c r="D289" i="5"/>
  <c r="C289" i="5"/>
  <c r="E288" i="5"/>
  <c r="D288" i="5"/>
  <c r="C288" i="5"/>
  <c r="E287" i="5"/>
  <c r="D287" i="5"/>
  <c r="C287" i="5"/>
  <c r="E286" i="5"/>
  <c r="D286" i="5"/>
  <c r="C286" i="5"/>
  <c r="E285" i="5"/>
  <c r="D285" i="5"/>
  <c r="C285" i="5"/>
  <c r="E284" i="5"/>
  <c r="D284" i="5"/>
  <c r="C284" i="5"/>
  <c r="E283" i="5"/>
  <c r="D283" i="5"/>
  <c r="C283" i="5"/>
  <c r="E282" i="5"/>
  <c r="D282" i="5"/>
  <c r="C282" i="5"/>
  <c r="E281" i="5"/>
  <c r="D281" i="5"/>
  <c r="C281" i="5"/>
  <c r="E280" i="5"/>
  <c r="D280" i="5"/>
  <c r="C280" i="5"/>
  <c r="E279" i="5"/>
  <c r="D279" i="5"/>
  <c r="C279" i="5"/>
  <c r="E278" i="5"/>
  <c r="D278" i="5"/>
  <c r="C278" i="5"/>
  <c r="E277" i="5"/>
  <c r="D277" i="5"/>
  <c r="C277" i="5"/>
  <c r="E276" i="5"/>
  <c r="D276" i="5"/>
  <c r="C276" i="5"/>
  <c r="E275" i="5"/>
  <c r="D275" i="5"/>
  <c r="C275" i="5"/>
  <c r="E274" i="5"/>
  <c r="D274" i="5"/>
  <c r="C274" i="5"/>
  <c r="E273" i="5"/>
  <c r="D273" i="5"/>
  <c r="C273" i="5"/>
  <c r="E272" i="5"/>
  <c r="D272" i="5"/>
  <c r="C272" i="5"/>
  <c r="E271" i="5"/>
  <c r="D271" i="5"/>
  <c r="C271" i="5"/>
  <c r="E270" i="5"/>
  <c r="D270" i="5"/>
  <c r="C270" i="5"/>
  <c r="E269" i="5"/>
  <c r="D269" i="5"/>
  <c r="C269" i="5"/>
  <c r="E268" i="5"/>
  <c r="D268" i="5"/>
  <c r="C268" i="5"/>
  <c r="E267" i="5"/>
  <c r="D267" i="5"/>
  <c r="C267" i="5"/>
  <c r="E266" i="5"/>
  <c r="D266" i="5"/>
  <c r="C266" i="5"/>
  <c r="E265" i="5"/>
  <c r="D265" i="5"/>
  <c r="C265" i="5"/>
  <c r="E264" i="5"/>
  <c r="D264" i="5"/>
  <c r="C264" i="5"/>
  <c r="E263" i="5"/>
  <c r="D263" i="5"/>
  <c r="C263" i="5"/>
  <c r="E262" i="5"/>
  <c r="D262" i="5"/>
  <c r="C262" i="5"/>
  <c r="E261" i="5"/>
  <c r="D261" i="5"/>
  <c r="C261" i="5"/>
  <c r="E260" i="5"/>
  <c r="D260" i="5"/>
  <c r="C260" i="5"/>
  <c r="E259" i="5"/>
  <c r="D259" i="5"/>
  <c r="C259" i="5"/>
  <c r="E258" i="5"/>
  <c r="D258" i="5"/>
  <c r="C258" i="5"/>
  <c r="E257" i="5"/>
  <c r="D257" i="5"/>
  <c r="C257" i="5"/>
  <c r="E256" i="5"/>
  <c r="D256" i="5"/>
  <c r="C256" i="5"/>
  <c r="E255" i="5"/>
  <c r="D255" i="5"/>
  <c r="C255" i="5"/>
  <c r="E254" i="5"/>
  <c r="D254" i="5"/>
  <c r="C254" i="5"/>
  <c r="E253" i="5"/>
  <c r="D253" i="5"/>
  <c r="C253" i="5"/>
  <c r="E252" i="5"/>
  <c r="D252" i="5"/>
  <c r="C252" i="5"/>
  <c r="E251" i="5"/>
  <c r="D251" i="5"/>
  <c r="C251" i="5"/>
  <c r="E250" i="5"/>
  <c r="D250" i="5"/>
  <c r="C250" i="5"/>
  <c r="E249" i="5"/>
  <c r="D249" i="5"/>
  <c r="C249" i="5"/>
  <c r="E248" i="5"/>
  <c r="D248" i="5"/>
  <c r="C248" i="5"/>
  <c r="E247" i="5"/>
  <c r="D247" i="5"/>
  <c r="C247" i="5"/>
  <c r="E246" i="5"/>
  <c r="D246" i="5"/>
  <c r="C246" i="5"/>
  <c r="E245" i="5"/>
  <c r="D245" i="5"/>
  <c r="C245" i="5"/>
  <c r="E244" i="5"/>
  <c r="D244" i="5"/>
  <c r="C244" i="5"/>
  <c r="E243" i="5"/>
  <c r="D243" i="5"/>
  <c r="C243" i="5"/>
  <c r="E242" i="5"/>
  <c r="D242" i="5"/>
  <c r="C242" i="5"/>
  <c r="E241" i="5"/>
  <c r="D241" i="5"/>
  <c r="C241" i="5"/>
  <c r="E240" i="5"/>
  <c r="D240" i="5"/>
  <c r="C240" i="5"/>
  <c r="E239" i="5"/>
  <c r="D239" i="5"/>
  <c r="C239" i="5"/>
  <c r="E238" i="5"/>
  <c r="D238" i="5"/>
  <c r="C238" i="5"/>
  <c r="E237" i="5"/>
  <c r="D237" i="5"/>
  <c r="C237" i="5"/>
  <c r="E236" i="5"/>
  <c r="D236" i="5"/>
  <c r="C236" i="5"/>
  <c r="E235" i="5"/>
  <c r="D235" i="5"/>
  <c r="C235" i="5"/>
  <c r="E234" i="5"/>
  <c r="D234" i="5"/>
  <c r="C234" i="5"/>
  <c r="E233" i="5"/>
  <c r="D233" i="5"/>
  <c r="C233" i="5"/>
  <c r="E232" i="5"/>
  <c r="D232" i="5"/>
  <c r="C232" i="5"/>
  <c r="E231" i="5"/>
  <c r="D231" i="5"/>
  <c r="C231" i="5"/>
  <c r="E230" i="5"/>
  <c r="D230" i="5"/>
  <c r="C230" i="5"/>
  <c r="E229" i="5"/>
  <c r="D229" i="5"/>
  <c r="C229" i="5"/>
  <c r="E228" i="5"/>
  <c r="D228" i="5"/>
  <c r="C228" i="5"/>
  <c r="E227" i="5"/>
  <c r="D227" i="5"/>
  <c r="C227" i="5"/>
  <c r="E226" i="5"/>
  <c r="D226" i="5"/>
  <c r="C226" i="5"/>
  <c r="E225" i="5"/>
  <c r="D225" i="5"/>
  <c r="C225" i="5"/>
  <c r="E224" i="5"/>
  <c r="D224" i="5"/>
  <c r="C224" i="5"/>
  <c r="E223" i="5"/>
  <c r="D223" i="5"/>
  <c r="C223" i="5"/>
  <c r="E222" i="5"/>
  <c r="D222" i="5"/>
  <c r="C222" i="5"/>
  <c r="E221" i="5"/>
  <c r="D221" i="5"/>
  <c r="C221" i="5"/>
  <c r="E220" i="5"/>
  <c r="D220" i="5"/>
  <c r="C220" i="5"/>
  <c r="E219" i="5"/>
  <c r="D219" i="5"/>
  <c r="C219" i="5"/>
  <c r="E218" i="5"/>
  <c r="D218" i="5"/>
  <c r="C218" i="5"/>
  <c r="E217" i="5"/>
  <c r="D217" i="5"/>
  <c r="C217" i="5"/>
  <c r="E216" i="5"/>
  <c r="D216" i="5"/>
  <c r="C216" i="5"/>
  <c r="E215" i="5"/>
  <c r="D215" i="5"/>
  <c r="C215" i="5"/>
  <c r="E214" i="5"/>
  <c r="D214" i="5"/>
  <c r="C214" i="5"/>
  <c r="E213" i="5"/>
  <c r="D213" i="5"/>
  <c r="C213" i="5"/>
  <c r="E212" i="5"/>
  <c r="D212" i="5"/>
  <c r="C212" i="5"/>
  <c r="E211" i="5"/>
  <c r="D211" i="5"/>
  <c r="C211" i="5"/>
  <c r="E210" i="5"/>
  <c r="D210" i="5"/>
  <c r="C210" i="5"/>
  <c r="E209" i="5"/>
  <c r="D209" i="5"/>
  <c r="C209" i="5"/>
  <c r="E208" i="5"/>
  <c r="D208" i="5"/>
  <c r="C208" i="5"/>
  <c r="E207" i="5"/>
  <c r="D207" i="5"/>
  <c r="C207" i="5"/>
  <c r="E206" i="5"/>
  <c r="D206" i="5"/>
  <c r="C206" i="5"/>
  <c r="E205" i="5"/>
  <c r="D205" i="5"/>
  <c r="C205" i="5"/>
  <c r="E204" i="5"/>
  <c r="D204" i="5"/>
  <c r="C204" i="5"/>
  <c r="E203" i="5"/>
  <c r="D203" i="5"/>
  <c r="C203" i="5"/>
  <c r="E202" i="5"/>
  <c r="D202" i="5"/>
  <c r="C202" i="5"/>
  <c r="E201" i="5"/>
  <c r="D201" i="5"/>
  <c r="C201" i="5"/>
  <c r="E200" i="5"/>
  <c r="D200" i="5"/>
  <c r="C200" i="5"/>
  <c r="E199" i="5"/>
  <c r="D199" i="5"/>
  <c r="C199" i="5"/>
  <c r="E198" i="5"/>
  <c r="D198" i="5"/>
  <c r="C198" i="5"/>
  <c r="E197" i="5"/>
  <c r="D197" i="5"/>
  <c r="C197" i="5"/>
  <c r="E196" i="5"/>
  <c r="D196" i="5"/>
  <c r="C196" i="5"/>
  <c r="E195" i="5"/>
  <c r="D195" i="5"/>
  <c r="C195" i="5"/>
  <c r="E194" i="5"/>
  <c r="D194" i="5"/>
  <c r="C194" i="5"/>
  <c r="E193" i="5"/>
  <c r="D193" i="5"/>
  <c r="C193" i="5"/>
  <c r="E192" i="5"/>
  <c r="D192" i="5"/>
  <c r="C192" i="5"/>
  <c r="E191" i="5"/>
  <c r="D191" i="5"/>
  <c r="C191" i="5"/>
  <c r="E190" i="5"/>
  <c r="D190" i="5"/>
  <c r="C190" i="5"/>
  <c r="E189" i="5"/>
  <c r="D189" i="5"/>
  <c r="C189" i="5"/>
  <c r="E188" i="5"/>
  <c r="D188" i="5"/>
  <c r="C188" i="5"/>
  <c r="E187" i="5"/>
  <c r="D187" i="5"/>
  <c r="C187" i="5"/>
  <c r="E186" i="5"/>
  <c r="D186" i="5"/>
  <c r="C186" i="5"/>
  <c r="E185" i="5"/>
  <c r="D185" i="5"/>
  <c r="C185" i="5"/>
  <c r="E184" i="5"/>
  <c r="D184" i="5"/>
  <c r="C184" i="5"/>
  <c r="E183" i="5"/>
  <c r="D183" i="5"/>
  <c r="C183" i="5"/>
  <c r="E182" i="5"/>
  <c r="D182" i="5"/>
  <c r="C182" i="5"/>
  <c r="E181" i="5"/>
  <c r="D181" i="5"/>
  <c r="C181" i="5"/>
  <c r="E180" i="5"/>
  <c r="D180" i="5"/>
  <c r="C180" i="5"/>
  <c r="E179" i="5"/>
  <c r="D179" i="5"/>
  <c r="C179" i="5"/>
  <c r="E178" i="5"/>
  <c r="D178" i="5"/>
  <c r="C178" i="5"/>
  <c r="E177" i="5"/>
  <c r="D177" i="5"/>
  <c r="C177" i="5"/>
  <c r="E176" i="5"/>
  <c r="D176" i="5"/>
  <c r="C176" i="5"/>
  <c r="E175" i="5"/>
  <c r="D175" i="5"/>
  <c r="C175" i="5"/>
  <c r="E174" i="5"/>
  <c r="D174" i="5"/>
  <c r="C174" i="5"/>
  <c r="E173" i="5"/>
  <c r="D173" i="5"/>
  <c r="C173" i="5"/>
  <c r="E172" i="5"/>
  <c r="D172" i="5"/>
  <c r="C172" i="5"/>
  <c r="E171" i="5"/>
  <c r="D171" i="5"/>
  <c r="C171" i="5"/>
  <c r="E170" i="5"/>
  <c r="D170" i="5"/>
  <c r="C170" i="5"/>
  <c r="E169" i="5"/>
  <c r="D169" i="5"/>
  <c r="C169" i="5"/>
  <c r="E168" i="5"/>
  <c r="D168" i="5"/>
  <c r="C168" i="5"/>
  <c r="E167" i="5"/>
  <c r="D167" i="5"/>
  <c r="C167" i="5"/>
  <c r="E166" i="5"/>
  <c r="D166" i="5"/>
  <c r="C166" i="5"/>
  <c r="E165" i="5"/>
  <c r="D165" i="5"/>
  <c r="C165" i="5"/>
  <c r="E164" i="5"/>
  <c r="D164" i="5"/>
  <c r="C164" i="5"/>
  <c r="E163" i="5"/>
  <c r="D163" i="5"/>
  <c r="C163" i="5"/>
  <c r="E162" i="5"/>
  <c r="D162" i="5"/>
  <c r="C162" i="5"/>
  <c r="E161" i="5"/>
  <c r="D161" i="5"/>
  <c r="C161" i="5"/>
  <c r="E160" i="5"/>
  <c r="D160" i="5"/>
  <c r="C160" i="5"/>
  <c r="E159" i="5"/>
  <c r="D159" i="5"/>
  <c r="C159" i="5"/>
  <c r="E158" i="5"/>
  <c r="D158" i="5"/>
  <c r="C158" i="5"/>
  <c r="E157" i="5"/>
  <c r="D157" i="5"/>
  <c r="C157" i="5"/>
  <c r="E156" i="5"/>
  <c r="D156" i="5"/>
  <c r="C156" i="5"/>
  <c r="E155" i="5"/>
  <c r="D155" i="5"/>
  <c r="C155" i="5"/>
  <c r="E154" i="5"/>
  <c r="D154" i="5"/>
  <c r="C154" i="5"/>
  <c r="E153" i="5"/>
  <c r="D153" i="5"/>
  <c r="C153" i="5"/>
  <c r="E152" i="5"/>
  <c r="D152" i="5"/>
  <c r="C152" i="5"/>
  <c r="E151" i="5"/>
  <c r="D151" i="5"/>
  <c r="C151" i="5"/>
  <c r="E150" i="5"/>
  <c r="D150" i="5"/>
  <c r="C150" i="5"/>
  <c r="E149" i="5"/>
  <c r="D149" i="5"/>
  <c r="C149" i="5"/>
  <c r="E148" i="5"/>
  <c r="D148" i="5"/>
  <c r="C148" i="5"/>
  <c r="E147" i="5"/>
  <c r="D147" i="5"/>
  <c r="C147" i="5"/>
  <c r="E146" i="5"/>
  <c r="D146" i="5"/>
  <c r="C146" i="5"/>
  <c r="E145" i="5"/>
  <c r="D145" i="5"/>
  <c r="C145" i="5"/>
  <c r="E144" i="5"/>
  <c r="D144" i="5"/>
  <c r="C144" i="5"/>
  <c r="E143" i="5"/>
  <c r="D143" i="5"/>
  <c r="C143" i="5"/>
  <c r="E142" i="5"/>
  <c r="D142" i="5"/>
  <c r="C142" i="5"/>
  <c r="E141" i="5"/>
  <c r="D141" i="5"/>
  <c r="C141" i="5"/>
  <c r="E140" i="5"/>
  <c r="D140" i="5"/>
  <c r="C140" i="5"/>
  <c r="E139" i="5"/>
  <c r="D139" i="5"/>
  <c r="C139" i="5"/>
  <c r="E138" i="5"/>
  <c r="D138" i="5"/>
  <c r="C138" i="5"/>
  <c r="E137" i="5"/>
  <c r="D137" i="5"/>
  <c r="C137" i="5"/>
  <c r="E136" i="5"/>
  <c r="D136" i="5"/>
  <c r="C136" i="5"/>
  <c r="E135" i="5"/>
  <c r="D135" i="5"/>
  <c r="C135" i="5"/>
  <c r="E134" i="5"/>
  <c r="D134" i="5"/>
  <c r="C134" i="5"/>
  <c r="E133" i="5"/>
  <c r="D133" i="5"/>
  <c r="C133" i="5"/>
  <c r="E132" i="5"/>
  <c r="D132" i="5"/>
  <c r="C132" i="5"/>
  <c r="E131" i="5"/>
  <c r="D131" i="5"/>
  <c r="C131" i="5"/>
  <c r="E130" i="5"/>
  <c r="D130" i="5"/>
  <c r="C130" i="5"/>
  <c r="E129" i="5"/>
  <c r="D129" i="5"/>
  <c r="C129" i="5"/>
  <c r="E128" i="5"/>
  <c r="D128" i="5"/>
  <c r="C128" i="5"/>
  <c r="E127" i="5"/>
  <c r="D127" i="5"/>
  <c r="C127" i="5"/>
  <c r="E126" i="5"/>
  <c r="D126" i="5"/>
  <c r="C126" i="5"/>
  <c r="E125" i="5"/>
  <c r="D125" i="5"/>
  <c r="C125" i="5"/>
  <c r="E124" i="5"/>
  <c r="D124" i="5"/>
  <c r="C124" i="5"/>
  <c r="E123" i="5"/>
  <c r="D123" i="5"/>
  <c r="C123" i="5"/>
  <c r="E122" i="5"/>
  <c r="D122" i="5"/>
  <c r="C122" i="5"/>
  <c r="E121" i="5"/>
  <c r="D121" i="5"/>
  <c r="C121" i="5"/>
  <c r="E120" i="5"/>
  <c r="D120" i="5"/>
  <c r="C120" i="5"/>
  <c r="E119" i="5"/>
  <c r="D119" i="5"/>
  <c r="C119" i="5"/>
  <c r="E118" i="5"/>
  <c r="D118" i="5"/>
  <c r="C118" i="5"/>
  <c r="E117" i="5"/>
  <c r="D117" i="5"/>
  <c r="C117" i="5"/>
  <c r="E116" i="5"/>
  <c r="D116" i="5"/>
  <c r="C116" i="5"/>
  <c r="E115" i="5"/>
  <c r="D115" i="5"/>
  <c r="C115" i="5"/>
  <c r="E114" i="5"/>
  <c r="D114" i="5"/>
  <c r="C114" i="5"/>
  <c r="E113" i="5"/>
  <c r="D113" i="5"/>
  <c r="C113" i="5"/>
  <c r="E112" i="5"/>
  <c r="D112" i="5"/>
  <c r="C112" i="5"/>
  <c r="C111" i="5"/>
  <c r="E110" i="5"/>
  <c r="D110" i="5"/>
  <c r="C110" i="5"/>
  <c r="C347" i="5" s="1"/>
  <c r="D109" i="5"/>
  <c r="C109" i="5"/>
  <c r="E108" i="5"/>
  <c r="D108" i="5"/>
  <c r="C108" i="5"/>
  <c r="E107" i="5"/>
  <c r="D107" i="5"/>
  <c r="E106" i="5"/>
  <c r="D106" i="5"/>
  <c r="C106" i="5"/>
  <c r="E105" i="5"/>
  <c r="D105" i="5"/>
  <c r="C105" i="5"/>
  <c r="E104" i="5"/>
  <c r="D104" i="5"/>
  <c r="C104" i="5"/>
  <c r="E103" i="5"/>
  <c r="D103" i="5"/>
  <c r="C103" i="5"/>
  <c r="E102" i="5"/>
  <c r="D102" i="5"/>
  <c r="C102" i="5"/>
  <c r="E101" i="5"/>
  <c r="D101" i="5"/>
  <c r="C101" i="5"/>
  <c r="E100" i="5"/>
  <c r="D100" i="5"/>
  <c r="C100" i="5"/>
  <c r="E99" i="5"/>
  <c r="D99" i="5"/>
  <c r="C99" i="5"/>
  <c r="E98" i="5"/>
  <c r="D98" i="5"/>
  <c r="C98" i="5"/>
  <c r="E97" i="5"/>
  <c r="D97" i="5"/>
  <c r="C97" i="5"/>
  <c r="E96" i="5"/>
  <c r="D96" i="5"/>
  <c r="C96" i="5"/>
  <c r="E95" i="5"/>
  <c r="D95" i="5"/>
  <c r="C95" i="5"/>
  <c r="E94" i="5"/>
  <c r="D94" i="5"/>
  <c r="C94" i="5"/>
  <c r="E93" i="5"/>
  <c r="D93" i="5"/>
  <c r="C93" i="5"/>
  <c r="E92" i="5"/>
  <c r="D92" i="5"/>
  <c r="C92" i="5"/>
  <c r="E91" i="5"/>
  <c r="D91" i="5"/>
  <c r="C91" i="5"/>
  <c r="E90" i="5"/>
  <c r="D90" i="5"/>
  <c r="C90" i="5"/>
  <c r="E89" i="5"/>
  <c r="D89" i="5"/>
  <c r="C89" i="5"/>
  <c r="E88" i="5"/>
  <c r="D88" i="5"/>
  <c r="C88" i="5"/>
  <c r="E87" i="5"/>
  <c r="D87" i="5"/>
  <c r="C87" i="5"/>
  <c r="E86" i="5"/>
  <c r="D86" i="5"/>
  <c r="C86" i="5"/>
  <c r="E85" i="5"/>
  <c r="D85" i="5"/>
  <c r="C85" i="5"/>
  <c r="E84" i="5"/>
  <c r="D84" i="5"/>
  <c r="C84" i="5"/>
  <c r="E83" i="5"/>
  <c r="D83" i="5"/>
  <c r="C83" i="5"/>
  <c r="E82" i="5"/>
  <c r="D82" i="5"/>
  <c r="C82" i="5"/>
  <c r="E81" i="5"/>
  <c r="D81" i="5"/>
  <c r="C81" i="5"/>
  <c r="E80" i="5"/>
  <c r="D80" i="5"/>
  <c r="C80" i="5"/>
  <c r="E79" i="5"/>
  <c r="D79" i="5"/>
  <c r="C79" i="5"/>
  <c r="E78" i="5"/>
  <c r="D78" i="5"/>
  <c r="C78" i="5"/>
  <c r="E77" i="5"/>
  <c r="D77" i="5"/>
  <c r="C77" i="5"/>
  <c r="E76" i="5"/>
  <c r="D76" i="5"/>
  <c r="C76" i="5"/>
  <c r="E75" i="5"/>
  <c r="D75" i="5"/>
  <c r="C75" i="5"/>
  <c r="E74" i="5"/>
  <c r="D74" i="5"/>
  <c r="C74" i="5"/>
  <c r="E73" i="5"/>
  <c r="D73" i="5"/>
  <c r="C73" i="5"/>
  <c r="E72" i="5"/>
  <c r="D72" i="5"/>
  <c r="C72" i="5"/>
  <c r="E71" i="5"/>
  <c r="D71" i="5"/>
  <c r="C71" i="5"/>
  <c r="E70" i="5"/>
  <c r="D70" i="5"/>
  <c r="C70" i="5"/>
  <c r="E69" i="5"/>
  <c r="D69" i="5"/>
  <c r="C69" i="5"/>
  <c r="E68" i="5"/>
  <c r="D68" i="5"/>
  <c r="C68" i="5"/>
  <c r="E67" i="5"/>
  <c r="D67" i="5"/>
  <c r="C67" i="5"/>
  <c r="E66" i="5"/>
  <c r="D66" i="5"/>
  <c r="C66" i="5"/>
  <c r="E65" i="5"/>
  <c r="D65" i="5"/>
  <c r="C65" i="5"/>
  <c r="E64" i="5"/>
  <c r="D64" i="5"/>
  <c r="C64" i="5"/>
  <c r="E63" i="5"/>
  <c r="D63" i="5"/>
  <c r="C63" i="5"/>
  <c r="E62" i="5"/>
  <c r="D62" i="5"/>
  <c r="C62" i="5"/>
  <c r="E61" i="5"/>
  <c r="D61" i="5"/>
  <c r="C61" i="5"/>
  <c r="E60" i="5"/>
  <c r="D60" i="5"/>
  <c r="C60" i="5"/>
  <c r="E59" i="5"/>
  <c r="D59" i="5"/>
  <c r="C59" i="5"/>
  <c r="E58" i="5"/>
  <c r="D58" i="5"/>
  <c r="C58" i="5"/>
  <c r="E57" i="5"/>
  <c r="D57" i="5"/>
  <c r="C57" i="5"/>
  <c r="E56" i="5"/>
  <c r="D56" i="5"/>
  <c r="C56" i="5"/>
  <c r="E55" i="5"/>
  <c r="D55" i="5"/>
  <c r="C55" i="5"/>
  <c r="E54" i="5"/>
  <c r="D54" i="5"/>
  <c r="C54" i="5"/>
  <c r="E53" i="5"/>
  <c r="D53" i="5"/>
  <c r="C53" i="5"/>
  <c r="E52" i="5"/>
  <c r="D52" i="5"/>
  <c r="C52" i="5"/>
  <c r="E51" i="5"/>
  <c r="D51" i="5"/>
  <c r="C51" i="5"/>
  <c r="E50" i="5"/>
  <c r="D50" i="5"/>
  <c r="C50" i="5"/>
  <c r="E49" i="5"/>
  <c r="D49" i="5"/>
  <c r="C49" i="5"/>
  <c r="E48" i="5"/>
  <c r="D48" i="5"/>
  <c r="C48" i="5"/>
  <c r="E47" i="5"/>
  <c r="D47" i="5"/>
  <c r="C47" i="5"/>
  <c r="E46" i="5"/>
  <c r="D46" i="5"/>
  <c r="C46" i="5"/>
  <c r="E45" i="5"/>
  <c r="D45" i="5"/>
  <c r="C45" i="5"/>
  <c r="E44" i="5"/>
  <c r="D44" i="5"/>
  <c r="C44" i="5"/>
  <c r="E43" i="5"/>
  <c r="D43" i="5"/>
  <c r="C43" i="5"/>
  <c r="E42" i="5"/>
  <c r="D42" i="5"/>
  <c r="C42" i="5"/>
  <c r="E41" i="5"/>
  <c r="D41" i="5"/>
  <c r="C41" i="5"/>
  <c r="E40" i="5"/>
  <c r="D40" i="5"/>
  <c r="C40" i="5"/>
  <c r="E39" i="5"/>
  <c r="D39" i="5"/>
  <c r="C39" i="5"/>
  <c r="E38" i="5"/>
  <c r="D38" i="5"/>
  <c r="C38" i="5"/>
  <c r="E37" i="5"/>
  <c r="D37" i="5"/>
  <c r="C37" i="5"/>
  <c r="E36" i="5"/>
  <c r="D36" i="5"/>
  <c r="C36" i="5"/>
  <c r="E35" i="5"/>
  <c r="D35" i="5"/>
  <c r="C35" i="5"/>
  <c r="E34" i="5"/>
  <c r="D34" i="5"/>
  <c r="C34" i="5"/>
  <c r="E33" i="5"/>
  <c r="D33" i="5"/>
  <c r="C33" i="5"/>
  <c r="E32" i="5"/>
  <c r="D32" i="5"/>
  <c r="C32" i="5"/>
  <c r="E31" i="5"/>
  <c r="D31" i="5"/>
  <c r="C31" i="5"/>
  <c r="E30" i="5"/>
  <c r="D30" i="5"/>
  <c r="C30" i="5"/>
  <c r="E29" i="5"/>
  <c r="D29" i="5"/>
  <c r="C29" i="5"/>
  <c r="E28" i="5"/>
  <c r="D28" i="5"/>
  <c r="C28" i="5"/>
  <c r="E27" i="5"/>
  <c r="D27" i="5"/>
  <c r="C27" i="5"/>
  <c r="E26" i="5"/>
  <c r="D26" i="5"/>
  <c r="C26" i="5"/>
  <c r="E25" i="5"/>
  <c r="D25" i="5"/>
  <c r="C25" i="5"/>
  <c r="E24" i="5"/>
  <c r="D24" i="5"/>
  <c r="C24" i="5"/>
  <c r="E23" i="5"/>
  <c r="D23" i="5"/>
  <c r="C23" i="5"/>
  <c r="E22" i="5"/>
  <c r="D22" i="5"/>
  <c r="C22" i="5"/>
  <c r="E21" i="5"/>
  <c r="D21" i="5"/>
  <c r="C21" i="5"/>
  <c r="E20" i="5"/>
  <c r="D20" i="5"/>
  <c r="C20" i="5"/>
  <c r="E19" i="5"/>
  <c r="D19" i="5"/>
  <c r="C19" i="5"/>
  <c r="E18" i="5"/>
  <c r="D18" i="5"/>
  <c r="C18" i="5"/>
  <c r="E17" i="5"/>
  <c r="D17" i="5"/>
  <c r="C17" i="5"/>
  <c r="E16" i="5"/>
  <c r="D16" i="5"/>
  <c r="C16" i="5"/>
  <c r="E15" i="5"/>
  <c r="D15" i="5"/>
  <c r="C15" i="5"/>
  <c r="E14" i="5"/>
  <c r="D14" i="5"/>
  <c r="C14" i="5"/>
  <c r="E13" i="5"/>
  <c r="D13" i="5"/>
  <c r="C13" i="5"/>
  <c r="E12" i="5"/>
  <c r="D12" i="5"/>
  <c r="C12" i="5"/>
  <c r="E11" i="5"/>
  <c r="D11" i="5"/>
  <c r="C11" i="5"/>
  <c r="E10" i="5"/>
  <c r="D10" i="5"/>
  <c r="C10" i="5"/>
  <c r="E9" i="5"/>
  <c r="D9" i="5"/>
  <c r="C9" i="5"/>
  <c r="E8" i="5"/>
  <c r="D8" i="5"/>
  <c r="C8" i="5"/>
  <c r="E7" i="5"/>
  <c r="D7" i="5"/>
  <c r="C7" i="5"/>
  <c r="E6" i="5"/>
  <c r="D6" i="5"/>
  <c r="C6" i="5"/>
  <c r="E5" i="5"/>
  <c r="D5" i="5"/>
  <c r="D318" i="5" s="1"/>
  <c r="D326" i="5" s="1"/>
  <c r="C5" i="5"/>
  <c r="C249" i="1"/>
  <c r="C244" i="1"/>
  <c r="C235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260" i="1" s="1"/>
  <c r="C109" i="1"/>
  <c r="C108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231" i="1" s="1"/>
  <c r="C215" i="3"/>
  <c r="C214" i="3"/>
  <c r="C213" i="3"/>
  <c r="C210" i="3"/>
  <c r="C209" i="3"/>
  <c r="C208" i="3"/>
  <c r="C205" i="3"/>
  <c r="C204" i="3"/>
  <c r="C203" i="3"/>
  <c r="C202" i="3"/>
  <c r="C199" i="3"/>
  <c r="C198" i="3"/>
  <c r="C195" i="3"/>
  <c r="C194" i="3"/>
  <c r="C193" i="3"/>
  <c r="C190" i="3"/>
  <c r="C189" i="3"/>
  <c r="C186" i="3"/>
  <c r="C185" i="3"/>
  <c r="C184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29" i="2"/>
  <c r="C228" i="2"/>
  <c r="C227" i="2"/>
  <c r="C226" i="2"/>
  <c r="C224" i="2"/>
  <c r="C223" i="2"/>
  <c r="C222" i="2"/>
  <c r="C221" i="2"/>
  <c r="C219" i="2"/>
  <c r="C218" i="2"/>
  <c r="C217" i="2"/>
  <c r="C214" i="2"/>
  <c r="C213" i="2"/>
  <c r="C212" i="2"/>
  <c r="C209" i="2"/>
  <c r="C208" i="2"/>
  <c r="C207" i="2"/>
  <c r="C206" i="2"/>
  <c r="C203" i="2"/>
  <c r="C202" i="2"/>
  <c r="C199" i="2"/>
  <c r="C198" i="2"/>
  <c r="C197" i="2"/>
  <c r="C194" i="2"/>
  <c r="C193" i="2"/>
  <c r="C190" i="2"/>
  <c r="C189" i="2"/>
  <c r="C188" i="2"/>
  <c r="C184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T349" i="5"/>
  <c r="S349" i="5"/>
  <c r="Q349" i="5"/>
  <c r="P349" i="5"/>
  <c r="N349" i="5"/>
  <c r="M349" i="5"/>
  <c r="T342" i="5"/>
  <c r="S342" i="5"/>
  <c r="Q342" i="5"/>
  <c r="P342" i="5"/>
  <c r="N342" i="5"/>
  <c r="M342" i="5"/>
  <c r="T339" i="5"/>
  <c r="T344" i="5" s="1"/>
  <c r="S339" i="5"/>
  <c r="S344" i="5" s="1"/>
  <c r="Q339" i="5"/>
  <c r="Q344" i="5" s="1"/>
  <c r="P339" i="5"/>
  <c r="P344" i="5" s="1"/>
  <c r="N339" i="5"/>
  <c r="N344" i="5" s="1"/>
  <c r="M339" i="5"/>
  <c r="M344" i="5" s="1"/>
  <c r="T343" i="5"/>
  <c r="S343" i="5"/>
  <c r="R343" i="5"/>
  <c r="Q343" i="5"/>
  <c r="P343" i="5"/>
  <c r="N343" i="5"/>
  <c r="M343" i="5"/>
  <c r="L343" i="5"/>
  <c r="T325" i="5"/>
  <c r="Q325" i="5"/>
  <c r="N325" i="5"/>
  <c r="T321" i="5"/>
  <c r="T327" i="5" s="1"/>
  <c r="S321" i="5"/>
  <c r="S327" i="5" s="1"/>
  <c r="R321" i="5"/>
  <c r="N321" i="5"/>
  <c r="N327" i="5" s="1"/>
  <c r="M321" i="5"/>
  <c r="M327" i="5" s="1"/>
  <c r="L321" i="5"/>
  <c r="R349" i="5"/>
  <c r="O349" i="5"/>
  <c r="L349" i="5"/>
  <c r="T347" i="5"/>
  <c r="S347" i="5"/>
  <c r="R347" i="5"/>
  <c r="Q347" i="5"/>
  <c r="P347" i="5"/>
  <c r="O347" i="5"/>
  <c r="N347" i="5"/>
  <c r="M347" i="5"/>
  <c r="L347" i="5"/>
  <c r="S346" i="5"/>
  <c r="R346" i="5"/>
  <c r="P348" i="5"/>
  <c r="Q109" i="5"/>
  <c r="N109" i="5"/>
  <c r="N346" i="5" s="1"/>
  <c r="M348" i="5"/>
  <c r="L348" i="5"/>
  <c r="S318" i="5"/>
  <c r="S326" i="5" s="1"/>
  <c r="R318" i="5"/>
  <c r="O318" i="5"/>
  <c r="M318" i="5"/>
  <c r="M326" i="5" s="1"/>
  <c r="L318" i="5"/>
  <c r="K349" i="5"/>
  <c r="J349" i="5"/>
  <c r="H349" i="5"/>
  <c r="G349" i="5"/>
  <c r="E349" i="5"/>
  <c r="D349" i="5"/>
  <c r="K342" i="5"/>
  <c r="J342" i="5"/>
  <c r="H342" i="5"/>
  <c r="G342" i="5"/>
  <c r="E342" i="5"/>
  <c r="D342" i="5"/>
  <c r="K339" i="5"/>
  <c r="K344" i="5" s="1"/>
  <c r="J339" i="5"/>
  <c r="J344" i="5" s="1"/>
  <c r="H339" i="5"/>
  <c r="H344" i="5" s="1"/>
  <c r="G339" i="5"/>
  <c r="G344" i="5" s="1"/>
  <c r="E339" i="5"/>
  <c r="E344" i="5" s="1"/>
  <c r="D339" i="5"/>
  <c r="D344" i="5" s="1"/>
  <c r="K343" i="5"/>
  <c r="J343" i="5"/>
  <c r="H343" i="5"/>
  <c r="G343" i="5"/>
  <c r="F343" i="5"/>
  <c r="D343" i="5"/>
  <c r="C343" i="5"/>
  <c r="K325" i="5"/>
  <c r="H325" i="5"/>
  <c r="E325" i="5"/>
  <c r="H321" i="5"/>
  <c r="H327" i="5" s="1"/>
  <c r="F321" i="5"/>
  <c r="D321" i="5"/>
  <c r="D327" i="5" s="1"/>
  <c r="I349" i="5"/>
  <c r="C349" i="5"/>
  <c r="K347" i="5"/>
  <c r="J347" i="5"/>
  <c r="I347" i="5"/>
  <c r="H347" i="5"/>
  <c r="G347" i="5"/>
  <c r="F347" i="5"/>
  <c r="E347" i="5"/>
  <c r="D347" i="5"/>
  <c r="K109" i="5"/>
  <c r="K348" i="5" s="1"/>
  <c r="J348" i="5"/>
  <c r="I348" i="5"/>
  <c r="G348" i="5"/>
  <c r="D348" i="5"/>
  <c r="E109" i="5"/>
  <c r="J318" i="5"/>
  <c r="J326" i="5" s="1"/>
  <c r="I318" i="5"/>
  <c r="F318" i="5"/>
  <c r="F256" i="1"/>
  <c r="F234" i="1"/>
  <c r="F236" i="1" s="1"/>
  <c r="F240" i="1" s="1"/>
  <c r="G262" i="1"/>
  <c r="C262" i="1"/>
  <c r="H260" i="1"/>
  <c r="G260" i="1"/>
  <c r="F260" i="1"/>
  <c r="E260" i="1"/>
  <c r="D260" i="1"/>
  <c r="G261" i="1"/>
  <c r="F261" i="1"/>
  <c r="C261" i="1"/>
  <c r="E231" i="1"/>
  <c r="C221" i="3"/>
  <c r="F219" i="3"/>
  <c r="H222" i="3"/>
  <c r="H179" i="3"/>
  <c r="H223" i="3"/>
  <c r="F223" i="3"/>
  <c r="E223" i="3"/>
  <c r="C223" i="3"/>
  <c r="F179" i="3"/>
  <c r="E179" i="3"/>
  <c r="C179" i="3"/>
  <c r="H173" i="3"/>
  <c r="H225" i="3" s="1"/>
  <c r="F222" i="3"/>
  <c r="E173" i="3"/>
  <c r="E225" i="3" s="1"/>
  <c r="C222" i="3"/>
  <c r="H221" i="3"/>
  <c r="F221" i="3"/>
  <c r="E221" i="3"/>
  <c r="H219" i="3"/>
  <c r="E219" i="3"/>
  <c r="D219" i="3"/>
  <c r="C219" i="3"/>
  <c r="H220" i="3"/>
  <c r="G220" i="3"/>
  <c r="F220" i="3"/>
  <c r="E220" i="3"/>
  <c r="C220" i="3"/>
  <c r="F177" i="3"/>
  <c r="H177" i="3"/>
  <c r="G172" i="3"/>
  <c r="G224" i="3" s="1"/>
  <c r="E177" i="3"/>
  <c r="C172" i="3"/>
  <c r="H218" i="3"/>
  <c r="F218" i="3"/>
  <c r="E218" i="3"/>
  <c r="D218" i="3"/>
  <c r="C218" i="3"/>
  <c r="H274" i="2"/>
  <c r="G274" i="2"/>
  <c r="F274" i="2"/>
  <c r="E274" i="2"/>
  <c r="D274" i="2"/>
  <c r="C274" i="2"/>
  <c r="H273" i="2"/>
  <c r="G273" i="2"/>
  <c r="F273" i="2"/>
  <c r="E273" i="2"/>
  <c r="D273" i="2"/>
  <c r="C273" i="2"/>
  <c r="H272" i="2"/>
  <c r="G272" i="2"/>
  <c r="F272" i="2"/>
  <c r="E272" i="2"/>
  <c r="D272" i="2"/>
  <c r="C272" i="2"/>
  <c r="H271" i="2"/>
  <c r="G271" i="2"/>
  <c r="F271" i="2"/>
  <c r="E271" i="2"/>
  <c r="D271" i="2"/>
  <c r="C271" i="2"/>
  <c r="H270" i="2"/>
  <c r="G270" i="2"/>
  <c r="F270" i="2"/>
  <c r="E270" i="2"/>
  <c r="D270" i="2"/>
  <c r="C270" i="2"/>
  <c r="H269" i="2"/>
  <c r="G269" i="2"/>
  <c r="F269" i="2"/>
  <c r="E269" i="2"/>
  <c r="D269" i="2"/>
  <c r="C269" i="2"/>
  <c r="H275" i="2"/>
  <c r="G275" i="2"/>
  <c r="F275" i="2"/>
  <c r="E275" i="2"/>
  <c r="D275" i="2"/>
  <c r="C275" i="2"/>
  <c r="H268" i="2"/>
  <c r="G268" i="2"/>
  <c r="F283" i="2"/>
  <c r="E268" i="2"/>
  <c r="D268" i="2"/>
  <c r="C268" i="2"/>
  <c r="H267" i="2"/>
  <c r="G267" i="2"/>
  <c r="F267" i="2"/>
  <c r="E267" i="2"/>
  <c r="D267" i="2"/>
  <c r="C267" i="2"/>
  <c r="H248" i="2"/>
  <c r="G255" i="2"/>
  <c r="F255" i="2"/>
  <c r="E255" i="2"/>
  <c r="D248" i="2"/>
  <c r="C255" i="2"/>
  <c r="H247" i="2"/>
  <c r="G247" i="2"/>
  <c r="F247" i="2"/>
  <c r="E247" i="2"/>
  <c r="D247" i="2"/>
  <c r="C247" i="2"/>
  <c r="G179" i="2"/>
  <c r="C179" i="2"/>
  <c r="H281" i="2"/>
  <c r="G281" i="2"/>
  <c r="F281" i="2"/>
  <c r="E281" i="2"/>
  <c r="D281" i="2"/>
  <c r="C281" i="2"/>
  <c r="H260" i="2"/>
  <c r="G260" i="2"/>
  <c r="F260" i="2"/>
  <c r="E260" i="2"/>
  <c r="D260" i="2"/>
  <c r="C260" i="2"/>
  <c r="H280" i="2"/>
  <c r="G280" i="2"/>
  <c r="F179" i="2"/>
  <c r="E179" i="2"/>
  <c r="D280" i="2"/>
  <c r="C280" i="2"/>
  <c r="H253" i="2"/>
  <c r="G253" i="2"/>
  <c r="F246" i="2"/>
  <c r="E174" i="2"/>
  <c r="E250" i="2" s="1"/>
  <c r="D253" i="2"/>
  <c r="C253" i="2"/>
  <c r="H245" i="2"/>
  <c r="G245" i="2"/>
  <c r="F245" i="2"/>
  <c r="E245" i="2"/>
  <c r="D245" i="2"/>
  <c r="C245" i="2"/>
  <c r="H243" i="2"/>
  <c r="G243" i="2"/>
  <c r="F243" i="2"/>
  <c r="E243" i="2"/>
  <c r="D243" i="2"/>
  <c r="C243" i="2"/>
  <c r="H279" i="2"/>
  <c r="G279" i="2"/>
  <c r="F279" i="2"/>
  <c r="E279" i="2"/>
  <c r="D279" i="2"/>
  <c r="C279" i="2"/>
  <c r="H278" i="2"/>
  <c r="G278" i="2"/>
  <c r="F278" i="2"/>
  <c r="E278" i="2"/>
  <c r="D278" i="2"/>
  <c r="C278" i="2"/>
  <c r="H261" i="2"/>
  <c r="G261" i="2"/>
  <c r="F261" i="2"/>
  <c r="E261" i="2"/>
  <c r="D261" i="2"/>
  <c r="C261" i="2"/>
  <c r="H256" i="2"/>
  <c r="G256" i="2"/>
  <c r="F256" i="2"/>
  <c r="E256" i="2"/>
  <c r="D256" i="2"/>
  <c r="C256" i="2"/>
  <c r="H259" i="2"/>
  <c r="G259" i="2"/>
  <c r="F259" i="2"/>
  <c r="E259" i="2"/>
  <c r="D259" i="2"/>
  <c r="C259" i="2"/>
  <c r="H258" i="2"/>
  <c r="G258" i="2"/>
  <c r="F258" i="2"/>
  <c r="E258" i="2"/>
  <c r="D258" i="2"/>
  <c r="C258" i="2"/>
  <c r="H244" i="2"/>
  <c r="G244" i="2"/>
  <c r="F244" i="2"/>
  <c r="E244" i="2"/>
  <c r="D244" i="2"/>
  <c r="C244" i="2"/>
  <c r="H254" i="2"/>
  <c r="G254" i="2"/>
  <c r="F254" i="2"/>
  <c r="E254" i="2"/>
  <c r="D254" i="2"/>
  <c r="C254" i="2"/>
  <c r="H277" i="2"/>
  <c r="G277" i="2"/>
  <c r="F277" i="2"/>
  <c r="E277" i="2"/>
  <c r="D277" i="2"/>
  <c r="C277" i="2"/>
  <c r="H173" i="2"/>
  <c r="H234" i="2" s="1"/>
  <c r="G276" i="2"/>
  <c r="F173" i="2"/>
  <c r="E173" i="2"/>
  <c r="E232" i="2" s="1"/>
  <c r="D173" i="2"/>
  <c r="D232" i="2" s="1"/>
  <c r="C276" i="2"/>
  <c r="H257" i="2"/>
  <c r="G257" i="2"/>
  <c r="F242" i="2"/>
  <c r="E257" i="2"/>
  <c r="D257" i="2"/>
  <c r="C257" i="2"/>
  <c r="G219" i="3" l="1"/>
  <c r="I237" i="1"/>
  <c r="N237" i="1"/>
  <c r="P237" i="1"/>
  <c r="T237" i="1"/>
  <c r="U179" i="3"/>
  <c r="U223" i="3"/>
  <c r="AC237" i="1"/>
  <c r="C234" i="1"/>
  <c r="C236" i="1" s="1"/>
  <c r="D231" i="1"/>
  <c r="D259" i="1"/>
  <c r="J237" i="1"/>
  <c r="O237" i="1"/>
  <c r="Z237" i="1"/>
  <c r="CJ352" i="5"/>
  <c r="K237" i="1"/>
  <c r="L237" i="1"/>
  <c r="R237" i="1"/>
  <c r="V237" i="1"/>
  <c r="BB318" i="5"/>
  <c r="BD321" i="5"/>
  <c r="BD327" i="5" s="1"/>
  <c r="BC321" i="5"/>
  <c r="BC327" i="5" s="1"/>
  <c r="BE318" i="5"/>
  <c r="BF318" i="5"/>
  <c r="BF326" i="5" s="1"/>
  <c r="BE321" i="5"/>
  <c r="BF321" i="5"/>
  <c r="BF327" i="5" s="1"/>
  <c r="W237" i="1"/>
  <c r="AA237" i="1"/>
  <c r="CN328" i="5"/>
  <c r="CN352" i="5" s="1"/>
  <c r="AA238" i="2"/>
  <c r="AA237" i="2"/>
  <c r="AA236" i="2"/>
  <c r="C224" i="3"/>
  <c r="M237" i="1"/>
  <c r="S234" i="2"/>
  <c r="S237" i="1"/>
  <c r="BJ318" i="5"/>
  <c r="BJ326" i="5" s="1"/>
  <c r="AW318" i="5"/>
  <c r="AW326" i="5" s="1"/>
  <c r="AX318" i="5"/>
  <c r="AX326" i="5" s="1"/>
  <c r="AV318" i="5"/>
  <c r="AV321" i="5"/>
  <c r="AX321" i="5"/>
  <c r="AX327" i="5" s="1"/>
  <c r="AV343" i="5"/>
  <c r="S220" i="3"/>
  <c r="S179" i="3"/>
  <c r="S223" i="3"/>
  <c r="S218" i="3"/>
  <c r="S219" i="3"/>
  <c r="S221" i="3"/>
  <c r="X237" i="1"/>
  <c r="AB237" i="1"/>
  <c r="AI180" i="3"/>
  <c r="AA263" i="2"/>
  <c r="CX326" i="5"/>
  <c r="CX330" i="5"/>
  <c r="CX331" i="5"/>
  <c r="CX327" i="5"/>
  <c r="AJ248" i="1"/>
  <c r="AJ239" i="1"/>
  <c r="CU326" i="5"/>
  <c r="CU330" i="5"/>
  <c r="CU331" i="5"/>
  <c r="CU327" i="5"/>
  <c r="CV352" i="5"/>
  <c r="AI248" i="1"/>
  <c r="AI239" i="1"/>
  <c r="AI238" i="1"/>
  <c r="AI178" i="3"/>
  <c r="AI242" i="1"/>
  <c r="CR331" i="5"/>
  <c r="CR327" i="5"/>
  <c r="CR326" i="5"/>
  <c r="CR330" i="5"/>
  <c r="CS352" i="5"/>
  <c r="CT328" i="5"/>
  <c r="CT352" i="5" s="1"/>
  <c r="AH248" i="1"/>
  <c r="AH239" i="1"/>
  <c r="CO331" i="5"/>
  <c r="CO327" i="5"/>
  <c r="CO326" i="5"/>
  <c r="CO330" i="5"/>
  <c r="CO329" i="5"/>
  <c r="AG248" i="1"/>
  <c r="AG239" i="1"/>
  <c r="AG180" i="3"/>
  <c r="CR338" i="5"/>
  <c r="CR339" i="5" s="1"/>
  <c r="CR352" i="5"/>
  <c r="CR328" i="5"/>
  <c r="CR334" i="5"/>
  <c r="CR325" i="5"/>
  <c r="CR351" i="5"/>
  <c r="CU325" i="5"/>
  <c r="CU334" i="5"/>
  <c r="CU338" i="5"/>
  <c r="CU339" i="5" s="1"/>
  <c r="CU328" i="5"/>
  <c r="CU351" i="5" s="1"/>
  <c r="CZ348" i="5"/>
  <c r="CZ346" i="5"/>
  <c r="CO334" i="5"/>
  <c r="CO325" i="5"/>
  <c r="CX328" i="5"/>
  <c r="CX352" i="5" s="1"/>
  <c r="CX338" i="5"/>
  <c r="CX339" i="5" s="1"/>
  <c r="CP352" i="5"/>
  <c r="CZ318" i="5"/>
  <c r="CZ326" i="5" s="1"/>
  <c r="CU329" i="5"/>
  <c r="CQ348" i="5"/>
  <c r="CQ346" i="5"/>
  <c r="CO352" i="5"/>
  <c r="CO338" i="5"/>
  <c r="CO339" i="5" s="1"/>
  <c r="CO328" i="5"/>
  <c r="CO351" i="5" s="1"/>
  <c r="CW328" i="5"/>
  <c r="CW352" i="5" s="1"/>
  <c r="CX329" i="5"/>
  <c r="CX325" i="5"/>
  <c r="CX334" i="5"/>
  <c r="CR329" i="5"/>
  <c r="CQ328" i="5"/>
  <c r="CQ352" i="5" s="1"/>
  <c r="AG245" i="1"/>
  <c r="AG241" i="1"/>
  <c r="AJ245" i="1"/>
  <c r="AJ241" i="1"/>
  <c r="AI245" i="1"/>
  <c r="AJ238" i="1"/>
  <c r="AH245" i="1"/>
  <c r="AH238" i="1"/>
  <c r="AI241" i="1"/>
  <c r="AG238" i="1"/>
  <c r="AH241" i="1"/>
  <c r="AH264" i="1" s="1"/>
  <c r="AH175" i="3"/>
  <c r="AJ175" i="3"/>
  <c r="AH178" i="3"/>
  <c r="AH176" i="3"/>
  <c r="AH174" i="3"/>
  <c r="AH182" i="3" s="1"/>
  <c r="AJ176" i="3"/>
  <c r="AJ174" i="3"/>
  <c r="AJ182" i="3" s="1"/>
  <c r="AG182" i="3"/>
  <c r="AJ180" i="3"/>
  <c r="AG175" i="3"/>
  <c r="AI175" i="3"/>
  <c r="AJ178" i="3"/>
  <c r="AG176" i="3"/>
  <c r="AG174" i="3"/>
  <c r="AI176" i="3"/>
  <c r="AI174" i="3"/>
  <c r="AI182" i="3" s="1"/>
  <c r="AG178" i="3"/>
  <c r="AH180" i="3"/>
  <c r="AG249" i="2"/>
  <c r="AG175" i="2"/>
  <c r="AH249" i="2"/>
  <c r="AH175" i="2"/>
  <c r="AH263" i="2" s="1"/>
  <c r="AI249" i="2"/>
  <c r="AI175" i="2"/>
  <c r="AJ249" i="2"/>
  <c r="AJ175" i="2"/>
  <c r="AG236" i="2"/>
  <c r="AG231" i="2"/>
  <c r="AH238" i="2"/>
  <c r="AH233" i="2"/>
  <c r="AI236" i="2"/>
  <c r="AI231" i="2"/>
  <c r="AJ238" i="2"/>
  <c r="AJ233" i="2"/>
  <c r="AJ263" i="2"/>
  <c r="AG237" i="2"/>
  <c r="AG232" i="2"/>
  <c r="AH239" i="2"/>
  <c r="AH234" i="2"/>
  <c r="AI237" i="2"/>
  <c r="AI232" i="2"/>
  <c r="AJ239" i="2"/>
  <c r="AG178" i="2"/>
  <c r="AH178" i="2"/>
  <c r="AI178" i="2"/>
  <c r="AJ178" i="2"/>
  <c r="AG238" i="2"/>
  <c r="AG233" i="2"/>
  <c r="AG263" i="2"/>
  <c r="AH236" i="2"/>
  <c r="AH231" i="2"/>
  <c r="AI238" i="2"/>
  <c r="AI233" i="2"/>
  <c r="AI263" i="2"/>
  <c r="AJ236" i="2"/>
  <c r="AJ231" i="2"/>
  <c r="AG181" i="2"/>
  <c r="AG180" i="2"/>
  <c r="AH181" i="2"/>
  <c r="AH180" i="2"/>
  <c r="AI181" i="2"/>
  <c r="AI180" i="2"/>
  <c r="AJ181" i="2"/>
  <c r="AJ180" i="2"/>
  <c r="AG239" i="2"/>
  <c r="AG234" i="2"/>
  <c r="AH237" i="2"/>
  <c r="AH232" i="2"/>
  <c r="AI239" i="2"/>
  <c r="AI234" i="2"/>
  <c r="AJ237" i="2"/>
  <c r="AJ232" i="2"/>
  <c r="CN351" i="5"/>
  <c r="CL331" i="5"/>
  <c r="CL327" i="5"/>
  <c r="CL326" i="5"/>
  <c r="CL330" i="5"/>
  <c r="AF248" i="1"/>
  <c r="AF239" i="1"/>
  <c r="AF178" i="3"/>
  <c r="AF178" i="2"/>
  <c r="AF236" i="2"/>
  <c r="CI326" i="5"/>
  <c r="CI330" i="5"/>
  <c r="CI331" i="5"/>
  <c r="CI327" i="5"/>
  <c r="AE248" i="1"/>
  <c r="AE239" i="1"/>
  <c r="AE180" i="3"/>
  <c r="AE181" i="3"/>
  <c r="AE234" i="2"/>
  <c r="AE178" i="2"/>
  <c r="AE175" i="3"/>
  <c r="CH328" i="5"/>
  <c r="CH352" i="5" s="1"/>
  <c r="CH326" i="5"/>
  <c r="CF331" i="5"/>
  <c r="CF327" i="5"/>
  <c r="CG352" i="5"/>
  <c r="CF326" i="5"/>
  <c r="CF330" i="5"/>
  <c r="AD248" i="1"/>
  <c r="AD239" i="1"/>
  <c r="AD178" i="3"/>
  <c r="AD224" i="3"/>
  <c r="AD237" i="2"/>
  <c r="CK328" i="5"/>
  <c r="CK352" i="5" s="1"/>
  <c r="CI325" i="5"/>
  <c r="CI334" i="5"/>
  <c r="CL338" i="5"/>
  <c r="CL339" i="5" s="1"/>
  <c r="CL328" i="5"/>
  <c r="CL351" i="5" s="1"/>
  <c r="CH346" i="5"/>
  <c r="CH348" i="5"/>
  <c r="CL334" i="5"/>
  <c r="CL325" i="5"/>
  <c r="CM352" i="5"/>
  <c r="CF329" i="5"/>
  <c r="CI338" i="5"/>
  <c r="CI339" i="5" s="1"/>
  <c r="CI328" i="5"/>
  <c r="CI351" i="5" s="1"/>
  <c r="CF352" i="5"/>
  <c r="CF338" i="5"/>
  <c r="CF339" i="5" s="1"/>
  <c r="CF328" i="5"/>
  <c r="CL329" i="5"/>
  <c r="CK348" i="5"/>
  <c r="CK346" i="5"/>
  <c r="CH351" i="5"/>
  <c r="CF351" i="5"/>
  <c r="CF334" i="5"/>
  <c r="CF325" i="5"/>
  <c r="CI329" i="5"/>
  <c r="AF245" i="1"/>
  <c r="AF241" i="1"/>
  <c r="AF264" i="1" s="1"/>
  <c r="AD245" i="1"/>
  <c r="AD241" i="1"/>
  <c r="AE245" i="1"/>
  <c r="AD238" i="1"/>
  <c r="AF238" i="1"/>
  <c r="AE241" i="1"/>
  <c r="AE264" i="1" s="1"/>
  <c r="AE238" i="1"/>
  <c r="AF242" i="1"/>
  <c r="AD242" i="1"/>
  <c r="AD174" i="3"/>
  <c r="AD182" i="3" s="1"/>
  <c r="AD176" i="3"/>
  <c r="AD175" i="3"/>
  <c r="AF175" i="3"/>
  <c r="AE176" i="3"/>
  <c r="AE174" i="3"/>
  <c r="AE182" i="3" s="1"/>
  <c r="AD180" i="3"/>
  <c r="AF174" i="3"/>
  <c r="AF182" i="3" s="1"/>
  <c r="AF175" i="2"/>
  <c r="AF263" i="2" s="1"/>
  <c r="AF249" i="2"/>
  <c r="AF234" i="2"/>
  <c r="AD239" i="2"/>
  <c r="AD181" i="2"/>
  <c r="AD175" i="2"/>
  <c r="AF181" i="2"/>
  <c r="AF180" i="2"/>
  <c r="AD180" i="2"/>
  <c r="AE175" i="2"/>
  <c r="AE263" i="2" s="1"/>
  <c r="AE249" i="2"/>
  <c r="AF233" i="2"/>
  <c r="AD238" i="2"/>
  <c r="AF231" i="2"/>
  <c r="AE181" i="2"/>
  <c r="AF250" i="2"/>
  <c r="AF238" i="2"/>
  <c r="AD263" i="2"/>
  <c r="AF239" i="2"/>
  <c r="AE233" i="2"/>
  <c r="AD236" i="2"/>
  <c r="AF237" i="2"/>
  <c r="AA181" i="2"/>
  <c r="Y242" i="1"/>
  <c r="AC232" i="1"/>
  <c r="AC232" i="2"/>
  <c r="AC231" i="2"/>
  <c r="AB232" i="1"/>
  <c r="AA232" i="1"/>
  <c r="Z232" i="1"/>
  <c r="Y233" i="1"/>
  <c r="Y239" i="1" s="1"/>
  <c r="Y232" i="2"/>
  <c r="Y231" i="2"/>
  <c r="X232" i="1"/>
  <c r="X233" i="1" s="1"/>
  <c r="W232" i="1"/>
  <c r="BW324" i="5"/>
  <c r="BW319" i="5"/>
  <c r="BZ322" i="5"/>
  <c r="BZ323" i="5" s="1"/>
  <c r="CA328" i="5"/>
  <c r="CA352" i="5" s="1"/>
  <c r="BZ324" i="5"/>
  <c r="BZ319" i="5"/>
  <c r="BZ320" i="5" s="1"/>
  <c r="BY348" i="5"/>
  <c r="BY346" i="5"/>
  <c r="BV328" i="5"/>
  <c r="BV352" i="5" s="1"/>
  <c r="CD328" i="5"/>
  <c r="CD352" i="5" s="1"/>
  <c r="CC322" i="5"/>
  <c r="CC323" i="5" s="1"/>
  <c r="BW320" i="5"/>
  <c r="CC324" i="5"/>
  <c r="CC319" i="5"/>
  <c r="BT322" i="5"/>
  <c r="BT323" i="5" s="1"/>
  <c r="BU328" i="5"/>
  <c r="BU351" i="5" s="1"/>
  <c r="BT324" i="5"/>
  <c r="BT319" i="5"/>
  <c r="BT320" i="5" s="1"/>
  <c r="CB348" i="5"/>
  <c r="CB346" i="5"/>
  <c r="BX328" i="5"/>
  <c r="BX352" i="5" s="1"/>
  <c r="BW322" i="5"/>
  <c r="BW323" i="5" s="1"/>
  <c r="CB328" i="5"/>
  <c r="CB352" i="5" s="1"/>
  <c r="BY318" i="5"/>
  <c r="BY326" i="5" s="1"/>
  <c r="CC320" i="5"/>
  <c r="CE109" i="5"/>
  <c r="BW343" i="5"/>
  <c r="BW346" i="5"/>
  <c r="CA346" i="5"/>
  <c r="BW348" i="5"/>
  <c r="BV346" i="5"/>
  <c r="BZ346" i="5"/>
  <c r="CD346" i="5"/>
  <c r="BZ348" i="5"/>
  <c r="BU346" i="5"/>
  <c r="CC346" i="5"/>
  <c r="BT346" i="5"/>
  <c r="BX346" i="5"/>
  <c r="BM328" i="5"/>
  <c r="BM351" i="5" s="1"/>
  <c r="BK324" i="5"/>
  <c r="BK319" i="5"/>
  <c r="BL328" i="5"/>
  <c r="BL351" i="5" s="1"/>
  <c r="BK322" i="5"/>
  <c r="BK323" i="5" s="1"/>
  <c r="BP328" i="5"/>
  <c r="BP352" i="5" s="1"/>
  <c r="BN319" i="5"/>
  <c r="BN324" i="5"/>
  <c r="BO328" i="5"/>
  <c r="BO352" i="5" s="1"/>
  <c r="BN322" i="5"/>
  <c r="BK320" i="5"/>
  <c r="BQ319" i="5"/>
  <c r="BQ320" i="5" s="1"/>
  <c r="BQ326" i="5" s="1"/>
  <c r="BQ324" i="5"/>
  <c r="BQ322" i="5"/>
  <c r="BQ323" i="5" s="1"/>
  <c r="BR328" i="5"/>
  <c r="BR352" i="5" s="1"/>
  <c r="BN320" i="5"/>
  <c r="BN323" i="5"/>
  <c r="BL346" i="5"/>
  <c r="BP346" i="5"/>
  <c r="BN348" i="5"/>
  <c r="BR348" i="5"/>
  <c r="BS109" i="5"/>
  <c r="BK346" i="5"/>
  <c r="BO346" i="5"/>
  <c r="BM348" i="5"/>
  <c r="BQ348" i="5"/>
  <c r="X242" i="1"/>
  <c r="AB242" i="1"/>
  <c r="X250" i="1"/>
  <c r="X251" i="1" s="1"/>
  <c r="X252" i="1" s="1"/>
  <c r="AB250" i="1"/>
  <c r="AB251" i="1" s="1"/>
  <c r="AB252" i="1" s="1"/>
  <c r="W233" i="1"/>
  <c r="W238" i="1"/>
  <c r="AA233" i="1"/>
  <c r="W250" i="1"/>
  <c r="W251" i="1" s="1"/>
  <c r="W252" i="1" s="1"/>
  <c r="AA250" i="1"/>
  <c r="Z233" i="1"/>
  <c r="Z242" i="1"/>
  <c r="Z250" i="1"/>
  <c r="Z251" i="1" s="1"/>
  <c r="Z252" i="1" s="1"/>
  <c r="AA251" i="1"/>
  <c r="AA252" i="1" s="1"/>
  <c r="AC233" i="1"/>
  <c r="Y250" i="1"/>
  <c r="Y251" i="1" s="1"/>
  <c r="Y252" i="1" s="1"/>
  <c r="AC242" i="1"/>
  <c r="AC250" i="1"/>
  <c r="AC251" i="1" s="1"/>
  <c r="AC252" i="1" s="1"/>
  <c r="AB233" i="1"/>
  <c r="Z256" i="1"/>
  <c r="X259" i="1"/>
  <c r="AB259" i="1"/>
  <c r="Z261" i="1"/>
  <c r="Y256" i="1"/>
  <c r="AC256" i="1"/>
  <c r="W259" i="1"/>
  <c r="AA259" i="1"/>
  <c r="Y261" i="1"/>
  <c r="AC261" i="1"/>
  <c r="Z181" i="3"/>
  <c r="Z180" i="3"/>
  <c r="Z176" i="3"/>
  <c r="AC181" i="3"/>
  <c r="W181" i="3"/>
  <c r="AA181" i="3"/>
  <c r="Y181" i="3"/>
  <c r="W172" i="3"/>
  <c r="W224" i="3" s="1"/>
  <c r="AA172" i="3"/>
  <c r="AA224" i="3" s="1"/>
  <c r="X173" i="3"/>
  <c r="X225" i="3" s="1"/>
  <c r="AB173" i="3"/>
  <c r="AB225" i="3" s="1"/>
  <c r="X177" i="3"/>
  <c r="X178" i="3" s="1"/>
  <c r="AB177" i="3"/>
  <c r="AB178" i="3" s="1"/>
  <c r="Z222" i="3"/>
  <c r="Z172" i="3"/>
  <c r="W173" i="3"/>
  <c r="W225" i="3" s="1"/>
  <c r="AA173" i="3"/>
  <c r="AA225" i="3" s="1"/>
  <c r="Y172" i="3"/>
  <c r="Y224" i="3" s="1"/>
  <c r="AC172" i="3"/>
  <c r="Y180" i="3"/>
  <c r="AC180" i="3"/>
  <c r="Z231" i="2"/>
  <c r="W232" i="2"/>
  <c r="Z236" i="2"/>
  <c r="W249" i="2"/>
  <c r="Z232" i="2"/>
  <c r="W233" i="2"/>
  <c r="Z237" i="2"/>
  <c r="Z249" i="2"/>
  <c r="Z175" i="2"/>
  <c r="X262" i="2"/>
  <c r="AB262" i="2"/>
  <c r="Z233" i="2"/>
  <c r="W234" i="2"/>
  <c r="Z238" i="2"/>
  <c r="Y249" i="2"/>
  <c r="AC249" i="2"/>
  <c r="Z180" i="2"/>
  <c r="X285" i="2"/>
  <c r="AB285" i="2"/>
  <c r="W231" i="2"/>
  <c r="Y233" i="2"/>
  <c r="AC233" i="2"/>
  <c r="Z234" i="2"/>
  <c r="Z239" i="2"/>
  <c r="X173" i="2"/>
  <c r="X234" i="2" s="1"/>
  <c r="AB173" i="2"/>
  <c r="AB234" i="2" s="1"/>
  <c r="Y174" i="2"/>
  <c r="Y250" i="2" s="1"/>
  <c r="AC174" i="2"/>
  <c r="AC250" i="2" s="1"/>
  <c r="W177" i="2"/>
  <c r="W178" i="2" s="1"/>
  <c r="Y179" i="2"/>
  <c r="AC179" i="2"/>
  <c r="Z242" i="2"/>
  <c r="Z246" i="2"/>
  <c r="X248" i="2"/>
  <c r="AB248" i="2"/>
  <c r="W253" i="2"/>
  <c r="Y255" i="2"/>
  <c r="Y262" i="2" s="1"/>
  <c r="AC255" i="2"/>
  <c r="AC262" i="2" s="1"/>
  <c r="W257" i="2"/>
  <c r="W268" i="2"/>
  <c r="W276" i="2"/>
  <c r="W285" i="2" s="1"/>
  <c r="Z283" i="2"/>
  <c r="X174" i="2"/>
  <c r="X250" i="2" s="1"/>
  <c r="AB174" i="2"/>
  <c r="AB250" i="2" s="1"/>
  <c r="Z177" i="2"/>
  <c r="Z178" i="2" s="1"/>
  <c r="Y242" i="2"/>
  <c r="AC242" i="2"/>
  <c r="Y246" i="2"/>
  <c r="AC246" i="2"/>
  <c r="W248" i="2"/>
  <c r="Z253" i="2"/>
  <c r="Z262" i="2" s="1"/>
  <c r="Z276" i="2"/>
  <c r="Z280" i="2"/>
  <c r="Y283" i="2"/>
  <c r="AC283" i="2"/>
  <c r="W174" i="2"/>
  <c r="W250" i="2" s="1"/>
  <c r="Y177" i="2"/>
  <c r="Y178" i="2" s="1"/>
  <c r="AC177" i="2"/>
  <c r="AC178" i="2" s="1"/>
  <c r="X242" i="2"/>
  <c r="AB242" i="2"/>
  <c r="X246" i="2"/>
  <c r="AB246" i="2"/>
  <c r="Z248" i="2"/>
  <c r="Y276" i="2"/>
  <c r="Y285" i="2" s="1"/>
  <c r="AC276" i="2"/>
  <c r="AC285" i="2" s="1"/>
  <c r="X283" i="2"/>
  <c r="AB283" i="2"/>
  <c r="X177" i="2"/>
  <c r="AB177" i="2"/>
  <c r="AB178" i="2" s="1"/>
  <c r="V232" i="1"/>
  <c r="U232" i="1"/>
  <c r="U222" i="3"/>
  <c r="T232" i="1"/>
  <c r="T233" i="1" s="1"/>
  <c r="T231" i="2"/>
  <c r="S232" i="1"/>
  <c r="S233" i="1" s="1"/>
  <c r="S177" i="3"/>
  <c r="S231" i="2"/>
  <c r="R232" i="1"/>
  <c r="R233" i="1" s="1"/>
  <c r="Q232" i="1"/>
  <c r="Q233" i="1" s="1"/>
  <c r="P232" i="1"/>
  <c r="P233" i="1" s="1"/>
  <c r="P231" i="2"/>
  <c r="BH322" i="5"/>
  <c r="BH323" i="5" s="1"/>
  <c r="BI328" i="5"/>
  <c r="BI352" i="5" s="1"/>
  <c r="BH320" i="5"/>
  <c r="BB324" i="5"/>
  <c r="BB319" i="5"/>
  <c r="BB320" i="5" s="1"/>
  <c r="BE319" i="5"/>
  <c r="BE320" i="5" s="1"/>
  <c r="BE324" i="5"/>
  <c r="BC328" i="5"/>
  <c r="BC352" i="5" s="1"/>
  <c r="BB322" i="5"/>
  <c r="BB323" i="5" s="1"/>
  <c r="BI351" i="5"/>
  <c r="BH319" i="5"/>
  <c r="BH324" i="5"/>
  <c r="BF352" i="5"/>
  <c r="BF328" i="5"/>
  <c r="BF351" i="5" s="1"/>
  <c r="BE322" i="5"/>
  <c r="BE323" i="5" s="1"/>
  <c r="BJ328" i="5"/>
  <c r="BJ351" i="5" s="1"/>
  <c r="BG109" i="5"/>
  <c r="BG318" i="5" s="1"/>
  <c r="BG326" i="5" s="1"/>
  <c r="BC346" i="5"/>
  <c r="BE348" i="5"/>
  <c r="BI348" i="5"/>
  <c r="BB346" i="5"/>
  <c r="BF346" i="5"/>
  <c r="BJ346" i="5"/>
  <c r="BH348" i="5"/>
  <c r="BD109" i="5"/>
  <c r="BD318" i="5" s="1"/>
  <c r="BD326" i="5" s="1"/>
  <c r="AS324" i="5"/>
  <c r="AS319" i="5"/>
  <c r="AV322" i="5"/>
  <c r="AV323" i="5" s="1"/>
  <c r="AW328" i="5"/>
  <c r="AW352" i="5" s="1"/>
  <c r="AV324" i="5"/>
  <c r="AV319" i="5"/>
  <c r="AV320" i="5" s="1"/>
  <c r="AZ328" i="5"/>
  <c r="AZ352" i="5" s="1"/>
  <c r="AY322" i="5"/>
  <c r="AS320" i="5"/>
  <c r="AY324" i="5"/>
  <c r="AY319" i="5"/>
  <c r="AY320" i="5" s="1"/>
  <c r="AP322" i="5"/>
  <c r="AP323" i="5" s="1"/>
  <c r="AQ328" i="5"/>
  <c r="AQ352" i="5" s="1"/>
  <c r="AU328" i="5"/>
  <c r="AU351" i="5" s="1"/>
  <c r="AY323" i="5"/>
  <c r="AP324" i="5"/>
  <c r="AP319" i="5"/>
  <c r="AP320" i="5" s="1"/>
  <c r="AQ351" i="5"/>
  <c r="AX348" i="5"/>
  <c r="AX346" i="5"/>
  <c r="AT328" i="5"/>
  <c r="AT352" i="5" s="1"/>
  <c r="AS322" i="5"/>
  <c r="AS323" i="5" s="1"/>
  <c r="AX328" i="5"/>
  <c r="AX352" i="5" s="1"/>
  <c r="BA109" i="5"/>
  <c r="AS343" i="5"/>
  <c r="AS346" i="5"/>
  <c r="AW346" i="5"/>
  <c r="AR109" i="5"/>
  <c r="AV346" i="5"/>
  <c r="AZ346" i="5"/>
  <c r="AV348" i="5"/>
  <c r="AQ346" i="5"/>
  <c r="AU346" i="5"/>
  <c r="AY346" i="5"/>
  <c r="AP346" i="5"/>
  <c r="AT346" i="5"/>
  <c r="R242" i="1"/>
  <c r="R250" i="1"/>
  <c r="R251" i="1" s="1"/>
  <c r="R252" i="1" s="1"/>
  <c r="V242" i="1"/>
  <c r="V250" i="1"/>
  <c r="U233" i="1"/>
  <c r="Q250" i="1"/>
  <c r="Q251" i="1" s="1"/>
  <c r="Q252" i="1" s="1"/>
  <c r="U250" i="1"/>
  <c r="U251" i="1" s="1"/>
  <c r="U252" i="1" s="1"/>
  <c r="V251" i="1"/>
  <c r="V252" i="1" s="1"/>
  <c r="P242" i="1"/>
  <c r="P250" i="1"/>
  <c r="P251" i="1" s="1"/>
  <c r="P252" i="1" s="1"/>
  <c r="T250" i="1"/>
  <c r="S250" i="1"/>
  <c r="S251" i="1" s="1"/>
  <c r="S252" i="1" s="1"/>
  <c r="V233" i="1"/>
  <c r="T251" i="1"/>
  <c r="T252" i="1" s="1"/>
  <c r="Q259" i="1"/>
  <c r="U259" i="1"/>
  <c r="S261" i="1"/>
  <c r="R256" i="1"/>
  <c r="V256" i="1"/>
  <c r="P259" i="1"/>
  <c r="T259" i="1"/>
  <c r="R261" i="1"/>
  <c r="V261" i="1"/>
  <c r="Q256" i="1"/>
  <c r="U256" i="1"/>
  <c r="S181" i="3"/>
  <c r="S180" i="3"/>
  <c r="S176" i="3"/>
  <c r="R181" i="3"/>
  <c r="R180" i="3"/>
  <c r="V181" i="3"/>
  <c r="V180" i="3"/>
  <c r="Q180" i="3"/>
  <c r="P181" i="3"/>
  <c r="T181" i="3"/>
  <c r="P172" i="3"/>
  <c r="P224" i="3" s="1"/>
  <c r="T172" i="3"/>
  <c r="T224" i="3" s="1"/>
  <c r="Q173" i="3"/>
  <c r="Q225" i="3" s="1"/>
  <c r="U173" i="3"/>
  <c r="U225" i="3" s="1"/>
  <c r="Q177" i="3"/>
  <c r="Q178" i="3" s="1"/>
  <c r="U177" i="3"/>
  <c r="U178" i="3" s="1"/>
  <c r="S222" i="3"/>
  <c r="S172" i="3"/>
  <c r="S224" i="3" s="1"/>
  <c r="P173" i="3"/>
  <c r="T173" i="3"/>
  <c r="R222" i="3"/>
  <c r="V222" i="3"/>
  <c r="R172" i="3"/>
  <c r="V172" i="3"/>
  <c r="V224" i="3" s="1"/>
  <c r="R249" i="2"/>
  <c r="V249" i="2"/>
  <c r="S180" i="2"/>
  <c r="Q285" i="2"/>
  <c r="U285" i="2"/>
  <c r="R233" i="2"/>
  <c r="V233" i="2"/>
  <c r="S239" i="2"/>
  <c r="R234" i="2"/>
  <c r="V234" i="2"/>
  <c r="S236" i="2"/>
  <c r="P249" i="2"/>
  <c r="T249" i="2"/>
  <c r="R262" i="2"/>
  <c r="V262" i="2"/>
  <c r="S262" i="2"/>
  <c r="R231" i="2"/>
  <c r="V231" i="2"/>
  <c r="P233" i="2"/>
  <c r="T233" i="2"/>
  <c r="S237" i="2"/>
  <c r="S249" i="2"/>
  <c r="S175" i="2"/>
  <c r="Q262" i="2"/>
  <c r="U262" i="2"/>
  <c r="R232" i="2"/>
  <c r="V232" i="2"/>
  <c r="S233" i="2"/>
  <c r="P234" i="2"/>
  <c r="T234" i="2"/>
  <c r="S238" i="2"/>
  <c r="Q173" i="2"/>
  <c r="Q232" i="2" s="1"/>
  <c r="U173" i="2"/>
  <c r="U232" i="2" s="1"/>
  <c r="R174" i="2"/>
  <c r="R250" i="2" s="1"/>
  <c r="V174" i="2"/>
  <c r="V250" i="2" s="1"/>
  <c r="P177" i="2"/>
  <c r="P178" i="2" s="1"/>
  <c r="T177" i="2"/>
  <c r="T178" i="2" s="1"/>
  <c r="S242" i="2"/>
  <c r="S246" i="2"/>
  <c r="Q248" i="2"/>
  <c r="U248" i="2"/>
  <c r="P253" i="2"/>
  <c r="T253" i="2"/>
  <c r="P257" i="2"/>
  <c r="T257" i="2"/>
  <c r="P268" i="2"/>
  <c r="T268" i="2"/>
  <c r="R270" i="2"/>
  <c r="V270" i="2"/>
  <c r="P276" i="2"/>
  <c r="T276" i="2"/>
  <c r="P280" i="2"/>
  <c r="T280" i="2"/>
  <c r="Q174" i="2"/>
  <c r="Q250" i="2" s="1"/>
  <c r="U174" i="2"/>
  <c r="U250" i="2" s="1"/>
  <c r="S177" i="2"/>
  <c r="S178" i="2" s="1"/>
  <c r="Q179" i="2"/>
  <c r="U179" i="2"/>
  <c r="R242" i="2"/>
  <c r="V242" i="2"/>
  <c r="R246" i="2"/>
  <c r="V246" i="2"/>
  <c r="P248" i="2"/>
  <c r="T248" i="2"/>
  <c r="S276" i="2"/>
  <c r="S280" i="2"/>
  <c r="P174" i="2"/>
  <c r="P250" i="2" s="1"/>
  <c r="T174" i="2"/>
  <c r="T250" i="2" s="1"/>
  <c r="R177" i="2"/>
  <c r="R178" i="2" s="1"/>
  <c r="V177" i="2"/>
  <c r="V178" i="2" s="1"/>
  <c r="Q242" i="2"/>
  <c r="U242" i="2"/>
  <c r="Q246" i="2"/>
  <c r="U246" i="2"/>
  <c r="S248" i="2"/>
  <c r="R276" i="2"/>
  <c r="R285" i="2" s="1"/>
  <c r="V276" i="2"/>
  <c r="V285" i="2" s="1"/>
  <c r="Q283" i="2"/>
  <c r="U283" i="2"/>
  <c r="Q177" i="2"/>
  <c r="Q178" i="2" s="1"/>
  <c r="U177" i="2"/>
  <c r="U178" i="2" s="1"/>
  <c r="O232" i="1"/>
  <c r="O181" i="3"/>
  <c r="N232" i="1"/>
  <c r="M232" i="1"/>
  <c r="L232" i="1"/>
  <c r="L233" i="1" s="1"/>
  <c r="K232" i="1"/>
  <c r="K181" i="3"/>
  <c r="J232" i="1"/>
  <c r="I232" i="1"/>
  <c r="AD319" i="5"/>
  <c r="AD320" i="5" s="1"/>
  <c r="AD324" i="5"/>
  <c r="V328" i="5"/>
  <c r="V352" i="5" s="1"/>
  <c r="U322" i="5"/>
  <c r="U323" i="5" s="1"/>
  <c r="AH328" i="5"/>
  <c r="AH352" i="5" s="1"/>
  <c r="AG322" i="5"/>
  <c r="U324" i="5"/>
  <c r="V351" i="5"/>
  <c r="U319" i="5"/>
  <c r="U320" i="5" s="1"/>
  <c r="AG324" i="5"/>
  <c r="AG319" i="5"/>
  <c r="AG320" i="5" s="1"/>
  <c r="Y328" i="5"/>
  <c r="Y352" i="5" s="1"/>
  <c r="X322" i="5"/>
  <c r="X323" i="5" s="1"/>
  <c r="AC328" i="5"/>
  <c r="AC352" i="5" s="1"/>
  <c r="AK328" i="5"/>
  <c r="AK352" i="5" s="1"/>
  <c r="AJ322" i="5"/>
  <c r="AO328" i="5"/>
  <c r="AO352" i="5" s="1"/>
  <c r="AG323" i="5"/>
  <c r="X319" i="5"/>
  <c r="X320" i="5" s="1"/>
  <c r="X324" i="5"/>
  <c r="AJ319" i="5"/>
  <c r="AJ320" i="5" s="1"/>
  <c r="AJ324" i="5"/>
  <c r="AO351" i="5"/>
  <c r="AA322" i="5"/>
  <c r="AA323" i="5" s="1"/>
  <c r="AB352" i="5"/>
  <c r="AB328" i="5"/>
  <c r="AB351" i="5" s="1"/>
  <c r="AF328" i="5"/>
  <c r="AF352" i="5" s="1"/>
  <c r="AM322" i="5"/>
  <c r="AN328" i="5"/>
  <c r="AN352" i="5" s="1"/>
  <c r="AJ323" i="5"/>
  <c r="AA319" i="5"/>
  <c r="AA320" i="5" s="1"/>
  <c r="AA324" i="5"/>
  <c r="AM319" i="5"/>
  <c r="AM320" i="5" s="1"/>
  <c r="AM324" i="5"/>
  <c r="AE328" i="5"/>
  <c r="AE351" i="5" s="1"/>
  <c r="AD322" i="5"/>
  <c r="AD323" i="5" s="1"/>
  <c r="AM323" i="5"/>
  <c r="Z109" i="5"/>
  <c r="AL109" i="5"/>
  <c r="X343" i="5"/>
  <c r="AJ343" i="5"/>
  <c r="V346" i="5"/>
  <c r="AD346" i="5"/>
  <c r="AH346" i="5"/>
  <c r="X348" i="5"/>
  <c r="AB348" i="5"/>
  <c r="AF348" i="5"/>
  <c r="AJ348" i="5"/>
  <c r="AN348" i="5"/>
  <c r="AA343" i="5"/>
  <c r="AM343" i="5"/>
  <c r="U346" i="5"/>
  <c r="Y346" i="5"/>
  <c r="AC346" i="5"/>
  <c r="AG346" i="5"/>
  <c r="AK346" i="5"/>
  <c r="AO346" i="5"/>
  <c r="AA348" i="5"/>
  <c r="AE348" i="5"/>
  <c r="AM348" i="5"/>
  <c r="AD343" i="5"/>
  <c r="W109" i="5"/>
  <c r="W318" i="5" s="1"/>
  <c r="W326" i="5" s="1"/>
  <c r="AI109" i="5"/>
  <c r="N242" i="1"/>
  <c r="J242" i="1"/>
  <c r="J250" i="1"/>
  <c r="J251" i="1" s="1"/>
  <c r="J252" i="1" s="1"/>
  <c r="N250" i="1"/>
  <c r="L250" i="1"/>
  <c r="L251" i="1" s="1"/>
  <c r="L252" i="1" s="1"/>
  <c r="I242" i="1"/>
  <c r="I233" i="1"/>
  <c r="M242" i="1"/>
  <c r="M233" i="1"/>
  <c r="I250" i="1"/>
  <c r="I251" i="1" s="1"/>
  <c r="I252" i="1" s="1"/>
  <c r="M250" i="1"/>
  <c r="M251" i="1" s="1"/>
  <c r="M252" i="1" s="1"/>
  <c r="N251" i="1"/>
  <c r="N252" i="1" s="1"/>
  <c r="O233" i="1"/>
  <c r="O238" i="1" s="1"/>
  <c r="K233" i="1"/>
  <c r="K242" i="1"/>
  <c r="K250" i="1"/>
  <c r="K251" i="1" s="1"/>
  <c r="K252" i="1" s="1"/>
  <c r="O250" i="1"/>
  <c r="O251" i="1" s="1"/>
  <c r="O252" i="1" s="1"/>
  <c r="J233" i="1"/>
  <c r="N233" i="1"/>
  <c r="J259" i="1"/>
  <c r="N259" i="1"/>
  <c r="L261" i="1"/>
  <c r="I259" i="1"/>
  <c r="M259" i="1"/>
  <c r="K261" i="1"/>
  <c r="O261" i="1"/>
  <c r="J256" i="1"/>
  <c r="N256" i="1"/>
  <c r="K176" i="3"/>
  <c r="K174" i="3"/>
  <c r="O176" i="3"/>
  <c r="O174" i="3"/>
  <c r="J180" i="3"/>
  <c r="J181" i="3"/>
  <c r="N180" i="3"/>
  <c r="N181" i="3"/>
  <c r="O182" i="3"/>
  <c r="L175" i="3"/>
  <c r="J174" i="3"/>
  <c r="N174" i="3"/>
  <c r="I181" i="3"/>
  <c r="I180" i="3"/>
  <c r="M181" i="3"/>
  <c r="M180" i="3"/>
  <c r="L178" i="3"/>
  <c r="K182" i="3"/>
  <c r="K175" i="3"/>
  <c r="O175" i="3"/>
  <c r="I174" i="3"/>
  <c r="I176" i="3"/>
  <c r="M176" i="3"/>
  <c r="L181" i="3"/>
  <c r="L180" i="3"/>
  <c r="K178" i="3"/>
  <c r="O178" i="3"/>
  <c r="L174" i="3"/>
  <c r="L176" i="3"/>
  <c r="J178" i="3"/>
  <c r="N178" i="3"/>
  <c r="I172" i="3"/>
  <c r="I224" i="3" s="1"/>
  <c r="M172" i="3"/>
  <c r="M224" i="3" s="1"/>
  <c r="L218" i="3"/>
  <c r="K218" i="3"/>
  <c r="O218" i="3"/>
  <c r="K180" i="3"/>
  <c r="O180" i="3"/>
  <c r="J218" i="3"/>
  <c r="N218" i="3"/>
  <c r="K231" i="2"/>
  <c r="O231" i="2"/>
  <c r="L232" i="2"/>
  <c r="K236" i="2"/>
  <c r="O236" i="2"/>
  <c r="L237" i="2"/>
  <c r="I238" i="2"/>
  <c r="M238" i="2"/>
  <c r="L249" i="2"/>
  <c r="L175" i="2"/>
  <c r="J262" i="2"/>
  <c r="N262" i="2"/>
  <c r="K285" i="2"/>
  <c r="O285" i="2"/>
  <c r="K232" i="2"/>
  <c r="O232" i="2"/>
  <c r="L233" i="2"/>
  <c r="K237" i="2"/>
  <c r="O237" i="2"/>
  <c r="L238" i="2"/>
  <c r="I239" i="2"/>
  <c r="M239" i="2"/>
  <c r="M285" i="2"/>
  <c r="K175" i="2"/>
  <c r="K249" i="2"/>
  <c r="O175" i="2"/>
  <c r="O249" i="2"/>
  <c r="L180" i="2"/>
  <c r="I180" i="2"/>
  <c r="M180" i="2"/>
  <c r="K233" i="2"/>
  <c r="O233" i="2"/>
  <c r="L234" i="2"/>
  <c r="I236" i="2"/>
  <c r="M236" i="2"/>
  <c r="K238" i="2"/>
  <c r="O238" i="2"/>
  <c r="L239" i="2"/>
  <c r="I285" i="2"/>
  <c r="L231" i="2"/>
  <c r="K234" i="2"/>
  <c r="O234" i="2"/>
  <c r="L236" i="2"/>
  <c r="I237" i="2"/>
  <c r="M237" i="2"/>
  <c r="K239" i="2"/>
  <c r="O239" i="2"/>
  <c r="J173" i="2"/>
  <c r="J234" i="2" s="1"/>
  <c r="N173" i="2"/>
  <c r="N175" i="3" s="1"/>
  <c r="I177" i="2"/>
  <c r="M177" i="2"/>
  <c r="M181" i="2" s="1"/>
  <c r="K179" i="2"/>
  <c r="O179" i="2"/>
  <c r="L242" i="2"/>
  <c r="I253" i="2"/>
  <c r="M253" i="2"/>
  <c r="I257" i="2"/>
  <c r="M257" i="2"/>
  <c r="J273" i="2"/>
  <c r="J285" i="2" s="1"/>
  <c r="N273" i="2"/>
  <c r="N285" i="2" s="1"/>
  <c r="L283" i="2"/>
  <c r="I173" i="2"/>
  <c r="I231" i="2" s="1"/>
  <c r="M173" i="2"/>
  <c r="M233" i="2" s="1"/>
  <c r="J174" i="2"/>
  <c r="J250" i="2" s="1"/>
  <c r="N174" i="2"/>
  <c r="N250" i="2" s="1"/>
  <c r="L177" i="2"/>
  <c r="L178" i="2" s="1"/>
  <c r="K242" i="2"/>
  <c r="O242" i="2"/>
  <c r="L253" i="2"/>
  <c r="L257" i="2"/>
  <c r="L280" i="2"/>
  <c r="L285" i="2" s="1"/>
  <c r="K283" i="2"/>
  <c r="O283" i="2"/>
  <c r="K177" i="2"/>
  <c r="K178" i="2" s="1"/>
  <c r="O177" i="2"/>
  <c r="O178" i="2" s="1"/>
  <c r="J242" i="2"/>
  <c r="N242" i="2"/>
  <c r="J246" i="2"/>
  <c r="N246" i="2"/>
  <c r="K257" i="2"/>
  <c r="K262" i="2" s="1"/>
  <c r="K263" i="2" s="1"/>
  <c r="O257" i="2"/>
  <c r="O262" i="2" s="1"/>
  <c r="O263" i="2" s="1"/>
  <c r="I270" i="2"/>
  <c r="M270" i="2"/>
  <c r="J177" i="2"/>
  <c r="J178" i="2" s="1"/>
  <c r="N177" i="2"/>
  <c r="N178" i="2" s="1"/>
  <c r="G318" i="5"/>
  <c r="G326" i="5" s="1"/>
  <c r="H109" i="5"/>
  <c r="H346" i="5" s="1"/>
  <c r="P318" i="5"/>
  <c r="P326" i="5" s="1"/>
  <c r="D220" i="3"/>
  <c r="D173" i="3"/>
  <c r="D225" i="3" s="1"/>
  <c r="D179" i="3"/>
  <c r="D223" i="3"/>
  <c r="D177" i="3"/>
  <c r="D221" i="3"/>
  <c r="D222" i="3"/>
  <c r="G179" i="3"/>
  <c r="G223" i="3"/>
  <c r="G218" i="3"/>
  <c r="G221" i="3"/>
  <c r="G222" i="3"/>
  <c r="E237" i="1"/>
  <c r="H232" i="1"/>
  <c r="H237" i="1"/>
  <c r="H242" i="1" s="1"/>
  <c r="F237" i="1"/>
  <c r="F242" i="1" s="1"/>
  <c r="D237" i="1"/>
  <c r="C237" i="1"/>
  <c r="C242" i="1" s="1"/>
  <c r="G237" i="1"/>
  <c r="G242" i="1" s="1"/>
  <c r="E259" i="1"/>
  <c r="H259" i="1"/>
  <c r="E234" i="1"/>
  <c r="E236" i="1" s="1"/>
  <c r="E240" i="1" s="1"/>
  <c r="O321" i="5"/>
  <c r="Q321" i="5"/>
  <c r="Q327" i="5" s="1"/>
  <c r="E249" i="1"/>
  <c r="I337" i="5"/>
  <c r="I343" i="5" s="1"/>
  <c r="C318" i="5"/>
  <c r="C321" i="5"/>
  <c r="E321" i="5"/>
  <c r="E327" i="5" s="1"/>
  <c r="H318" i="5"/>
  <c r="H326" i="5" s="1"/>
  <c r="P321" i="5"/>
  <c r="P327" i="5" s="1"/>
  <c r="K318" i="5"/>
  <c r="K326" i="5" s="1"/>
  <c r="N318" i="5"/>
  <c r="N326" i="5" s="1"/>
  <c r="E318" i="5"/>
  <c r="E326" i="5" s="1"/>
  <c r="G321" i="5"/>
  <c r="G327" i="5" s="1"/>
  <c r="Q318" i="5"/>
  <c r="Q326" i="5" s="1"/>
  <c r="I321" i="5"/>
  <c r="K231" i="5"/>
  <c r="K307" i="5"/>
  <c r="K295" i="5"/>
  <c r="K303" i="5"/>
  <c r="K299" i="5"/>
  <c r="K290" i="5"/>
  <c r="K288" i="5"/>
  <c r="J321" i="5"/>
  <c r="H181" i="3"/>
  <c r="H232" i="2"/>
  <c r="H231" i="2"/>
  <c r="G232" i="1"/>
  <c r="G233" i="1" s="1"/>
  <c r="F232" i="1"/>
  <c r="E232" i="1"/>
  <c r="E231" i="2"/>
  <c r="D232" i="1"/>
  <c r="D231" i="2"/>
  <c r="D234" i="2"/>
  <c r="C232" i="1"/>
  <c r="C233" i="1" s="1"/>
  <c r="R322" i="5"/>
  <c r="R323" i="5" s="1"/>
  <c r="S328" i="5"/>
  <c r="S352" i="5" s="1"/>
  <c r="L324" i="5"/>
  <c r="L319" i="5"/>
  <c r="N328" i="5"/>
  <c r="N351" i="5" s="1"/>
  <c r="O319" i="5"/>
  <c r="O320" i="5" s="1"/>
  <c r="O324" i="5"/>
  <c r="Q348" i="5"/>
  <c r="Q346" i="5"/>
  <c r="M328" i="5"/>
  <c r="M351" i="5" s="1"/>
  <c r="L322" i="5"/>
  <c r="L323" i="5" s="1"/>
  <c r="L320" i="5"/>
  <c r="R319" i="5"/>
  <c r="R320" i="5" s="1"/>
  <c r="R324" i="5"/>
  <c r="T109" i="5"/>
  <c r="T318" i="5" s="1"/>
  <c r="T326" i="5" s="1"/>
  <c r="O343" i="5"/>
  <c r="M346" i="5"/>
  <c r="O348" i="5"/>
  <c r="S348" i="5"/>
  <c r="L346" i="5"/>
  <c r="P346" i="5"/>
  <c r="N348" i="5"/>
  <c r="R348" i="5"/>
  <c r="O346" i="5"/>
  <c r="H348" i="5"/>
  <c r="G328" i="5"/>
  <c r="G351" i="5" s="1"/>
  <c r="C324" i="5"/>
  <c r="C319" i="5"/>
  <c r="F319" i="5"/>
  <c r="F320" i="5" s="1"/>
  <c r="E348" i="5"/>
  <c r="E346" i="5"/>
  <c r="I324" i="5"/>
  <c r="I319" i="5"/>
  <c r="I320" i="5" s="1"/>
  <c r="D328" i="5"/>
  <c r="D351" i="5" s="1"/>
  <c r="C322" i="5"/>
  <c r="H328" i="5"/>
  <c r="H351" i="5" s="1"/>
  <c r="C346" i="5"/>
  <c r="G346" i="5"/>
  <c r="K346" i="5"/>
  <c r="C348" i="5"/>
  <c r="F346" i="5"/>
  <c r="J346" i="5"/>
  <c r="F348" i="5"/>
  <c r="I346" i="5"/>
  <c r="D346" i="5"/>
  <c r="C250" i="1"/>
  <c r="C251" i="1" s="1"/>
  <c r="C252" i="1" s="1"/>
  <c r="G250" i="1"/>
  <c r="G251" i="1" s="1"/>
  <c r="G252" i="1" s="1"/>
  <c r="F233" i="1"/>
  <c r="F250" i="1"/>
  <c r="F251" i="1" s="1"/>
  <c r="F252" i="1" s="1"/>
  <c r="E233" i="1"/>
  <c r="D233" i="1"/>
  <c r="H233" i="1"/>
  <c r="D250" i="1"/>
  <c r="D251" i="1" s="1"/>
  <c r="D252" i="1" s="1"/>
  <c r="H250" i="1"/>
  <c r="H251" i="1" s="1"/>
  <c r="H252" i="1" s="1"/>
  <c r="E256" i="1"/>
  <c r="C259" i="1"/>
  <c r="G259" i="1"/>
  <c r="E261" i="1"/>
  <c r="D256" i="1"/>
  <c r="H256" i="1"/>
  <c r="F259" i="1"/>
  <c r="D261" i="1"/>
  <c r="H261" i="1"/>
  <c r="C256" i="1"/>
  <c r="G256" i="1"/>
  <c r="F181" i="3"/>
  <c r="E181" i="3"/>
  <c r="E180" i="3"/>
  <c r="E176" i="3"/>
  <c r="F172" i="3"/>
  <c r="F224" i="3" s="1"/>
  <c r="C173" i="3"/>
  <c r="G173" i="3"/>
  <c r="G225" i="3" s="1"/>
  <c r="C177" i="3"/>
  <c r="C178" i="3" s="1"/>
  <c r="G177" i="3"/>
  <c r="G178" i="3" s="1"/>
  <c r="E222" i="3"/>
  <c r="E172" i="3"/>
  <c r="E224" i="3" s="1"/>
  <c r="F173" i="3"/>
  <c r="F225" i="3" s="1"/>
  <c r="D172" i="3"/>
  <c r="D224" i="3" s="1"/>
  <c r="H172" i="3"/>
  <c r="H224" i="3" s="1"/>
  <c r="D180" i="3"/>
  <c r="H180" i="3"/>
  <c r="F232" i="2"/>
  <c r="E236" i="2"/>
  <c r="F249" i="2"/>
  <c r="F233" i="2"/>
  <c r="E237" i="2"/>
  <c r="E249" i="2"/>
  <c r="E175" i="2"/>
  <c r="C262" i="2"/>
  <c r="G262" i="2"/>
  <c r="E233" i="2"/>
  <c r="F234" i="2"/>
  <c r="E238" i="2"/>
  <c r="D249" i="2"/>
  <c r="H249" i="2"/>
  <c r="E180" i="2"/>
  <c r="C285" i="2"/>
  <c r="G285" i="2"/>
  <c r="F231" i="2"/>
  <c r="D233" i="2"/>
  <c r="H233" i="2"/>
  <c r="E234" i="2"/>
  <c r="E239" i="2"/>
  <c r="C173" i="2"/>
  <c r="G173" i="2"/>
  <c r="G175" i="3" s="1"/>
  <c r="D174" i="2"/>
  <c r="D250" i="2" s="1"/>
  <c r="H174" i="2"/>
  <c r="H250" i="2" s="1"/>
  <c r="F177" i="2"/>
  <c r="F178" i="2" s="1"/>
  <c r="D179" i="2"/>
  <c r="H179" i="2"/>
  <c r="E242" i="2"/>
  <c r="E246" i="2"/>
  <c r="C248" i="2"/>
  <c r="G248" i="2"/>
  <c r="F253" i="2"/>
  <c r="D255" i="2"/>
  <c r="D262" i="2" s="1"/>
  <c r="H255" i="2"/>
  <c r="H262" i="2" s="1"/>
  <c r="F257" i="2"/>
  <c r="F268" i="2"/>
  <c r="F276" i="2"/>
  <c r="F280" i="2"/>
  <c r="E283" i="2"/>
  <c r="C174" i="2"/>
  <c r="G174" i="2"/>
  <c r="G250" i="2" s="1"/>
  <c r="E177" i="2"/>
  <c r="E178" i="2" s="1"/>
  <c r="D242" i="2"/>
  <c r="H242" i="2"/>
  <c r="D246" i="2"/>
  <c r="H246" i="2"/>
  <c r="F248" i="2"/>
  <c r="E253" i="2"/>
  <c r="E262" i="2" s="1"/>
  <c r="E263" i="2" s="1"/>
  <c r="E276" i="2"/>
  <c r="E280" i="2"/>
  <c r="D283" i="2"/>
  <c r="H283" i="2"/>
  <c r="F174" i="2"/>
  <c r="F250" i="2" s="1"/>
  <c r="D177" i="2"/>
  <c r="D178" i="2" s="1"/>
  <c r="H177" i="2"/>
  <c r="H178" i="2" s="1"/>
  <c r="C242" i="2"/>
  <c r="G242" i="2"/>
  <c r="C246" i="2"/>
  <c r="G246" i="2"/>
  <c r="E248" i="2"/>
  <c r="D276" i="2"/>
  <c r="D285" i="2" s="1"/>
  <c r="H276" i="2"/>
  <c r="H285" i="2" s="1"/>
  <c r="C283" i="2"/>
  <c r="G283" i="2"/>
  <c r="C177" i="2"/>
  <c r="C178" i="2" s="1"/>
  <c r="G177" i="2"/>
  <c r="G178" i="2" s="1"/>
  <c r="F285" i="2" l="1"/>
  <c r="C233" i="2"/>
  <c r="AK173" i="2"/>
  <c r="F178" i="3"/>
  <c r="Y351" i="5"/>
  <c r="AH351" i="5"/>
  <c r="P285" i="2"/>
  <c r="Y174" i="3"/>
  <c r="C250" i="2"/>
  <c r="AK174" i="2"/>
  <c r="E181" i="2"/>
  <c r="AK351" i="5"/>
  <c r="S285" i="2"/>
  <c r="T285" i="2"/>
  <c r="W238" i="2"/>
  <c r="CI352" i="5"/>
  <c r="AK172" i="3"/>
  <c r="C225" i="3"/>
  <c r="AK173" i="3"/>
  <c r="W237" i="2"/>
  <c r="AA182" i="2"/>
  <c r="AA282" i="2"/>
  <c r="AA286" i="2" s="1"/>
  <c r="AA284" i="2"/>
  <c r="C240" i="1"/>
  <c r="AK236" i="1"/>
  <c r="AK233" i="1"/>
  <c r="N233" i="2"/>
  <c r="AE352" i="5"/>
  <c r="R176" i="3"/>
  <c r="CT351" i="5"/>
  <c r="CQ351" i="5"/>
  <c r="CU342" i="5"/>
  <c r="CU335" i="5"/>
  <c r="CU344" i="5" s="1"/>
  <c r="CZ328" i="5"/>
  <c r="CZ352" i="5" s="1"/>
  <c r="CR342" i="5"/>
  <c r="CR335" i="5"/>
  <c r="CR344" i="5" s="1"/>
  <c r="CX351" i="5"/>
  <c r="CX342" i="5"/>
  <c r="CX335" i="5"/>
  <c r="CX344" i="5" s="1"/>
  <c r="CO342" i="5"/>
  <c r="CO335" i="5"/>
  <c r="CO344" i="5" s="1"/>
  <c r="CW351" i="5"/>
  <c r="CU352" i="5"/>
  <c r="AI243" i="1"/>
  <c r="AI265" i="1"/>
  <c r="AI255" i="1"/>
  <c r="AI246" i="1"/>
  <c r="AI257" i="1" s="1"/>
  <c r="AG243" i="1"/>
  <c r="AG265" i="1"/>
  <c r="AG264" i="1"/>
  <c r="AH243" i="1"/>
  <c r="AH265" i="1"/>
  <c r="AG255" i="1"/>
  <c r="AG246" i="1"/>
  <c r="AG257" i="1" s="1"/>
  <c r="AJ255" i="1"/>
  <c r="AJ246" i="1"/>
  <c r="AJ257" i="1" s="1"/>
  <c r="AH255" i="1"/>
  <c r="AH246" i="1"/>
  <c r="AH257" i="1" s="1"/>
  <c r="AJ243" i="1"/>
  <c r="AJ265" i="1"/>
  <c r="AI264" i="1"/>
  <c r="AJ264" i="1"/>
  <c r="AI284" i="2"/>
  <c r="AI282" i="2"/>
  <c r="AI286" i="2" s="1"/>
  <c r="AI182" i="2"/>
  <c r="AG284" i="2"/>
  <c r="AG282" i="2"/>
  <c r="AG286" i="2" s="1"/>
  <c r="AG182" i="2"/>
  <c r="AJ284" i="2"/>
  <c r="AJ282" i="2"/>
  <c r="AJ286" i="2" s="1"/>
  <c r="AJ182" i="2"/>
  <c r="AH284" i="2"/>
  <c r="AH282" i="2"/>
  <c r="AH286" i="2" s="1"/>
  <c r="AH182" i="2"/>
  <c r="CK351" i="5"/>
  <c r="CL342" i="5"/>
  <c r="CL335" i="5"/>
  <c r="CL344" i="5" s="1"/>
  <c r="CL352" i="5"/>
  <c r="CF342" i="5"/>
  <c r="CF335" i="5"/>
  <c r="CF344" i="5" s="1"/>
  <c r="CI342" i="5"/>
  <c r="CI335" i="5"/>
  <c r="CI344" i="5" s="1"/>
  <c r="AE255" i="1"/>
  <c r="AE246" i="1"/>
  <c r="AE257" i="1" s="1"/>
  <c r="AD243" i="1"/>
  <c r="AD265" i="1"/>
  <c r="AE243" i="1"/>
  <c r="AE265" i="1"/>
  <c r="AD264" i="1"/>
  <c r="AF243" i="1"/>
  <c r="AF265" i="1"/>
  <c r="AD255" i="1"/>
  <c r="AD246" i="1"/>
  <c r="AD257" i="1" s="1"/>
  <c r="AF255" i="1"/>
  <c r="AF246" i="1"/>
  <c r="AF257" i="1" s="1"/>
  <c r="AF284" i="2"/>
  <c r="AF282" i="2"/>
  <c r="AF286" i="2" s="1"/>
  <c r="AF182" i="2"/>
  <c r="AE284" i="2"/>
  <c r="AE282" i="2"/>
  <c r="AE286" i="2" s="1"/>
  <c r="AE182" i="2"/>
  <c r="AD282" i="2"/>
  <c r="AD286" i="2" s="1"/>
  <c r="AD182" i="2"/>
  <c r="AD284" i="2"/>
  <c r="CD351" i="5"/>
  <c r="CC326" i="5"/>
  <c r="CC330" i="5"/>
  <c r="CC331" i="5"/>
  <c r="CC327" i="5"/>
  <c r="AC248" i="1"/>
  <c r="AC239" i="1"/>
  <c r="AC174" i="3"/>
  <c r="AC224" i="3"/>
  <c r="AC176" i="3"/>
  <c r="BZ331" i="5"/>
  <c r="BZ327" i="5"/>
  <c r="BZ329" i="5"/>
  <c r="BZ326" i="5"/>
  <c r="BZ330" i="5"/>
  <c r="AB248" i="1"/>
  <c r="AB239" i="1"/>
  <c r="AB175" i="3"/>
  <c r="AB231" i="2"/>
  <c r="BW326" i="5"/>
  <c r="BW330" i="5"/>
  <c r="BY328" i="5"/>
  <c r="BY352" i="5" s="1"/>
  <c r="BW331" i="5"/>
  <c r="BW327" i="5"/>
  <c r="AA248" i="1"/>
  <c r="AA239" i="1"/>
  <c r="AA178" i="3"/>
  <c r="BT326" i="5"/>
  <c r="BT330" i="5"/>
  <c r="BT329" i="5"/>
  <c r="BU352" i="5"/>
  <c r="BT331" i="5"/>
  <c r="BT327" i="5"/>
  <c r="Z248" i="1"/>
  <c r="Z239" i="1"/>
  <c r="Z178" i="3"/>
  <c r="Z224" i="3"/>
  <c r="Z181" i="2"/>
  <c r="Z285" i="2"/>
  <c r="Z263" i="2"/>
  <c r="BR351" i="5"/>
  <c r="BQ330" i="5"/>
  <c r="BQ331" i="5"/>
  <c r="BQ327" i="5"/>
  <c r="Y248" i="1"/>
  <c r="Y182" i="3"/>
  <c r="Y176" i="3"/>
  <c r="BP351" i="5"/>
  <c r="BN326" i="5"/>
  <c r="BN330" i="5"/>
  <c r="BN331" i="5"/>
  <c r="BN327" i="5"/>
  <c r="X248" i="1"/>
  <c r="X239" i="1"/>
  <c r="X178" i="2"/>
  <c r="X175" i="3"/>
  <c r="BM352" i="5"/>
  <c r="BK326" i="5"/>
  <c r="BK330" i="5"/>
  <c r="BK331" i="5"/>
  <c r="BK327" i="5"/>
  <c r="W248" i="1"/>
  <c r="W239" i="1"/>
  <c r="W180" i="3"/>
  <c r="W178" i="3"/>
  <c r="W239" i="2"/>
  <c r="W180" i="2"/>
  <c r="BW338" i="5"/>
  <c r="BW339" i="5" s="1"/>
  <c r="BW328" i="5"/>
  <c r="BW352" i="5" s="1"/>
  <c r="BZ325" i="5"/>
  <c r="BZ334" i="5"/>
  <c r="CC328" i="5"/>
  <c r="CC351" i="5" s="1"/>
  <c r="CC338" i="5"/>
  <c r="CC339" i="5" s="1"/>
  <c r="BT338" i="5"/>
  <c r="BT339" i="5" s="1"/>
  <c r="BT328" i="5"/>
  <c r="BT352" i="5" s="1"/>
  <c r="BZ338" i="5"/>
  <c r="BZ339" i="5" s="1"/>
  <c r="BZ328" i="5"/>
  <c r="BZ352" i="5" s="1"/>
  <c r="CB351" i="5"/>
  <c r="BX351" i="5"/>
  <c r="BT334" i="5"/>
  <c r="BT325" i="5"/>
  <c r="CE348" i="5"/>
  <c r="CE346" i="5"/>
  <c r="BW334" i="5"/>
  <c r="BW325" i="5"/>
  <c r="CC329" i="5"/>
  <c r="BV351" i="5"/>
  <c r="BW329" i="5"/>
  <c r="CC325" i="5"/>
  <c r="CC334" i="5"/>
  <c r="CE318" i="5"/>
  <c r="CE326" i="5" s="1"/>
  <c r="CA351" i="5"/>
  <c r="BQ334" i="5"/>
  <c r="BQ325" i="5"/>
  <c r="BQ338" i="5"/>
  <c r="BQ339" i="5" s="1"/>
  <c r="BQ328" i="5"/>
  <c r="BQ352" i="5" s="1"/>
  <c r="BS348" i="5"/>
  <c r="BS346" i="5"/>
  <c r="BN325" i="5"/>
  <c r="BN334" i="5"/>
  <c r="BN329" i="5"/>
  <c r="BK329" i="5"/>
  <c r="BN338" i="5"/>
  <c r="BN339" i="5" s="1"/>
  <c r="BN328" i="5"/>
  <c r="BN351" i="5" s="1"/>
  <c r="BK334" i="5"/>
  <c r="BK325" i="5"/>
  <c r="BO351" i="5"/>
  <c r="BS318" i="5"/>
  <c r="BS326" i="5" s="1"/>
  <c r="BL352" i="5"/>
  <c r="BK338" i="5"/>
  <c r="BK339" i="5" s="1"/>
  <c r="BK328" i="5"/>
  <c r="BK351" i="5" s="1"/>
  <c r="BQ329" i="5"/>
  <c r="X245" i="1"/>
  <c r="X241" i="1"/>
  <c r="AC245" i="1"/>
  <c r="AC241" i="1"/>
  <c r="AA245" i="1"/>
  <c r="AA241" i="1"/>
  <c r="AA238" i="1"/>
  <c r="W245" i="1"/>
  <c r="W242" i="1"/>
  <c r="AB238" i="1"/>
  <c r="AB245" i="1"/>
  <c r="Y245" i="1"/>
  <c r="Z245" i="1"/>
  <c r="X238" i="1"/>
  <c r="Y238" i="1"/>
  <c r="Z238" i="1"/>
  <c r="Y241" i="1"/>
  <c r="Y264" i="1" s="1"/>
  <c r="AC238" i="1"/>
  <c r="Z241" i="1"/>
  <c r="AA242" i="1"/>
  <c r="W241" i="1"/>
  <c r="W264" i="1" s="1"/>
  <c r="AB241" i="1"/>
  <c r="Y175" i="3"/>
  <c r="X176" i="3"/>
  <c r="X174" i="3"/>
  <c r="X180" i="3"/>
  <c r="Z175" i="3"/>
  <c r="AB176" i="3"/>
  <c r="AB174" i="3"/>
  <c r="X181" i="3"/>
  <c r="X182" i="3" s="1"/>
  <c r="Z174" i="3"/>
  <c r="Z182" i="3" s="1"/>
  <c r="AC175" i="3"/>
  <c r="W174" i="3"/>
  <c r="W182" i="3" s="1"/>
  <c r="W176" i="3"/>
  <c r="W175" i="3"/>
  <c r="AB180" i="3"/>
  <c r="Y178" i="3"/>
  <c r="AA174" i="3"/>
  <c r="AA182" i="3" s="1"/>
  <c r="AA176" i="3"/>
  <c r="AA175" i="3"/>
  <c r="AB181" i="3"/>
  <c r="AA180" i="3"/>
  <c r="AC182" i="3"/>
  <c r="AC178" i="3"/>
  <c r="AC263" i="2"/>
  <c r="AC181" i="2"/>
  <c r="AC180" i="2"/>
  <c r="X237" i="2"/>
  <c r="AB180" i="2"/>
  <c r="X236" i="2"/>
  <c r="AB263" i="2"/>
  <c r="AB239" i="2"/>
  <c r="Y239" i="2"/>
  <c r="X175" i="2"/>
  <c r="X263" i="2" s="1"/>
  <c r="X249" i="2"/>
  <c r="W262" i="2"/>
  <c r="AB237" i="2"/>
  <c r="X232" i="2"/>
  <c r="X181" i="2"/>
  <c r="AC175" i="2"/>
  <c r="AB236" i="2"/>
  <c r="AC239" i="2"/>
  <c r="X233" i="2"/>
  <c r="AB175" i="2"/>
  <c r="AB249" i="2"/>
  <c r="Y238" i="2"/>
  <c r="W236" i="2"/>
  <c r="AB232" i="2"/>
  <c r="X180" i="2"/>
  <c r="W181" i="2"/>
  <c r="Y237" i="2"/>
  <c r="Y236" i="2"/>
  <c r="W175" i="2"/>
  <c r="X238" i="2"/>
  <c r="AB233" i="2"/>
  <c r="Y181" i="2"/>
  <c r="Y180" i="2"/>
  <c r="Z282" i="2"/>
  <c r="Z286" i="2" s="1"/>
  <c r="Z182" i="2"/>
  <c r="Z284" i="2"/>
  <c r="AC238" i="2"/>
  <c r="AB181" i="2"/>
  <c r="Y175" i="2"/>
  <c r="Y263" i="2" s="1"/>
  <c r="AC237" i="2"/>
  <c r="X231" i="2"/>
  <c r="X239" i="2"/>
  <c r="AC236" i="2"/>
  <c r="AB238" i="2"/>
  <c r="BH326" i="5"/>
  <c r="BH330" i="5"/>
  <c r="BH331" i="5"/>
  <c r="BH327" i="5"/>
  <c r="BJ352" i="5"/>
  <c r="V248" i="1"/>
  <c r="V239" i="1"/>
  <c r="V238" i="1"/>
  <c r="V174" i="3"/>
  <c r="V238" i="2"/>
  <c r="V176" i="3"/>
  <c r="BE326" i="5"/>
  <c r="BE330" i="5"/>
  <c r="BE331" i="5"/>
  <c r="BE327" i="5"/>
  <c r="U248" i="1"/>
  <c r="U239" i="1"/>
  <c r="U181" i="3"/>
  <c r="U175" i="3"/>
  <c r="U236" i="2"/>
  <c r="U239" i="2"/>
  <c r="BB331" i="5"/>
  <c r="BB327" i="5"/>
  <c r="BB326" i="5"/>
  <c r="BB330" i="5"/>
  <c r="T248" i="1"/>
  <c r="T239" i="1"/>
  <c r="T180" i="3"/>
  <c r="T225" i="3"/>
  <c r="AY326" i="5"/>
  <c r="AY330" i="5"/>
  <c r="AY331" i="5"/>
  <c r="AY327" i="5"/>
  <c r="S248" i="1"/>
  <c r="S239" i="1"/>
  <c r="S238" i="1"/>
  <c r="S174" i="3"/>
  <c r="S182" i="3"/>
  <c r="AV331" i="5"/>
  <c r="AV327" i="5"/>
  <c r="AV326" i="5"/>
  <c r="AV330" i="5"/>
  <c r="AV329" i="5"/>
  <c r="R241" i="1"/>
  <c r="R248" i="1"/>
  <c r="R239" i="1"/>
  <c r="R178" i="3"/>
  <c r="R224" i="3"/>
  <c r="AS331" i="5"/>
  <c r="AS327" i="5"/>
  <c r="AS326" i="5"/>
  <c r="AS330" i="5"/>
  <c r="Q248" i="1"/>
  <c r="Q239" i="1"/>
  <c r="Q238" i="1"/>
  <c r="Q241" i="1"/>
  <c r="Q175" i="3"/>
  <c r="AP326" i="5"/>
  <c r="AP330" i="5"/>
  <c r="AP331" i="5"/>
  <c r="AP327" i="5"/>
  <c r="P248" i="1"/>
  <c r="P239" i="1"/>
  <c r="P180" i="3"/>
  <c r="P225" i="3"/>
  <c r="P239" i="2"/>
  <c r="BH338" i="5"/>
  <c r="BH339" i="5" s="1"/>
  <c r="BH328" i="5"/>
  <c r="BH352" i="5" s="1"/>
  <c r="BG328" i="5"/>
  <c r="BG352" i="5" s="1"/>
  <c r="BE325" i="5"/>
  <c r="BE334" i="5"/>
  <c r="BB338" i="5"/>
  <c r="BB339" i="5" s="1"/>
  <c r="BB328" i="5"/>
  <c r="BB352" i="5" s="1"/>
  <c r="BH334" i="5"/>
  <c r="BH325" i="5"/>
  <c r="BE338" i="5"/>
  <c r="BE339" i="5" s="1"/>
  <c r="BE328" i="5"/>
  <c r="BE352" i="5" s="1"/>
  <c r="BG348" i="5"/>
  <c r="BG346" i="5"/>
  <c r="BB334" i="5"/>
  <c r="BB325" i="5"/>
  <c r="BD346" i="5"/>
  <c r="BD348" i="5"/>
  <c r="BD328" i="5"/>
  <c r="BD352" i="5" s="1"/>
  <c r="BC351" i="5"/>
  <c r="BH329" i="5"/>
  <c r="BE329" i="5"/>
  <c r="BB329" i="5"/>
  <c r="AS338" i="5"/>
  <c r="AS339" i="5" s="1"/>
  <c r="AS328" i="5"/>
  <c r="AS352" i="5" s="1"/>
  <c r="AP338" i="5"/>
  <c r="AP339" i="5" s="1"/>
  <c r="AP328" i="5"/>
  <c r="AP352" i="5" s="1"/>
  <c r="AV325" i="5"/>
  <c r="AV334" i="5"/>
  <c r="BA348" i="5"/>
  <c r="BA346" i="5"/>
  <c r="AY328" i="5"/>
  <c r="AY352" i="5" s="1"/>
  <c r="AY338" i="5"/>
  <c r="AY339" i="5" s="1"/>
  <c r="AS334" i="5"/>
  <c r="AS325" i="5"/>
  <c r="AS351" i="5"/>
  <c r="AU352" i="5"/>
  <c r="AZ351" i="5"/>
  <c r="AX351" i="5"/>
  <c r="AT351" i="5"/>
  <c r="AY351" i="5"/>
  <c r="AY325" i="5"/>
  <c r="AY334" i="5"/>
  <c r="AV352" i="5"/>
  <c r="AV338" i="5"/>
  <c r="AV339" i="5" s="1"/>
  <c r="AV328" i="5"/>
  <c r="AV351" i="5" s="1"/>
  <c r="AY329" i="5"/>
  <c r="AS329" i="5"/>
  <c r="AP334" i="5"/>
  <c r="AP325" i="5"/>
  <c r="AR348" i="5"/>
  <c r="AR346" i="5"/>
  <c r="BA318" i="5"/>
  <c r="BA326" i="5" s="1"/>
  <c r="AP329" i="5"/>
  <c r="AR318" i="5"/>
  <c r="AR326" i="5" s="1"/>
  <c r="AW351" i="5"/>
  <c r="R243" i="1"/>
  <c r="R265" i="1"/>
  <c r="T245" i="1"/>
  <c r="T241" i="1"/>
  <c r="U245" i="1"/>
  <c r="U241" i="1"/>
  <c r="S245" i="1"/>
  <c r="P245" i="1"/>
  <c r="T238" i="1"/>
  <c r="U238" i="1"/>
  <c r="R238" i="1"/>
  <c r="S241" i="1"/>
  <c r="Q265" i="1"/>
  <c r="R264" i="1"/>
  <c r="R245" i="1"/>
  <c r="Q245" i="1"/>
  <c r="Q264" i="1"/>
  <c r="V245" i="1"/>
  <c r="P238" i="1"/>
  <c r="Q242" i="1"/>
  <c r="Q243" i="1" s="1"/>
  <c r="S242" i="1"/>
  <c r="T242" i="1"/>
  <c r="P241" i="1"/>
  <c r="P264" i="1" s="1"/>
  <c r="U242" i="1"/>
  <c r="V241" i="1"/>
  <c r="V264" i="1" s="1"/>
  <c r="P175" i="3"/>
  <c r="P174" i="3"/>
  <c r="P182" i="3" s="1"/>
  <c r="P176" i="3"/>
  <c r="T175" i="3"/>
  <c r="Q176" i="3"/>
  <c r="Q174" i="3"/>
  <c r="P178" i="3"/>
  <c r="R174" i="3"/>
  <c r="R182" i="3" s="1"/>
  <c r="T178" i="3"/>
  <c r="Q181" i="3"/>
  <c r="Q182" i="3" s="1"/>
  <c r="R175" i="3"/>
  <c r="V175" i="3"/>
  <c r="T174" i="3"/>
  <c r="T176" i="3"/>
  <c r="S175" i="3"/>
  <c r="U176" i="3"/>
  <c r="U174" i="3"/>
  <c r="U182" i="3" s="1"/>
  <c r="T182" i="3"/>
  <c r="V182" i="3"/>
  <c r="S178" i="3"/>
  <c r="U180" i="3"/>
  <c r="V178" i="3"/>
  <c r="T262" i="2"/>
  <c r="V237" i="2"/>
  <c r="P180" i="2"/>
  <c r="Q239" i="2"/>
  <c r="V236" i="2"/>
  <c r="V180" i="2"/>
  <c r="V239" i="2"/>
  <c r="T237" i="2"/>
  <c r="R238" i="2"/>
  <c r="P236" i="2"/>
  <c r="S181" i="2"/>
  <c r="R175" i="2"/>
  <c r="R263" i="2" s="1"/>
  <c r="Q175" i="2"/>
  <c r="Q263" i="2" s="1"/>
  <c r="Q249" i="2"/>
  <c r="Q236" i="2"/>
  <c r="P181" i="2"/>
  <c r="Q234" i="2"/>
  <c r="R181" i="2"/>
  <c r="P175" i="2"/>
  <c r="Q238" i="2"/>
  <c r="T236" i="2"/>
  <c r="Q181" i="2"/>
  <c r="Q180" i="2"/>
  <c r="U175" i="2"/>
  <c r="U263" i="2" s="1"/>
  <c r="U249" i="2"/>
  <c r="Q231" i="2"/>
  <c r="T180" i="2"/>
  <c r="P238" i="2"/>
  <c r="U234" i="2"/>
  <c r="R180" i="2"/>
  <c r="U238" i="2"/>
  <c r="Q233" i="2"/>
  <c r="Q237" i="2"/>
  <c r="V175" i="2"/>
  <c r="V263" i="2" s="1"/>
  <c r="U181" i="2"/>
  <c r="U180" i="2"/>
  <c r="P262" i="2"/>
  <c r="P263" i="2" s="1"/>
  <c r="T239" i="2"/>
  <c r="R237" i="2"/>
  <c r="U231" i="2"/>
  <c r="T181" i="2"/>
  <c r="T238" i="2"/>
  <c r="R236" i="2"/>
  <c r="S263" i="2"/>
  <c r="V181" i="2"/>
  <c r="T175" i="2"/>
  <c r="R239" i="2"/>
  <c r="P237" i="2"/>
  <c r="U233" i="2"/>
  <c r="U237" i="2"/>
  <c r="AN351" i="5"/>
  <c r="AM326" i="5"/>
  <c r="AM330" i="5"/>
  <c r="AM331" i="5"/>
  <c r="AM327" i="5"/>
  <c r="O241" i="1"/>
  <c r="O248" i="1"/>
  <c r="O239" i="1"/>
  <c r="AJ326" i="5"/>
  <c r="AJ330" i="5"/>
  <c r="AJ331" i="5"/>
  <c r="AJ327" i="5"/>
  <c r="N248" i="1"/>
  <c r="N239" i="1"/>
  <c r="N232" i="2"/>
  <c r="N236" i="2"/>
  <c r="N176" i="3"/>
  <c r="N234" i="2"/>
  <c r="N180" i="2"/>
  <c r="AG326" i="5"/>
  <c r="AG330" i="5"/>
  <c r="AG331" i="5"/>
  <c r="AG327" i="5"/>
  <c r="M248" i="1"/>
  <c r="M239" i="1"/>
  <c r="M234" i="2"/>
  <c r="AD326" i="5"/>
  <c r="AD330" i="5"/>
  <c r="AD331" i="5"/>
  <c r="AD327" i="5"/>
  <c r="L248" i="1"/>
  <c r="L239" i="1"/>
  <c r="L245" i="1"/>
  <c r="L238" i="1"/>
  <c r="L241" i="1"/>
  <c r="L264" i="1" s="1"/>
  <c r="L182" i="3"/>
  <c r="AA331" i="5"/>
  <c r="AA327" i="5"/>
  <c r="AA326" i="5"/>
  <c r="AA330" i="5"/>
  <c r="K248" i="1"/>
  <c r="K239" i="1"/>
  <c r="X326" i="5"/>
  <c r="X330" i="5"/>
  <c r="X331" i="5"/>
  <c r="X327" i="5"/>
  <c r="J241" i="1"/>
  <c r="J248" i="1"/>
  <c r="J239" i="1"/>
  <c r="J239" i="2"/>
  <c r="J175" i="3"/>
  <c r="J176" i="3"/>
  <c r="J180" i="2"/>
  <c r="U331" i="5"/>
  <c r="U327" i="5"/>
  <c r="U329" i="5"/>
  <c r="U326" i="5"/>
  <c r="U330" i="5"/>
  <c r="I248" i="1"/>
  <c r="I239" i="1"/>
  <c r="I262" i="2"/>
  <c r="AM334" i="5"/>
  <c r="AM325" i="5"/>
  <c r="AJ325" i="5"/>
  <c r="AJ334" i="5"/>
  <c r="AD328" i="5"/>
  <c r="AD352" i="5" s="1"/>
  <c r="AD338" i="5"/>
  <c r="AD339" i="5" s="1"/>
  <c r="X338" i="5"/>
  <c r="X339" i="5" s="1"/>
  <c r="X328" i="5"/>
  <c r="X352" i="5" s="1"/>
  <c r="W328" i="5"/>
  <c r="W352" i="5" s="1"/>
  <c r="AA334" i="5"/>
  <c r="AA325" i="5"/>
  <c r="AI346" i="5"/>
  <c r="AI348" i="5"/>
  <c r="U338" i="5"/>
  <c r="U339" i="5" s="1"/>
  <c r="U328" i="5"/>
  <c r="U352" i="5" s="1"/>
  <c r="AM329" i="5"/>
  <c r="AF351" i="5"/>
  <c r="AC351" i="5"/>
  <c r="AI318" i="5"/>
  <c r="AI326" i="5" s="1"/>
  <c r="Z348" i="5"/>
  <c r="Z346" i="5"/>
  <c r="AA338" i="5"/>
  <c r="AA339" i="5" s="1"/>
  <c r="AA328" i="5"/>
  <c r="AA351" i="5" s="1"/>
  <c r="AJ338" i="5"/>
  <c r="AJ339" i="5" s="1"/>
  <c r="AJ328" i="5"/>
  <c r="AJ351" i="5" s="1"/>
  <c r="AG352" i="5"/>
  <c r="AG338" i="5"/>
  <c r="AG339" i="5" s="1"/>
  <c r="AG328" i="5"/>
  <c r="AG351" i="5" s="1"/>
  <c r="X329" i="5"/>
  <c r="Z318" i="5"/>
  <c r="Z326" i="5" s="1"/>
  <c r="AL348" i="5"/>
  <c r="AL346" i="5"/>
  <c r="AM352" i="5"/>
  <c r="AM338" i="5"/>
  <c r="AM339" i="5" s="1"/>
  <c r="AM328" i="5"/>
  <c r="AM351" i="5" s="1"/>
  <c r="U334" i="5"/>
  <c r="U325" i="5"/>
  <c r="AD334" i="5"/>
  <c r="AD325" i="5"/>
  <c r="AD351" i="5"/>
  <c r="AA329" i="5"/>
  <c r="W346" i="5"/>
  <c r="W348" i="5"/>
  <c r="X351" i="5"/>
  <c r="X325" i="5"/>
  <c r="X334" i="5"/>
  <c r="AG334" i="5"/>
  <c r="AG325" i="5"/>
  <c r="AJ329" i="5"/>
  <c r="AL318" i="5"/>
  <c r="AL326" i="5" s="1"/>
  <c r="AG329" i="5"/>
  <c r="AD329" i="5"/>
  <c r="I245" i="1"/>
  <c r="I264" i="1"/>
  <c r="I241" i="1"/>
  <c r="J243" i="1"/>
  <c r="J265" i="1"/>
  <c r="K245" i="1"/>
  <c r="K241" i="1"/>
  <c r="O265" i="1"/>
  <c r="M245" i="1"/>
  <c r="M264" i="1"/>
  <c r="M241" i="1"/>
  <c r="N245" i="1"/>
  <c r="L255" i="1"/>
  <c r="L246" i="1"/>
  <c r="L242" i="1"/>
  <c r="L243" i="1" s="1"/>
  <c r="J238" i="1"/>
  <c r="L257" i="1"/>
  <c r="K238" i="1"/>
  <c r="I238" i="1"/>
  <c r="O264" i="1"/>
  <c r="O245" i="1"/>
  <c r="O242" i="1"/>
  <c r="O243" i="1" s="1"/>
  <c r="L265" i="1"/>
  <c r="N238" i="1"/>
  <c r="J245" i="1"/>
  <c r="J264" i="1"/>
  <c r="M238" i="1"/>
  <c r="N241" i="1"/>
  <c r="N264" i="1" s="1"/>
  <c r="I175" i="3"/>
  <c r="M175" i="3"/>
  <c r="I182" i="3"/>
  <c r="N182" i="3"/>
  <c r="I178" i="3"/>
  <c r="M174" i="3"/>
  <c r="M182" i="3" s="1"/>
  <c r="M178" i="3"/>
  <c r="J182" i="3"/>
  <c r="O181" i="2"/>
  <c r="O180" i="2"/>
  <c r="N175" i="2"/>
  <c r="N249" i="2"/>
  <c r="L262" i="2"/>
  <c r="L263" i="2" s="1"/>
  <c r="N238" i="2"/>
  <c r="J233" i="2"/>
  <c r="N237" i="2"/>
  <c r="J232" i="2"/>
  <c r="J181" i="2"/>
  <c r="I234" i="2"/>
  <c r="N231" i="2"/>
  <c r="I233" i="2"/>
  <c r="M175" i="2"/>
  <c r="M182" i="2" s="1"/>
  <c r="M249" i="2"/>
  <c r="I178" i="2"/>
  <c r="I181" i="2"/>
  <c r="M178" i="2"/>
  <c r="I232" i="2"/>
  <c r="N181" i="2"/>
  <c r="L181" i="2"/>
  <c r="J236" i="2"/>
  <c r="N263" i="2"/>
  <c r="N239" i="2"/>
  <c r="I175" i="2"/>
  <c r="I249" i="2"/>
  <c r="K181" i="2"/>
  <c r="K180" i="2"/>
  <c r="J175" i="2"/>
  <c r="J263" i="2" s="1"/>
  <c r="J249" i="2"/>
  <c r="M282" i="2"/>
  <c r="M286" i="2" s="1"/>
  <c r="M284" i="2"/>
  <c r="M262" i="2"/>
  <c r="J238" i="2"/>
  <c r="M232" i="2"/>
  <c r="J237" i="2"/>
  <c r="M231" i="2"/>
  <c r="J231" i="2"/>
  <c r="C320" i="5"/>
  <c r="O322" i="5"/>
  <c r="C323" i="5"/>
  <c r="E328" i="5"/>
  <c r="E352" i="5" s="1"/>
  <c r="F324" i="5"/>
  <c r="F322" i="5"/>
  <c r="F323" i="5" s="1"/>
  <c r="F327" i="5" s="1"/>
  <c r="S351" i="5"/>
  <c r="D181" i="3"/>
  <c r="C234" i="2"/>
  <c r="C231" i="2"/>
  <c r="C175" i="3"/>
  <c r="E242" i="1"/>
  <c r="E250" i="1"/>
  <c r="E251" i="1" s="1"/>
  <c r="E252" i="1" s="1"/>
  <c r="O323" i="5"/>
  <c r="O327" i="5" s="1"/>
  <c r="Q328" i="5"/>
  <c r="Q351" i="5" s="1"/>
  <c r="P328" i="5"/>
  <c r="P351" i="5" s="1"/>
  <c r="D352" i="5"/>
  <c r="G352" i="5"/>
  <c r="H352" i="5"/>
  <c r="J327" i="5"/>
  <c r="I322" i="5"/>
  <c r="I323" i="5" s="1"/>
  <c r="J328" i="5"/>
  <c r="J351" i="5" s="1"/>
  <c r="R331" i="5"/>
  <c r="R327" i="5"/>
  <c r="R326" i="5"/>
  <c r="R330" i="5"/>
  <c r="H248" i="1"/>
  <c r="H239" i="1"/>
  <c r="H178" i="3"/>
  <c r="H238" i="2"/>
  <c r="H236" i="2"/>
  <c r="H239" i="2"/>
  <c r="H176" i="3"/>
  <c r="H237" i="2"/>
  <c r="O326" i="5"/>
  <c r="O330" i="5"/>
  <c r="G248" i="1"/>
  <c r="G239" i="1"/>
  <c r="G181" i="3"/>
  <c r="G180" i="3"/>
  <c r="M352" i="5"/>
  <c r="L331" i="5"/>
  <c r="L327" i="5"/>
  <c r="L326" i="5"/>
  <c r="L330" i="5"/>
  <c r="F248" i="1"/>
  <c r="F239" i="1"/>
  <c r="F180" i="3"/>
  <c r="F237" i="2"/>
  <c r="F236" i="2"/>
  <c r="F239" i="2"/>
  <c r="F238" i="2"/>
  <c r="I326" i="5"/>
  <c r="I330" i="5"/>
  <c r="E248" i="1"/>
  <c r="E239" i="1"/>
  <c r="E285" i="2"/>
  <c r="F326" i="5"/>
  <c r="F330" i="5"/>
  <c r="D248" i="1"/>
  <c r="D239" i="1"/>
  <c r="D238" i="1"/>
  <c r="D176" i="3"/>
  <c r="D242" i="1"/>
  <c r="C331" i="5"/>
  <c r="C327" i="5"/>
  <c r="C326" i="5"/>
  <c r="C330" i="5"/>
  <c r="C241" i="1"/>
  <c r="C243" i="1" s="1"/>
  <c r="C248" i="1"/>
  <c r="C239" i="1"/>
  <c r="C181" i="2"/>
  <c r="R334" i="5"/>
  <c r="R325" i="5"/>
  <c r="L338" i="5"/>
  <c r="L339" i="5" s="1"/>
  <c r="L328" i="5"/>
  <c r="L352" i="5" s="1"/>
  <c r="L334" i="5"/>
  <c r="L325" i="5"/>
  <c r="N352" i="5"/>
  <c r="L329" i="5"/>
  <c r="T348" i="5"/>
  <c r="T346" i="5"/>
  <c r="R338" i="5"/>
  <c r="R339" i="5" s="1"/>
  <c r="R328" i="5"/>
  <c r="R351" i="5" s="1"/>
  <c r="T328" i="5"/>
  <c r="T352" i="5" s="1"/>
  <c r="O325" i="5"/>
  <c r="O334" i="5"/>
  <c r="R329" i="5"/>
  <c r="F338" i="5"/>
  <c r="F339" i="5" s="1"/>
  <c r="C338" i="5"/>
  <c r="C339" i="5" s="1"/>
  <c r="C328" i="5"/>
  <c r="C352" i="5" s="1"/>
  <c r="I325" i="5"/>
  <c r="I334" i="5"/>
  <c r="F325" i="5"/>
  <c r="F334" i="5"/>
  <c r="C334" i="5"/>
  <c r="C325" i="5"/>
  <c r="F329" i="5"/>
  <c r="C329" i="5"/>
  <c r="F245" i="1"/>
  <c r="F241" i="1"/>
  <c r="E245" i="1"/>
  <c r="E241" i="1"/>
  <c r="H245" i="1"/>
  <c r="H241" i="1"/>
  <c r="G245" i="1"/>
  <c r="D245" i="1"/>
  <c r="C238" i="1"/>
  <c r="E238" i="1"/>
  <c r="F238" i="1"/>
  <c r="G238" i="1"/>
  <c r="C245" i="1"/>
  <c r="D241" i="1"/>
  <c r="H238" i="1"/>
  <c r="G241" i="1"/>
  <c r="G264" i="1" s="1"/>
  <c r="E175" i="3"/>
  <c r="E174" i="3"/>
  <c r="D175" i="3"/>
  <c r="C176" i="3"/>
  <c r="C174" i="3"/>
  <c r="H175" i="3"/>
  <c r="G176" i="3"/>
  <c r="G174" i="3"/>
  <c r="F174" i="3"/>
  <c r="F182" i="3" s="1"/>
  <c r="F176" i="3"/>
  <c r="F175" i="3"/>
  <c r="E182" i="3"/>
  <c r="H174" i="3"/>
  <c r="H182" i="3" s="1"/>
  <c r="C180" i="3"/>
  <c r="D174" i="3"/>
  <c r="D178" i="3"/>
  <c r="E178" i="3"/>
  <c r="C181" i="3"/>
  <c r="G175" i="2"/>
  <c r="G263" i="2" s="1"/>
  <c r="G249" i="2"/>
  <c r="F262" i="2"/>
  <c r="D238" i="2"/>
  <c r="G232" i="2"/>
  <c r="D237" i="2"/>
  <c r="G180" i="2"/>
  <c r="F181" i="2"/>
  <c r="D236" i="2"/>
  <c r="C239" i="2"/>
  <c r="D181" i="2"/>
  <c r="D180" i="2"/>
  <c r="E282" i="2"/>
  <c r="E286" i="2" s="1"/>
  <c r="E182" i="2"/>
  <c r="E284" i="2"/>
  <c r="C284" i="2"/>
  <c r="C282" i="2"/>
  <c r="C286" i="2" s="1"/>
  <c r="H181" i="2"/>
  <c r="H180" i="2"/>
  <c r="D175" i="2"/>
  <c r="D263" i="2" s="1"/>
  <c r="C263" i="2"/>
  <c r="C238" i="2"/>
  <c r="G233" i="2"/>
  <c r="C237" i="2"/>
  <c r="C236" i="2"/>
  <c r="G231" i="2"/>
  <c r="C180" i="2"/>
  <c r="G239" i="2"/>
  <c r="G238" i="2"/>
  <c r="C175" i="2"/>
  <c r="C249" i="2"/>
  <c r="G237" i="2"/>
  <c r="C232" i="2"/>
  <c r="H175" i="2"/>
  <c r="H263" i="2" s="1"/>
  <c r="G236" i="2"/>
  <c r="G181" i="2"/>
  <c r="F180" i="2"/>
  <c r="G234" i="2"/>
  <c r="F175" i="2"/>
  <c r="D239" i="2"/>
  <c r="BB351" i="5" l="1"/>
  <c r="BW351" i="5"/>
  <c r="BZ351" i="5"/>
  <c r="BK352" i="5"/>
  <c r="CZ351" i="5"/>
  <c r="CC352" i="5"/>
  <c r="BY351" i="5"/>
  <c r="BN352" i="5"/>
  <c r="BW342" i="5"/>
  <c r="BW335" i="5"/>
  <c r="BW344" i="5" s="1"/>
  <c r="BT342" i="5"/>
  <c r="BT335" i="5"/>
  <c r="BT344" i="5" s="1"/>
  <c r="CE328" i="5"/>
  <c r="CE352" i="5" s="1"/>
  <c r="CC344" i="5"/>
  <c r="CC342" i="5"/>
  <c r="CC335" i="5"/>
  <c r="BZ342" i="5"/>
  <c r="BZ335" i="5"/>
  <c r="BZ344" i="5" s="1"/>
  <c r="BT351" i="5"/>
  <c r="BN342" i="5"/>
  <c r="BN335" i="5"/>
  <c r="BN344" i="5" s="1"/>
  <c r="BQ351" i="5"/>
  <c r="BQ342" i="5"/>
  <c r="BQ335" i="5"/>
  <c r="BQ344" i="5" s="1"/>
  <c r="BS328" i="5"/>
  <c r="BS352" i="5" s="1"/>
  <c r="BK342" i="5"/>
  <c r="BK335" i="5"/>
  <c r="BK344" i="5" s="1"/>
  <c r="AB243" i="1"/>
  <c r="AB265" i="1"/>
  <c r="AB246" i="1"/>
  <c r="AB257" i="1" s="1"/>
  <c r="AB255" i="1"/>
  <c r="W255" i="1"/>
  <c r="W246" i="1"/>
  <c r="W257" i="1" s="1"/>
  <c r="AC255" i="1"/>
  <c r="AC246" i="1"/>
  <c r="AC257" i="1" s="1"/>
  <c r="X243" i="1"/>
  <c r="X265" i="1"/>
  <c r="X246" i="1"/>
  <c r="X257" i="1" s="1"/>
  <c r="X255" i="1"/>
  <c r="Z243" i="1"/>
  <c r="Z265" i="1"/>
  <c r="Z255" i="1"/>
  <c r="Z246" i="1"/>
  <c r="Z257" i="1" s="1"/>
  <c r="Y255" i="1"/>
  <c r="Y246" i="1"/>
  <c r="Y257" i="1" s="1"/>
  <c r="AC243" i="1"/>
  <c r="AC265" i="1"/>
  <c r="AA243" i="1"/>
  <c r="AA265" i="1"/>
  <c r="AA255" i="1"/>
  <c r="AA246" i="1"/>
  <c r="AA257" i="1" s="1"/>
  <c r="W243" i="1"/>
  <c r="W265" i="1"/>
  <c r="Y243" i="1"/>
  <c r="Y265" i="1"/>
  <c r="AB264" i="1"/>
  <c r="AC264" i="1"/>
  <c r="X264" i="1"/>
  <c r="Z264" i="1"/>
  <c r="AA264" i="1"/>
  <c r="AB182" i="3"/>
  <c r="X284" i="2"/>
  <c r="X282" i="2"/>
  <c r="X286" i="2" s="1"/>
  <c r="X182" i="2"/>
  <c r="AB284" i="2"/>
  <c r="AB282" i="2"/>
  <c r="AB286" i="2" s="1"/>
  <c r="AB182" i="2"/>
  <c r="AC182" i="2"/>
  <c r="AC284" i="2"/>
  <c r="AC282" i="2"/>
  <c r="AC286" i="2" s="1"/>
  <c r="Y182" i="2"/>
  <c r="Y284" i="2"/>
  <c r="Y282" i="2"/>
  <c r="Y286" i="2" s="1"/>
  <c r="W282" i="2"/>
  <c r="W286" i="2" s="1"/>
  <c r="W182" i="2"/>
  <c r="W284" i="2"/>
  <c r="W263" i="2"/>
  <c r="BG351" i="5"/>
  <c r="BD351" i="5"/>
  <c r="AP351" i="5"/>
  <c r="BE342" i="5"/>
  <c r="BE335" i="5"/>
  <c r="BE344" i="5" s="1"/>
  <c r="BH342" i="5"/>
  <c r="BH335" i="5"/>
  <c r="BH344" i="5" s="1"/>
  <c r="BB342" i="5"/>
  <c r="BB335" i="5"/>
  <c r="BB344" i="5" s="1"/>
  <c r="BH351" i="5"/>
  <c r="BE351" i="5"/>
  <c r="AR328" i="5"/>
  <c r="AR352" i="5" s="1"/>
  <c r="AP342" i="5"/>
  <c r="AP335" i="5"/>
  <c r="AP344" i="5" s="1"/>
  <c r="AV342" i="5"/>
  <c r="AV335" i="5"/>
  <c r="AV344" i="5" s="1"/>
  <c r="BA328" i="5"/>
  <c r="BA352" i="5" s="1"/>
  <c r="AY342" i="5"/>
  <c r="AY335" i="5"/>
  <c r="AY344" i="5" s="1"/>
  <c r="AS342" i="5"/>
  <c r="AS335" i="5"/>
  <c r="AS344" i="5" s="1"/>
  <c r="P243" i="1"/>
  <c r="P265" i="1"/>
  <c r="Q255" i="1"/>
  <c r="Q246" i="1"/>
  <c r="Q257" i="1" s="1"/>
  <c r="P255" i="1"/>
  <c r="P246" i="1"/>
  <c r="P257" i="1" s="1"/>
  <c r="S255" i="1"/>
  <c r="S246" i="1"/>
  <c r="S257" i="1" s="1"/>
  <c r="U243" i="1"/>
  <c r="U265" i="1"/>
  <c r="U255" i="1"/>
  <c r="U246" i="1"/>
  <c r="U257" i="1" s="1"/>
  <c r="V243" i="1"/>
  <c r="V265" i="1"/>
  <c r="S243" i="1"/>
  <c r="S265" i="1"/>
  <c r="T243" i="1"/>
  <c r="T265" i="1"/>
  <c r="T255" i="1"/>
  <c r="T246" i="1"/>
  <c r="T257" i="1" s="1"/>
  <c r="S264" i="1"/>
  <c r="U264" i="1"/>
  <c r="V255" i="1"/>
  <c r="V246" i="1"/>
  <c r="V257" i="1" s="1"/>
  <c r="R255" i="1"/>
  <c r="R246" i="1"/>
  <c r="R257" i="1" s="1"/>
  <c r="T264" i="1"/>
  <c r="U284" i="2"/>
  <c r="U282" i="2"/>
  <c r="U286" i="2" s="1"/>
  <c r="U182" i="2"/>
  <c r="S282" i="2"/>
  <c r="S286" i="2" s="1"/>
  <c r="S182" i="2"/>
  <c r="S284" i="2"/>
  <c r="Q284" i="2"/>
  <c r="Q282" i="2"/>
  <c r="Q286" i="2" s="1"/>
  <c r="Q182" i="2"/>
  <c r="R182" i="2"/>
  <c r="R284" i="2"/>
  <c r="R282" i="2"/>
  <c r="R286" i="2" s="1"/>
  <c r="T263" i="2"/>
  <c r="V182" i="2"/>
  <c r="V284" i="2"/>
  <c r="V282" i="2"/>
  <c r="V286" i="2" s="1"/>
  <c r="T282" i="2"/>
  <c r="T286" i="2" s="1"/>
  <c r="T182" i="2"/>
  <c r="T284" i="2"/>
  <c r="P282" i="2"/>
  <c r="P286" i="2" s="1"/>
  <c r="P182" i="2"/>
  <c r="P284" i="2"/>
  <c r="U351" i="5"/>
  <c r="I263" i="2"/>
  <c r="AA342" i="5"/>
  <c r="AA335" i="5"/>
  <c r="AA344" i="5" s="1"/>
  <c r="AJ352" i="5"/>
  <c r="W351" i="5"/>
  <c r="AL328" i="5"/>
  <c r="AL352" i="5" s="1"/>
  <c r="AG342" i="5"/>
  <c r="AG335" i="5"/>
  <c r="AG344" i="5" s="1"/>
  <c r="Z328" i="5"/>
  <c r="Z352" i="5" s="1"/>
  <c r="AJ342" i="5"/>
  <c r="AJ335" i="5"/>
  <c r="AJ344" i="5" s="1"/>
  <c r="AM342" i="5"/>
  <c r="AM335" i="5"/>
  <c r="AD342" i="5"/>
  <c r="AD335" i="5"/>
  <c r="AD344" i="5" s="1"/>
  <c r="AI328" i="5"/>
  <c r="AI352" i="5" s="1"/>
  <c r="X342" i="5"/>
  <c r="X335" i="5"/>
  <c r="X344" i="5" s="1"/>
  <c r="U342" i="5"/>
  <c r="U335" i="5"/>
  <c r="U344" i="5" s="1"/>
  <c r="AM344" i="5"/>
  <c r="AA352" i="5"/>
  <c r="N243" i="1"/>
  <c r="N265" i="1"/>
  <c r="M243" i="1"/>
  <c r="M265" i="1"/>
  <c r="M255" i="1"/>
  <c r="M246" i="1"/>
  <c r="M257" i="1" s="1"/>
  <c r="K246" i="1"/>
  <c r="K257" i="1" s="1"/>
  <c r="K255" i="1"/>
  <c r="I243" i="1"/>
  <c r="I265" i="1"/>
  <c r="I255" i="1"/>
  <c r="I246" i="1"/>
  <c r="I257" i="1" s="1"/>
  <c r="N255" i="1"/>
  <c r="N246" i="1"/>
  <c r="N257" i="1" s="1"/>
  <c r="K243" i="1"/>
  <c r="K265" i="1"/>
  <c r="K264" i="1"/>
  <c r="O246" i="1"/>
  <c r="O257" i="1" s="1"/>
  <c r="O255" i="1"/>
  <c r="J255" i="1"/>
  <c r="J246" i="1"/>
  <c r="J257" i="1" s="1"/>
  <c r="L282" i="2"/>
  <c r="L286" i="2" s="1"/>
  <c r="L182" i="2"/>
  <c r="L284" i="2"/>
  <c r="I282" i="2"/>
  <c r="I286" i="2" s="1"/>
  <c r="I182" i="2"/>
  <c r="I284" i="2"/>
  <c r="J284" i="2"/>
  <c r="J282" i="2"/>
  <c r="J286" i="2" s="1"/>
  <c r="J182" i="2"/>
  <c r="K182" i="2"/>
  <c r="K284" i="2"/>
  <c r="K282" i="2"/>
  <c r="K286" i="2" s="1"/>
  <c r="N284" i="2"/>
  <c r="N282" i="2"/>
  <c r="N286" i="2" s="1"/>
  <c r="N182" i="2"/>
  <c r="O182" i="2"/>
  <c r="O284" i="2"/>
  <c r="O282" i="2"/>
  <c r="O286" i="2" s="1"/>
  <c r="M263" i="2"/>
  <c r="F328" i="5"/>
  <c r="F352" i="5" s="1"/>
  <c r="F331" i="5"/>
  <c r="E351" i="5"/>
  <c r="G182" i="3"/>
  <c r="D182" i="3"/>
  <c r="C182" i="2"/>
  <c r="F263" i="2"/>
  <c r="C264" i="1"/>
  <c r="C265" i="1"/>
  <c r="O338" i="5"/>
  <c r="O339" i="5" s="1"/>
  <c r="O331" i="5"/>
  <c r="O329" i="5"/>
  <c r="O328" i="5"/>
  <c r="O352" i="5" s="1"/>
  <c r="Q352" i="5"/>
  <c r="P352" i="5"/>
  <c r="I328" i="5"/>
  <c r="I351" i="5" s="1"/>
  <c r="I327" i="5"/>
  <c r="I329" i="5"/>
  <c r="J352" i="5"/>
  <c r="C351" i="5"/>
  <c r="F351" i="5"/>
  <c r="O351" i="5"/>
  <c r="I331" i="5"/>
  <c r="I338" i="5"/>
  <c r="I339" i="5" s="1"/>
  <c r="K321" i="5"/>
  <c r="R352" i="5"/>
  <c r="L351" i="5"/>
  <c r="O335" i="5"/>
  <c r="L342" i="5"/>
  <c r="L335" i="5"/>
  <c r="L344" i="5" s="1"/>
  <c r="R342" i="5"/>
  <c r="R335" i="5"/>
  <c r="R344" i="5" s="1"/>
  <c r="T351" i="5"/>
  <c r="I352" i="5"/>
  <c r="C335" i="5"/>
  <c r="C344" i="5" s="1"/>
  <c r="C342" i="5"/>
  <c r="F342" i="5"/>
  <c r="F335" i="5"/>
  <c r="F344" i="5" s="1"/>
  <c r="I335" i="5"/>
  <c r="G255" i="1"/>
  <c r="G246" i="1"/>
  <c r="G257" i="1" s="1"/>
  <c r="F243" i="1"/>
  <c r="F265" i="1"/>
  <c r="F255" i="1"/>
  <c r="F246" i="1"/>
  <c r="F257" i="1" s="1"/>
  <c r="D243" i="1"/>
  <c r="D265" i="1"/>
  <c r="D255" i="1"/>
  <c r="D246" i="1"/>
  <c r="D257" i="1" s="1"/>
  <c r="H255" i="1"/>
  <c r="H246" i="1"/>
  <c r="H257" i="1" s="1"/>
  <c r="F264" i="1"/>
  <c r="H243" i="1"/>
  <c r="H265" i="1"/>
  <c r="D264" i="1"/>
  <c r="H264" i="1"/>
  <c r="E255" i="1"/>
  <c r="E246" i="1"/>
  <c r="E257" i="1" s="1"/>
  <c r="G243" i="1"/>
  <c r="G265" i="1"/>
  <c r="C255" i="1"/>
  <c r="C246" i="1"/>
  <c r="C257" i="1" s="1"/>
  <c r="E243" i="1"/>
  <c r="E265" i="1"/>
  <c r="E264" i="1"/>
  <c r="C182" i="3"/>
  <c r="H182" i="2"/>
  <c r="H284" i="2"/>
  <c r="H282" i="2"/>
  <c r="H286" i="2" s="1"/>
  <c r="D182" i="2"/>
  <c r="D284" i="2"/>
  <c r="D282" i="2"/>
  <c r="D286" i="2" s="1"/>
  <c r="G284" i="2"/>
  <c r="G282" i="2"/>
  <c r="G286" i="2" s="1"/>
  <c r="G182" i="2"/>
  <c r="F282" i="2"/>
  <c r="F286" i="2" s="1"/>
  <c r="F182" i="2"/>
  <c r="F284" i="2"/>
  <c r="AI351" i="5" l="1"/>
  <c r="AR351" i="5"/>
  <c r="AL351" i="5"/>
  <c r="CE351" i="5"/>
  <c r="BS351" i="5"/>
  <c r="BA351" i="5"/>
  <c r="Z351" i="5"/>
  <c r="O342" i="5"/>
  <c r="O344" i="5"/>
  <c r="I342" i="5"/>
  <c r="I344" i="5"/>
  <c r="K327" i="5"/>
  <c r="K328" i="5"/>
  <c r="B128" i="5"/>
  <c r="B129" i="5"/>
  <c r="B130" i="5"/>
  <c r="B131" i="5"/>
  <c r="B132" i="5"/>
  <c r="K352" i="5" l="1"/>
  <c r="K351" i="5"/>
</calcChain>
</file>

<file path=xl/sharedStrings.xml><?xml version="1.0" encoding="utf-8"?>
<sst xmlns="http://schemas.openxmlformats.org/spreadsheetml/2006/main" count="1371" uniqueCount="498">
  <si>
    <t>ESTACIÓN</t>
  </si>
  <si>
    <t>PORTAL 80</t>
  </si>
  <si>
    <t>QUIRIGUA</t>
  </si>
  <si>
    <t>CARRERA 90</t>
  </si>
  <si>
    <t>AV. CIUD. DE CALI</t>
  </si>
  <si>
    <t>LA GRANJA</t>
  </si>
  <si>
    <t>CARRERA 77</t>
  </si>
  <si>
    <t>MINUTO DE DIOS</t>
  </si>
  <si>
    <t>AV. BOYACA</t>
  </si>
  <si>
    <t>FERIAS</t>
  </si>
  <si>
    <t>AVENIDA 68</t>
  </si>
  <si>
    <t>CARRERA 53</t>
  </si>
  <si>
    <t>CARRERA 47</t>
  </si>
  <si>
    <t>ESCUELA MILITAR</t>
  </si>
  <si>
    <t>POLO</t>
  </si>
  <si>
    <t>HEROES</t>
  </si>
  <si>
    <t>VIRREY</t>
  </si>
  <si>
    <t>CALLE 85</t>
  </si>
  <si>
    <t>CALLE 100</t>
  </si>
  <si>
    <t>PEPE SIERRA</t>
  </si>
  <si>
    <t>CALLE 127</t>
  </si>
  <si>
    <t>PRADO</t>
  </si>
  <si>
    <t>CALLE 146</t>
  </si>
  <si>
    <t>CALLE 76 N</t>
  </si>
  <si>
    <t>CALLE 76 S</t>
  </si>
  <si>
    <t>CALLE 72 N</t>
  </si>
  <si>
    <t>CALLE 72 S</t>
  </si>
  <si>
    <t>CALLE 63 N</t>
  </si>
  <si>
    <t>CALLE 63 S</t>
  </si>
  <si>
    <t>MARLY S</t>
  </si>
  <si>
    <t>MARLY N</t>
  </si>
  <si>
    <t>CALLE 19 N</t>
  </si>
  <si>
    <t>CALLE 19 S</t>
  </si>
  <si>
    <t>TERCER MILENIO N.</t>
  </si>
  <si>
    <t>TERCER MILENIO S.</t>
  </si>
  <si>
    <t>HOSPITAL</t>
  </si>
  <si>
    <t>NARIÑO</t>
  </si>
  <si>
    <t>FUCHA</t>
  </si>
  <si>
    <t xml:space="preserve">OLAYA </t>
  </si>
  <si>
    <t>QUIROGA</t>
  </si>
  <si>
    <t>CALLE 40 SUR</t>
  </si>
  <si>
    <t>SOCORRO</t>
  </si>
  <si>
    <t>CONSUELO</t>
  </si>
  <si>
    <t xml:space="preserve">PORTAL DE USME </t>
  </si>
  <si>
    <t>ALIMENTADORES</t>
  </si>
  <si>
    <t>Teórico CONSIG</t>
  </si>
  <si>
    <t>Diferencia</t>
  </si>
  <si>
    <t>TOBERIN N</t>
  </si>
  <si>
    <t>TOBERIN S</t>
  </si>
  <si>
    <t xml:space="preserve">CALLE 100  </t>
  </si>
  <si>
    <t xml:space="preserve">VIRREY </t>
  </si>
  <si>
    <t xml:space="preserve">CALLE 63 S </t>
  </si>
  <si>
    <t>SANTA LUCIA</t>
  </si>
  <si>
    <t>PORTAL DE USME</t>
  </si>
  <si>
    <t>Peatonal</t>
  </si>
  <si>
    <t>Entradas Alim.</t>
  </si>
  <si>
    <t>Entradas Inter.</t>
  </si>
  <si>
    <t>CALLE 57 N</t>
  </si>
  <si>
    <t>CALLE 57 S</t>
  </si>
  <si>
    <t>Salidas Alim.</t>
  </si>
  <si>
    <t>Salidas Inter.</t>
  </si>
  <si>
    <t>CALLE 26 S</t>
  </si>
  <si>
    <t>CALLE 26 N</t>
  </si>
  <si>
    <t>CALLE 45 S</t>
  </si>
  <si>
    <t>CALLE 45 N</t>
  </si>
  <si>
    <t>CALLE 106 NORTE</t>
  </si>
  <si>
    <t>CALLE 106 SUR</t>
  </si>
  <si>
    <t>ALCALA  NORTE</t>
  </si>
  <si>
    <t>ALCALA  SUR</t>
  </si>
  <si>
    <t>CALLE 142 NORTE</t>
  </si>
  <si>
    <t>CALLE 142 SUR</t>
  </si>
  <si>
    <t>MAZUREN NORTE</t>
  </si>
  <si>
    <t>MAZUREN SUR</t>
  </si>
  <si>
    <t>CARDIO INFANTIL NORTE</t>
  </si>
  <si>
    <t>CARDIO INFANTIL SUR</t>
  </si>
  <si>
    <t>TOBERIN  NORTE</t>
  </si>
  <si>
    <t>TOBERIN  SUR</t>
  </si>
  <si>
    <t xml:space="preserve"> HEROES</t>
  </si>
  <si>
    <t>TOBERIN NORTE</t>
  </si>
  <si>
    <t>TOBERIN SUR</t>
  </si>
  <si>
    <t xml:space="preserve">CALLE 106 N </t>
  </si>
  <si>
    <t xml:space="preserve">CALLE 106 S </t>
  </si>
  <si>
    <t xml:space="preserve">CALLE 142 N </t>
  </si>
  <si>
    <t xml:space="preserve">CALLE 142 S </t>
  </si>
  <si>
    <t xml:space="preserve">ALCALA N </t>
  </si>
  <si>
    <t xml:space="preserve">ALCALA S </t>
  </si>
  <si>
    <t xml:space="preserve">MAZUREN N </t>
  </si>
  <si>
    <t xml:space="preserve">MAZUREN S </t>
  </si>
  <si>
    <t xml:space="preserve">CARDIO INFANTIL N </t>
  </si>
  <si>
    <t xml:space="preserve">CARDIO INFANTIL S </t>
  </si>
  <si>
    <t xml:space="preserve">CALLE 45 S </t>
  </si>
  <si>
    <t>Portal 80</t>
  </si>
  <si>
    <t>Portal USME</t>
  </si>
  <si>
    <t>AVENIDA 39 S</t>
  </si>
  <si>
    <t>AVENIDA 39 N</t>
  </si>
  <si>
    <t>FLORES S</t>
  </si>
  <si>
    <t>FLORES N</t>
  </si>
  <si>
    <t>PROFAMILIA N</t>
  </si>
  <si>
    <t>PROFAMILIA S</t>
  </si>
  <si>
    <t>revisa portal 80</t>
  </si>
  <si>
    <t>revisa usme</t>
  </si>
  <si>
    <t>revisa total</t>
  </si>
  <si>
    <t>AV. CIUD. DE CALI ALIM</t>
  </si>
  <si>
    <t>AV. CIUD. DE CALI TAQ</t>
  </si>
  <si>
    <t>CALLE 40 SUR ALIM</t>
  </si>
  <si>
    <t>AV. CIUD. DE CALI ALI</t>
  </si>
  <si>
    <t>CARRERA 77 TAQ</t>
  </si>
  <si>
    <t>MOLINOS NORTE</t>
  </si>
  <si>
    <t>MOLINOS SUR</t>
  </si>
  <si>
    <t>MOLINOS ALIM</t>
  </si>
  <si>
    <t>PORTAL DEL NORTE</t>
  </si>
  <si>
    <t>Portal NORTE</t>
  </si>
  <si>
    <t>revisa norte</t>
  </si>
  <si>
    <t>PORTAL DE TUNAL</t>
  </si>
  <si>
    <t>BIBLIOTECA NORTE</t>
  </si>
  <si>
    <t>BIBLIOTECA SUR</t>
  </si>
  <si>
    <t xml:space="preserve">PARQUE NORTE </t>
  </si>
  <si>
    <t>PARQUE SUR</t>
  </si>
  <si>
    <t>Portal TUNAL</t>
  </si>
  <si>
    <t>revisa tunal</t>
  </si>
  <si>
    <t>INTER. 80</t>
  </si>
  <si>
    <t>INTER. AUTO.NORTE</t>
  </si>
  <si>
    <t>MOLINOS DESALIMENTADOR</t>
  </si>
  <si>
    <t>CALLE 40 SUR DESALIMENTADOR</t>
  </si>
  <si>
    <t>CALLE 40 SUR NORTE</t>
  </si>
  <si>
    <t>CALLE 40 SUR SUR</t>
  </si>
  <si>
    <t>CALLE 40 NORTE</t>
  </si>
  <si>
    <t>MUSEO DEL ORO</t>
  </si>
  <si>
    <t>MUSEO DEL ORO ORIENTE</t>
  </si>
  <si>
    <t>MUSEO DEL ORO OCCIDENTE</t>
  </si>
  <si>
    <t>TOTAL INTERMUNICIPALES (UNIVIAJE, DUOVIAJE)</t>
  </si>
  <si>
    <t>LAS AGUAS</t>
  </si>
  <si>
    <t>PORTAL TUNAL</t>
  </si>
  <si>
    <t>ALCALA NORTE</t>
  </si>
  <si>
    <t>ALCALA SUR</t>
  </si>
  <si>
    <t>RESTREPO NORTE</t>
  </si>
  <si>
    <t>RESTREPO SUR</t>
  </si>
  <si>
    <t>AV. JIMENEZ TUNEL</t>
  </si>
  <si>
    <t>AV. JIMENEZ  SUR</t>
  </si>
  <si>
    <t>AV. JIMENEZ CRA 12</t>
  </si>
  <si>
    <t>LA SABANA OCCIDENTAL</t>
  </si>
  <si>
    <t>LA SABANA ORIENTAL</t>
  </si>
  <si>
    <t>SAN FACON OCCIDENTAL</t>
  </si>
  <si>
    <t>SAN FACON ORIENTAL</t>
  </si>
  <si>
    <t>RICAURTE OCCIDENTAL</t>
  </si>
  <si>
    <t>RICAURTE ORIENTAL</t>
  </si>
  <si>
    <t>CARRERA 32 OCCIDENTAL</t>
  </si>
  <si>
    <t>CARRERA 32 ORIENTAL</t>
  </si>
  <si>
    <t>ZONA INDUSTRIAL OCCIDENTAL</t>
  </si>
  <si>
    <t>ZONA INDUSTRIAL ORIENTAL</t>
  </si>
  <si>
    <t>CARRERA 43 OCCIDENTAL</t>
  </si>
  <si>
    <t>CARRERA 43 ORIENTAL</t>
  </si>
  <si>
    <t>PUENTE ARANDA OCCIDENTAL</t>
  </si>
  <si>
    <t>PUENTE ARANDA ORIENTAL</t>
  </si>
  <si>
    <t>RICAURTE</t>
  </si>
  <si>
    <t>PUENTE ARANDA</t>
  </si>
  <si>
    <t>ABASTOS</t>
  </si>
  <si>
    <t>BANDERAS</t>
  </si>
  <si>
    <t>MANDALAY</t>
  </si>
  <si>
    <t>MUNDO AVENTURA</t>
  </si>
  <si>
    <t>MARSELLA</t>
  </si>
  <si>
    <t>PRADERA</t>
  </si>
  <si>
    <t>AMERICAS - CRA 53</t>
  </si>
  <si>
    <t>PORTAL AMÉRICAS</t>
  </si>
  <si>
    <t>Consignado F1</t>
  </si>
  <si>
    <t>VENTAS TOTALES</t>
  </si>
  <si>
    <t>Consignado F2</t>
  </si>
  <si>
    <t>PORTAL AMERICAS</t>
  </si>
  <si>
    <t>BANDERAS DESALIMENTADORES</t>
  </si>
  <si>
    <t>AMERICAS</t>
  </si>
  <si>
    <t>ENTRADAS SISTEMA</t>
  </si>
  <si>
    <t>Portal AMÉRICAS</t>
  </si>
  <si>
    <t>Bicicletas</t>
  </si>
  <si>
    <t>revisa americas</t>
  </si>
  <si>
    <t>TOTAL F1 Salidas</t>
  </si>
  <si>
    <t>TOTAL F2 Salidas</t>
  </si>
  <si>
    <t>revisa américas</t>
  </si>
  <si>
    <t>TOTAL F2 VENTAS</t>
  </si>
  <si>
    <t>TOTAL SALIDAS</t>
  </si>
  <si>
    <t>% PART F1</t>
  </si>
  <si>
    <t>% PART F2</t>
  </si>
  <si>
    <t>FASE 1</t>
  </si>
  <si>
    <t>TOTAL RECAUDO</t>
  </si>
  <si>
    <t>TOTAL CONSIGNADO</t>
  </si>
  <si>
    <t>TOTAL SOBRANTES</t>
  </si>
  <si>
    <t>TOTAL F1 ENTRADAS</t>
  </si>
  <si>
    <t>TOTAL F2 ENTRADAS</t>
  </si>
  <si>
    <t>revisa total 2</t>
  </si>
  <si>
    <t xml:space="preserve">CALLE 22 S </t>
  </si>
  <si>
    <t>CALLE 22 N</t>
  </si>
  <si>
    <t>CALLE 22 S</t>
  </si>
  <si>
    <t>ALIMENTADORES BANDERAS</t>
  </si>
  <si>
    <t>TINTAL NORTE</t>
  </si>
  <si>
    <t>TINTAL SUR</t>
  </si>
  <si>
    <t>PATIO BONITO NORTE</t>
  </si>
  <si>
    <t>PATIO BONITO SUR</t>
  </si>
  <si>
    <t>ALIMENTADORES AMÉRICAS</t>
  </si>
  <si>
    <t>AV. JIMENEZ NORTE</t>
  </si>
  <si>
    <t>AV. JIMENEZ TÚNEL</t>
  </si>
  <si>
    <t>CALLE 22 NORTE</t>
  </si>
  <si>
    <t>CALLE 22 SUR</t>
  </si>
  <si>
    <t>control consignaciones</t>
  </si>
  <si>
    <t>fase I</t>
  </si>
  <si>
    <t>fase II</t>
  </si>
  <si>
    <t>TOTAL ENTRADAS ALIMENTACION</t>
  </si>
  <si>
    <t>TOTAL ALIMENTACION FASE I</t>
  </si>
  <si>
    <t>TOTAL ALIMENTACION FASE II</t>
  </si>
  <si>
    <t>%ALIMENTACION</t>
  </si>
  <si>
    <t>salidas alimentación fase I</t>
  </si>
  <si>
    <t>salidas alimentación Fase II</t>
  </si>
  <si>
    <t>TOTAL SALIDAS ALIMENTACION</t>
  </si>
  <si>
    <t>%DESALIMENTACION</t>
  </si>
  <si>
    <t>%</t>
  </si>
  <si>
    <t>R-O-DR-001  Octubre 2004</t>
  </si>
  <si>
    <t>CARRERA 77 ALIM.NORTE</t>
  </si>
  <si>
    <t>CARRERA 77 ALIM.SUR</t>
  </si>
  <si>
    <t xml:space="preserve">CARRERA 77 </t>
  </si>
  <si>
    <t>LA CASTELLANA</t>
  </si>
  <si>
    <t>NQS-CL. 75</t>
  </si>
  <si>
    <t>AV. CHILE NORTE</t>
  </si>
  <si>
    <t>AV. CHILE SUR</t>
  </si>
  <si>
    <t>SIMON BOLIVAR</t>
  </si>
  <si>
    <t>COLISEO</t>
  </si>
  <si>
    <t>EL CAMPIN</t>
  </si>
  <si>
    <t>U. NACIONAL NORTE</t>
  </si>
  <si>
    <t>U. NACIONAL SUR</t>
  </si>
  <si>
    <t>AV. EL DORADO</t>
  </si>
  <si>
    <t>CAD NORTE</t>
  </si>
  <si>
    <t>CAD SUR</t>
  </si>
  <si>
    <t>PALOQUEMAO</t>
  </si>
  <si>
    <t>RICAURTE NQS</t>
  </si>
  <si>
    <t>RICAURTE PEATONAL</t>
  </si>
  <si>
    <t>COMUNEROS CALLE 6 NORTE</t>
  </si>
  <si>
    <t>COMUNEROS CALLE 6 SUR</t>
  </si>
  <si>
    <t>SANTA ISABEL</t>
  </si>
  <si>
    <t>COMUNEROS CLL 6 N</t>
  </si>
  <si>
    <t>COMUNEROS CLL 6 S</t>
  </si>
  <si>
    <t>NQS - CL. 75</t>
  </si>
  <si>
    <t>SENA</t>
  </si>
  <si>
    <t>NQS - CALLE 30 SUR</t>
  </si>
  <si>
    <t>NQS - CALLE 38 A SUR</t>
  </si>
  <si>
    <t>GENERAL SANTANDER</t>
  </si>
  <si>
    <t>% precargas sobre total ventas</t>
  </si>
  <si>
    <t>F1</t>
  </si>
  <si>
    <t>F2</t>
  </si>
  <si>
    <t>ALQUERIA</t>
  </si>
  <si>
    <t>VENECIA</t>
  </si>
  <si>
    <t>SEVILLANA</t>
  </si>
  <si>
    <t>MADELENA</t>
  </si>
  <si>
    <t>PERDOMO</t>
  </si>
  <si>
    <t>PORTAL SUR</t>
  </si>
  <si>
    <t>PORTAL SUR peatonal</t>
  </si>
  <si>
    <t>PORTAL SUR alimentadores</t>
  </si>
  <si>
    <t>Bicicletero</t>
  </si>
  <si>
    <t>revisa sur</t>
  </si>
  <si>
    <t>PORTAL SUBA PEATONAL</t>
  </si>
  <si>
    <t>PORTAL SUBA ALIMENTADORES</t>
  </si>
  <si>
    <t>LA CAMPIÑA</t>
  </si>
  <si>
    <t>SUBA - TV.91</t>
  </si>
  <si>
    <t>21 ANGELES</t>
  </si>
  <si>
    <t>GRATAMIRA</t>
  </si>
  <si>
    <t>SUBA - AV. BOYACA NORTE</t>
  </si>
  <si>
    <t>SUBA - AV. BOYACA SUR</t>
  </si>
  <si>
    <t>NIZA - CL. 127 NORTE</t>
  </si>
  <si>
    <t>NIZA - CL. 127 SUR</t>
  </si>
  <si>
    <t>HUMEDAL CORDOBA</t>
  </si>
  <si>
    <t>SHAIO</t>
  </si>
  <si>
    <t>PUENTELARGO</t>
  </si>
  <si>
    <t>SUBA - CL. 100</t>
  </si>
  <si>
    <t>SUBA - CL. 95</t>
  </si>
  <si>
    <t>RIONEGRO</t>
  </si>
  <si>
    <t>SAN MARTIN</t>
  </si>
  <si>
    <t>PORTAL SUBA</t>
  </si>
  <si>
    <t>SUBA - TV- 91</t>
  </si>
  <si>
    <t>NIZA - CALLE 127 NORTE</t>
  </si>
  <si>
    <t>NIZA - CALLE 127 SUR</t>
  </si>
  <si>
    <t>PUENTE LARGO</t>
  </si>
  <si>
    <t>SUBA - CALLE 100</t>
  </si>
  <si>
    <t>SUBA - CALLE 95</t>
  </si>
  <si>
    <t>RIO NEGRO</t>
  </si>
  <si>
    <t>Portal suba peatonal</t>
  </si>
  <si>
    <t>Portal  Suba Bicicletero</t>
  </si>
  <si>
    <t>revisa suba</t>
  </si>
  <si>
    <t>VENTAS</t>
  </si>
  <si>
    <t>ENTRADAS</t>
  </si>
  <si>
    <t>SALIDAS</t>
  </si>
  <si>
    <t>Desalimentación P1 Bat 1</t>
  </si>
  <si>
    <t>Desalimentación P1 Bat 2</t>
  </si>
  <si>
    <t>Alimentadores Plat 1 Bat 1</t>
  </si>
  <si>
    <t>Alimentadores Plat 1 Bat 2</t>
  </si>
  <si>
    <t>GENERAL SANTANDER ALIMENTADORES</t>
  </si>
  <si>
    <t>BANDERAS ALIMENTADORES</t>
  </si>
  <si>
    <t>Ajuste por conciliación</t>
  </si>
  <si>
    <t>LAS AGUAS ORIENTAL</t>
  </si>
  <si>
    <t>LAS AGUAS OCCIDENTAL</t>
  </si>
  <si>
    <t>SANTA LUCIA NORTE</t>
  </si>
  <si>
    <t>SANTA LUCIA SUR</t>
  </si>
  <si>
    <t>CALLE 100 - E1</t>
  </si>
  <si>
    <t>CALLE 76 - E1</t>
  </si>
  <si>
    <t>CALLE 72 - E1</t>
  </si>
  <si>
    <t>MARLY - E1</t>
  </si>
  <si>
    <t>CALLE 45 - E1</t>
  </si>
  <si>
    <t>CALLE 19 - E1</t>
  </si>
  <si>
    <t>SAN FACON oriental</t>
  </si>
  <si>
    <t>SAN FACON occidental</t>
  </si>
  <si>
    <t>CALLE 63 - E1</t>
  </si>
  <si>
    <t>Américas</t>
  </si>
  <si>
    <t>Autopista Norte</t>
  </si>
  <si>
    <t>AVENIDA SUBA</t>
  </si>
  <si>
    <t>Calle 13</t>
  </si>
  <si>
    <t>Calle 80</t>
  </si>
  <si>
    <t>Caracas</t>
  </si>
  <si>
    <t>Eje Ambiental</t>
  </si>
  <si>
    <t>NQS</t>
  </si>
  <si>
    <t>Tunal</t>
  </si>
  <si>
    <t>MUSEO DEL ORO OCCIDENTAL</t>
  </si>
  <si>
    <t>MUSEO DEL ORO ORIENTAL</t>
  </si>
  <si>
    <t>AV. JIMENEZ  TUNEL</t>
  </si>
  <si>
    <t>P 80 ALIM</t>
  </si>
  <si>
    <t>P 80 INTERM</t>
  </si>
  <si>
    <t>P NORTE ALIM</t>
  </si>
  <si>
    <t>P NORTE INTERM</t>
  </si>
  <si>
    <t>P TUNAL</t>
  </si>
  <si>
    <t>P AMERICAS</t>
  </si>
  <si>
    <t>P SUR</t>
  </si>
  <si>
    <t>P SUBA</t>
  </si>
  <si>
    <t>P USME</t>
  </si>
  <si>
    <t>CALI</t>
  </si>
  <si>
    <t>CRA 77</t>
  </si>
  <si>
    <t>CL 40 SUR</t>
  </si>
  <si>
    <t>MOLINOS</t>
  </si>
  <si>
    <t xml:space="preserve">BANDERAS </t>
  </si>
  <si>
    <t>TOTAL SISTEMA  ALIMENTACIÓN ENTRADAS</t>
  </si>
  <si>
    <t>TOTAL INTERMUNICIPALES</t>
  </si>
  <si>
    <t xml:space="preserve">TOTAL ALIMENTADORES ENTRADAS + SALIDAS </t>
  </si>
  <si>
    <t>PARQUE NORTE</t>
  </si>
  <si>
    <t>VENTAS EXTERNAS</t>
  </si>
  <si>
    <t>VIRREY - E1</t>
  </si>
  <si>
    <t>MUSEO - E1</t>
  </si>
  <si>
    <t>CALLE 22 - E1</t>
  </si>
  <si>
    <t>COLSUBSIDIO 170 - E1</t>
  </si>
  <si>
    <t>EXITO 170 - E1</t>
  </si>
  <si>
    <t>CC PORTAL 80 - E1</t>
  </si>
  <si>
    <t>CC UNICENTRO DE OCCIDENTE - E1</t>
  </si>
  <si>
    <t>TIA CHAPINERO - E1</t>
  </si>
  <si>
    <t>FASE 2</t>
  </si>
  <si>
    <t>VIAJES</t>
  </si>
  <si>
    <t>AMT</t>
  </si>
  <si>
    <t>TOTAL VENTA</t>
  </si>
  <si>
    <t>INTER. AMT</t>
  </si>
  <si>
    <t>INTER AMT</t>
  </si>
  <si>
    <t>TOTAL F1 AMT</t>
  </si>
  <si>
    <t xml:space="preserve">TOTAL F1 VENTAS </t>
  </si>
  <si>
    <t>TOTAL VIAJES VENDIDOS FASE 1</t>
  </si>
  <si>
    <t>CATI</t>
  </si>
  <si>
    <t>TOTAL F2 AMT</t>
  </si>
  <si>
    <t>TOTAL VIAJES VENDIDOS FASE 2</t>
  </si>
  <si>
    <t>REVISA TOTAL VIAJES FASE 1</t>
  </si>
  <si>
    <t>REVISA TOTAL VIAJES FASE 2</t>
  </si>
  <si>
    <t>CATI Portal Sur - E1</t>
  </si>
  <si>
    <t>CATI Banderas - E1</t>
  </si>
  <si>
    <t>CATI Portal 80 - E1</t>
  </si>
  <si>
    <t>CATI Avenida Jimenez - E1</t>
  </si>
  <si>
    <t>CATI Portal Tunal - E1</t>
  </si>
  <si>
    <t>CATI Molinos - E1</t>
  </si>
  <si>
    <t>CATI Calle 40 sur - E1</t>
  </si>
  <si>
    <t>CATI Carrera 77 - E1</t>
  </si>
  <si>
    <t>CATI Pepe Sierra - E1</t>
  </si>
  <si>
    <t>CATI Portal Americas - E1</t>
  </si>
  <si>
    <t>CATI Cabecera Autopista Norte - E1 PT</t>
  </si>
  <si>
    <t>CATI Cabecera Autopista Norte - E2 ALIM</t>
  </si>
  <si>
    <t>CATI Cabecera Autopista Norte - E3 INTER</t>
  </si>
  <si>
    <t>CATI Avenida 39 - E1 INPAHU</t>
  </si>
  <si>
    <t>CATI Avenida 39 - E2 CAFÉ CON K</t>
  </si>
  <si>
    <t>CATI Alcala - E1</t>
  </si>
  <si>
    <t>CATI Carrera 90 - E1</t>
  </si>
  <si>
    <t>CATI Granja - E1</t>
  </si>
  <si>
    <t>CATI Virrey - E1</t>
  </si>
  <si>
    <t>CATI Marly - E1</t>
  </si>
  <si>
    <t>CATI Portal suba - E1</t>
  </si>
  <si>
    <t>CATI Portal suba - E2</t>
  </si>
  <si>
    <t>CATI Portal suba - E3</t>
  </si>
  <si>
    <t>CATI Banderas - E2</t>
  </si>
  <si>
    <t>CATI Cabecera Usme - E1</t>
  </si>
  <si>
    <t>CATI Cabecera Usme - E2</t>
  </si>
  <si>
    <t>CATI Portal Sur - E2</t>
  </si>
  <si>
    <t>CATI Portal Sur - E3</t>
  </si>
  <si>
    <t>CATI Portal Sur - E4</t>
  </si>
  <si>
    <t>CATI Portal Americas - E2</t>
  </si>
  <si>
    <t>CATI Portal 80 - E2</t>
  </si>
  <si>
    <t>CATI Portal 80 - E3</t>
  </si>
  <si>
    <t>CATI Calle 45 - E1</t>
  </si>
  <si>
    <t>CATI Hortua - E1</t>
  </si>
  <si>
    <t>CATI Santa Lucia - E1</t>
  </si>
  <si>
    <t>RECARGAS MOVILES</t>
  </si>
  <si>
    <t>Recarga Movil - M1</t>
  </si>
  <si>
    <t>Recarga Movil - M2</t>
  </si>
  <si>
    <t>Recarga Movil - M3</t>
  </si>
  <si>
    <t>Recarga Movil - M4</t>
  </si>
  <si>
    <t>Recarga Movil - M5</t>
  </si>
  <si>
    <t>Recarga Movil - M6</t>
  </si>
  <si>
    <t>Recarga Movil - M7</t>
  </si>
  <si>
    <t>Recarga Movil - M8</t>
  </si>
  <si>
    <t>Recarga Movil - M9</t>
  </si>
  <si>
    <t>Recarga Movil - M10</t>
  </si>
  <si>
    <t>Recarga Movil - M11</t>
  </si>
  <si>
    <t>Recarga Movil - M12</t>
  </si>
  <si>
    <t>Recarga Movil - M13</t>
  </si>
  <si>
    <t>Recarga Movil - M14</t>
  </si>
  <si>
    <t>Recarga Movil - M15</t>
  </si>
  <si>
    <t>RECARGA MÓVIL</t>
  </si>
  <si>
    <t>CATI U Santo Tomas principal - E1</t>
  </si>
  <si>
    <t>CATI U Rosario Quinta de Mutis - E1</t>
  </si>
  <si>
    <t>CATI U Rosario Claustro - E1</t>
  </si>
  <si>
    <t>CATI Calle 142 - E1</t>
  </si>
  <si>
    <t>CATI Calle 142 - E2</t>
  </si>
  <si>
    <t>CATI Calle 142 - E3</t>
  </si>
  <si>
    <t>CATI Calle 142 - E4</t>
  </si>
  <si>
    <t>CATI Calle 142 - E5</t>
  </si>
  <si>
    <t>CATI U Rosario Complementaria - E1</t>
  </si>
  <si>
    <t>CATI U Santo Tomas Campus - E1</t>
  </si>
  <si>
    <t>CATI U Santo Tomas Derecho - E1</t>
  </si>
  <si>
    <t>TARJETAS 1 VIAJE</t>
  </si>
  <si>
    <t>TARJETAS CLIENTE FRECUENTE</t>
  </si>
  <si>
    <t>TARJETAS CAPITAL</t>
  </si>
  <si>
    <t>TARJETAS UNIVERSITARIA</t>
  </si>
  <si>
    <t>SISTEMA INTEGRACIÓN CALLE 142</t>
  </si>
  <si>
    <t>Recarga Movil - M16</t>
  </si>
  <si>
    <t>Recarga Movil - M17</t>
  </si>
  <si>
    <t>Recarga Movil - M18</t>
  </si>
  <si>
    <t>VENTAS TOTALES FASE I CALCULO CEDRITOS</t>
  </si>
  <si>
    <t>VENTAS TOTALES CALCULO CEDRITOS</t>
  </si>
  <si>
    <t>CATI U Sergio Arboleda - E1</t>
  </si>
  <si>
    <t>CATI U Cooperativa Sede 1 - E1</t>
  </si>
  <si>
    <t>CATI U Cooperativa Sede 8 - E1</t>
  </si>
  <si>
    <t>CATI U Salle Chapinero - E1</t>
  </si>
  <si>
    <t>CATI U Salle Norte - E1</t>
  </si>
  <si>
    <t>CATI U Salle La Candelaria - E1</t>
  </si>
  <si>
    <t>Recarga Movil - M19</t>
  </si>
  <si>
    <t>Recarga Movil - M20</t>
  </si>
  <si>
    <t>Recarga Movil - M21</t>
  </si>
  <si>
    <t>Recarga Movil - M22</t>
  </si>
  <si>
    <t>Recarga Movil - M23</t>
  </si>
  <si>
    <t>Recarga Movil - M24</t>
  </si>
  <si>
    <t>Recarga Movil - M25</t>
  </si>
  <si>
    <t>Recarga Movil - M30</t>
  </si>
  <si>
    <t>Recarga Movil - M26</t>
  </si>
  <si>
    <t>Recarga Movil - M27</t>
  </si>
  <si>
    <t>Recarga Movil - M28</t>
  </si>
  <si>
    <t>Recarga Movil - M29</t>
  </si>
  <si>
    <t>Recarga Movil - M31</t>
  </si>
  <si>
    <t>Recarga Movil - M32</t>
  </si>
  <si>
    <t>Recarga Movil - M33</t>
  </si>
  <si>
    <t>Recarga Movil - M34</t>
  </si>
  <si>
    <t>Recarga Movil - M35</t>
  </si>
  <si>
    <t>CATI U SENA Financiero</t>
  </si>
  <si>
    <t>CATI U SENA Gestion de mercados - E1</t>
  </si>
  <si>
    <t>CATI U Catolica Carrera 13 - E1</t>
  </si>
  <si>
    <t>CATI SENA Centro de Gestion - E1</t>
  </si>
  <si>
    <t>CATI SENA Complejo Sur - E1</t>
  </si>
  <si>
    <t>CATI SENA Paloquemao - E1</t>
  </si>
  <si>
    <t>CATI UNAD Jose Acevedo - E1</t>
  </si>
  <si>
    <t>CATI U Catolica Claustro - E1</t>
  </si>
  <si>
    <t>CATI U UNAD Mutis - E1</t>
  </si>
  <si>
    <t>CATI U Libertadores - E1</t>
  </si>
  <si>
    <t>CATI U Libertadores - E2</t>
  </si>
  <si>
    <t>CATI ECCI - E1</t>
  </si>
  <si>
    <t>CATI U ECI Julio Garavito - E1</t>
  </si>
  <si>
    <t>CATI U Jorge Tadeo Lozano - E1</t>
  </si>
  <si>
    <t>Plat 3</t>
  </si>
  <si>
    <t>CALLE 76 - E2</t>
  </si>
  <si>
    <t>CATI Calle 76 - E1</t>
  </si>
  <si>
    <t>CATI Calle 76 - E2</t>
  </si>
  <si>
    <t>Plat 3 Alim</t>
  </si>
  <si>
    <t>CATI U Fundacion San Jose - E1</t>
  </si>
  <si>
    <t>REVISA TOTALES F1</t>
  </si>
  <si>
    <t>REVISA TOTALES F2</t>
  </si>
  <si>
    <t>CATI Calle 40 Sur - E2</t>
  </si>
  <si>
    <t>CATI Restrepo - E1</t>
  </si>
  <si>
    <t>CATI Calle 72 - E1</t>
  </si>
  <si>
    <t>Lunes</t>
  </si>
  <si>
    <t>CATI U INCAP - E1</t>
  </si>
  <si>
    <t>CATI Centro Internacional - E1</t>
  </si>
  <si>
    <t>CATI U Sabana - E1</t>
  </si>
  <si>
    <t>CATI Portal Americas - E3</t>
  </si>
  <si>
    <t>CATI U Nacional - E1</t>
  </si>
  <si>
    <t>CATI U Central Sede Centro - E1</t>
  </si>
  <si>
    <t>CATI U Central Sede Norte - E1</t>
  </si>
  <si>
    <t>CATI Movil - E1</t>
  </si>
  <si>
    <t>Miércoles</t>
  </si>
  <si>
    <t>Jueves</t>
  </si>
  <si>
    <t>Viernes</t>
  </si>
  <si>
    <t>Sábado</t>
  </si>
  <si>
    <t>Domingo</t>
  </si>
  <si>
    <t>Martes</t>
  </si>
  <si>
    <t>CATI Compensar - E1</t>
  </si>
  <si>
    <t>HORTUA NORTE</t>
  </si>
  <si>
    <t>HORTUA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</si>
</sst>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_-* #,##0\ _p_t_a_-;\-* #,##0\ _p_t_a_-;_-* &quot;-&quot;\ _p_t_a_-;_-@_-"/>
    <numFmt numFmtId="165" formatCode="_-* #,##0.00\ &quot;pta&quot;_-;\-* #,##0.00\ &quot;pta&quot;_-;_-* &quot;-&quot;??\ &quot;pta&quot;_-;_-@_-"/>
    <numFmt numFmtId="166" formatCode="_-* #,##0.00\ _p_t_a_-;\-* #,##0.00\ _p_t_a_-;_-* &quot;-&quot;??\ _p_t_a_-;_-@_-"/>
    <numFmt numFmtId="167" formatCode="0.0000"/>
    <numFmt numFmtId="168" formatCode="_-* #,##0.00\ _p_t_a_-;\-* #,##0.00\ _p_t_a_-;_-* &quot;-&quot;\ _p_t_a_-;_-@_-"/>
    <numFmt numFmtId="169" formatCode="#,##0.0000"/>
    <numFmt numFmtId="170" formatCode="_-* #,##0.000\ _p_t_a_-;\-* #,##0.000\ _p_t_a_-;_-* &quot;-&quot;??\ _p_t_a_-;_-@_-"/>
    <numFmt numFmtId="171" formatCode="_-* #,##0.00\ [$€-1]_-;\-* #,##0.00\ [$€-1]_-;_-* &quot;-&quot;??\ [$€-1]_-"/>
    <numFmt numFmtId="172" formatCode="_-* #,##0\ _p_t_a_-;\-* #,##0\ _p_t_a_-;_-* &quot;-&quot;??\ _p_t_a_-;_-@_-"/>
    <numFmt numFmtId="173" formatCode="#,##0.000"/>
    <numFmt numFmtId="174" formatCode="&quot;$&quot;\ #,##0"/>
    <numFmt numFmtId="175" formatCode="&quot;$&quot;\ #,##0.000"/>
    <numFmt numFmtId="176" formatCode="&quot;$&quot;\ #,##0.00"/>
    <numFmt numFmtId="177" formatCode="_-* #,##0.000\ _€_-;\-* #,##0.000\ _€_-;_-* &quot;-&quot;???\ _€_-;_-@_-"/>
    <numFmt numFmtId="178" formatCode="&quot;$&quot;#,##0"/>
  </numFmts>
  <fonts count="29" x14ac:knownFonts="1">
    <font>
      <sz val="10"/>
      <name val="Arial"/>
    </font>
    <font>
      <sz val="10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color indexed="12"/>
      <name val="Tahoma"/>
      <family val="2"/>
    </font>
    <font>
      <b/>
      <sz val="16"/>
      <name val="Arial"/>
      <family val="2"/>
    </font>
    <font>
      <sz val="8"/>
      <name val="Tahoma"/>
      <family val="2"/>
    </font>
    <font>
      <b/>
      <sz val="8"/>
      <color indexed="9"/>
      <name val="Tahoma"/>
      <family val="2"/>
    </font>
    <font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sz val="8"/>
      <name val="Tahoma"/>
      <family val="2"/>
    </font>
    <font>
      <b/>
      <sz val="12"/>
      <name val="Tahoma"/>
      <family val="2"/>
    </font>
    <font>
      <b/>
      <sz val="11"/>
      <color indexed="8"/>
      <name val="Tahoma"/>
      <family val="2"/>
    </font>
    <font>
      <b/>
      <sz val="11"/>
      <name val="Arial"/>
      <family val="2"/>
    </font>
    <font>
      <b/>
      <sz val="11"/>
      <name val="Tahoma"/>
      <family val="2"/>
    </font>
    <font>
      <b/>
      <sz val="11"/>
      <color indexed="10"/>
      <name val="Tahoma"/>
      <family val="2"/>
    </font>
    <font>
      <sz val="11"/>
      <name val="Arial"/>
      <family val="2"/>
    </font>
    <font>
      <b/>
      <sz val="11"/>
      <color indexed="12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8">
    <xf numFmtId="0" fontId="0" fillId="0" borderId="0" xfId="0"/>
    <xf numFmtId="0" fontId="4" fillId="0" borderId="0" xfId="0" applyFont="1"/>
    <xf numFmtId="164" fontId="0" fillId="0" borderId="0" xfId="0" applyNumberFormat="1"/>
    <xf numFmtId="164" fontId="0" fillId="0" borderId="0" xfId="3" applyFont="1"/>
    <xf numFmtId="3" fontId="0" fillId="0" borderId="0" xfId="0" applyNumberFormat="1"/>
    <xf numFmtId="3" fontId="4" fillId="0" borderId="0" xfId="0" applyNumberFormat="1" applyFont="1"/>
    <xf numFmtId="3" fontId="4" fillId="0" borderId="0" xfId="0" applyNumberFormat="1" applyFont="1" applyFill="1" applyBorder="1"/>
    <xf numFmtId="3" fontId="2" fillId="0" borderId="0" xfId="0" applyNumberFormat="1" applyFont="1" applyFill="1" applyBorder="1"/>
    <xf numFmtId="3" fontId="0" fillId="0" borderId="0" xfId="0" applyNumberFormat="1" applyFill="1"/>
    <xf numFmtId="0" fontId="7" fillId="0" borderId="0" xfId="0" applyFont="1" applyFill="1" applyBorder="1"/>
    <xf numFmtId="3" fontId="5" fillId="0" borderId="0" xfId="0" applyNumberFormat="1" applyFont="1" applyFill="1"/>
    <xf numFmtId="9" fontId="0" fillId="0" borderId="0" xfId="5" applyFont="1"/>
    <xf numFmtId="0" fontId="0" fillId="0" borderId="0" xfId="0" applyFill="1"/>
    <xf numFmtId="38" fontId="0" fillId="0" borderId="0" xfId="0" applyNumberFormat="1"/>
    <xf numFmtId="38" fontId="0" fillId="0" borderId="0" xfId="0" applyNumberFormat="1" applyFill="1"/>
    <xf numFmtId="172" fontId="0" fillId="0" borderId="0" xfId="2" applyNumberFormat="1" applyFont="1"/>
    <xf numFmtId="0" fontId="0" fillId="0" borderId="1" xfId="0" applyBorder="1"/>
    <xf numFmtId="164" fontId="0" fillId="0" borderId="0" xfId="0" applyNumberFormat="1" applyFill="1"/>
    <xf numFmtId="3" fontId="4" fillId="0" borderId="0" xfId="0" applyNumberFormat="1" applyFont="1" applyFill="1" applyBorder="1" applyAlignment="1">
      <alignment horizontal="left"/>
    </xf>
    <xf numFmtId="3" fontId="12" fillId="0" borderId="0" xfId="0" applyNumberFormat="1" applyFont="1" applyFill="1"/>
    <xf numFmtId="0" fontId="10" fillId="0" borderId="0" xfId="0" applyFont="1" applyFill="1" applyBorder="1" applyAlignment="1">
      <alignment horizontal="left"/>
    </xf>
    <xf numFmtId="0" fontId="13" fillId="0" borderId="0" xfId="0" applyFont="1"/>
    <xf numFmtId="9" fontId="6" fillId="0" borderId="0" xfId="5" applyFont="1"/>
    <xf numFmtId="0" fontId="6" fillId="0" borderId="0" xfId="0" applyFont="1"/>
    <xf numFmtId="9" fontId="6" fillId="0" borderId="0" xfId="5" applyFont="1" applyFill="1"/>
    <xf numFmtId="4" fontId="4" fillId="0" borderId="0" xfId="0" applyNumberFormat="1" applyFont="1"/>
    <xf numFmtId="169" fontId="0" fillId="0" borderId="0" xfId="0" applyNumberFormat="1"/>
    <xf numFmtId="3" fontId="6" fillId="0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38" fontId="4" fillId="0" borderId="0" xfId="0" applyNumberFormat="1" applyFont="1"/>
    <xf numFmtId="0" fontId="15" fillId="0" borderId="2" xfId="0" applyFont="1" applyBorder="1" applyProtection="1">
      <protection hidden="1"/>
    </xf>
    <xf numFmtId="3" fontId="0" fillId="0" borderId="0" xfId="0" applyNumberFormat="1" applyAlignment="1">
      <alignment horizontal="left"/>
    </xf>
    <xf numFmtId="3" fontId="4" fillId="0" borderId="0" xfId="0" applyNumberFormat="1" applyFont="1" applyAlignment="1">
      <alignment horizontal="left"/>
    </xf>
    <xf numFmtId="0" fontId="0" fillId="0" borderId="3" xfId="0" applyBorder="1" applyAlignment="1">
      <alignment horizontal="left"/>
    </xf>
    <xf numFmtId="0" fontId="14" fillId="2" borderId="4" xfId="0" applyFont="1" applyFill="1" applyBorder="1" applyAlignment="1" applyProtection="1">
      <alignment horizontal="left"/>
      <protection hidden="1"/>
    </xf>
    <xf numFmtId="3" fontId="16" fillId="0" borderId="0" xfId="0" applyNumberFormat="1" applyFont="1" applyFill="1"/>
    <xf numFmtId="0" fontId="14" fillId="0" borderId="4" xfId="0" applyFont="1" applyBorder="1" applyProtection="1">
      <protection hidden="1"/>
    </xf>
    <xf numFmtId="0" fontId="14" fillId="0" borderId="5" xfId="0" applyFont="1" applyBorder="1" applyProtection="1">
      <protection hidden="1"/>
    </xf>
    <xf numFmtId="0" fontId="3" fillId="0" borderId="6" xfId="0" applyFont="1" applyBorder="1"/>
    <xf numFmtId="0" fontId="3" fillId="0" borderId="4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4" xfId="0" applyFont="1" applyFill="1" applyBorder="1"/>
    <xf numFmtId="0" fontId="3" fillId="0" borderId="5" xfId="0" applyFont="1" applyBorder="1"/>
    <xf numFmtId="0" fontId="3" fillId="0" borderId="8" xfId="0" applyFont="1" applyFill="1" applyBorder="1"/>
    <xf numFmtId="0" fontId="3" fillId="0" borderId="4" xfId="0" applyFont="1" applyBorder="1" applyAlignment="1">
      <alignment vertical="center"/>
    </xf>
    <xf numFmtId="3" fontId="11" fillId="0" borderId="5" xfId="0" applyNumberFormat="1" applyFont="1" applyBorder="1"/>
    <xf numFmtId="3" fontId="11" fillId="0" borderId="7" xfId="0" applyNumberFormat="1" applyFont="1" applyBorder="1"/>
    <xf numFmtId="0" fontId="3" fillId="0" borderId="6" xfId="0" applyFont="1" applyBorder="1" applyAlignment="1">
      <alignment vertical="center"/>
    </xf>
    <xf numFmtId="0" fontId="3" fillId="0" borderId="7" xfId="0" applyFont="1" applyBorder="1" applyAlignment="1" applyProtection="1">
      <alignment vertical="center"/>
      <protection hidden="1"/>
    </xf>
    <xf numFmtId="0" fontId="3" fillId="0" borderId="6" xfId="0" applyFont="1" applyBorder="1" applyProtection="1">
      <protection hidden="1"/>
    </xf>
    <xf numFmtId="3" fontId="11" fillId="0" borderId="5" xfId="0" applyNumberFormat="1" applyFont="1" applyBorder="1" applyProtection="1">
      <protection hidden="1"/>
    </xf>
    <xf numFmtId="0" fontId="3" fillId="0" borderId="5" xfId="0" applyFont="1" applyFill="1" applyBorder="1"/>
    <xf numFmtId="0" fontId="3" fillId="0" borderId="4" xfId="0" applyFont="1" applyBorder="1" applyProtection="1">
      <protection locked="0"/>
    </xf>
    <xf numFmtId="0" fontId="3" fillId="0" borderId="4" xfId="0" applyFont="1" applyBorder="1" applyAlignment="1" applyProtection="1">
      <alignment wrapText="1"/>
      <protection locked="0"/>
    </xf>
    <xf numFmtId="38" fontId="0" fillId="3" borderId="0" xfId="0" applyNumberFormat="1" applyFill="1"/>
    <xf numFmtId="0" fontId="15" fillId="3" borderId="4" xfId="0" applyFont="1" applyFill="1" applyBorder="1" applyAlignment="1" applyProtection="1">
      <alignment horizontal="right"/>
      <protection hidden="1"/>
    </xf>
    <xf numFmtId="3" fontId="12" fillId="4" borderId="0" xfId="0" applyNumberFormat="1" applyFont="1" applyFill="1"/>
    <xf numFmtId="0" fontId="19" fillId="5" borderId="0" xfId="0" applyFont="1" applyFill="1" applyAlignment="1">
      <alignment horizontal="center"/>
    </xf>
    <xf numFmtId="15" fontId="19" fillId="5" borderId="9" xfId="0" applyNumberFormat="1" applyFont="1" applyFill="1" applyBorder="1" applyAlignment="1">
      <alignment horizontal="center"/>
    </xf>
    <xf numFmtId="3" fontId="20" fillId="6" borderId="10" xfId="0" applyNumberFormat="1" applyFont="1" applyFill="1" applyBorder="1" applyAlignment="1">
      <alignment horizontal="left"/>
    </xf>
    <xf numFmtId="3" fontId="22" fillId="7" borderId="10" xfId="0" applyNumberFormat="1" applyFont="1" applyFill="1" applyBorder="1" applyAlignment="1">
      <alignment horizontal="left"/>
    </xf>
    <xf numFmtId="0" fontId="22" fillId="4" borderId="0" xfId="0" applyFont="1" applyFill="1" applyBorder="1" applyAlignment="1">
      <alignment horizontal="left"/>
    </xf>
    <xf numFmtId="164" fontId="21" fillId="4" borderId="0" xfId="3" applyFont="1" applyFill="1" applyBorder="1" applyAlignment="1">
      <alignment horizontal="right"/>
    </xf>
    <xf numFmtId="0" fontId="2" fillId="3" borderId="6" xfId="0" applyFont="1" applyFill="1" applyBorder="1"/>
    <xf numFmtId="0" fontId="2" fillId="3" borderId="4" xfId="0" applyFont="1" applyFill="1" applyBorder="1"/>
    <xf numFmtId="0" fontId="0" fillId="0" borderId="4" xfId="0" applyBorder="1"/>
    <xf numFmtId="0" fontId="4" fillId="3" borderId="13" xfId="0" applyFont="1" applyFill="1" applyBorder="1"/>
    <xf numFmtId="0" fontId="4" fillId="3" borderId="14" xfId="0" applyFont="1" applyFill="1" applyBorder="1"/>
    <xf numFmtId="0" fontId="2" fillId="3" borderId="5" xfId="0" applyFont="1" applyFill="1" applyBorder="1"/>
    <xf numFmtId="0" fontId="2" fillId="3" borderId="5" xfId="0" applyFont="1" applyFill="1" applyBorder="1" applyProtection="1">
      <protection hidden="1"/>
    </xf>
    <xf numFmtId="0" fontId="2" fillId="3" borderId="4" xfId="0" applyFont="1" applyFill="1" applyBorder="1" applyProtection="1">
      <protection hidden="1"/>
    </xf>
    <xf numFmtId="0" fontId="3" fillId="2" borderId="4" xfId="0" applyFont="1" applyFill="1" applyBorder="1" applyAlignment="1" applyProtection="1">
      <alignment vertical="center"/>
      <protection hidden="1"/>
    </xf>
    <xf numFmtId="0" fontId="2" fillId="3" borderId="7" xfId="0" applyFont="1" applyFill="1" applyBorder="1"/>
    <xf numFmtId="0" fontId="18" fillId="3" borderId="13" xfId="0" applyFont="1" applyFill="1" applyBorder="1"/>
    <xf numFmtId="0" fontId="9" fillId="0" borderId="4" xfId="0" applyFont="1" applyBorder="1"/>
    <xf numFmtId="0" fontId="18" fillId="3" borderId="4" xfId="0" applyFont="1" applyFill="1" applyBorder="1"/>
    <xf numFmtId="0" fontId="14" fillId="0" borderId="14" xfId="0" applyFont="1" applyBorder="1" applyProtection="1">
      <protection hidden="1"/>
    </xf>
    <xf numFmtId="0" fontId="15" fillId="3" borderId="11" xfId="0" applyFont="1" applyFill="1" applyBorder="1" applyProtection="1">
      <protection hidden="1"/>
    </xf>
    <xf numFmtId="0" fontId="15" fillId="3" borderId="11" xfId="0" applyFont="1" applyFill="1" applyBorder="1" applyAlignment="1" applyProtection="1">
      <alignment horizontal="left"/>
      <protection hidden="1"/>
    </xf>
    <xf numFmtId="0" fontId="14" fillId="2" borderId="7" xfId="0" applyFont="1" applyFill="1" applyBorder="1" applyAlignment="1" applyProtection="1">
      <alignment horizontal="left"/>
      <protection hidden="1"/>
    </xf>
    <xf numFmtId="0" fontId="2" fillId="3" borderId="4" xfId="0" applyFont="1" applyFill="1" applyBorder="1" applyAlignment="1" applyProtection="1">
      <alignment vertical="center"/>
      <protection hidden="1"/>
    </xf>
    <xf numFmtId="3" fontId="20" fillId="6" borderId="10" xfId="0" applyNumberFormat="1" applyFont="1" applyFill="1" applyBorder="1" applyAlignment="1">
      <alignment horizontal="center"/>
    </xf>
    <xf numFmtId="3" fontId="22" fillId="7" borderId="10" xfId="0" applyNumberFormat="1" applyFont="1" applyFill="1" applyBorder="1" applyAlignment="1">
      <alignment horizontal="center"/>
    </xf>
    <xf numFmtId="0" fontId="6" fillId="0" borderId="0" xfId="0" applyFont="1" applyFill="1"/>
    <xf numFmtId="0" fontId="3" fillId="2" borderId="6" xfId="0" applyFont="1" applyFill="1" applyBorder="1" applyAlignment="1" applyProtection="1">
      <alignment vertical="center"/>
      <protection hidden="1"/>
    </xf>
    <xf numFmtId="0" fontId="3" fillId="2" borderId="7" xfId="0" applyFont="1" applyFill="1" applyBorder="1" applyAlignment="1" applyProtection="1">
      <alignment vertical="center"/>
      <protection hidden="1"/>
    </xf>
    <xf numFmtId="0" fontId="17" fillId="3" borderId="6" xfId="0" applyFont="1" applyFill="1" applyBorder="1" applyProtection="1">
      <protection hidden="1"/>
    </xf>
    <xf numFmtId="0" fontId="11" fillId="0" borderId="4" xfId="0" applyFont="1" applyBorder="1" applyProtection="1">
      <protection hidden="1"/>
    </xf>
    <xf numFmtId="0" fontId="11" fillId="0" borderId="4" xfId="0" applyFont="1" applyFill="1" applyBorder="1" applyProtection="1">
      <protection hidden="1"/>
    </xf>
    <xf numFmtId="0" fontId="17" fillId="3" borderId="4" xfId="0" applyFont="1" applyFill="1" applyBorder="1" applyProtection="1">
      <protection hidden="1"/>
    </xf>
    <xf numFmtId="0" fontId="11" fillId="2" borderId="7" xfId="0" applyFont="1" applyFill="1" applyBorder="1" applyProtection="1">
      <protection hidden="1"/>
    </xf>
    <xf numFmtId="0" fontId="15" fillId="3" borderId="15" xfId="0" applyFont="1" applyFill="1" applyBorder="1" applyProtection="1">
      <protection hidden="1"/>
    </xf>
    <xf numFmtId="0" fontId="14" fillId="2" borderId="6" xfId="0" applyFont="1" applyFill="1" applyBorder="1" applyProtection="1">
      <protection hidden="1"/>
    </xf>
    <xf numFmtId="0" fontId="14" fillId="2" borderId="4" xfId="0" applyFont="1" applyFill="1" applyBorder="1" applyProtection="1">
      <protection hidden="1"/>
    </xf>
    <xf numFmtId="0" fontId="14" fillId="2" borderId="7" xfId="0" applyFont="1" applyFill="1" applyBorder="1" applyProtection="1">
      <protection hidden="1"/>
    </xf>
    <xf numFmtId="0" fontId="15" fillId="3" borderId="16" xfId="0" applyFont="1" applyFill="1" applyBorder="1" applyProtection="1">
      <protection hidden="1"/>
    </xf>
    <xf numFmtId="0" fontId="15" fillId="3" borderId="7" xfId="0" applyFont="1" applyFill="1" applyBorder="1" applyProtection="1">
      <protection hidden="1"/>
    </xf>
    <xf numFmtId="0" fontId="15" fillId="3" borderId="6" xfId="0" applyFont="1" applyFill="1" applyBorder="1" applyAlignment="1" applyProtection="1">
      <alignment horizontal="left"/>
      <protection hidden="1"/>
    </xf>
    <xf numFmtId="3" fontId="21" fillId="0" borderId="17" xfId="0" applyNumberFormat="1" applyFont="1" applyBorder="1" applyAlignment="1">
      <alignment horizontal="left"/>
    </xf>
    <xf numFmtId="3" fontId="21" fillId="0" borderId="18" xfId="0" applyNumberFormat="1" applyFont="1" applyBorder="1" applyAlignment="1">
      <alignment horizontal="left"/>
    </xf>
    <xf numFmtId="3" fontId="21" fillId="0" borderId="0" xfId="0" applyNumberFormat="1" applyFont="1" applyFill="1" applyBorder="1"/>
    <xf numFmtId="3" fontId="24" fillId="0" borderId="0" xfId="0" applyNumberFormat="1" applyFont="1"/>
    <xf numFmtId="3" fontId="21" fillId="0" borderId="19" xfId="0" applyNumberFormat="1" applyFont="1" applyBorder="1" applyAlignment="1">
      <alignment horizontal="left"/>
    </xf>
    <xf numFmtId="3" fontId="21" fillId="0" borderId="20" xfId="0" applyNumberFormat="1" applyFont="1" applyBorder="1" applyAlignment="1">
      <alignment horizontal="left"/>
    </xf>
    <xf numFmtId="3" fontId="21" fillId="3" borderId="21" xfId="0" applyNumberFormat="1" applyFont="1" applyFill="1" applyBorder="1" applyAlignment="1">
      <alignment horizontal="left"/>
    </xf>
    <xf numFmtId="3" fontId="21" fillId="3" borderId="22" xfId="0" applyNumberFormat="1" applyFont="1" applyFill="1" applyBorder="1" applyAlignment="1">
      <alignment horizontal="left"/>
    </xf>
    <xf numFmtId="0" fontId="25" fillId="0" borderId="10" xfId="0" applyFont="1" applyFill="1" applyBorder="1" applyAlignment="1">
      <alignment horizontal="left"/>
    </xf>
    <xf numFmtId="0" fontId="25" fillId="0" borderId="23" xfId="0" applyFont="1" applyFill="1" applyBorder="1" applyAlignment="1">
      <alignment horizontal="left"/>
    </xf>
    <xf numFmtId="3" fontId="21" fillId="0" borderId="0" xfId="0" applyNumberFormat="1" applyFont="1" applyFill="1" applyBorder="1" applyAlignment="1">
      <alignment horizontal="left"/>
    </xf>
    <xf numFmtId="0" fontId="25" fillId="0" borderId="19" xfId="0" applyFont="1" applyFill="1" applyBorder="1" applyAlignment="1">
      <alignment horizontal="left"/>
    </xf>
    <xf numFmtId="0" fontId="25" fillId="0" borderId="20" xfId="0" applyFont="1" applyFill="1" applyBorder="1" applyAlignment="1">
      <alignment horizontal="left"/>
    </xf>
    <xf numFmtId="0" fontId="24" fillId="0" borderId="0" xfId="0" applyFont="1" applyFill="1"/>
    <xf numFmtId="0" fontId="24" fillId="0" borderId="0" xfId="0" applyFont="1"/>
    <xf numFmtId="0" fontId="3" fillId="0" borderId="6" xfId="0" applyFont="1" applyFill="1" applyBorder="1"/>
    <xf numFmtId="0" fontId="2" fillId="3" borderId="5" xfId="0" applyFont="1" applyFill="1" applyBorder="1" applyAlignment="1" applyProtection="1">
      <alignment shrinkToFit="1"/>
      <protection hidden="1"/>
    </xf>
    <xf numFmtId="0" fontId="3" fillId="0" borderId="4" xfId="0" applyFont="1" applyFill="1" applyBorder="1" applyProtection="1">
      <protection locked="0"/>
    </xf>
    <xf numFmtId="3" fontId="2" fillId="3" borderId="4" xfId="0" applyNumberFormat="1" applyFont="1" applyFill="1" applyBorder="1" applyProtection="1">
      <protection locked="0"/>
    </xf>
    <xf numFmtId="0" fontId="2" fillId="3" borderId="4" xfId="0" applyFont="1" applyFill="1" applyBorder="1" applyProtection="1">
      <protection locked="0"/>
    </xf>
    <xf numFmtId="0" fontId="22" fillId="0" borderId="0" xfId="0" applyFont="1" applyFill="1" applyBorder="1" applyAlignment="1">
      <alignment horizontal="left"/>
    </xf>
    <xf numFmtId="0" fontId="4" fillId="4" borderId="0" xfId="0" applyFont="1" applyFill="1" applyAlignment="1"/>
    <xf numFmtId="0" fontId="4" fillId="4" borderId="0" xfId="0" applyFont="1" applyFill="1" applyAlignment="1">
      <alignment horizontal="center"/>
    </xf>
    <xf numFmtId="3" fontId="0" fillId="4" borderId="0" xfId="0" applyNumberFormat="1" applyFill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23" xfId="0" applyFont="1" applyFill="1" applyBorder="1" applyAlignment="1">
      <alignment horizontal="left"/>
    </xf>
    <xf numFmtId="3" fontId="4" fillId="3" borderId="0" xfId="0" applyNumberFormat="1" applyFont="1" applyFill="1"/>
    <xf numFmtId="3" fontId="4" fillId="3" borderId="19" xfId="0" applyNumberFormat="1" applyFont="1" applyFill="1" applyBorder="1"/>
    <xf numFmtId="3" fontId="5" fillId="3" borderId="20" xfId="0" applyNumberFormat="1" applyFont="1" applyFill="1" applyBorder="1"/>
    <xf numFmtId="164" fontId="4" fillId="3" borderId="0" xfId="3" applyFont="1" applyFill="1"/>
    <xf numFmtId="3" fontId="5" fillId="3" borderId="23" xfId="0" applyNumberFormat="1" applyFont="1" applyFill="1" applyBorder="1"/>
    <xf numFmtId="164" fontId="5" fillId="3" borderId="0" xfId="3" applyFont="1" applyFill="1"/>
    <xf numFmtId="3" fontId="5" fillId="3" borderId="22" xfId="0" applyNumberFormat="1" applyFont="1" applyFill="1" applyBorder="1"/>
    <xf numFmtId="3" fontId="2" fillId="0" borderId="24" xfId="0" applyNumberFormat="1" applyFont="1" applyFill="1" applyBorder="1"/>
    <xf numFmtId="3" fontId="4" fillId="0" borderId="22" xfId="0" applyNumberFormat="1" applyFont="1" applyFill="1" applyBorder="1"/>
    <xf numFmtId="0" fontId="2" fillId="4" borderId="7" xfId="0" applyFont="1" applyFill="1" applyBorder="1"/>
    <xf numFmtId="3" fontId="28" fillId="6" borderId="10" xfId="0" applyNumberFormat="1" applyFont="1" applyFill="1" applyBorder="1" applyAlignment="1">
      <alignment horizontal="left"/>
    </xf>
    <xf numFmtId="3" fontId="27" fillId="7" borderId="10" xfId="0" applyNumberFormat="1" applyFont="1" applyFill="1" applyBorder="1" applyAlignment="1">
      <alignment horizontal="left"/>
    </xf>
    <xf numFmtId="0" fontId="26" fillId="0" borderId="0" xfId="0" applyFont="1"/>
    <xf numFmtId="3" fontId="28" fillId="3" borderId="25" xfId="0" applyNumberFormat="1" applyFont="1" applyFill="1" applyBorder="1"/>
    <xf numFmtId="3" fontId="28" fillId="3" borderId="24" xfId="0" applyNumberFormat="1" applyFont="1" applyFill="1" applyBorder="1"/>
    <xf numFmtId="38" fontId="6" fillId="3" borderId="0" xfId="0" applyNumberFormat="1" applyFont="1" applyFill="1"/>
    <xf numFmtId="0" fontId="0" fillId="0" borderId="1" xfId="0" applyFill="1" applyBorder="1"/>
    <xf numFmtId="0" fontId="0" fillId="0" borderId="0" xfId="0" applyFill="1" applyBorder="1"/>
    <xf numFmtId="3" fontId="4" fillId="0" borderId="0" xfId="0" applyNumberFormat="1" applyFont="1" applyFill="1"/>
    <xf numFmtId="0" fontId="4" fillId="0" borderId="0" xfId="0" applyFont="1" applyFill="1"/>
    <xf numFmtId="172" fontId="0" fillId="0" borderId="0" xfId="2" applyNumberFormat="1" applyFont="1" applyFill="1"/>
    <xf numFmtId="172" fontId="22" fillId="4" borderId="0" xfId="2" applyNumberFormat="1" applyFont="1" applyFill="1" applyBorder="1" applyAlignment="1">
      <alignment horizontal="center"/>
    </xf>
    <xf numFmtId="0" fontId="27" fillId="5" borderId="10" xfId="0" applyFont="1" applyFill="1" applyBorder="1" applyAlignment="1">
      <alignment horizontal="center" vertical="center"/>
    </xf>
    <xf numFmtId="0" fontId="27" fillId="5" borderId="23" xfId="0" applyFont="1" applyFill="1" applyBorder="1" applyAlignment="1">
      <alignment horizontal="center" vertical="center"/>
    </xf>
    <xf numFmtId="15" fontId="27" fillId="5" borderId="23" xfId="0" applyNumberFormat="1" applyFont="1" applyFill="1" applyBorder="1" applyAlignment="1">
      <alignment horizontal="center"/>
    </xf>
    <xf numFmtId="15" fontId="27" fillId="5" borderId="11" xfId="0" applyNumberFormat="1" applyFont="1" applyFill="1" applyBorder="1" applyAlignment="1">
      <alignment horizontal="center"/>
    </xf>
    <xf numFmtId="3" fontId="2" fillId="8" borderId="0" xfId="0" applyNumberFormat="1" applyFont="1" applyFill="1" applyBorder="1"/>
    <xf numFmtId="3" fontId="0" fillId="0" borderId="0" xfId="0" applyNumberFormat="1" applyFill="1" applyAlignment="1">
      <alignment horizontal="left"/>
    </xf>
    <xf numFmtId="170" fontId="4" fillId="4" borderId="0" xfId="2" applyNumberFormat="1" applyFont="1" applyFill="1"/>
    <xf numFmtId="173" fontId="0" fillId="0" borderId="0" xfId="0" applyNumberFormat="1"/>
    <xf numFmtId="168" fontId="0" fillId="4" borderId="0" xfId="3" applyNumberFormat="1" applyFont="1" applyFill="1"/>
    <xf numFmtId="174" fontId="2" fillId="3" borderId="4" xfId="0" applyNumberFormat="1" applyFont="1" applyFill="1" applyBorder="1" applyProtection="1">
      <protection locked="0"/>
    </xf>
    <xf numFmtId="170" fontId="28" fillId="6" borderId="4" xfId="2" applyNumberFormat="1" applyFont="1" applyFill="1" applyBorder="1" applyAlignment="1">
      <alignment horizontal="center"/>
    </xf>
    <xf numFmtId="173" fontId="27" fillId="7" borderId="4" xfId="0" applyNumberFormat="1" applyFont="1" applyFill="1" applyBorder="1" applyAlignment="1">
      <alignment horizontal="center"/>
    </xf>
    <xf numFmtId="173" fontId="27" fillId="7" borderId="7" xfId="0" applyNumberFormat="1" applyFont="1" applyFill="1" applyBorder="1" applyAlignment="1">
      <alignment horizontal="center"/>
    </xf>
    <xf numFmtId="3" fontId="27" fillId="7" borderId="26" xfId="0" applyNumberFormat="1" applyFont="1" applyFill="1" applyBorder="1" applyAlignment="1">
      <alignment horizontal="left"/>
    </xf>
    <xf numFmtId="3" fontId="27" fillId="7" borderId="27" xfId="0" applyNumberFormat="1" applyFont="1" applyFill="1" applyBorder="1" applyAlignment="1">
      <alignment horizontal="left"/>
    </xf>
    <xf numFmtId="15" fontId="27" fillId="5" borderId="10" xfId="0" applyNumberFormat="1" applyFont="1" applyFill="1" applyBorder="1" applyAlignment="1">
      <alignment horizontal="center"/>
    </xf>
    <xf numFmtId="3" fontId="0" fillId="0" borderId="17" xfId="0" applyNumberFormat="1" applyBorder="1"/>
    <xf numFmtId="174" fontId="1" fillId="0" borderId="0" xfId="2" applyNumberFormat="1" applyBorder="1"/>
    <xf numFmtId="3" fontId="0" fillId="0" borderId="17" xfId="0" applyNumberFormat="1" applyFill="1" applyBorder="1"/>
    <xf numFmtId="174" fontId="1" fillId="0" borderId="0" xfId="2" applyNumberFormat="1" applyFill="1" applyBorder="1"/>
    <xf numFmtId="3" fontId="6" fillId="3" borderId="17" xfId="0" applyNumberFormat="1" applyFont="1" applyFill="1" applyBorder="1"/>
    <xf numFmtId="174" fontId="6" fillId="3" borderId="0" xfId="0" applyNumberFormat="1" applyFont="1" applyFill="1" applyBorder="1"/>
    <xf numFmtId="174" fontId="6" fillId="3" borderId="18" xfId="0" applyNumberFormat="1" applyFont="1" applyFill="1" applyBorder="1"/>
    <xf numFmtId="174" fontId="0" fillId="0" borderId="0" xfId="0" applyNumberFormat="1" applyFill="1" applyBorder="1"/>
    <xf numFmtId="174" fontId="0" fillId="0" borderId="18" xfId="0" applyNumberFormat="1" applyFill="1" applyBorder="1"/>
    <xf numFmtId="3" fontId="0" fillId="0" borderId="18" xfId="0" applyNumberFormat="1" applyFill="1" applyBorder="1"/>
    <xf numFmtId="3" fontId="4" fillId="0" borderId="17" xfId="0" applyNumberFormat="1" applyFont="1" applyFill="1" applyBorder="1"/>
    <xf numFmtId="174" fontId="4" fillId="0" borderId="0" xfId="2" applyNumberFormat="1" applyFont="1" applyFill="1" applyBorder="1"/>
    <xf numFmtId="3" fontId="4" fillId="0" borderId="18" xfId="0" applyNumberFormat="1" applyFont="1" applyFill="1" applyBorder="1"/>
    <xf numFmtId="3" fontId="0" fillId="0" borderId="18" xfId="0" applyNumberFormat="1" applyBorder="1"/>
    <xf numFmtId="164" fontId="1" fillId="0" borderId="17" xfId="3" applyFill="1" applyBorder="1"/>
    <xf numFmtId="164" fontId="1" fillId="0" borderId="18" xfId="3" applyFill="1" applyBorder="1"/>
    <xf numFmtId="174" fontId="1" fillId="4" borderId="0" xfId="2" applyNumberFormat="1" applyFill="1" applyBorder="1"/>
    <xf numFmtId="0" fontId="0" fillId="0" borderId="17" xfId="0" applyFill="1" applyBorder="1"/>
    <xf numFmtId="167" fontId="0" fillId="0" borderId="18" xfId="0" applyNumberFormat="1" applyBorder="1"/>
    <xf numFmtId="174" fontId="4" fillId="3" borderId="0" xfId="2" applyNumberFormat="1" applyFont="1" applyFill="1" applyBorder="1"/>
    <xf numFmtId="0" fontId="1" fillId="0" borderId="17" xfId="0" applyFont="1" applyBorder="1"/>
    <xf numFmtId="174" fontId="1" fillId="0" borderId="0" xfId="2" applyNumberFormat="1" applyFont="1" applyBorder="1"/>
    <xf numFmtId="0" fontId="1" fillId="0" borderId="18" xfId="0" applyFont="1" applyBorder="1"/>
    <xf numFmtId="164" fontId="4" fillId="3" borderId="17" xfId="3" applyFont="1" applyFill="1" applyBorder="1"/>
    <xf numFmtId="164" fontId="5" fillId="3" borderId="17" xfId="3" applyFont="1" applyFill="1" applyBorder="1"/>
    <xf numFmtId="174" fontId="5" fillId="3" borderId="0" xfId="2" applyNumberFormat="1" applyFont="1" applyFill="1" applyBorder="1"/>
    <xf numFmtId="164" fontId="5" fillId="3" borderId="18" xfId="3" applyFont="1" applyFill="1" applyBorder="1"/>
    <xf numFmtId="164" fontId="5" fillId="3" borderId="0" xfId="3" applyFont="1" applyFill="1" applyBorder="1"/>
    <xf numFmtId="3" fontId="6" fillId="0" borderId="17" xfId="0" applyNumberFormat="1" applyFont="1" applyFill="1" applyBorder="1" applyAlignment="1">
      <alignment horizontal="center"/>
    </xf>
    <xf numFmtId="174" fontId="6" fillId="0" borderId="0" xfId="2" applyNumberFormat="1" applyFont="1" applyFill="1" applyBorder="1" applyAlignment="1">
      <alignment horizontal="center"/>
    </xf>
    <xf numFmtId="3" fontId="6" fillId="0" borderId="18" xfId="0" applyNumberFormat="1" applyFont="1" applyFill="1" applyBorder="1" applyAlignment="1">
      <alignment horizontal="center"/>
    </xf>
    <xf numFmtId="9" fontId="1" fillId="0" borderId="17" xfId="5" applyBorder="1"/>
    <xf numFmtId="9" fontId="1" fillId="0" borderId="0" xfId="5" applyBorder="1"/>
    <xf numFmtId="9" fontId="1" fillId="0" borderId="18" xfId="5" applyBorder="1"/>
    <xf numFmtId="0" fontId="0" fillId="0" borderId="17" xfId="0" applyBorder="1"/>
    <xf numFmtId="0" fontId="0" fillId="0" borderId="0" xfId="0" applyBorder="1"/>
    <xf numFmtId="0" fontId="0" fillId="0" borderId="18" xfId="0" applyBorder="1"/>
    <xf numFmtId="164" fontId="0" fillId="0" borderId="17" xfId="0" applyNumberFormat="1" applyBorder="1"/>
    <xf numFmtId="164" fontId="0" fillId="0" borderId="0" xfId="0" applyNumberFormat="1" applyBorder="1"/>
    <xf numFmtId="164" fontId="0" fillId="0" borderId="18" xfId="0" applyNumberFormat="1" applyBorder="1"/>
    <xf numFmtId="0" fontId="0" fillId="0" borderId="21" xfId="0" applyBorder="1"/>
    <xf numFmtId="0" fontId="0" fillId="0" borderId="22" xfId="0" applyBorder="1"/>
    <xf numFmtId="173" fontId="4" fillId="4" borderId="17" xfId="0" applyNumberFormat="1" applyFont="1" applyFill="1" applyBorder="1"/>
    <xf numFmtId="173" fontId="4" fillId="4" borderId="0" xfId="2" applyNumberFormat="1" applyFont="1" applyFill="1" applyBorder="1"/>
    <xf numFmtId="174" fontId="27" fillId="7" borderId="4" xfId="0" applyNumberFormat="1" applyFont="1" applyFill="1" applyBorder="1" applyAlignment="1">
      <alignment horizontal="center"/>
    </xf>
    <xf numFmtId="175" fontId="4" fillId="4" borderId="18" xfId="0" applyNumberFormat="1" applyFont="1" applyFill="1" applyBorder="1"/>
    <xf numFmtId="174" fontId="27" fillId="7" borderId="7" xfId="0" applyNumberFormat="1" applyFont="1" applyFill="1" applyBorder="1" applyAlignment="1">
      <alignment horizontal="center"/>
    </xf>
    <xf numFmtId="174" fontId="4" fillId="3" borderId="17" xfId="0" applyNumberFormat="1" applyFont="1" applyFill="1" applyBorder="1"/>
    <xf numFmtId="174" fontId="0" fillId="0" borderId="17" xfId="0" applyNumberFormat="1" applyFill="1" applyBorder="1"/>
    <xf numFmtId="174" fontId="1" fillId="0" borderId="17" xfId="3" applyNumberFormat="1" applyFill="1" applyBorder="1"/>
    <xf numFmtId="174" fontId="1" fillId="0" borderId="18" xfId="3" applyNumberFormat="1" applyFill="1" applyBorder="1"/>
    <xf numFmtId="174" fontId="0" fillId="0" borderId="17" xfId="0" applyNumberFormat="1" applyBorder="1"/>
    <xf numFmtId="174" fontId="0" fillId="0" borderId="18" xfId="0" applyNumberFormat="1" applyBorder="1"/>
    <xf numFmtId="174" fontId="1" fillId="4" borderId="18" xfId="3" applyNumberFormat="1" applyFill="1" applyBorder="1"/>
    <xf numFmtId="3" fontId="0" fillId="4" borderId="0" xfId="0" applyNumberFormat="1" applyFill="1"/>
    <xf numFmtId="166" fontId="0" fillId="0" borderId="0" xfId="2" applyFont="1" applyFill="1"/>
    <xf numFmtId="0" fontId="8" fillId="9" borderId="17" xfId="0" applyFont="1" applyFill="1" applyBorder="1" applyAlignment="1">
      <alignment horizontal="center" vertical="center" textRotation="90" wrapText="1"/>
    </xf>
    <xf numFmtId="0" fontId="0" fillId="0" borderId="19" xfId="0" applyBorder="1"/>
    <xf numFmtId="0" fontId="0" fillId="0" borderId="20" xfId="0" applyBorder="1"/>
    <xf numFmtId="3" fontId="27" fillId="7" borderId="28" xfId="0" applyNumberFormat="1" applyFont="1" applyFill="1" applyBorder="1" applyAlignment="1">
      <alignment horizontal="left"/>
    </xf>
    <xf numFmtId="3" fontId="27" fillId="7" borderId="29" xfId="0" applyNumberFormat="1" applyFont="1" applyFill="1" applyBorder="1" applyAlignment="1">
      <alignment horizontal="left"/>
    </xf>
    <xf numFmtId="0" fontId="22" fillId="0" borderId="17" xfId="0" applyFont="1" applyFill="1" applyBorder="1" applyAlignment="1">
      <alignment horizontal="left"/>
    </xf>
    <xf numFmtId="3" fontId="2" fillId="0" borderId="18" xfId="0" applyNumberFormat="1" applyFont="1" applyFill="1" applyBorder="1"/>
    <xf numFmtId="0" fontId="4" fillId="4" borderId="17" xfId="0" applyFont="1" applyFill="1" applyBorder="1" applyAlignment="1"/>
    <xf numFmtId="0" fontId="4" fillId="4" borderId="18" xfId="0" applyFont="1" applyFill="1" applyBorder="1" applyAlignment="1">
      <alignment horizontal="center"/>
    </xf>
    <xf numFmtId="3" fontId="0" fillId="0" borderId="17" xfId="0" applyNumberFormat="1" applyBorder="1" applyAlignment="1">
      <alignment horizontal="left"/>
    </xf>
    <xf numFmtId="3" fontId="0" fillId="0" borderId="18" xfId="0" applyNumberFormat="1" applyBorder="1" applyAlignment="1">
      <alignment horizontal="left"/>
    </xf>
    <xf numFmtId="3" fontId="4" fillId="0" borderId="17" xfId="0" applyNumberFormat="1" applyFont="1" applyBorder="1" applyAlignment="1">
      <alignment horizontal="left"/>
    </xf>
    <xf numFmtId="3" fontId="4" fillId="0" borderId="18" xfId="0" applyNumberFormat="1" applyFont="1" applyBorder="1" applyAlignment="1">
      <alignment horizontal="left"/>
    </xf>
    <xf numFmtId="3" fontId="0" fillId="4" borderId="17" xfId="0" applyNumberFormat="1" applyFill="1" applyBorder="1" applyAlignment="1">
      <alignment horizontal="left"/>
    </xf>
    <xf numFmtId="3" fontId="0" fillId="4" borderId="18" xfId="0" applyNumberFormat="1" applyFill="1" applyBorder="1" applyAlignment="1">
      <alignment horizontal="left"/>
    </xf>
    <xf numFmtId="3" fontId="0" fillId="0" borderId="17" xfId="0" applyNumberFormat="1" applyFill="1" applyBorder="1" applyAlignment="1">
      <alignment horizontal="left"/>
    </xf>
    <xf numFmtId="3" fontId="0" fillId="0" borderId="18" xfId="0" applyNumberFormat="1" applyFill="1" applyBorder="1" applyAlignment="1">
      <alignment horizontal="left"/>
    </xf>
    <xf numFmtId="0" fontId="0" fillId="0" borderId="18" xfId="0" applyFill="1" applyBorder="1"/>
    <xf numFmtId="3" fontId="28" fillId="3" borderId="10" xfId="0" applyNumberFormat="1" applyFont="1" applyFill="1" applyBorder="1"/>
    <xf numFmtId="3" fontId="28" fillId="3" borderId="21" xfId="0" applyNumberFormat="1" applyFont="1" applyFill="1" applyBorder="1"/>
    <xf numFmtId="3" fontId="2" fillId="0" borderId="21" xfId="0" applyNumberFormat="1" applyFont="1" applyFill="1" applyBorder="1"/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4" borderId="14" xfId="0" applyFont="1" applyFill="1" applyBorder="1"/>
    <xf numFmtId="3" fontId="2" fillId="8" borderId="4" xfId="0" applyNumberFormat="1" applyFont="1" applyFill="1" applyBorder="1"/>
    <xf numFmtId="3" fontId="2" fillId="8" borderId="14" xfId="0" applyNumberFormat="1" applyFont="1" applyFill="1" applyBorder="1"/>
    <xf numFmtId="174" fontId="4" fillId="3" borderId="18" xfId="2" applyNumberFormat="1" applyFont="1" applyFill="1" applyBorder="1"/>
    <xf numFmtId="3" fontId="0" fillId="3" borderId="8" xfId="0" applyNumberFormat="1" applyFill="1" applyBorder="1"/>
    <xf numFmtId="174" fontId="1" fillId="3" borderId="8" xfId="2" applyNumberFormat="1" applyFill="1" applyBorder="1"/>
    <xf numFmtId="3" fontId="0" fillId="0" borderId="14" xfId="0" applyNumberFormat="1" applyBorder="1"/>
    <xf numFmtId="174" fontId="1" fillId="0" borderId="14" xfId="2" applyNumberFormat="1" applyBorder="1"/>
    <xf numFmtId="3" fontId="0" fillId="0" borderId="14" xfId="0" applyNumberFormat="1" applyFill="1" applyBorder="1"/>
    <xf numFmtId="174" fontId="1" fillId="0" borderId="14" xfId="2" applyNumberFormat="1" applyFill="1" applyBorder="1"/>
    <xf numFmtId="3" fontId="0" fillId="3" borderId="14" xfId="0" applyNumberFormat="1" applyFill="1" applyBorder="1"/>
    <xf numFmtId="174" fontId="1" fillId="3" borderId="14" xfId="2" applyNumberFormat="1" applyFill="1" applyBorder="1"/>
    <xf numFmtId="3" fontId="5" fillId="8" borderId="14" xfId="0" applyNumberFormat="1" applyFont="1" applyFill="1" applyBorder="1"/>
    <xf numFmtId="174" fontId="5" fillId="8" borderId="14" xfId="2" applyNumberFormat="1" applyFont="1" applyFill="1" applyBorder="1"/>
    <xf numFmtId="3" fontId="5" fillId="8" borderId="12" xfId="0" applyNumberFormat="1" applyFont="1" applyFill="1" applyBorder="1"/>
    <xf numFmtId="174" fontId="5" fillId="8" borderId="12" xfId="2" applyNumberFormat="1" applyFont="1" applyFill="1" applyBorder="1"/>
    <xf numFmtId="3" fontId="2" fillId="8" borderId="7" xfId="0" applyNumberFormat="1" applyFont="1" applyFill="1" applyBorder="1"/>
    <xf numFmtId="3" fontId="0" fillId="0" borderId="12" xfId="0" applyNumberFormat="1" applyBorder="1"/>
    <xf numFmtId="174" fontId="1" fillId="0" borderId="12" xfId="2" applyNumberFormat="1" applyBorder="1"/>
    <xf numFmtId="3" fontId="0" fillId="0" borderId="8" xfId="0" applyNumberFormat="1" applyBorder="1"/>
    <xf numFmtId="174" fontId="1" fillId="0" borderId="8" xfId="2" applyNumberFormat="1" applyBorder="1"/>
    <xf numFmtId="3" fontId="0" fillId="3" borderId="12" xfId="0" applyNumberFormat="1" applyFill="1" applyBorder="1"/>
    <xf numFmtId="174" fontId="1" fillId="3" borderId="12" xfId="2" applyNumberFormat="1" applyFill="1" applyBorder="1"/>
    <xf numFmtId="3" fontId="0" fillId="0" borderId="8" xfId="0" applyNumberFormat="1" applyFill="1" applyBorder="1"/>
    <xf numFmtId="174" fontId="1" fillId="0" borderId="8" xfId="2" applyNumberFormat="1" applyFill="1" applyBorder="1"/>
    <xf numFmtId="3" fontId="0" fillId="0" borderId="12" xfId="0" applyNumberFormat="1" applyFill="1" applyBorder="1"/>
    <xf numFmtId="174" fontId="1" fillId="0" borderId="12" xfId="2" applyNumberFormat="1" applyFill="1" applyBorder="1"/>
    <xf numFmtId="3" fontId="0" fillId="0" borderId="4" xfId="0" applyNumberFormat="1" applyFill="1" applyBorder="1"/>
    <xf numFmtId="3" fontId="11" fillId="0" borderId="14" xfId="0" applyNumberFormat="1" applyFont="1" applyBorder="1"/>
    <xf numFmtId="3" fontId="11" fillId="0" borderId="12" xfId="0" applyNumberFormat="1" applyFont="1" applyBorder="1"/>
    <xf numFmtId="0" fontId="27" fillId="5" borderId="19" xfId="0" applyFont="1" applyFill="1" applyBorder="1" applyAlignment="1">
      <alignment horizontal="center" vertical="center"/>
    </xf>
    <xf numFmtId="0" fontId="27" fillId="5" borderId="3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3" fillId="0" borderId="30" xfId="0" applyFont="1" applyBorder="1"/>
    <xf numFmtId="3" fontId="2" fillId="8" borderId="31" xfId="0" applyNumberFormat="1" applyFont="1" applyFill="1" applyBorder="1"/>
    <xf numFmtId="3" fontId="2" fillId="3" borderId="32" xfId="0" applyNumberFormat="1" applyFont="1" applyFill="1" applyBorder="1" applyProtection="1">
      <protection locked="0"/>
    </xf>
    <xf numFmtId="3" fontId="2" fillId="3" borderId="26" xfId="0" applyNumberFormat="1" applyFont="1" applyFill="1" applyBorder="1" applyProtection="1">
      <protection locked="0"/>
    </xf>
    <xf numFmtId="0" fontId="2" fillId="3" borderId="26" xfId="0" applyFont="1" applyFill="1" applyBorder="1" applyProtection="1">
      <protection locked="0"/>
    </xf>
    <xf numFmtId="0" fontId="27" fillId="5" borderId="6" xfId="0" applyFont="1" applyFill="1" applyBorder="1" applyAlignment="1">
      <alignment horizontal="center"/>
    </xf>
    <xf numFmtId="15" fontId="27" fillId="5" borderId="4" xfId="0" applyNumberFormat="1" applyFont="1" applyFill="1" applyBorder="1" applyAlignment="1">
      <alignment horizontal="center"/>
    </xf>
    <xf numFmtId="3" fontId="0" fillId="3" borderId="4" xfId="0" applyNumberFormat="1" applyFill="1" applyBorder="1"/>
    <xf numFmtId="3" fontId="5" fillId="8" borderId="4" xfId="0" applyNumberFormat="1" applyFont="1" applyFill="1" applyBorder="1"/>
    <xf numFmtId="3" fontId="6" fillId="3" borderId="4" xfId="0" applyNumberFormat="1" applyFont="1" applyFill="1" applyBorder="1"/>
    <xf numFmtId="15" fontId="27" fillId="5" borderId="5" xfId="0" applyNumberFormat="1" applyFont="1" applyFill="1" applyBorder="1" applyAlignment="1">
      <alignment horizontal="center"/>
    </xf>
    <xf numFmtId="3" fontId="0" fillId="3" borderId="13" xfId="0" applyNumberFormat="1" applyFill="1" applyBorder="1"/>
    <xf numFmtId="3" fontId="5" fillId="8" borderId="5" xfId="0" applyNumberFormat="1" applyFont="1" applyFill="1" applyBorder="1"/>
    <xf numFmtId="3" fontId="6" fillId="3" borderId="13" xfId="0" applyNumberFormat="1" applyFont="1" applyFill="1" applyBorder="1"/>
    <xf numFmtId="3" fontId="2" fillId="3" borderId="33" xfId="0" applyNumberFormat="1" applyFont="1" applyFill="1" applyBorder="1" applyProtection="1">
      <protection locked="0"/>
    </xf>
    <xf numFmtId="3" fontId="6" fillId="3" borderId="5" xfId="0" applyNumberFormat="1" applyFont="1" applyFill="1" applyBorder="1"/>
    <xf numFmtId="0" fontId="2" fillId="3" borderId="32" xfId="0" applyFont="1" applyFill="1" applyBorder="1" applyProtection="1">
      <protection locked="0"/>
    </xf>
    <xf numFmtId="0" fontId="8" fillId="10" borderId="18" xfId="0" applyFont="1" applyFill="1" applyBorder="1" applyAlignment="1">
      <alignment vertical="center" textRotation="90"/>
    </xf>
    <xf numFmtId="3" fontId="28" fillId="6" borderId="32" xfId="0" applyNumberFormat="1" applyFont="1" applyFill="1" applyBorder="1" applyAlignment="1">
      <alignment horizontal="left"/>
    </xf>
    <xf numFmtId="3" fontId="28" fillId="6" borderId="34" xfId="0" applyNumberFormat="1" applyFont="1" applyFill="1" applyBorder="1" applyAlignment="1">
      <alignment horizontal="left"/>
    </xf>
    <xf numFmtId="170" fontId="28" fillId="6" borderId="13" xfId="2" applyNumberFormat="1" applyFont="1" applyFill="1" applyBorder="1" applyAlignment="1">
      <alignment horizontal="center"/>
    </xf>
    <xf numFmtId="174" fontId="28" fillId="6" borderId="13" xfId="0" applyNumberFormat="1" applyFont="1" applyFill="1" applyBorder="1" applyAlignment="1">
      <alignment horizontal="center"/>
    </xf>
    <xf numFmtId="174" fontId="28" fillId="6" borderId="13" xfId="0" applyNumberFormat="1" applyFont="1" applyFill="1" applyBorder="1" applyAlignment="1">
      <alignment horizontal="left"/>
    </xf>
    <xf numFmtId="3" fontId="28" fillId="6" borderId="14" xfId="0" applyNumberFormat="1" applyFont="1" applyFill="1" applyBorder="1" applyAlignment="1">
      <alignment horizontal="left"/>
    </xf>
    <xf numFmtId="170" fontId="28" fillId="6" borderId="14" xfId="2" applyNumberFormat="1" applyFont="1" applyFill="1" applyBorder="1" applyAlignment="1">
      <alignment horizontal="center"/>
    </xf>
    <xf numFmtId="3" fontId="2" fillId="3" borderId="6" xfId="0" applyNumberFormat="1" applyFont="1" applyFill="1" applyBorder="1" applyProtection="1">
      <protection locked="0"/>
    </xf>
    <xf numFmtId="3" fontId="6" fillId="3" borderId="19" xfId="0" applyNumberFormat="1" applyFont="1" applyFill="1" applyBorder="1"/>
    <xf numFmtId="174" fontId="6" fillId="3" borderId="3" xfId="0" applyNumberFormat="1" applyFont="1" applyFill="1" applyBorder="1"/>
    <xf numFmtId="174" fontId="6" fillId="3" borderId="20" xfId="0" applyNumberFormat="1" applyFont="1" applyFill="1" applyBorder="1"/>
    <xf numFmtId="3" fontId="4" fillId="4" borderId="21" xfId="0" applyNumberFormat="1" applyFont="1" applyFill="1" applyBorder="1"/>
    <xf numFmtId="174" fontId="4" fillId="4" borderId="1" xfId="2" applyNumberFormat="1" applyFont="1" applyFill="1" applyBorder="1"/>
    <xf numFmtId="0" fontId="2" fillId="3" borderId="8" xfId="0" applyFont="1" applyFill="1" applyBorder="1"/>
    <xf numFmtId="0" fontId="3" fillId="0" borderId="14" xfId="0" applyFont="1" applyBorder="1"/>
    <xf numFmtId="0" fontId="3" fillId="0" borderId="12" xfId="0" applyFont="1" applyBorder="1"/>
    <xf numFmtId="0" fontId="3" fillId="0" borderId="14" xfId="0" applyFont="1" applyFill="1" applyBorder="1"/>
    <xf numFmtId="0" fontId="2" fillId="3" borderId="12" xfId="0" applyFont="1" applyFill="1" applyBorder="1"/>
    <xf numFmtId="0" fontId="3" fillId="0" borderId="14" xfId="0" applyFont="1" applyBorder="1" applyAlignment="1">
      <alignment vertical="center"/>
    </xf>
    <xf numFmtId="0" fontId="2" fillId="3" borderId="14" xfId="0" applyFont="1" applyFill="1" applyBorder="1" applyAlignment="1" applyProtection="1">
      <alignment vertical="center"/>
      <protection hidden="1"/>
    </xf>
    <xf numFmtId="0" fontId="2" fillId="3" borderId="14" xfId="0" applyFont="1" applyFill="1" applyBorder="1" applyProtection="1">
      <protection hidden="1"/>
    </xf>
    <xf numFmtId="0" fontId="2" fillId="3" borderId="14" xfId="0" applyFont="1" applyFill="1" applyBorder="1" applyAlignment="1" applyProtection="1">
      <alignment shrinkToFit="1"/>
      <protection hidden="1"/>
    </xf>
    <xf numFmtId="0" fontId="2" fillId="3" borderId="17" xfId="0" applyFont="1" applyFill="1" applyBorder="1"/>
    <xf numFmtId="0" fontId="3" fillId="0" borderId="8" xfId="0" applyFont="1" applyBorder="1" applyAlignment="1">
      <alignment vertical="center"/>
    </xf>
    <xf numFmtId="0" fontId="3" fillId="0" borderId="14" xfId="0" applyFont="1" applyBorder="1" applyProtection="1">
      <protection hidden="1"/>
    </xf>
    <xf numFmtId="3" fontId="11" fillId="0" borderId="14" xfId="0" applyNumberFormat="1" applyFont="1" applyBorder="1" applyProtection="1">
      <protection hidden="1"/>
    </xf>
    <xf numFmtId="0" fontId="3" fillId="0" borderId="12" xfId="0" applyFont="1" applyBorder="1" applyAlignment="1" applyProtection="1">
      <alignment vertical="center"/>
      <protection hidden="1"/>
    </xf>
    <xf numFmtId="3" fontId="4" fillId="4" borderId="13" xfId="0" applyNumberFormat="1" applyFont="1" applyFill="1" applyBorder="1"/>
    <xf numFmtId="3" fontId="11" fillId="0" borderId="8" xfId="0" applyNumberFormat="1" applyFont="1" applyBorder="1" applyProtection="1">
      <protection hidden="1"/>
    </xf>
    <xf numFmtId="0" fontId="3" fillId="0" borderId="8" xfId="0" applyFont="1" applyBorder="1" applyProtection="1">
      <protection locked="0"/>
    </xf>
    <xf numFmtId="0" fontId="3" fillId="0" borderId="14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2" fillId="3" borderId="33" xfId="0" applyFont="1" applyFill="1" applyBorder="1" applyProtection="1">
      <protection locked="0"/>
    </xf>
    <xf numFmtId="3" fontId="0" fillId="3" borderId="5" xfId="0" applyNumberFormat="1" applyFill="1" applyBorder="1"/>
    <xf numFmtId="0" fontId="3" fillId="0" borderId="8" xfId="0" applyFont="1" applyBorder="1" applyAlignment="1" applyProtection="1">
      <alignment wrapText="1"/>
      <protection locked="0"/>
    </xf>
    <xf numFmtId="0" fontId="3" fillId="0" borderId="14" xfId="0" applyFont="1" applyBorder="1" applyAlignment="1" applyProtection="1">
      <alignment wrapText="1"/>
      <protection locked="0"/>
    </xf>
    <xf numFmtId="0" fontId="3" fillId="0" borderId="8" xfId="0" applyFont="1" applyFill="1" applyBorder="1" applyProtection="1">
      <protection locked="0"/>
    </xf>
    <xf numFmtId="0" fontId="2" fillId="4" borderId="21" xfId="0" applyFont="1" applyFill="1" applyBorder="1"/>
    <xf numFmtId="0" fontId="3" fillId="0" borderId="13" xfId="0" applyFont="1" applyBorder="1" applyProtection="1">
      <protection locked="0"/>
    </xf>
    <xf numFmtId="3" fontId="2" fillId="3" borderId="7" xfId="0" applyNumberFormat="1" applyFont="1" applyFill="1" applyBorder="1" applyProtection="1">
      <protection locked="0"/>
    </xf>
    <xf numFmtId="3" fontId="6" fillId="3" borderId="21" xfId="0" applyNumberFormat="1" applyFont="1" applyFill="1" applyBorder="1"/>
    <xf numFmtId="174" fontId="6" fillId="3" borderId="1" xfId="0" applyNumberFormat="1" applyFont="1" applyFill="1" applyBorder="1"/>
    <xf numFmtId="174" fontId="6" fillId="3" borderId="22" xfId="0" applyNumberFormat="1" applyFont="1" applyFill="1" applyBorder="1"/>
    <xf numFmtId="3" fontId="28" fillId="6" borderId="11" xfId="0" applyNumberFormat="1" applyFont="1" applyFill="1" applyBorder="1" applyAlignment="1">
      <alignment horizontal="left"/>
    </xf>
    <xf numFmtId="170" fontId="28" fillId="6" borderId="11" xfId="2" applyNumberFormat="1" applyFont="1" applyFill="1" applyBorder="1" applyAlignment="1">
      <alignment horizontal="center"/>
    </xf>
    <xf numFmtId="174" fontId="28" fillId="6" borderId="11" xfId="0" applyNumberFormat="1" applyFont="1" applyFill="1" applyBorder="1" applyAlignment="1">
      <alignment horizontal="center"/>
    </xf>
    <xf numFmtId="174" fontId="28" fillId="6" borderId="11" xfId="0" applyNumberFormat="1" applyFont="1" applyFill="1" applyBorder="1" applyAlignment="1">
      <alignment horizontal="left"/>
    </xf>
    <xf numFmtId="3" fontId="11" fillId="0" borderId="6" xfId="0" applyNumberFormat="1" applyFont="1" applyBorder="1"/>
    <xf numFmtId="3" fontId="6" fillId="0" borderId="6" xfId="0" applyNumberFormat="1" applyFont="1" applyFill="1" applyBorder="1"/>
    <xf numFmtId="174" fontId="6" fillId="0" borderId="6" xfId="2" applyNumberFormat="1" applyFont="1" applyFill="1" applyBorder="1"/>
    <xf numFmtId="3" fontId="11" fillId="0" borderId="4" xfId="0" applyNumberFormat="1" applyFont="1" applyBorder="1"/>
    <xf numFmtId="3" fontId="6" fillId="0" borderId="4" xfId="0" applyNumberFormat="1" applyFont="1" applyFill="1" applyBorder="1"/>
    <xf numFmtId="174" fontId="6" fillId="0" borderId="4" xfId="2" applyNumberFormat="1" applyFont="1" applyFill="1" applyBorder="1"/>
    <xf numFmtId="3" fontId="11" fillId="0" borderId="6" xfId="0" applyNumberFormat="1" applyFont="1" applyFill="1" applyBorder="1"/>
    <xf numFmtId="3" fontId="11" fillId="0" borderId="4" xfId="0" applyNumberFormat="1" applyFont="1" applyFill="1" applyBorder="1"/>
    <xf numFmtId="3" fontId="0" fillId="0" borderId="6" xfId="0" applyNumberFormat="1" applyFill="1" applyBorder="1"/>
    <xf numFmtId="3" fontId="4" fillId="11" borderId="0" xfId="0" applyNumberFormat="1" applyFont="1" applyFill="1"/>
    <xf numFmtId="3" fontId="4" fillId="11" borderId="0" xfId="0" applyNumberFormat="1" applyFont="1" applyFill="1" applyBorder="1"/>
    <xf numFmtId="172" fontId="4" fillId="11" borderId="0" xfId="2" applyNumberFormat="1" applyFont="1" applyFill="1"/>
    <xf numFmtId="3" fontId="27" fillId="11" borderId="0" xfId="0" applyNumberFormat="1" applyFont="1" applyFill="1" applyBorder="1" applyAlignment="1">
      <alignment horizontal="left"/>
    </xf>
    <xf numFmtId="0" fontId="4" fillId="11" borderId="0" xfId="0" applyFont="1" applyFill="1" applyAlignment="1"/>
    <xf numFmtId="0" fontId="4" fillId="11" borderId="0" xfId="0" applyFont="1" applyFill="1" applyAlignment="1">
      <alignment horizontal="center"/>
    </xf>
    <xf numFmtId="170" fontId="4" fillId="11" borderId="0" xfId="2" applyNumberFormat="1" applyFont="1" applyFill="1"/>
    <xf numFmtId="3" fontId="27" fillId="11" borderId="17" xfId="0" applyNumberFormat="1" applyFont="1" applyFill="1" applyBorder="1" applyAlignment="1">
      <alignment horizontal="left"/>
    </xf>
    <xf numFmtId="3" fontId="27" fillId="11" borderId="18" xfId="0" applyNumberFormat="1" applyFont="1" applyFill="1" applyBorder="1" applyAlignment="1">
      <alignment horizontal="left"/>
    </xf>
    <xf numFmtId="174" fontId="27" fillId="11" borderId="0" xfId="0" applyNumberFormat="1" applyFont="1" applyFill="1" applyBorder="1" applyAlignment="1">
      <alignment horizontal="center"/>
    </xf>
    <xf numFmtId="174" fontId="27" fillId="11" borderId="18" xfId="0" applyNumberFormat="1" applyFont="1" applyFill="1" applyBorder="1" applyAlignment="1">
      <alignment horizontal="center"/>
    </xf>
    <xf numFmtId="0" fontId="4" fillId="11" borderId="18" xfId="0" applyFont="1" applyFill="1" applyBorder="1" applyAlignment="1">
      <alignment horizontal="center"/>
    </xf>
    <xf numFmtId="173" fontId="4" fillId="11" borderId="17" xfId="0" applyNumberFormat="1" applyFont="1" applyFill="1" applyBorder="1"/>
    <xf numFmtId="173" fontId="4" fillId="11" borderId="0" xfId="2" applyNumberFormat="1" applyFont="1" applyFill="1" applyBorder="1"/>
    <xf numFmtId="175" fontId="4" fillId="11" borderId="18" xfId="0" applyNumberFormat="1" applyFont="1" applyFill="1" applyBorder="1"/>
    <xf numFmtId="170" fontId="28" fillId="11" borderId="11" xfId="2" applyNumberFormat="1" applyFont="1" applyFill="1" applyBorder="1" applyAlignment="1">
      <alignment horizontal="center"/>
    </xf>
    <xf numFmtId="3" fontId="6" fillId="0" borderId="7" xfId="0" applyNumberFormat="1" applyFont="1" applyFill="1" applyBorder="1"/>
    <xf numFmtId="174" fontId="6" fillId="0" borderId="7" xfId="2" applyNumberFormat="1" applyFont="1" applyFill="1" applyBorder="1"/>
    <xf numFmtId="165" fontId="6" fillId="0" borderId="6" xfId="4" applyFont="1" applyBorder="1" applyProtection="1">
      <protection hidden="1"/>
    </xf>
    <xf numFmtId="165" fontId="6" fillId="0" borderId="4" xfId="4" applyFont="1" applyBorder="1" applyProtection="1">
      <protection hidden="1"/>
    </xf>
    <xf numFmtId="172" fontId="6" fillId="0" borderId="6" xfId="2" applyNumberFormat="1" applyFont="1" applyFill="1" applyBorder="1"/>
    <xf numFmtId="3" fontId="11" fillId="0" borderId="35" xfId="0" applyNumberFormat="1" applyFont="1" applyFill="1" applyBorder="1"/>
    <xf numFmtId="3" fontId="11" fillId="0" borderId="7" xfId="0" applyNumberFormat="1" applyFont="1" applyFill="1" applyBorder="1"/>
    <xf numFmtId="165" fontId="6" fillId="0" borderId="7" xfId="4" applyFont="1" applyBorder="1" applyProtection="1">
      <protection hidden="1"/>
    </xf>
    <xf numFmtId="170" fontId="0" fillId="0" borderId="0" xfId="0" applyNumberFormat="1"/>
    <xf numFmtId="176" fontId="1" fillId="4" borderId="17" xfId="3" applyNumberFormat="1" applyFill="1" applyBorder="1"/>
    <xf numFmtId="172" fontId="0" fillId="0" borderId="0" xfId="0" applyNumberFormat="1"/>
    <xf numFmtId="0" fontId="0" fillId="0" borderId="7" xfId="0" applyBorder="1"/>
    <xf numFmtId="3" fontId="11" fillId="0" borderId="13" xfId="0" applyNumberFormat="1" applyFont="1" applyBorder="1"/>
    <xf numFmtId="0" fontId="0" fillId="0" borderId="36" xfId="0" applyBorder="1"/>
    <xf numFmtId="165" fontId="1" fillId="0" borderId="4" xfId="4" applyFont="1" applyBorder="1" applyProtection="1">
      <protection hidden="1"/>
    </xf>
    <xf numFmtId="177" fontId="28" fillId="11" borderId="4" xfId="2" applyNumberFormat="1" applyFont="1" applyFill="1" applyBorder="1" applyAlignment="1">
      <alignment horizontal="center"/>
    </xf>
    <xf numFmtId="165" fontId="6" fillId="0" borderId="13" xfId="4" applyFont="1" applyBorder="1" applyProtection="1">
      <protection hidden="1"/>
    </xf>
    <xf numFmtId="3" fontId="6" fillId="0" borderId="13" xfId="0" applyNumberFormat="1" applyFont="1" applyFill="1" applyBorder="1"/>
    <xf numFmtId="174" fontId="6" fillId="0" borderId="13" xfId="2" applyNumberFormat="1" applyFont="1" applyFill="1" applyBorder="1"/>
    <xf numFmtId="173" fontId="4" fillId="0" borderId="18" xfId="0" applyNumberFormat="1" applyFont="1" applyFill="1" applyBorder="1"/>
    <xf numFmtId="0" fontId="0" fillId="0" borderId="37" xfId="0" applyBorder="1"/>
    <xf numFmtId="173" fontId="4" fillId="0" borderId="0" xfId="2" applyNumberFormat="1" applyFont="1" applyFill="1" applyBorder="1"/>
    <xf numFmtId="178" fontId="1" fillId="0" borderId="7" xfId="4" applyNumberFormat="1" applyFont="1" applyBorder="1" applyProtection="1">
      <protection hidden="1"/>
    </xf>
    <xf numFmtId="178" fontId="1" fillId="0" borderId="4" xfId="4" applyNumberFormat="1" applyFont="1" applyBorder="1" applyProtection="1">
      <protection hidden="1"/>
    </xf>
    <xf numFmtId="164" fontId="21" fillId="6" borderId="10" xfId="3" applyFont="1" applyFill="1" applyBorder="1" applyAlignment="1">
      <alignment horizontal="right"/>
    </xf>
    <xf numFmtId="164" fontId="21" fillId="7" borderId="21" xfId="3" applyFont="1" applyFill="1" applyBorder="1" applyAlignment="1">
      <alignment horizontal="right"/>
    </xf>
    <xf numFmtId="0" fontId="0" fillId="0" borderId="29" xfId="0" applyBorder="1"/>
    <xf numFmtId="3" fontId="6" fillId="0" borderId="5" xfId="0" applyNumberFormat="1" applyFont="1" applyFill="1" applyBorder="1"/>
    <xf numFmtId="174" fontId="6" fillId="0" borderId="5" xfId="2" applyNumberFormat="1" applyFont="1" applyFill="1" applyBorder="1"/>
    <xf numFmtId="0" fontId="12" fillId="5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3" fontId="21" fillId="0" borderId="17" xfId="0" applyNumberFormat="1" applyFont="1" applyBorder="1" applyAlignment="1">
      <alignment horizontal="left"/>
    </xf>
    <xf numFmtId="3" fontId="21" fillId="0" borderId="18" xfId="0" applyNumberFormat="1" applyFont="1" applyBorder="1" applyAlignment="1">
      <alignment horizontal="left"/>
    </xf>
    <xf numFmtId="3" fontId="21" fillId="3" borderId="21" xfId="0" applyNumberFormat="1" applyFont="1" applyFill="1" applyBorder="1" applyAlignment="1">
      <alignment horizontal="left"/>
    </xf>
    <xf numFmtId="3" fontId="21" fillId="3" borderId="22" xfId="0" applyNumberFormat="1" applyFont="1" applyFill="1" applyBorder="1" applyAlignment="1">
      <alignment horizontal="left"/>
    </xf>
    <xf numFmtId="3" fontId="21" fillId="0" borderId="19" xfId="0" applyNumberFormat="1" applyFont="1" applyBorder="1" applyAlignment="1">
      <alignment horizontal="left"/>
    </xf>
    <xf numFmtId="3" fontId="21" fillId="0" borderId="20" xfId="0" applyNumberFormat="1" applyFont="1" applyBorder="1" applyAlignment="1">
      <alignment horizontal="left"/>
    </xf>
    <xf numFmtId="3" fontId="12" fillId="4" borderId="0" xfId="0" applyNumberFormat="1" applyFont="1" applyFill="1" applyBorder="1" applyAlignment="1">
      <alignment horizontal="left"/>
    </xf>
    <xf numFmtId="3" fontId="21" fillId="3" borderId="17" xfId="0" applyNumberFormat="1" applyFont="1" applyFill="1" applyBorder="1" applyAlignment="1">
      <alignment horizontal="left"/>
    </xf>
    <xf numFmtId="3" fontId="21" fillId="3" borderId="18" xfId="0" applyNumberFormat="1" applyFont="1" applyFill="1" applyBorder="1" applyAlignment="1">
      <alignment horizontal="left"/>
    </xf>
    <xf numFmtId="3" fontId="21" fillId="13" borderId="21" xfId="0" applyNumberFormat="1" applyFont="1" applyFill="1" applyBorder="1" applyAlignment="1">
      <alignment horizontal="left"/>
    </xf>
    <xf numFmtId="3" fontId="21" fillId="13" borderId="22" xfId="0" applyNumberFormat="1" applyFont="1" applyFill="1" applyBorder="1" applyAlignment="1">
      <alignment horizontal="left"/>
    </xf>
    <xf numFmtId="0" fontId="23" fillId="0" borderId="19" xfId="0" applyFont="1" applyFill="1" applyBorder="1" applyAlignment="1">
      <alignment horizontal="left"/>
    </xf>
    <xf numFmtId="0" fontId="23" fillId="0" borderId="20" xfId="0" applyFont="1" applyFill="1" applyBorder="1" applyAlignment="1">
      <alignment horizontal="left"/>
    </xf>
    <xf numFmtId="3" fontId="21" fillId="0" borderId="10" xfId="0" applyNumberFormat="1" applyFont="1" applyBorder="1" applyAlignment="1">
      <alignment horizontal="left"/>
    </xf>
    <xf numFmtId="3" fontId="21" fillId="0" borderId="23" xfId="0" applyNumberFormat="1" applyFont="1" applyBorder="1" applyAlignment="1">
      <alignment horizontal="left"/>
    </xf>
    <xf numFmtId="3" fontId="21" fillId="3" borderId="10" xfId="0" applyNumberFormat="1" applyFont="1" applyFill="1" applyBorder="1" applyAlignment="1">
      <alignment horizontal="left"/>
    </xf>
    <xf numFmtId="3" fontId="21" fillId="3" borderId="23" xfId="0" applyNumberFormat="1" applyFont="1" applyFill="1" applyBorder="1" applyAlignment="1">
      <alignment horizontal="left"/>
    </xf>
    <xf numFmtId="0" fontId="25" fillId="0" borderId="19" xfId="0" applyFont="1" applyFill="1" applyBorder="1" applyAlignment="1">
      <alignment horizontal="left"/>
    </xf>
    <xf numFmtId="0" fontId="25" fillId="0" borderId="20" xfId="0" applyFont="1" applyFill="1" applyBorder="1" applyAlignment="1">
      <alignment horizontal="left"/>
    </xf>
    <xf numFmtId="0" fontId="23" fillId="0" borderId="10" xfId="0" applyFont="1" applyFill="1" applyBorder="1" applyAlignment="1">
      <alignment horizontal="left"/>
    </xf>
    <xf numFmtId="0" fontId="23" fillId="0" borderId="23" xfId="0" applyFont="1" applyFill="1" applyBorder="1" applyAlignment="1">
      <alignment horizontal="left"/>
    </xf>
    <xf numFmtId="3" fontId="23" fillId="0" borderId="10" xfId="0" applyNumberFormat="1" applyFont="1" applyFill="1" applyBorder="1" applyAlignment="1">
      <alignment horizontal="left"/>
    </xf>
    <xf numFmtId="3" fontId="23" fillId="0" borderId="23" xfId="0" applyNumberFormat="1" applyFont="1" applyFill="1" applyBorder="1" applyAlignment="1">
      <alignment horizontal="left"/>
    </xf>
    <xf numFmtId="0" fontId="19" fillId="5" borderId="10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 textRotation="90" wrapText="1"/>
    </xf>
    <xf numFmtId="0" fontId="8" fillId="9" borderId="14" xfId="0" applyFont="1" applyFill="1" applyBorder="1" applyAlignment="1">
      <alignment horizontal="center" vertical="center" textRotation="90" wrapText="1"/>
    </xf>
    <xf numFmtId="0" fontId="8" fillId="9" borderId="12" xfId="0" applyFont="1" applyFill="1" applyBorder="1" applyAlignment="1">
      <alignment horizontal="center" vertical="center" textRotation="90" wrapText="1"/>
    </xf>
    <xf numFmtId="3" fontId="20" fillId="6" borderId="10" xfId="0" applyNumberFormat="1" applyFont="1" applyFill="1" applyBorder="1" applyAlignment="1">
      <alignment horizontal="left"/>
    </xf>
    <xf numFmtId="3" fontId="20" fillId="6" borderId="23" xfId="0" applyNumberFormat="1" applyFont="1" applyFill="1" applyBorder="1" applyAlignment="1">
      <alignment horizontal="left"/>
    </xf>
    <xf numFmtId="3" fontId="22" fillId="7" borderId="10" xfId="0" applyNumberFormat="1" applyFont="1" applyFill="1" applyBorder="1" applyAlignment="1">
      <alignment horizontal="left"/>
    </xf>
    <xf numFmtId="3" fontId="22" fillId="7" borderId="23" xfId="0" applyNumberFormat="1" applyFont="1" applyFill="1" applyBorder="1" applyAlignment="1">
      <alignment horizontal="left"/>
    </xf>
    <xf numFmtId="0" fontId="22" fillId="4" borderId="0" xfId="0" applyFont="1" applyFill="1" applyBorder="1" applyAlignment="1">
      <alignment horizontal="left"/>
    </xf>
    <xf numFmtId="0" fontId="8" fillId="12" borderId="8" xfId="0" applyFont="1" applyFill="1" applyBorder="1" applyAlignment="1">
      <alignment horizontal="center" vertical="center" textRotation="90" wrapText="1"/>
    </xf>
    <xf numFmtId="0" fontId="8" fillId="12" borderId="14" xfId="0" applyFont="1" applyFill="1" applyBorder="1" applyAlignment="1">
      <alignment horizontal="center" vertical="center" textRotation="90" wrapText="1"/>
    </xf>
    <xf numFmtId="0" fontId="8" fillId="12" borderId="12" xfId="0" applyFont="1" applyFill="1" applyBorder="1" applyAlignment="1">
      <alignment horizontal="center" vertical="center" textRotation="90" wrapText="1"/>
    </xf>
    <xf numFmtId="0" fontId="8" fillId="12" borderId="19" xfId="0" applyFont="1" applyFill="1" applyBorder="1" applyAlignment="1">
      <alignment horizontal="center" vertical="center" textRotation="90" wrapText="1"/>
    </xf>
    <xf numFmtId="0" fontId="8" fillId="12" borderId="17" xfId="0" applyFont="1" applyFill="1" applyBorder="1" applyAlignment="1">
      <alignment horizontal="center" vertical="center" textRotation="90" wrapText="1"/>
    </xf>
    <xf numFmtId="0" fontId="8" fillId="12" borderId="32" xfId="0" applyFont="1" applyFill="1" applyBorder="1" applyAlignment="1">
      <alignment horizontal="center" vertical="center" textRotation="90" wrapText="1"/>
    </xf>
    <xf numFmtId="0" fontId="25" fillId="0" borderId="10" xfId="0" applyFont="1" applyFill="1" applyBorder="1" applyAlignment="1">
      <alignment horizontal="left"/>
    </xf>
    <xf numFmtId="0" fontId="25" fillId="0" borderId="23" xfId="0" applyFont="1" applyFill="1" applyBorder="1" applyAlignment="1">
      <alignment horizontal="left"/>
    </xf>
    <xf numFmtId="3" fontId="23" fillId="0" borderId="19" xfId="0" applyNumberFormat="1" applyFont="1" applyFill="1" applyBorder="1" applyAlignment="1">
      <alignment horizontal="left"/>
    </xf>
    <xf numFmtId="3" fontId="23" fillId="0" borderId="20" xfId="0" applyNumberFormat="1" applyFont="1" applyFill="1" applyBorder="1" applyAlignment="1">
      <alignment horizontal="left"/>
    </xf>
    <xf numFmtId="0" fontId="4" fillId="4" borderId="0" xfId="0" applyFont="1" applyFill="1" applyAlignment="1">
      <alignment horizontal="left"/>
    </xf>
    <xf numFmtId="0" fontId="8" fillId="9" borderId="19" xfId="0" applyFont="1" applyFill="1" applyBorder="1" applyAlignment="1">
      <alignment horizontal="center" vertical="center" textRotation="90" wrapText="1"/>
    </xf>
    <xf numFmtId="0" fontId="8" fillId="9" borderId="17" xfId="0" applyFont="1" applyFill="1" applyBorder="1" applyAlignment="1">
      <alignment horizontal="center" vertical="center" textRotation="90" wrapText="1"/>
    </xf>
    <xf numFmtId="0" fontId="8" fillId="9" borderId="21" xfId="0" applyFont="1" applyFill="1" applyBorder="1" applyAlignment="1">
      <alignment horizontal="center" vertical="center" textRotation="90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textRotation="90"/>
    </xf>
    <xf numFmtId="0" fontId="4" fillId="5" borderId="1" xfId="0" applyFont="1" applyFill="1" applyBorder="1" applyAlignment="1">
      <alignment horizontal="center"/>
    </xf>
    <xf numFmtId="0" fontId="27" fillId="5" borderId="10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3" fontId="17" fillId="0" borderId="13" xfId="0" applyNumberFormat="1" applyFont="1" applyFill="1" applyBorder="1" applyAlignment="1">
      <alignment horizontal="center" vertical="center" textRotation="255" wrapText="1"/>
    </xf>
    <xf numFmtId="3" fontId="17" fillId="0" borderId="4" xfId="0" applyNumberFormat="1" applyFont="1" applyFill="1" applyBorder="1" applyAlignment="1">
      <alignment horizontal="center" vertical="center" textRotation="255" wrapText="1"/>
    </xf>
    <xf numFmtId="3" fontId="17" fillId="0" borderId="7" xfId="0" applyNumberFormat="1" applyFont="1" applyFill="1" applyBorder="1" applyAlignment="1">
      <alignment horizontal="center" vertical="center" textRotation="255" wrapText="1"/>
    </xf>
    <xf numFmtId="3" fontId="17" fillId="0" borderId="8" xfId="0" applyNumberFormat="1" applyFont="1" applyFill="1" applyBorder="1" applyAlignment="1">
      <alignment horizontal="center" vertical="center" textRotation="255" wrapText="1"/>
    </xf>
    <xf numFmtId="3" fontId="17" fillId="0" borderId="14" xfId="0" applyNumberFormat="1" applyFont="1" applyFill="1" applyBorder="1" applyAlignment="1">
      <alignment horizontal="center" vertical="center" textRotation="255" wrapText="1"/>
    </xf>
    <xf numFmtId="3" fontId="17" fillId="0" borderId="12" xfId="0" applyNumberFormat="1" applyFont="1" applyFill="1" applyBorder="1" applyAlignment="1">
      <alignment horizontal="center" vertical="center" textRotation="255" wrapText="1"/>
    </xf>
    <xf numFmtId="0" fontId="27" fillId="5" borderId="19" xfId="0" applyFont="1" applyFill="1" applyBorder="1" applyAlignment="1">
      <alignment horizontal="center"/>
    </xf>
    <xf numFmtId="0" fontId="27" fillId="5" borderId="3" xfId="0" applyFont="1" applyFill="1" applyBorder="1" applyAlignment="1">
      <alignment horizontal="center"/>
    </xf>
    <xf numFmtId="0" fontId="27" fillId="5" borderId="20" xfId="0" applyFont="1" applyFill="1" applyBorder="1" applyAlignment="1">
      <alignment horizontal="center"/>
    </xf>
    <xf numFmtId="0" fontId="27" fillId="5" borderId="17" xfId="0" applyFont="1" applyFill="1" applyBorder="1" applyAlignment="1">
      <alignment horizontal="center"/>
    </xf>
    <xf numFmtId="0" fontId="27" fillId="5" borderId="0" xfId="0" applyFont="1" applyFill="1" applyBorder="1" applyAlignment="1">
      <alignment horizontal="center"/>
    </xf>
    <xf numFmtId="0" fontId="27" fillId="5" borderId="18" xfId="0" applyFont="1" applyFill="1" applyBorder="1" applyAlignment="1">
      <alignment horizontal="center"/>
    </xf>
    <xf numFmtId="15" fontId="27" fillId="5" borderId="21" xfId="0" applyNumberFormat="1" applyFont="1" applyFill="1" applyBorder="1" applyAlignment="1">
      <alignment horizontal="center"/>
    </xf>
    <xf numFmtId="15" fontId="27" fillId="5" borderId="1" xfId="0" applyNumberFormat="1" applyFont="1" applyFill="1" applyBorder="1" applyAlignment="1">
      <alignment horizontal="center"/>
    </xf>
    <xf numFmtId="15" fontId="27" fillId="5" borderId="22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27" fillId="5" borderId="23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 textRotation="90"/>
    </xf>
    <xf numFmtId="0" fontId="8" fillId="10" borderId="14" xfId="0" applyFont="1" applyFill="1" applyBorder="1" applyAlignment="1">
      <alignment horizontal="center" vertical="center" textRotation="90"/>
    </xf>
    <xf numFmtId="0" fontId="8" fillId="10" borderId="12" xfId="0" applyFont="1" applyFill="1" applyBorder="1" applyAlignment="1">
      <alignment horizontal="center" vertical="center" textRotation="90"/>
    </xf>
    <xf numFmtId="3" fontId="17" fillId="0" borderId="6" xfId="0" applyNumberFormat="1" applyFont="1" applyFill="1" applyBorder="1" applyAlignment="1">
      <alignment horizontal="center" vertical="center" textRotation="255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6">
    <cellStyle name="Euro" xfId="1"/>
    <cellStyle name="Millares" xfId="2" builtinId="3"/>
    <cellStyle name="Millares [0]" xfId="3" builtinId="6"/>
    <cellStyle name="Moneda" xfId="4" builtinId="4"/>
    <cellStyle name="Normal" xfId="0" builtinId="0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28" Type="http://schemas.openxmlformats.org/officeDocument/2006/relationships/externalLink" Target="externalLinks/externalLink124.xml"/><Relationship Id="rId144" Type="http://schemas.openxmlformats.org/officeDocument/2006/relationships/externalLink" Target="externalLinks/externalLink140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65" Type="http://schemas.openxmlformats.org/officeDocument/2006/relationships/externalLink" Target="externalLinks/externalLink161.xml"/><Relationship Id="rId181" Type="http://schemas.openxmlformats.org/officeDocument/2006/relationships/externalLink" Target="externalLinks/externalLink177.xml"/><Relationship Id="rId186" Type="http://schemas.openxmlformats.org/officeDocument/2006/relationships/externalLink" Target="externalLinks/externalLink182.xml"/><Relationship Id="rId211" Type="http://schemas.openxmlformats.org/officeDocument/2006/relationships/styles" Target="styles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externalLink" Target="externalLinks/externalLink114.xml"/><Relationship Id="rId134" Type="http://schemas.openxmlformats.org/officeDocument/2006/relationships/externalLink" Target="externalLinks/externalLink130.xml"/><Relationship Id="rId139" Type="http://schemas.openxmlformats.org/officeDocument/2006/relationships/externalLink" Target="externalLinks/externalLink13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55" Type="http://schemas.openxmlformats.org/officeDocument/2006/relationships/externalLink" Target="externalLinks/externalLink151.xml"/><Relationship Id="rId171" Type="http://schemas.openxmlformats.org/officeDocument/2006/relationships/externalLink" Target="externalLinks/externalLink167.xml"/><Relationship Id="rId176" Type="http://schemas.openxmlformats.org/officeDocument/2006/relationships/externalLink" Target="externalLinks/externalLink172.xml"/><Relationship Id="rId192" Type="http://schemas.openxmlformats.org/officeDocument/2006/relationships/externalLink" Target="externalLinks/externalLink188.xml"/><Relationship Id="rId197" Type="http://schemas.openxmlformats.org/officeDocument/2006/relationships/externalLink" Target="externalLinks/externalLink193.xml"/><Relationship Id="rId206" Type="http://schemas.openxmlformats.org/officeDocument/2006/relationships/externalLink" Target="externalLinks/externalLink202.xml"/><Relationship Id="rId201" Type="http://schemas.openxmlformats.org/officeDocument/2006/relationships/externalLink" Target="externalLinks/externalLink197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124" Type="http://schemas.openxmlformats.org/officeDocument/2006/relationships/externalLink" Target="externalLinks/externalLink120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45" Type="http://schemas.openxmlformats.org/officeDocument/2006/relationships/externalLink" Target="externalLinks/externalLink141.xml"/><Relationship Id="rId161" Type="http://schemas.openxmlformats.org/officeDocument/2006/relationships/externalLink" Target="externalLinks/externalLink157.xml"/><Relationship Id="rId166" Type="http://schemas.openxmlformats.org/officeDocument/2006/relationships/externalLink" Target="externalLinks/externalLink162.xml"/><Relationship Id="rId182" Type="http://schemas.openxmlformats.org/officeDocument/2006/relationships/externalLink" Target="externalLinks/externalLink178.xml"/><Relationship Id="rId187" Type="http://schemas.openxmlformats.org/officeDocument/2006/relationships/externalLink" Target="externalLinks/externalLink18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12" Type="http://schemas.openxmlformats.org/officeDocument/2006/relationships/sharedStrings" Target="sharedStrings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35" Type="http://schemas.openxmlformats.org/officeDocument/2006/relationships/externalLink" Target="externalLinks/externalLink131.xml"/><Relationship Id="rId151" Type="http://schemas.openxmlformats.org/officeDocument/2006/relationships/externalLink" Target="externalLinks/externalLink147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2" Type="http://schemas.openxmlformats.org/officeDocument/2006/relationships/externalLink" Target="externalLinks/externalLink198.xml"/><Relationship Id="rId207" Type="http://schemas.openxmlformats.org/officeDocument/2006/relationships/externalLink" Target="externalLinks/externalLink203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externalLink" Target="externalLinks/externalLink116.xml"/><Relationship Id="rId125" Type="http://schemas.openxmlformats.org/officeDocument/2006/relationships/externalLink" Target="externalLinks/externalLink121.xml"/><Relationship Id="rId141" Type="http://schemas.openxmlformats.org/officeDocument/2006/relationships/externalLink" Target="externalLinks/externalLink137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13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externalLink" Target="externalLinks/externalLink204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209" Type="http://schemas.openxmlformats.org/officeDocument/2006/relationships/externalLink" Target="externalLinks/externalLink205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10" Type="http://schemas.openxmlformats.org/officeDocument/2006/relationships/theme" Target="theme/theme1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2-11%20ENTRADAS%20Y%20SALID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2-11%20ENTRADAS%20Y%20SALID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2-11%20ENTRADAS%20Y%20SALID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2-11%20ENTRADAS%20Y%20SALID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2-11%20ENTRADAS%20Y%20SALID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2-11%20ENTRADAS%20Y%20SALID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7-02-11%20ENTRADAS%20Y%20SALID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8-02-11%20ENTRADAS%20Y%20SALID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9-02-11%20ENTRADAS%20Y%20SALID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0-02-11%20ENTRADAS%20Y%20SALID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1-02-11%20ENTRADAS%20Y%20SALID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2-02-11%20ENTRADAS%20Y%20SALID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3-02-11%20ENTRADAS%20Y%20SALIDA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4-02-11%20ENTRADAS%20Y%20SALID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5-02-11%20ENTRADAS%20Y%20SALID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6-02-11%20ENTRADAS%20Y%20SALID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7-02-11%20ENTRADAS%20Y%20SALID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8-02-11%20ENTRADAS%20Y%20SALID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9-02-11%20ENTRADAS%20Y%20SALID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0-02-11%20ENTRADAS%20Y%20SALIDA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1-02-11%20ENTRADAS%20Y%20SALID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2-02-11%20ENTRADAS%20Y%20SALID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3-02-11%20ENTRADAS%20Y%20SALIDA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4-02-11%20ENTRADAS%20Y%20SALIDA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5-02-11%20ENTRADAS%20Y%20SALIDA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6-02-11%20ENTRADAS%20Y%20SALIDA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7-02-11%20ENTRADAS%20Y%20SALIDA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8-02-11%20ENTRADAS%20Y%20SALIDA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3-11%20ENTRADAS%20Y%20SALIDA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3-11%20ENTRADAS%20Y%20SALIDA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3-11%20ENTRADAS%20Y%20SALID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3-11%20ENTRADAS%20Y%20SALIDA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3-11%20ENTRADAS%20Y%20SALIDA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3-11%20ENTRADAS%20Y%20SALIDA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1-02-1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2-02-1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3-02-1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4-02-1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5-02-1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6-02-1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7-02-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8-02-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9-02-1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0-02-1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1-02-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2-02-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3-02-1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4-02-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5-02-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6-02-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7-02-1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8-02-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19-02-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0-02-1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1-02-1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2-02-1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3-02-1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4-02-1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5-02-1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6-02-1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7-02-1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28-02-1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1-03-1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2-03-1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3-03-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4-03-1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5-03-1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ENTRADAS%20Y%20SALIDAS%20FASE%20II%2006-03-1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2-11%20CARG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2-11%20CARG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2-11%20CARG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2-11%20CARGA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2-11%20CARGA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2-11%20CARG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7-02-11%20CARG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8-02-11%20CARG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9-02-11%20CARGA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0-02-11%20CARGA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1-02-11%20CARGA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2-02-11%20CARGA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3-02-11%20CARGA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4-02-11%20CARG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5-02-11%20CARGA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6-02-11%20CARGA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7-02-11%20CARGA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8-02-11%20CARGA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9-02-11%20CARGA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0-02-11%20CARGA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1-02-11%20CARG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2-02-11%20CARGA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3-02-11%20CARGA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4-02-11%20CARGA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5-02-11%20CARGA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6-02-11%20CARGA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7-02-11%20CARGA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8-02-11%20CARGA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3-11%20CARGA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3-11%20CARGA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3-11%20CARGA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3-11%20CARGA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3-11%20CARG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3-11%20CARGA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3-02-11%20CONCILIACION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2-11%20CONCILIACION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2-11%20CONCILIACION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2-11%20CONCILIACION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2-11%20CONCILIACION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2-11%20CONCILIACION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2-11%20CONCILIACION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7-02-11%20CONCILIACION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8-02-11%20CONCILIACION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9-02-11%20CONCILIACION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0-02-11%20CONCILIACION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1-02-11%20CONCILIACION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2-02-11%20CONCILIACION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3-02-11%20CONCILIACION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4-02-11%20CONCILIACION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5-02-11%20CONCILIACION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6-02-11%20CONCILIACION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7-02-11%20CONCILIACION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8-02-11%20CONCILIACION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19-02-11%20CONCILIACION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0-02-11%20CONCILIACION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1-02-11%20CONCILIACION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2-02-11%20CONCILIACION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4-02-11%20CONCILIACION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5-02-11%20CONCILIACION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6-02-11%20CONCILIACION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7-02-11%20CONCILIACION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28-02-11%20CONCILIACION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1-03-11%20CONCILIACION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2-03-11%20CONCILIACION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3-03-11%20CONCILIACION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4-03-11%20CONCILIACION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5-03-11%20CONCILIACION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IRC%2006-03-11%20CONCILIACION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1-02-11%20FASE%20II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2-02-11%20FASE%20II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3-02-11%20FASE%20II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4-02-11%20FASE%20II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5-02-11%20FASE%20II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6-02-11%20FASE%20II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7-02-11%20FASE%20II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8-02-11%20FASE%20II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9-02-11%20FASE%20II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0-02-11%20FASE%20II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1-02-11%20FASE%20II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2-02-11%20FASE%20II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3-02-11%20FASE%20II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4-02-11%20FASE%20II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5-02-11%20FASE%20II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6-02-11%20FASE%20II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7-02-11%20FASE%20II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8-02-11%20FASE%20II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19-02-11%20FASE%20II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0-02-11%20FASE%20II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1-02-11%20FASE%20II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2-02-11%20FASE%20II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3-02-11%20FASE%20II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4-02-11%20FASE%20II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5-02-11%20FASE%20II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6-02-11%20FASE%20II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7-02-11%20FASE%20II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28-02-11%20FASE%20II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1-03-11%20FASE%20II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2-03-11%20FASE%20II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3-03-11%20FASE%20II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4-03-11%20FASE%20II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5-03-11%20FASE%20II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DE%20CARGAS%2006-03-11%20FASE%20II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1-02-11%20FASE%20II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2-02-11%20FASE%20II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3-02-11%20FASE%20II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4-02-11%20FASE%20II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5-02-11%20FASE%20II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6-02-11%20FASE%20II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7-02-11%20FASE%20II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8-02-11%20FASE%20II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9-02-11%20FASE%20II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0-02-11%20FASE%20II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1-02-11%20FASE%20II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2-02-11%20FASE%20II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3-02-11%20FASE%20II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4-02-11%20FASE%20II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5-02-11%20FASE%20II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6-02-11%20FASE%20II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7-02-11%20FASE%20II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8-02-11%20FASE%20II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19-02-11%20FASE%20II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0-02-11%20FASE%20II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1-02-11%20FASE%20II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2-02-11%20FASE%20II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3-02-11%20FASE%20II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4-02-11%20FASE%20II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5-02-11%20FASE%20II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6-02-11%20FASE%20II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7-02-11%20FASE%20II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28-02-11%20FASE%20II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1-03-11%20FASE%20II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2-03-11%20FASE%20II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3-03-11%20FASE%20II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4-03-11%20FASE%20II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5-03-11%20FASE%20II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CONCILIACIONES%2006-03-11%20FASE%20II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TSM/BASE%20DE%20DATOS/2009/marzo%202009/IRC%2003-12-08%20CARG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87005</v>
          </cell>
        </row>
        <row r="20">
          <cell r="D20">
            <v>5696</v>
          </cell>
        </row>
        <row r="21">
          <cell r="D21">
            <v>5591</v>
          </cell>
        </row>
        <row r="22">
          <cell r="D22">
            <v>8671</v>
          </cell>
        </row>
        <row r="23">
          <cell r="D23">
            <v>5179</v>
          </cell>
        </row>
        <row r="24">
          <cell r="D24">
            <v>4223</v>
          </cell>
        </row>
        <row r="25">
          <cell r="D25">
            <v>15863</v>
          </cell>
        </row>
        <row r="26">
          <cell r="D26">
            <v>13660</v>
          </cell>
        </row>
        <row r="27">
          <cell r="D27">
            <v>6929</v>
          </cell>
        </row>
        <row r="28">
          <cell r="D28">
            <v>7841</v>
          </cell>
        </row>
        <row r="29">
          <cell r="D29">
            <v>3003</v>
          </cell>
        </row>
        <row r="30">
          <cell r="D30">
            <v>4808</v>
          </cell>
        </row>
        <row r="31">
          <cell r="D31">
            <v>9854</v>
          </cell>
        </row>
        <row r="32">
          <cell r="D32">
            <v>3908</v>
          </cell>
        </row>
        <row r="33">
          <cell r="D33">
            <v>3299</v>
          </cell>
        </row>
        <row r="34">
          <cell r="D34">
            <v>3020</v>
          </cell>
        </row>
        <row r="35">
          <cell r="D35">
            <v>6462</v>
          </cell>
        </row>
        <row r="36">
          <cell r="D36">
            <v>26618</v>
          </cell>
        </row>
        <row r="37">
          <cell r="D37">
            <v>20527</v>
          </cell>
        </row>
        <row r="38">
          <cell r="D38">
            <v>16081</v>
          </cell>
        </row>
        <row r="39">
          <cell r="D39">
            <v>32731</v>
          </cell>
        </row>
        <row r="40">
          <cell r="D40">
            <v>13197</v>
          </cell>
        </row>
        <row r="41">
          <cell r="D41">
            <v>0</v>
          </cell>
        </row>
        <row r="42">
          <cell r="D42">
            <v>14559</v>
          </cell>
        </row>
        <row r="43">
          <cell r="D43">
            <v>18779</v>
          </cell>
        </row>
        <row r="44">
          <cell r="D44">
            <v>13907</v>
          </cell>
        </row>
        <row r="45">
          <cell r="D45">
            <v>2085</v>
          </cell>
        </row>
        <row r="46">
          <cell r="D46">
            <v>17895</v>
          </cell>
        </row>
        <row r="47">
          <cell r="D47">
            <v>1482</v>
          </cell>
        </row>
        <row r="48">
          <cell r="D48">
            <v>10928</v>
          </cell>
        </row>
        <row r="49">
          <cell r="D49">
            <v>15275</v>
          </cell>
        </row>
        <row r="50">
          <cell r="D50">
            <v>898</v>
          </cell>
        </row>
        <row r="51">
          <cell r="D51">
            <v>7872</v>
          </cell>
        </row>
        <row r="52">
          <cell r="D52">
            <v>437</v>
          </cell>
        </row>
        <row r="53">
          <cell r="D53">
            <v>4984</v>
          </cell>
        </row>
        <row r="54">
          <cell r="D54">
            <v>1655</v>
          </cell>
        </row>
        <row r="55">
          <cell r="D55">
            <v>17905</v>
          </cell>
        </row>
        <row r="56">
          <cell r="D56">
            <v>106464</v>
          </cell>
        </row>
        <row r="64">
          <cell r="D64">
            <v>21765</v>
          </cell>
        </row>
        <row r="65">
          <cell r="D65">
            <v>17235</v>
          </cell>
        </row>
        <row r="66">
          <cell r="D66">
            <v>17923</v>
          </cell>
        </row>
        <row r="67">
          <cell r="D67">
            <v>7426</v>
          </cell>
        </row>
        <row r="68">
          <cell r="D68">
            <v>10102</v>
          </cell>
        </row>
        <row r="69">
          <cell r="D69">
            <v>14451</v>
          </cell>
        </row>
        <row r="70">
          <cell r="D70">
            <v>19510</v>
          </cell>
        </row>
        <row r="71">
          <cell r="D71">
            <v>10688</v>
          </cell>
        </row>
        <row r="72">
          <cell r="D72">
            <v>12469</v>
          </cell>
        </row>
        <row r="73">
          <cell r="D73">
            <v>5980</v>
          </cell>
        </row>
        <row r="74">
          <cell r="D74">
            <v>25533</v>
          </cell>
        </row>
        <row r="75">
          <cell r="D75">
            <v>19661</v>
          </cell>
        </row>
        <row r="76">
          <cell r="D76">
            <v>11822</v>
          </cell>
        </row>
        <row r="77">
          <cell r="D77">
            <v>10639</v>
          </cell>
        </row>
        <row r="78">
          <cell r="D78">
            <v>13161</v>
          </cell>
        </row>
        <row r="79">
          <cell r="D79">
            <v>9655</v>
          </cell>
        </row>
        <row r="80">
          <cell r="D80">
            <v>13834</v>
          </cell>
        </row>
        <row r="81">
          <cell r="D81">
            <v>11309</v>
          </cell>
        </row>
        <row r="82">
          <cell r="D82">
            <v>21707</v>
          </cell>
        </row>
        <row r="83">
          <cell r="D83">
            <v>0</v>
          </cell>
        </row>
        <row r="84">
          <cell r="D84">
            <v>7674</v>
          </cell>
        </row>
        <row r="85">
          <cell r="D85">
            <v>5149</v>
          </cell>
        </row>
        <row r="86">
          <cell r="D86">
            <v>21514</v>
          </cell>
        </row>
        <row r="87">
          <cell r="D87">
            <v>7830</v>
          </cell>
        </row>
        <row r="88">
          <cell r="D88">
            <v>11431</v>
          </cell>
        </row>
        <row r="89">
          <cell r="D89">
            <v>53884</v>
          </cell>
        </row>
        <row r="90">
          <cell r="D90">
            <v>14174</v>
          </cell>
        </row>
        <row r="91">
          <cell r="D91">
            <v>2381</v>
          </cell>
        </row>
        <row r="92">
          <cell r="D92">
            <v>4765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3437</v>
          </cell>
        </row>
        <row r="98">
          <cell r="D98">
            <v>1509</v>
          </cell>
        </row>
        <row r="99">
          <cell r="D99">
            <v>3466</v>
          </cell>
        </row>
        <row r="100">
          <cell r="D100">
            <v>4039</v>
          </cell>
        </row>
        <row r="101">
          <cell r="D101">
            <v>0</v>
          </cell>
        </row>
        <row r="102">
          <cell r="D102">
            <v>5645</v>
          </cell>
        </row>
        <row r="103">
          <cell r="D103">
            <v>2261</v>
          </cell>
        </row>
        <row r="104">
          <cell r="D104">
            <v>3580</v>
          </cell>
        </row>
        <row r="105">
          <cell r="D105">
            <v>3660</v>
          </cell>
        </row>
        <row r="106">
          <cell r="D106">
            <v>5805</v>
          </cell>
        </row>
        <row r="107">
          <cell r="D107">
            <v>2696</v>
          </cell>
          <cell r="G107">
            <v>17713</v>
          </cell>
        </row>
        <row r="108">
          <cell r="D108">
            <v>672</v>
          </cell>
          <cell r="G108">
            <v>6220</v>
          </cell>
        </row>
        <row r="109">
          <cell r="D109">
            <v>0</v>
          </cell>
          <cell r="G109">
            <v>10404</v>
          </cell>
        </row>
        <row r="110">
          <cell r="D110">
            <v>3196</v>
          </cell>
          <cell r="G110">
            <v>13055</v>
          </cell>
        </row>
        <row r="111">
          <cell r="D111">
            <v>3210</v>
          </cell>
          <cell r="G111">
            <v>7793</v>
          </cell>
        </row>
        <row r="112">
          <cell r="D112">
            <v>7740</v>
          </cell>
          <cell r="G112">
            <v>9571</v>
          </cell>
        </row>
        <row r="113">
          <cell r="D113">
            <v>3097</v>
          </cell>
          <cell r="G113">
            <v>7906</v>
          </cell>
        </row>
        <row r="114">
          <cell r="D114">
            <v>6825</v>
          </cell>
          <cell r="G114">
            <v>14343</v>
          </cell>
        </row>
        <row r="115">
          <cell r="D115">
            <v>9052</v>
          </cell>
        </row>
        <row r="116">
          <cell r="D116">
            <v>3694</v>
          </cell>
        </row>
        <row r="117">
          <cell r="D117">
            <v>16957</v>
          </cell>
        </row>
        <row r="118">
          <cell r="D118">
            <v>13768</v>
          </cell>
          <cell r="G118">
            <v>25179</v>
          </cell>
        </row>
        <row r="119">
          <cell r="D119">
            <v>5952</v>
          </cell>
          <cell r="G119">
            <v>10805</v>
          </cell>
        </row>
        <row r="120">
          <cell r="D120">
            <v>11090</v>
          </cell>
          <cell r="G120">
            <v>17878</v>
          </cell>
        </row>
        <row r="121">
          <cell r="D121">
            <v>4260</v>
          </cell>
          <cell r="G121">
            <v>16149</v>
          </cell>
        </row>
        <row r="122">
          <cell r="D122">
            <v>10617</v>
          </cell>
          <cell r="G122">
            <v>602</v>
          </cell>
        </row>
        <row r="123">
          <cell r="D123">
            <v>3997</v>
          </cell>
          <cell r="G123">
            <v>14039</v>
          </cell>
        </row>
        <row r="124">
          <cell r="D124">
            <v>6078</v>
          </cell>
          <cell r="G124">
            <v>21812</v>
          </cell>
        </row>
        <row r="125">
          <cell r="D125">
            <v>3251</v>
          </cell>
        </row>
        <row r="126">
          <cell r="D126">
            <v>1692</v>
          </cell>
        </row>
        <row r="127">
          <cell r="D127">
            <v>6611</v>
          </cell>
        </row>
        <row r="128">
          <cell r="D128">
            <v>13133</v>
          </cell>
          <cell r="G128">
            <v>1138</v>
          </cell>
        </row>
        <row r="129">
          <cell r="D129">
            <v>11282</v>
          </cell>
          <cell r="G129">
            <v>3137</v>
          </cell>
        </row>
        <row r="130">
          <cell r="D130">
            <v>49864</v>
          </cell>
          <cell r="G130">
            <v>11850</v>
          </cell>
        </row>
        <row r="131">
          <cell r="G131">
            <v>12671</v>
          </cell>
        </row>
        <row r="132">
          <cell r="G132">
            <v>5596</v>
          </cell>
        </row>
        <row r="133">
          <cell r="G133">
            <v>4620</v>
          </cell>
        </row>
        <row r="134">
          <cell r="G134">
            <v>6189</v>
          </cell>
        </row>
        <row r="135">
          <cell r="G135">
            <v>4663</v>
          </cell>
        </row>
        <row r="139">
          <cell r="D139">
            <v>2234</v>
          </cell>
          <cell r="G139">
            <v>2766</v>
          </cell>
        </row>
        <row r="140">
          <cell r="D140">
            <v>339</v>
          </cell>
          <cell r="G140">
            <v>32910</v>
          </cell>
        </row>
        <row r="141">
          <cell r="D141">
            <v>1918</v>
          </cell>
          <cell r="G141">
            <v>17188</v>
          </cell>
        </row>
        <row r="142">
          <cell r="D142">
            <v>329</v>
          </cell>
        </row>
        <row r="143">
          <cell r="D143">
            <v>52864</v>
          </cell>
        </row>
        <row r="148">
          <cell r="D148">
            <v>1185116</v>
          </cell>
        </row>
      </sheetData>
      <sheetData sheetId="1">
        <row r="11">
          <cell r="H11">
            <v>79458</v>
          </cell>
        </row>
        <row r="20">
          <cell r="H20">
            <v>5244</v>
          </cell>
        </row>
        <row r="21">
          <cell r="H21">
            <v>5964</v>
          </cell>
        </row>
        <row r="22">
          <cell r="H22">
            <v>9969</v>
          </cell>
        </row>
        <row r="23">
          <cell r="H23">
            <v>3205</v>
          </cell>
        </row>
        <row r="24">
          <cell r="H24">
            <v>4342</v>
          </cell>
        </row>
        <row r="25">
          <cell r="H25">
            <v>13508</v>
          </cell>
        </row>
        <row r="26">
          <cell r="H26">
            <v>5044</v>
          </cell>
        </row>
        <row r="27">
          <cell r="H27">
            <v>2382</v>
          </cell>
        </row>
        <row r="28">
          <cell r="H28">
            <v>7978</v>
          </cell>
        </row>
        <row r="29">
          <cell r="H29">
            <v>3448</v>
          </cell>
        </row>
        <row r="30">
          <cell r="H30">
            <v>4564</v>
          </cell>
        </row>
        <row r="31">
          <cell r="H31">
            <v>10628</v>
          </cell>
        </row>
        <row r="32">
          <cell r="H32">
            <v>3893</v>
          </cell>
        </row>
        <row r="33">
          <cell r="H33">
            <v>3225</v>
          </cell>
        </row>
        <row r="34">
          <cell r="H34">
            <v>2823</v>
          </cell>
        </row>
        <row r="35">
          <cell r="H35">
            <v>7152</v>
          </cell>
        </row>
        <row r="36">
          <cell r="H36">
            <v>24998</v>
          </cell>
        </row>
        <row r="37">
          <cell r="H37">
            <v>19958</v>
          </cell>
        </row>
        <row r="38">
          <cell r="H38">
            <v>17301</v>
          </cell>
        </row>
        <row r="39">
          <cell r="H39">
            <v>28844</v>
          </cell>
        </row>
        <row r="40">
          <cell r="H40">
            <v>13347</v>
          </cell>
        </row>
        <row r="41">
          <cell r="H41">
            <v>0</v>
          </cell>
        </row>
        <row r="42">
          <cell r="H42">
            <v>15126</v>
          </cell>
        </row>
        <row r="43">
          <cell r="H43">
            <v>18959</v>
          </cell>
        </row>
        <row r="44">
          <cell r="H44">
            <v>14441</v>
          </cell>
        </row>
        <row r="45">
          <cell r="H45">
            <v>16445</v>
          </cell>
        </row>
        <row r="46">
          <cell r="H46">
            <v>2963</v>
          </cell>
        </row>
        <row r="47">
          <cell r="H47">
            <v>9830</v>
          </cell>
        </row>
        <row r="48">
          <cell r="H48">
            <v>1717</v>
          </cell>
        </row>
        <row r="49">
          <cell r="H49">
            <v>15029</v>
          </cell>
        </row>
        <row r="50">
          <cell r="H50">
            <v>7857</v>
          </cell>
        </row>
        <row r="51">
          <cell r="H51">
            <v>1452</v>
          </cell>
        </row>
        <row r="52">
          <cell r="H52">
            <v>3961</v>
          </cell>
        </row>
        <row r="53">
          <cell r="H53">
            <v>803</v>
          </cell>
        </row>
        <row r="54">
          <cell r="H54">
            <v>17659</v>
          </cell>
        </row>
        <row r="55">
          <cell r="H55">
            <v>2258</v>
          </cell>
        </row>
        <row r="56">
          <cell r="H56">
            <v>100648</v>
          </cell>
        </row>
        <row r="63">
          <cell r="H63">
            <v>21257</v>
          </cell>
        </row>
        <row r="64">
          <cell r="H64">
            <v>13905</v>
          </cell>
        </row>
        <row r="65">
          <cell r="H65">
            <v>21530</v>
          </cell>
        </row>
        <row r="66">
          <cell r="H66">
            <v>6195</v>
          </cell>
        </row>
        <row r="67">
          <cell r="H67">
            <v>8230</v>
          </cell>
        </row>
        <row r="68">
          <cell r="H68">
            <v>16356</v>
          </cell>
        </row>
        <row r="69">
          <cell r="H69">
            <v>22719</v>
          </cell>
        </row>
        <row r="70">
          <cell r="H70">
            <v>11167</v>
          </cell>
        </row>
        <row r="71">
          <cell r="H71">
            <v>10482</v>
          </cell>
        </row>
        <row r="72">
          <cell r="H72">
            <v>7254</v>
          </cell>
        </row>
        <row r="73">
          <cell r="H73">
            <v>24333</v>
          </cell>
        </row>
        <row r="74">
          <cell r="H74">
            <v>19463</v>
          </cell>
        </row>
        <row r="75">
          <cell r="H75">
            <v>13102</v>
          </cell>
        </row>
        <row r="76">
          <cell r="H76">
            <v>8886</v>
          </cell>
        </row>
        <row r="77">
          <cell r="H77">
            <v>14243</v>
          </cell>
        </row>
        <row r="78">
          <cell r="H78">
            <v>8683</v>
          </cell>
        </row>
        <row r="79">
          <cell r="H79">
            <v>13248</v>
          </cell>
        </row>
        <row r="80">
          <cell r="H80">
            <v>11573</v>
          </cell>
        </row>
        <row r="81">
          <cell r="H81">
            <v>18168</v>
          </cell>
        </row>
        <row r="82">
          <cell r="H82">
            <v>0</v>
          </cell>
        </row>
        <row r="83">
          <cell r="H83">
            <v>7483</v>
          </cell>
        </row>
        <row r="84">
          <cell r="H84">
            <v>4381</v>
          </cell>
        </row>
        <row r="85">
          <cell r="H85">
            <v>21886</v>
          </cell>
        </row>
        <row r="86">
          <cell r="H86">
            <v>7432</v>
          </cell>
        </row>
        <row r="87">
          <cell r="H87">
            <v>9696</v>
          </cell>
        </row>
        <row r="88">
          <cell r="H88">
            <v>47275</v>
          </cell>
        </row>
        <row r="89">
          <cell r="H89">
            <v>11983</v>
          </cell>
        </row>
        <row r="90">
          <cell r="H90">
            <v>2297</v>
          </cell>
        </row>
        <row r="91">
          <cell r="H91">
            <v>4406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3691</v>
          </cell>
        </row>
        <row r="97">
          <cell r="H97">
            <v>1581</v>
          </cell>
        </row>
        <row r="98">
          <cell r="H98">
            <v>3505</v>
          </cell>
        </row>
        <row r="99">
          <cell r="H99">
            <v>3849</v>
          </cell>
        </row>
        <row r="100">
          <cell r="H100">
            <v>0</v>
          </cell>
        </row>
        <row r="101">
          <cell r="H101">
            <v>5822</v>
          </cell>
        </row>
        <row r="102">
          <cell r="H102">
            <v>1899</v>
          </cell>
        </row>
        <row r="103">
          <cell r="H103">
            <v>3338</v>
          </cell>
        </row>
        <row r="104">
          <cell r="H104">
            <v>2706</v>
          </cell>
        </row>
        <row r="105">
          <cell r="H105">
            <v>5956</v>
          </cell>
        </row>
        <row r="106">
          <cell r="H106">
            <v>3170</v>
          </cell>
        </row>
        <row r="107">
          <cell r="H107">
            <v>582</v>
          </cell>
        </row>
        <row r="108">
          <cell r="H108">
            <v>0</v>
          </cell>
        </row>
        <row r="109">
          <cell r="H109">
            <v>3428</v>
          </cell>
        </row>
        <row r="110">
          <cell r="H110">
            <v>2851</v>
          </cell>
        </row>
        <row r="111">
          <cell r="H111">
            <v>7676</v>
          </cell>
        </row>
        <row r="112">
          <cell r="H112">
            <v>3046</v>
          </cell>
        </row>
        <row r="113">
          <cell r="H113">
            <v>6982</v>
          </cell>
        </row>
        <row r="114">
          <cell r="H114">
            <v>8623</v>
          </cell>
        </row>
        <row r="115">
          <cell r="H115">
            <v>2116</v>
          </cell>
        </row>
        <row r="116">
          <cell r="H116">
            <v>13526</v>
          </cell>
        </row>
        <row r="117">
          <cell r="H117">
            <v>12632</v>
          </cell>
        </row>
        <row r="118">
          <cell r="H118">
            <v>5222</v>
          </cell>
        </row>
        <row r="119">
          <cell r="H119">
            <v>4146</v>
          </cell>
        </row>
        <row r="120">
          <cell r="H120">
            <v>9652</v>
          </cell>
        </row>
        <row r="121">
          <cell r="H121">
            <v>7618</v>
          </cell>
        </row>
        <row r="122">
          <cell r="H122">
            <v>4729</v>
          </cell>
        </row>
        <row r="123">
          <cell r="H123">
            <v>4731</v>
          </cell>
        </row>
        <row r="124">
          <cell r="H124">
            <v>3130</v>
          </cell>
        </row>
        <row r="125">
          <cell r="H125">
            <v>1791</v>
          </cell>
        </row>
        <row r="126">
          <cell r="H126">
            <v>5702</v>
          </cell>
        </row>
        <row r="127">
          <cell r="H127">
            <v>11723</v>
          </cell>
        </row>
        <row r="128">
          <cell r="H128">
            <v>7770</v>
          </cell>
        </row>
        <row r="129">
          <cell r="H129">
            <v>43723</v>
          </cell>
        </row>
        <row r="138">
          <cell r="H138">
            <v>218</v>
          </cell>
        </row>
        <row r="139">
          <cell r="H139">
            <v>1944</v>
          </cell>
        </row>
        <row r="140">
          <cell r="H140">
            <v>236</v>
          </cell>
        </row>
        <row r="141">
          <cell r="H141">
            <v>1758</v>
          </cell>
        </row>
        <row r="142">
          <cell r="H142">
            <v>46819</v>
          </cell>
        </row>
        <row r="147">
          <cell r="D147">
            <v>9865</v>
          </cell>
          <cell r="E147">
            <v>235650</v>
          </cell>
          <cell r="F147">
            <v>875223</v>
          </cell>
          <cell r="G147">
            <v>5190</v>
          </cell>
        </row>
        <row r="150">
          <cell r="C150">
            <v>15012</v>
          </cell>
          <cell r="E150">
            <v>2993</v>
          </cell>
          <cell r="G150">
            <v>27382</v>
          </cell>
        </row>
        <row r="151">
          <cell r="C151">
            <v>3941</v>
          </cell>
          <cell r="E151">
            <v>1442</v>
          </cell>
          <cell r="G151">
            <v>4137</v>
          </cell>
        </row>
        <row r="152">
          <cell r="C152">
            <v>7783</v>
          </cell>
          <cell r="E152">
            <v>8062</v>
          </cell>
          <cell r="G152">
            <v>129</v>
          </cell>
        </row>
        <row r="153">
          <cell r="C153">
            <v>12544</v>
          </cell>
          <cell r="E153">
            <v>10129</v>
          </cell>
          <cell r="G153">
            <v>22210</v>
          </cell>
        </row>
        <row r="154">
          <cell r="C154">
            <v>8892</v>
          </cell>
          <cell r="E154">
            <v>4353</v>
          </cell>
          <cell r="G154">
            <v>23587</v>
          </cell>
        </row>
        <row r="155">
          <cell r="C155">
            <v>6058</v>
          </cell>
          <cell r="E155">
            <v>4158</v>
          </cell>
          <cell r="G155">
            <v>23203</v>
          </cell>
        </row>
        <row r="156">
          <cell r="C156">
            <v>7059</v>
          </cell>
          <cell r="E156">
            <v>8173</v>
          </cell>
        </row>
        <row r="157">
          <cell r="C157">
            <v>18169</v>
          </cell>
          <cell r="E157">
            <v>4413</v>
          </cell>
        </row>
        <row r="161">
          <cell r="C161">
            <v>2699</v>
          </cell>
        </row>
        <row r="162">
          <cell r="C162">
            <v>6790</v>
          </cell>
        </row>
        <row r="163">
          <cell r="C163">
            <v>37330</v>
          </cell>
        </row>
        <row r="171">
          <cell r="H171">
            <v>2350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86665</v>
          </cell>
        </row>
        <row r="20">
          <cell r="D20">
            <v>5568</v>
          </cell>
        </row>
        <row r="21">
          <cell r="D21">
            <v>5513</v>
          </cell>
        </row>
        <row r="22">
          <cell r="D22">
            <v>8869</v>
          </cell>
        </row>
        <row r="23">
          <cell r="D23">
            <v>5032</v>
          </cell>
        </row>
        <row r="24">
          <cell r="D24">
            <v>4259</v>
          </cell>
        </row>
        <row r="25">
          <cell r="D25">
            <v>16438</v>
          </cell>
        </row>
        <row r="26">
          <cell r="D26">
            <v>13791</v>
          </cell>
        </row>
        <row r="27">
          <cell r="D27">
            <v>6835</v>
          </cell>
        </row>
        <row r="28">
          <cell r="D28">
            <v>7529</v>
          </cell>
        </row>
        <row r="29">
          <cell r="D29">
            <v>3008</v>
          </cell>
        </row>
        <row r="30">
          <cell r="D30">
            <v>4786</v>
          </cell>
        </row>
        <row r="31">
          <cell r="D31">
            <v>9912</v>
          </cell>
        </row>
        <row r="32">
          <cell r="D32">
            <v>3942</v>
          </cell>
        </row>
        <row r="33">
          <cell r="D33">
            <v>3414</v>
          </cell>
        </row>
        <row r="34">
          <cell r="D34">
            <v>3102</v>
          </cell>
        </row>
        <row r="35">
          <cell r="D35">
            <v>6365</v>
          </cell>
        </row>
        <row r="36">
          <cell r="D36">
            <v>25281</v>
          </cell>
        </row>
        <row r="37">
          <cell r="D37">
            <v>21905</v>
          </cell>
        </row>
        <row r="38">
          <cell r="D38">
            <v>17328</v>
          </cell>
        </row>
        <row r="39">
          <cell r="D39">
            <v>32880</v>
          </cell>
        </row>
        <row r="40">
          <cell r="D40">
            <v>13799</v>
          </cell>
        </row>
        <row r="41">
          <cell r="D41">
            <v>0</v>
          </cell>
        </row>
        <row r="42">
          <cell r="D42">
            <v>15046</v>
          </cell>
        </row>
        <row r="43">
          <cell r="D43">
            <v>19869</v>
          </cell>
        </row>
        <row r="44">
          <cell r="D44">
            <v>14801</v>
          </cell>
        </row>
        <row r="45">
          <cell r="D45">
            <v>1979</v>
          </cell>
        </row>
        <row r="46">
          <cell r="D46">
            <v>18243</v>
          </cell>
        </row>
        <row r="47">
          <cell r="D47">
            <v>1403</v>
          </cell>
        </row>
        <row r="48">
          <cell r="D48">
            <v>11167</v>
          </cell>
        </row>
        <row r="49">
          <cell r="D49">
            <v>15502</v>
          </cell>
        </row>
        <row r="50">
          <cell r="D50">
            <v>1056</v>
          </cell>
        </row>
        <row r="51">
          <cell r="D51">
            <v>8012</v>
          </cell>
        </row>
        <row r="52">
          <cell r="D52">
            <v>585</v>
          </cell>
        </row>
        <row r="53">
          <cell r="D53">
            <v>5127</v>
          </cell>
        </row>
        <row r="54">
          <cell r="D54">
            <v>1682</v>
          </cell>
        </row>
        <row r="55">
          <cell r="D55">
            <v>18626</v>
          </cell>
        </row>
        <row r="56">
          <cell r="D56">
            <v>107844</v>
          </cell>
        </row>
        <row r="64">
          <cell r="D64">
            <v>21634</v>
          </cell>
        </row>
        <row r="65">
          <cell r="D65">
            <v>17333</v>
          </cell>
        </row>
        <row r="66">
          <cell r="D66">
            <v>18533</v>
          </cell>
        </row>
        <row r="67">
          <cell r="D67">
            <v>7701</v>
          </cell>
        </row>
        <row r="68">
          <cell r="D68">
            <v>9654</v>
          </cell>
        </row>
        <row r="69">
          <cell r="D69">
            <v>15454</v>
          </cell>
        </row>
        <row r="70">
          <cell r="D70">
            <v>20239</v>
          </cell>
        </row>
        <row r="71">
          <cell r="D71">
            <v>11242</v>
          </cell>
        </row>
        <row r="72">
          <cell r="D72">
            <v>12431</v>
          </cell>
        </row>
        <row r="73">
          <cell r="D73">
            <v>6405</v>
          </cell>
        </row>
        <row r="74">
          <cell r="D74">
            <v>24247</v>
          </cell>
        </row>
        <row r="75">
          <cell r="D75">
            <v>19928</v>
          </cell>
        </row>
        <row r="76">
          <cell r="D76">
            <v>12217</v>
          </cell>
        </row>
        <row r="77">
          <cell r="D77">
            <v>11258</v>
          </cell>
        </row>
        <row r="78">
          <cell r="D78">
            <v>15381</v>
          </cell>
        </row>
        <row r="79">
          <cell r="D79">
            <v>9844</v>
          </cell>
        </row>
        <row r="80">
          <cell r="D80">
            <v>13879</v>
          </cell>
        </row>
        <row r="81">
          <cell r="D81">
            <v>11552</v>
          </cell>
        </row>
        <row r="82">
          <cell r="D82">
            <v>22327</v>
          </cell>
        </row>
        <row r="83">
          <cell r="D83">
            <v>0</v>
          </cell>
        </row>
        <row r="84">
          <cell r="D84">
            <v>7906</v>
          </cell>
        </row>
        <row r="85">
          <cell r="D85">
            <v>4971</v>
          </cell>
        </row>
        <row r="86">
          <cell r="D86">
            <v>21785</v>
          </cell>
        </row>
        <row r="87">
          <cell r="D87">
            <v>7762</v>
          </cell>
        </row>
        <row r="88">
          <cell r="D88">
            <v>11735</v>
          </cell>
        </row>
        <row r="89">
          <cell r="D89">
            <v>56946</v>
          </cell>
        </row>
        <row r="90">
          <cell r="D90">
            <v>15653</v>
          </cell>
        </row>
        <row r="91">
          <cell r="D91">
            <v>2419</v>
          </cell>
        </row>
        <row r="92">
          <cell r="D92">
            <v>4844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3525</v>
          </cell>
        </row>
        <row r="98">
          <cell r="D98">
            <v>1546</v>
          </cell>
        </row>
        <row r="99">
          <cell r="D99">
            <v>3562</v>
          </cell>
        </row>
        <row r="100">
          <cell r="D100">
            <v>4151</v>
          </cell>
        </row>
        <row r="101">
          <cell r="D101">
            <v>0</v>
          </cell>
        </row>
        <row r="102">
          <cell r="D102">
            <v>5576</v>
          </cell>
        </row>
        <row r="103">
          <cell r="D103">
            <v>2332</v>
          </cell>
        </row>
        <row r="104">
          <cell r="D104">
            <v>3713</v>
          </cell>
        </row>
        <row r="105">
          <cell r="D105">
            <v>3583</v>
          </cell>
        </row>
        <row r="106">
          <cell r="D106">
            <v>5804</v>
          </cell>
        </row>
        <row r="107">
          <cell r="D107">
            <v>2720</v>
          </cell>
          <cell r="G107">
            <v>17274</v>
          </cell>
        </row>
        <row r="108">
          <cell r="D108">
            <v>634</v>
          </cell>
          <cell r="G108">
            <v>6353</v>
          </cell>
        </row>
        <row r="109">
          <cell r="D109">
            <v>0</v>
          </cell>
          <cell r="G109">
            <v>10311</v>
          </cell>
        </row>
        <row r="110">
          <cell r="D110">
            <v>3379</v>
          </cell>
          <cell r="G110">
            <v>12945</v>
          </cell>
        </row>
        <row r="111">
          <cell r="D111">
            <v>3152</v>
          </cell>
          <cell r="G111">
            <v>7998</v>
          </cell>
        </row>
        <row r="112">
          <cell r="D112">
            <v>7578</v>
          </cell>
          <cell r="G112">
            <v>9394</v>
          </cell>
        </row>
        <row r="113">
          <cell r="D113">
            <v>3157</v>
          </cell>
          <cell r="G113">
            <v>8200</v>
          </cell>
        </row>
        <row r="114">
          <cell r="D114">
            <v>7146</v>
          </cell>
          <cell r="G114">
            <v>14190</v>
          </cell>
        </row>
        <row r="115">
          <cell r="D115">
            <v>8799</v>
          </cell>
        </row>
        <row r="116">
          <cell r="D116">
            <v>3630</v>
          </cell>
        </row>
        <row r="117">
          <cell r="D117">
            <v>17206</v>
          </cell>
        </row>
        <row r="118">
          <cell r="D118">
            <v>13566</v>
          </cell>
          <cell r="G118">
            <v>24052</v>
          </cell>
        </row>
        <row r="119">
          <cell r="D119">
            <v>5865</v>
          </cell>
          <cell r="G119">
            <v>11283</v>
          </cell>
        </row>
        <row r="120">
          <cell r="D120">
            <v>11018</v>
          </cell>
          <cell r="G120">
            <v>18376</v>
          </cell>
        </row>
        <row r="121">
          <cell r="D121">
            <v>4295</v>
          </cell>
          <cell r="G121">
            <v>16644</v>
          </cell>
        </row>
        <row r="122">
          <cell r="D122">
            <v>10587</v>
          </cell>
          <cell r="G122">
            <v>455</v>
          </cell>
        </row>
        <row r="123">
          <cell r="D123">
            <v>4045</v>
          </cell>
          <cell r="G123">
            <v>14720</v>
          </cell>
        </row>
        <row r="124">
          <cell r="D124">
            <v>6109</v>
          </cell>
          <cell r="G124">
            <v>22314</v>
          </cell>
        </row>
        <row r="125">
          <cell r="D125">
            <v>3303</v>
          </cell>
        </row>
        <row r="126">
          <cell r="D126">
            <v>1675</v>
          </cell>
        </row>
        <row r="127">
          <cell r="D127">
            <v>6513</v>
          </cell>
        </row>
        <row r="128">
          <cell r="D128">
            <v>13452</v>
          </cell>
          <cell r="G128">
            <v>1071</v>
          </cell>
        </row>
        <row r="129">
          <cell r="D129">
            <v>10154</v>
          </cell>
          <cell r="G129">
            <v>3024</v>
          </cell>
        </row>
        <row r="130">
          <cell r="D130">
            <v>51035</v>
          </cell>
          <cell r="G130">
            <v>12039</v>
          </cell>
        </row>
        <row r="131">
          <cell r="G131">
            <v>12884</v>
          </cell>
        </row>
        <row r="132">
          <cell r="G132">
            <v>5534</v>
          </cell>
        </row>
        <row r="133">
          <cell r="G133">
            <v>4581</v>
          </cell>
        </row>
        <row r="134">
          <cell r="G134">
            <v>7318</v>
          </cell>
        </row>
        <row r="135">
          <cell r="G135">
            <v>4584</v>
          </cell>
        </row>
        <row r="139">
          <cell r="D139">
            <v>2289</v>
          </cell>
          <cell r="G139">
            <v>2749</v>
          </cell>
        </row>
        <row r="140">
          <cell r="D140">
            <v>382</v>
          </cell>
          <cell r="G140">
            <v>32442</v>
          </cell>
        </row>
        <row r="141">
          <cell r="D141">
            <v>1881</v>
          </cell>
          <cell r="G141">
            <v>17259</v>
          </cell>
        </row>
        <row r="142">
          <cell r="D142">
            <v>335</v>
          </cell>
        </row>
        <row r="143">
          <cell r="D143">
            <v>52450</v>
          </cell>
        </row>
        <row r="148">
          <cell r="D148">
            <v>1206191</v>
          </cell>
        </row>
      </sheetData>
      <sheetData sheetId="1">
        <row r="11">
          <cell r="H11">
            <v>79318</v>
          </cell>
        </row>
        <row r="20">
          <cell r="H20">
            <v>5243</v>
          </cell>
        </row>
        <row r="21">
          <cell r="H21">
            <v>5794</v>
          </cell>
        </row>
        <row r="22">
          <cell r="H22">
            <v>10167</v>
          </cell>
        </row>
        <row r="23">
          <cell r="H23">
            <v>3135</v>
          </cell>
        </row>
        <row r="24">
          <cell r="H24">
            <v>4295</v>
          </cell>
        </row>
        <row r="25">
          <cell r="H25">
            <v>13429</v>
          </cell>
        </row>
        <row r="26">
          <cell r="H26">
            <v>5129</v>
          </cell>
        </row>
        <row r="27">
          <cell r="H27">
            <v>2204</v>
          </cell>
        </row>
        <row r="28">
          <cell r="H28">
            <v>7882</v>
          </cell>
        </row>
        <row r="29">
          <cell r="H29">
            <v>3447</v>
          </cell>
        </row>
        <row r="30">
          <cell r="H30">
            <v>4578</v>
          </cell>
        </row>
        <row r="31">
          <cell r="H31">
            <v>10480</v>
          </cell>
        </row>
        <row r="32">
          <cell r="H32">
            <v>3824</v>
          </cell>
        </row>
        <row r="33">
          <cell r="H33">
            <v>3243</v>
          </cell>
        </row>
        <row r="34">
          <cell r="H34">
            <v>2957</v>
          </cell>
        </row>
        <row r="35">
          <cell r="H35">
            <v>6958</v>
          </cell>
        </row>
        <row r="36">
          <cell r="H36">
            <v>25215</v>
          </cell>
        </row>
        <row r="37">
          <cell r="H37">
            <v>20271</v>
          </cell>
        </row>
        <row r="38">
          <cell r="H38">
            <v>17484</v>
          </cell>
        </row>
        <row r="39">
          <cell r="H39">
            <v>29573</v>
          </cell>
        </row>
        <row r="40">
          <cell r="H40">
            <v>13872</v>
          </cell>
        </row>
        <row r="41">
          <cell r="H41">
            <v>0</v>
          </cell>
        </row>
        <row r="42">
          <cell r="H42">
            <v>15488</v>
          </cell>
        </row>
        <row r="43">
          <cell r="H43">
            <v>19618</v>
          </cell>
        </row>
        <row r="44">
          <cell r="H44">
            <v>14721</v>
          </cell>
        </row>
        <row r="45">
          <cell r="H45">
            <v>16926</v>
          </cell>
        </row>
        <row r="46">
          <cell r="H46">
            <v>3281</v>
          </cell>
        </row>
        <row r="47">
          <cell r="H47">
            <v>10368</v>
          </cell>
        </row>
        <row r="48">
          <cell r="H48">
            <v>1829</v>
          </cell>
        </row>
        <row r="49">
          <cell r="H49">
            <v>16281</v>
          </cell>
        </row>
        <row r="50">
          <cell r="H50">
            <v>8247</v>
          </cell>
        </row>
        <row r="51">
          <cell r="H51">
            <v>1459</v>
          </cell>
        </row>
        <row r="52">
          <cell r="H52">
            <v>4335</v>
          </cell>
        </row>
        <row r="53">
          <cell r="H53">
            <v>692</v>
          </cell>
        </row>
        <row r="54">
          <cell r="H54">
            <v>18630</v>
          </cell>
        </row>
        <row r="55">
          <cell r="H55">
            <v>2235</v>
          </cell>
        </row>
        <row r="56">
          <cell r="H56">
            <v>108579</v>
          </cell>
        </row>
        <row r="63">
          <cell r="H63">
            <v>20896</v>
          </cell>
        </row>
        <row r="64">
          <cell r="H64">
            <v>14527</v>
          </cell>
        </row>
        <row r="65">
          <cell r="H65">
            <v>20997</v>
          </cell>
        </row>
        <row r="66">
          <cell r="H66">
            <v>6138</v>
          </cell>
        </row>
        <row r="67">
          <cell r="H67">
            <v>7923</v>
          </cell>
        </row>
        <row r="68">
          <cell r="H68">
            <v>16879</v>
          </cell>
        </row>
        <row r="69">
          <cell r="H69">
            <v>22929</v>
          </cell>
        </row>
        <row r="70">
          <cell r="H70">
            <v>11410</v>
          </cell>
        </row>
        <row r="71">
          <cell r="H71">
            <v>10465</v>
          </cell>
        </row>
        <row r="72">
          <cell r="H72">
            <v>7381</v>
          </cell>
        </row>
        <row r="73">
          <cell r="H73">
            <v>22482</v>
          </cell>
        </row>
        <row r="74">
          <cell r="H74">
            <v>19641</v>
          </cell>
        </row>
        <row r="75">
          <cell r="H75">
            <v>12836</v>
          </cell>
        </row>
        <row r="76">
          <cell r="H76">
            <v>9019</v>
          </cell>
        </row>
        <row r="77">
          <cell r="H77">
            <v>14556</v>
          </cell>
        </row>
        <row r="78">
          <cell r="H78">
            <v>8503</v>
          </cell>
        </row>
        <row r="79">
          <cell r="H79">
            <v>13053</v>
          </cell>
        </row>
        <row r="80">
          <cell r="H80">
            <v>11515</v>
          </cell>
        </row>
        <row r="81">
          <cell r="H81">
            <v>18587</v>
          </cell>
        </row>
        <row r="82">
          <cell r="H82">
            <v>0</v>
          </cell>
        </row>
        <row r="83">
          <cell r="H83">
            <v>7615</v>
          </cell>
        </row>
        <row r="84">
          <cell r="H84">
            <v>4439</v>
          </cell>
        </row>
        <row r="85">
          <cell r="H85">
            <v>21745</v>
          </cell>
        </row>
        <row r="86">
          <cell r="H86">
            <v>7209</v>
          </cell>
        </row>
        <row r="87">
          <cell r="H87">
            <v>8834</v>
          </cell>
        </row>
        <row r="88">
          <cell r="H88">
            <v>50102</v>
          </cell>
        </row>
        <row r="89">
          <cell r="H89">
            <v>13271</v>
          </cell>
        </row>
        <row r="90">
          <cell r="H90">
            <v>2318</v>
          </cell>
        </row>
        <row r="91">
          <cell r="H91">
            <v>4453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3658</v>
          </cell>
        </row>
        <row r="97">
          <cell r="H97">
            <v>1602</v>
          </cell>
        </row>
        <row r="98">
          <cell r="H98">
            <v>3471</v>
          </cell>
        </row>
        <row r="99">
          <cell r="H99">
            <v>3939</v>
          </cell>
        </row>
        <row r="100">
          <cell r="H100">
            <v>0</v>
          </cell>
        </row>
        <row r="101">
          <cell r="H101">
            <v>5466</v>
          </cell>
        </row>
        <row r="102">
          <cell r="H102">
            <v>2091</v>
          </cell>
        </row>
        <row r="103">
          <cell r="H103">
            <v>3402</v>
          </cell>
        </row>
        <row r="104">
          <cell r="H104">
            <v>2625</v>
          </cell>
        </row>
        <row r="105">
          <cell r="H105">
            <v>5941</v>
          </cell>
        </row>
        <row r="106">
          <cell r="H106">
            <v>3229</v>
          </cell>
        </row>
        <row r="107">
          <cell r="H107">
            <v>660</v>
          </cell>
        </row>
        <row r="108">
          <cell r="H108">
            <v>0</v>
          </cell>
        </row>
        <row r="109">
          <cell r="H109">
            <v>3453</v>
          </cell>
        </row>
        <row r="110">
          <cell r="H110">
            <v>2901</v>
          </cell>
        </row>
        <row r="111">
          <cell r="H111">
            <v>7531</v>
          </cell>
        </row>
        <row r="112">
          <cell r="H112">
            <v>3160</v>
          </cell>
        </row>
        <row r="113">
          <cell r="H113">
            <v>6927</v>
          </cell>
        </row>
        <row r="114">
          <cell r="H114">
            <v>8418</v>
          </cell>
        </row>
        <row r="115">
          <cell r="H115">
            <v>2421</v>
          </cell>
        </row>
        <row r="116">
          <cell r="H116">
            <v>13874</v>
          </cell>
        </row>
        <row r="117">
          <cell r="H117">
            <v>12618</v>
          </cell>
        </row>
        <row r="118">
          <cell r="H118">
            <v>5099</v>
          </cell>
        </row>
        <row r="119">
          <cell r="H119">
            <v>4005</v>
          </cell>
        </row>
        <row r="120">
          <cell r="H120">
            <v>9505</v>
          </cell>
        </row>
        <row r="121">
          <cell r="H121">
            <v>7380</v>
          </cell>
        </row>
        <row r="122">
          <cell r="H122">
            <v>4724</v>
          </cell>
        </row>
        <row r="123">
          <cell r="H123">
            <v>4786</v>
          </cell>
        </row>
        <row r="124">
          <cell r="H124">
            <v>3046</v>
          </cell>
        </row>
        <row r="125">
          <cell r="H125">
            <v>1760</v>
          </cell>
        </row>
        <row r="126">
          <cell r="H126">
            <v>5635</v>
          </cell>
        </row>
        <row r="127">
          <cell r="H127">
            <v>11751</v>
          </cell>
        </row>
        <row r="128">
          <cell r="H128">
            <v>7703</v>
          </cell>
        </row>
        <row r="129">
          <cell r="H129">
            <v>43833</v>
          </cell>
        </row>
        <row r="138">
          <cell r="H138">
            <v>264</v>
          </cell>
        </row>
        <row r="139">
          <cell r="H139">
            <v>1966</v>
          </cell>
        </row>
        <row r="140">
          <cell r="H140">
            <v>204</v>
          </cell>
        </row>
        <row r="141">
          <cell r="H141">
            <v>1895</v>
          </cell>
        </row>
        <row r="142">
          <cell r="H142">
            <v>46926</v>
          </cell>
        </row>
        <row r="147">
          <cell r="D147">
            <v>8980</v>
          </cell>
          <cell r="E147">
            <v>241556</v>
          </cell>
          <cell r="F147">
            <v>887047</v>
          </cell>
          <cell r="G147">
            <v>5645</v>
          </cell>
        </row>
        <row r="150">
          <cell r="C150">
            <v>15189</v>
          </cell>
          <cell r="E150">
            <v>3144</v>
          </cell>
          <cell r="G150">
            <v>28260</v>
          </cell>
        </row>
        <row r="151">
          <cell r="C151">
            <v>4515</v>
          </cell>
          <cell r="E151">
            <v>1358</v>
          </cell>
          <cell r="G151">
            <v>4207</v>
          </cell>
        </row>
        <row r="152">
          <cell r="C152">
            <v>8016</v>
          </cell>
          <cell r="E152">
            <v>7953</v>
          </cell>
          <cell r="G152">
            <v>117</v>
          </cell>
        </row>
        <row r="153">
          <cell r="C153">
            <v>12962</v>
          </cell>
          <cell r="E153">
            <v>10714</v>
          </cell>
          <cell r="G153">
            <v>24299</v>
          </cell>
        </row>
        <row r="154">
          <cell r="C154">
            <v>9321</v>
          </cell>
          <cell r="E154">
            <v>4223</v>
          </cell>
          <cell r="G154">
            <v>27141</v>
          </cell>
        </row>
        <row r="155">
          <cell r="C155">
            <v>5141</v>
          </cell>
          <cell r="E155">
            <v>4261</v>
          </cell>
          <cell r="G155">
            <v>24555</v>
          </cell>
        </row>
        <row r="156">
          <cell r="C156">
            <v>6183</v>
          </cell>
          <cell r="E156">
            <v>7937</v>
          </cell>
        </row>
        <row r="157">
          <cell r="C157">
            <v>17991</v>
          </cell>
          <cell r="E157">
            <v>4243</v>
          </cell>
        </row>
        <row r="161">
          <cell r="C161">
            <v>2722</v>
          </cell>
        </row>
        <row r="162">
          <cell r="C162">
            <v>6722</v>
          </cell>
        </row>
        <row r="163">
          <cell r="C163">
            <v>37482</v>
          </cell>
        </row>
        <row r="171">
          <cell r="H171">
            <v>2367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84939</v>
          </cell>
        </row>
        <row r="20">
          <cell r="D20">
            <v>5318</v>
          </cell>
        </row>
        <row r="21">
          <cell r="D21">
            <v>5632</v>
          </cell>
        </row>
        <row r="22">
          <cell r="D22">
            <v>8479</v>
          </cell>
        </row>
        <row r="23">
          <cell r="D23">
            <v>4932</v>
          </cell>
        </row>
        <row r="24">
          <cell r="D24">
            <v>4162</v>
          </cell>
        </row>
        <row r="25">
          <cell r="D25">
            <v>16067</v>
          </cell>
        </row>
        <row r="26">
          <cell r="D26">
            <v>13615</v>
          </cell>
        </row>
        <row r="27">
          <cell r="D27">
            <v>6551</v>
          </cell>
        </row>
        <row r="28">
          <cell r="D28">
            <v>7835</v>
          </cell>
        </row>
        <row r="29">
          <cell r="D29">
            <v>3169</v>
          </cell>
        </row>
        <row r="30">
          <cell r="D30">
            <v>4626</v>
          </cell>
        </row>
        <row r="31">
          <cell r="D31">
            <v>9826</v>
          </cell>
        </row>
        <row r="32">
          <cell r="D32">
            <v>4031</v>
          </cell>
        </row>
        <row r="33">
          <cell r="D33">
            <v>3364</v>
          </cell>
        </row>
        <row r="34">
          <cell r="D34">
            <v>3056</v>
          </cell>
        </row>
        <row r="35">
          <cell r="D35">
            <v>6466</v>
          </cell>
        </row>
        <row r="36">
          <cell r="D36">
            <v>25664</v>
          </cell>
        </row>
        <row r="37">
          <cell r="D37">
            <v>21815</v>
          </cell>
        </row>
        <row r="38">
          <cell r="D38">
            <v>17654</v>
          </cell>
        </row>
        <row r="39">
          <cell r="D39">
            <v>34414</v>
          </cell>
        </row>
        <row r="40">
          <cell r="D40">
            <v>13613</v>
          </cell>
        </row>
        <row r="41">
          <cell r="D41">
            <v>0</v>
          </cell>
        </row>
        <row r="42">
          <cell r="D42">
            <v>15284</v>
          </cell>
        </row>
        <row r="43">
          <cell r="D43">
            <v>19976</v>
          </cell>
        </row>
        <row r="44">
          <cell r="D44">
            <v>15043</v>
          </cell>
        </row>
        <row r="45">
          <cell r="D45">
            <v>2112</v>
          </cell>
        </row>
        <row r="46">
          <cell r="D46">
            <v>18302</v>
          </cell>
        </row>
        <row r="47">
          <cell r="D47">
            <v>1170</v>
          </cell>
        </row>
        <row r="48">
          <cell r="D48">
            <v>11245</v>
          </cell>
        </row>
        <row r="49">
          <cell r="D49">
            <v>16326</v>
          </cell>
        </row>
        <row r="50">
          <cell r="D50">
            <v>1078</v>
          </cell>
        </row>
        <row r="51">
          <cell r="D51">
            <v>8417</v>
          </cell>
        </row>
        <row r="52">
          <cell r="D52">
            <v>554</v>
          </cell>
        </row>
        <row r="53">
          <cell r="D53">
            <v>5067</v>
          </cell>
        </row>
        <row r="54">
          <cell r="D54">
            <v>1617</v>
          </cell>
        </row>
        <row r="55">
          <cell r="D55">
            <v>19084</v>
          </cell>
        </row>
        <row r="56">
          <cell r="D56">
            <v>111318</v>
          </cell>
        </row>
        <row r="64">
          <cell r="D64">
            <v>20980</v>
          </cell>
        </row>
        <row r="65">
          <cell r="D65">
            <v>16598</v>
          </cell>
        </row>
        <row r="66">
          <cell r="D66">
            <v>16375</v>
          </cell>
        </row>
        <row r="67">
          <cell r="D67">
            <v>7591</v>
          </cell>
        </row>
        <row r="68">
          <cell r="D68">
            <v>9328</v>
          </cell>
        </row>
        <row r="69">
          <cell r="D69">
            <v>15116</v>
          </cell>
        </row>
        <row r="70">
          <cell r="D70">
            <v>20917</v>
          </cell>
        </row>
        <row r="71">
          <cell r="D71">
            <v>11538</v>
          </cell>
        </row>
        <row r="72">
          <cell r="D72">
            <v>12435</v>
          </cell>
        </row>
        <row r="73">
          <cell r="D73">
            <v>6132</v>
          </cell>
        </row>
        <row r="74">
          <cell r="D74">
            <v>24150</v>
          </cell>
        </row>
        <row r="75">
          <cell r="D75">
            <v>19044</v>
          </cell>
        </row>
        <row r="76">
          <cell r="D76">
            <v>12951</v>
          </cell>
        </row>
        <row r="77">
          <cell r="D77">
            <v>10783</v>
          </cell>
        </row>
        <row r="78">
          <cell r="D78">
            <v>14412</v>
          </cell>
        </row>
        <row r="79">
          <cell r="D79">
            <v>9509</v>
          </cell>
        </row>
        <row r="80">
          <cell r="D80">
            <v>13447</v>
          </cell>
        </row>
        <row r="81">
          <cell r="D81">
            <v>11184</v>
          </cell>
        </row>
        <row r="82">
          <cell r="D82">
            <v>22545</v>
          </cell>
        </row>
        <row r="83">
          <cell r="D83">
            <v>0</v>
          </cell>
        </row>
        <row r="84">
          <cell r="D84">
            <v>8084</v>
          </cell>
        </row>
        <row r="85">
          <cell r="D85">
            <v>5186</v>
          </cell>
        </row>
        <row r="86">
          <cell r="D86">
            <v>21341</v>
          </cell>
        </row>
        <row r="87">
          <cell r="D87">
            <v>7675</v>
          </cell>
        </row>
        <row r="88">
          <cell r="D88">
            <v>11062</v>
          </cell>
        </row>
        <row r="89">
          <cell r="D89">
            <v>53269</v>
          </cell>
        </row>
        <row r="90">
          <cell r="D90">
            <v>13451</v>
          </cell>
        </row>
        <row r="91">
          <cell r="D91">
            <v>2358</v>
          </cell>
        </row>
        <row r="92">
          <cell r="D92">
            <v>4925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3488</v>
          </cell>
        </row>
        <row r="98">
          <cell r="D98">
            <v>1620</v>
          </cell>
        </row>
        <row r="99">
          <cell r="D99">
            <v>3579</v>
          </cell>
        </row>
        <row r="100">
          <cell r="D100">
            <v>3974</v>
          </cell>
        </row>
        <row r="101">
          <cell r="D101">
            <v>0</v>
          </cell>
        </row>
        <row r="102">
          <cell r="D102">
            <v>5646</v>
          </cell>
        </row>
        <row r="103">
          <cell r="D103">
            <v>2296</v>
          </cell>
        </row>
        <row r="104">
          <cell r="D104">
            <v>3587</v>
          </cell>
        </row>
        <row r="105">
          <cell r="D105">
            <v>3550</v>
          </cell>
        </row>
        <row r="106">
          <cell r="D106">
            <v>5671</v>
          </cell>
        </row>
        <row r="107">
          <cell r="D107">
            <v>2730</v>
          </cell>
          <cell r="G107">
            <v>16421</v>
          </cell>
        </row>
        <row r="108">
          <cell r="D108">
            <v>680</v>
          </cell>
          <cell r="G108">
            <v>5746</v>
          </cell>
        </row>
        <row r="109">
          <cell r="D109">
            <v>0</v>
          </cell>
          <cell r="G109">
            <v>10157</v>
          </cell>
        </row>
        <row r="110">
          <cell r="D110">
            <v>3433</v>
          </cell>
          <cell r="G110">
            <v>12723</v>
          </cell>
        </row>
        <row r="111">
          <cell r="D111">
            <v>3139</v>
          </cell>
          <cell r="G111">
            <v>7419</v>
          </cell>
        </row>
        <row r="112">
          <cell r="D112">
            <v>7473</v>
          </cell>
          <cell r="G112">
            <v>9719</v>
          </cell>
        </row>
        <row r="113">
          <cell r="D113">
            <v>3157</v>
          </cell>
          <cell r="G113">
            <v>8206</v>
          </cell>
        </row>
        <row r="114">
          <cell r="D114">
            <v>7148</v>
          </cell>
          <cell r="G114">
            <v>14548</v>
          </cell>
        </row>
        <row r="115">
          <cell r="D115">
            <v>8674</v>
          </cell>
        </row>
        <row r="116">
          <cell r="D116">
            <v>3581</v>
          </cell>
        </row>
        <row r="117">
          <cell r="D117">
            <v>16850</v>
          </cell>
        </row>
        <row r="118">
          <cell r="D118">
            <v>13439</v>
          </cell>
          <cell r="G118">
            <v>24974</v>
          </cell>
        </row>
        <row r="119">
          <cell r="D119">
            <v>5398</v>
          </cell>
          <cell r="G119">
            <v>11620</v>
          </cell>
        </row>
        <row r="120">
          <cell r="D120">
            <v>10466</v>
          </cell>
          <cell r="G120">
            <v>19549</v>
          </cell>
        </row>
        <row r="121">
          <cell r="D121">
            <v>4345</v>
          </cell>
          <cell r="G121">
            <v>17231</v>
          </cell>
        </row>
        <row r="122">
          <cell r="D122">
            <v>10651</v>
          </cell>
          <cell r="G122">
            <v>553</v>
          </cell>
        </row>
        <row r="123">
          <cell r="D123">
            <v>4114</v>
          </cell>
          <cell r="G123">
            <v>15604</v>
          </cell>
        </row>
        <row r="124">
          <cell r="D124">
            <v>5913</v>
          </cell>
          <cell r="G124">
            <v>21787</v>
          </cell>
        </row>
        <row r="125">
          <cell r="D125">
            <v>3305</v>
          </cell>
        </row>
        <row r="126">
          <cell r="D126">
            <v>1678</v>
          </cell>
        </row>
        <row r="127">
          <cell r="D127">
            <v>6358</v>
          </cell>
        </row>
        <row r="128">
          <cell r="D128">
            <v>13663</v>
          </cell>
          <cell r="G128">
            <v>1016</v>
          </cell>
        </row>
        <row r="129">
          <cell r="D129">
            <v>10217</v>
          </cell>
          <cell r="G129">
            <v>3133</v>
          </cell>
        </row>
        <row r="130">
          <cell r="D130">
            <v>49050</v>
          </cell>
          <cell r="G130">
            <v>11731</v>
          </cell>
        </row>
        <row r="131">
          <cell r="G131">
            <v>12664</v>
          </cell>
        </row>
        <row r="132">
          <cell r="G132">
            <v>5488</v>
          </cell>
        </row>
        <row r="133">
          <cell r="G133">
            <v>4484</v>
          </cell>
        </row>
        <row r="134">
          <cell r="G134">
            <v>6041</v>
          </cell>
        </row>
        <row r="135">
          <cell r="G135">
            <v>4493</v>
          </cell>
        </row>
        <row r="139">
          <cell r="D139">
            <v>2232</v>
          </cell>
          <cell r="G139">
            <v>2961</v>
          </cell>
        </row>
        <row r="140">
          <cell r="D140">
            <v>458</v>
          </cell>
          <cell r="G140">
            <v>32404</v>
          </cell>
        </row>
        <row r="141">
          <cell r="D141">
            <v>1939</v>
          </cell>
          <cell r="G141">
            <v>16436</v>
          </cell>
        </row>
        <row r="142">
          <cell r="D142">
            <v>282</v>
          </cell>
        </row>
        <row r="143">
          <cell r="D143">
            <v>51801</v>
          </cell>
        </row>
        <row r="148">
          <cell r="D148">
            <v>1193826</v>
          </cell>
        </row>
      </sheetData>
      <sheetData sheetId="1">
        <row r="11">
          <cell r="H11">
            <v>80967</v>
          </cell>
        </row>
        <row r="20">
          <cell r="H20">
            <v>4938</v>
          </cell>
        </row>
        <row r="21">
          <cell r="H21">
            <v>5829</v>
          </cell>
        </row>
        <row r="22">
          <cell r="H22">
            <v>9882</v>
          </cell>
        </row>
        <row r="23">
          <cell r="H23">
            <v>3334</v>
          </cell>
        </row>
        <row r="24">
          <cell r="H24">
            <v>4275</v>
          </cell>
        </row>
        <row r="25">
          <cell r="H25">
            <v>13377</v>
          </cell>
        </row>
        <row r="26">
          <cell r="H26">
            <v>5485</v>
          </cell>
        </row>
        <row r="27">
          <cell r="H27">
            <v>2317</v>
          </cell>
        </row>
        <row r="28">
          <cell r="H28">
            <v>8135</v>
          </cell>
        </row>
        <row r="29">
          <cell r="H29">
            <v>3619</v>
          </cell>
        </row>
        <row r="30">
          <cell r="H30">
            <v>4400</v>
          </cell>
        </row>
        <row r="31">
          <cell r="H31">
            <v>9963</v>
          </cell>
        </row>
        <row r="32">
          <cell r="H32">
            <v>3953</v>
          </cell>
        </row>
        <row r="33">
          <cell r="H33">
            <v>3175</v>
          </cell>
        </row>
        <row r="34">
          <cell r="H34">
            <v>2812</v>
          </cell>
        </row>
        <row r="35">
          <cell r="H35">
            <v>6652</v>
          </cell>
        </row>
        <row r="36">
          <cell r="H36">
            <v>24849</v>
          </cell>
        </row>
        <row r="37">
          <cell r="H37">
            <v>19966</v>
          </cell>
        </row>
        <row r="38">
          <cell r="H38">
            <v>16533</v>
          </cell>
        </row>
        <row r="39">
          <cell r="H39">
            <v>28455</v>
          </cell>
        </row>
        <row r="40">
          <cell r="H40">
            <v>13443</v>
          </cell>
        </row>
        <row r="41">
          <cell r="H41">
            <v>0</v>
          </cell>
        </row>
        <row r="42">
          <cell r="H42">
            <v>15135</v>
          </cell>
        </row>
        <row r="43">
          <cell r="H43">
            <v>19213</v>
          </cell>
        </row>
        <row r="44">
          <cell r="H44">
            <v>14718</v>
          </cell>
        </row>
        <row r="45">
          <cell r="H45">
            <v>17461</v>
          </cell>
        </row>
        <row r="46">
          <cell r="H46">
            <v>3296</v>
          </cell>
        </row>
        <row r="47">
          <cell r="H47">
            <v>10823</v>
          </cell>
        </row>
        <row r="48">
          <cell r="H48">
            <v>1891</v>
          </cell>
        </row>
        <row r="49">
          <cell r="H49">
            <v>17151</v>
          </cell>
        </row>
        <row r="50">
          <cell r="H50">
            <v>8971</v>
          </cell>
        </row>
        <row r="51">
          <cell r="H51">
            <v>1683</v>
          </cell>
        </row>
        <row r="52">
          <cell r="H52">
            <v>4108</v>
          </cell>
        </row>
        <row r="53">
          <cell r="H53">
            <v>723</v>
          </cell>
        </row>
        <row r="54">
          <cell r="H54">
            <v>18501</v>
          </cell>
        </row>
        <row r="55">
          <cell r="H55">
            <v>2272</v>
          </cell>
        </row>
        <row r="56">
          <cell r="H56">
            <v>109791</v>
          </cell>
        </row>
        <row r="63">
          <cell r="H63">
            <v>20093</v>
          </cell>
        </row>
        <row r="64">
          <cell r="H64">
            <v>14083</v>
          </cell>
        </row>
        <row r="65">
          <cell r="H65">
            <v>20281</v>
          </cell>
        </row>
        <row r="66">
          <cell r="H66">
            <v>6033</v>
          </cell>
        </row>
        <row r="67">
          <cell r="H67">
            <v>8225</v>
          </cell>
        </row>
        <row r="68">
          <cell r="H68">
            <v>16667</v>
          </cell>
        </row>
        <row r="69">
          <cell r="H69">
            <v>23283</v>
          </cell>
        </row>
        <row r="70">
          <cell r="H70">
            <v>11500</v>
          </cell>
        </row>
        <row r="71">
          <cell r="H71">
            <v>10623</v>
          </cell>
        </row>
        <row r="72">
          <cell r="H72">
            <v>7171</v>
          </cell>
        </row>
        <row r="73">
          <cell r="H73">
            <v>23102</v>
          </cell>
        </row>
        <row r="74">
          <cell r="H74">
            <v>18768</v>
          </cell>
        </row>
        <row r="75">
          <cell r="H75">
            <v>13820</v>
          </cell>
        </row>
        <row r="76">
          <cell r="H76">
            <v>9651</v>
          </cell>
        </row>
        <row r="77">
          <cell r="H77">
            <v>13254</v>
          </cell>
        </row>
        <row r="78">
          <cell r="H78">
            <v>8458</v>
          </cell>
        </row>
        <row r="79">
          <cell r="H79">
            <v>12861</v>
          </cell>
        </row>
        <row r="80">
          <cell r="H80">
            <v>11173</v>
          </cell>
        </row>
        <row r="81">
          <cell r="H81">
            <v>19471</v>
          </cell>
        </row>
        <row r="82">
          <cell r="H82">
            <v>0</v>
          </cell>
        </row>
        <row r="83">
          <cell r="H83">
            <v>7883</v>
          </cell>
        </row>
        <row r="84">
          <cell r="H84">
            <v>4524</v>
          </cell>
        </row>
        <row r="85">
          <cell r="H85">
            <v>21386</v>
          </cell>
        </row>
        <row r="86">
          <cell r="H86">
            <v>7365</v>
          </cell>
        </row>
        <row r="87">
          <cell r="H87">
            <v>8152</v>
          </cell>
        </row>
        <row r="88">
          <cell r="H88">
            <v>47546</v>
          </cell>
        </row>
        <row r="89">
          <cell r="H89">
            <v>11698</v>
          </cell>
        </row>
        <row r="90">
          <cell r="H90">
            <v>2433</v>
          </cell>
        </row>
        <row r="91">
          <cell r="H91">
            <v>4464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3621</v>
          </cell>
        </row>
        <row r="97">
          <cell r="H97">
            <v>1549</v>
          </cell>
        </row>
        <row r="98">
          <cell r="H98">
            <v>3459</v>
          </cell>
        </row>
        <row r="99">
          <cell r="H99">
            <v>3906</v>
          </cell>
        </row>
        <row r="100">
          <cell r="H100">
            <v>0</v>
          </cell>
        </row>
        <row r="101">
          <cell r="H101">
            <v>5874</v>
          </cell>
        </row>
        <row r="102">
          <cell r="H102">
            <v>2036</v>
          </cell>
        </row>
        <row r="103">
          <cell r="H103">
            <v>3360</v>
          </cell>
        </row>
        <row r="104">
          <cell r="H104">
            <v>2692</v>
          </cell>
        </row>
        <row r="105">
          <cell r="H105">
            <v>5837</v>
          </cell>
        </row>
        <row r="106">
          <cell r="H106">
            <v>3169</v>
          </cell>
        </row>
        <row r="107">
          <cell r="H107">
            <v>701</v>
          </cell>
        </row>
        <row r="108">
          <cell r="H108">
            <v>0</v>
          </cell>
        </row>
        <row r="109">
          <cell r="H109">
            <v>3665</v>
          </cell>
        </row>
        <row r="110">
          <cell r="H110">
            <v>2804</v>
          </cell>
        </row>
        <row r="111">
          <cell r="H111">
            <v>7505</v>
          </cell>
        </row>
        <row r="112">
          <cell r="H112">
            <v>3184</v>
          </cell>
        </row>
        <row r="113">
          <cell r="H113">
            <v>6993</v>
          </cell>
        </row>
        <row r="114">
          <cell r="H114">
            <v>8194</v>
          </cell>
        </row>
        <row r="115">
          <cell r="H115">
            <v>2442</v>
          </cell>
        </row>
        <row r="116">
          <cell r="H116">
            <v>13381</v>
          </cell>
        </row>
        <row r="117">
          <cell r="H117">
            <v>12289</v>
          </cell>
        </row>
        <row r="118">
          <cell r="H118">
            <v>5227</v>
          </cell>
        </row>
        <row r="119">
          <cell r="H119">
            <v>4038</v>
          </cell>
        </row>
        <row r="120">
          <cell r="H120">
            <v>9501</v>
          </cell>
        </row>
        <row r="121">
          <cell r="H121">
            <v>7425</v>
          </cell>
        </row>
        <row r="122">
          <cell r="H122">
            <v>4783</v>
          </cell>
        </row>
        <row r="123">
          <cell r="H123">
            <v>4731</v>
          </cell>
        </row>
        <row r="124">
          <cell r="H124">
            <v>3064</v>
          </cell>
        </row>
        <row r="125">
          <cell r="H125">
            <v>1781</v>
          </cell>
        </row>
        <row r="126">
          <cell r="H126">
            <v>5587</v>
          </cell>
        </row>
        <row r="127">
          <cell r="H127">
            <v>11435</v>
          </cell>
        </row>
        <row r="128">
          <cell r="H128">
            <v>7407</v>
          </cell>
        </row>
        <row r="129">
          <cell r="H129">
            <v>43236</v>
          </cell>
        </row>
        <row r="138">
          <cell r="H138">
            <v>270</v>
          </cell>
        </row>
        <row r="139">
          <cell r="H139">
            <v>1951</v>
          </cell>
        </row>
        <row r="140">
          <cell r="H140">
            <v>229</v>
          </cell>
        </row>
        <row r="141">
          <cell r="H141">
            <v>1943</v>
          </cell>
        </row>
        <row r="142">
          <cell r="H142">
            <v>45700</v>
          </cell>
        </row>
        <row r="147">
          <cell r="D147">
            <v>8585</v>
          </cell>
          <cell r="E147">
            <v>242844</v>
          </cell>
          <cell r="F147">
            <v>877769</v>
          </cell>
          <cell r="G147">
            <v>5867</v>
          </cell>
        </row>
        <row r="150">
          <cell r="C150">
            <v>14406</v>
          </cell>
          <cell r="E150">
            <v>2947</v>
          </cell>
          <cell r="G150">
            <v>26287</v>
          </cell>
        </row>
        <row r="151">
          <cell r="C151">
            <v>4607</v>
          </cell>
          <cell r="E151">
            <v>1443</v>
          </cell>
          <cell r="G151">
            <v>4481</v>
          </cell>
        </row>
        <row r="152">
          <cell r="C152">
            <v>8464</v>
          </cell>
          <cell r="E152">
            <v>7619</v>
          </cell>
          <cell r="G152">
            <v>120</v>
          </cell>
        </row>
        <row r="153">
          <cell r="C153">
            <v>12963</v>
          </cell>
          <cell r="E153">
            <v>10467</v>
          </cell>
          <cell r="G153">
            <v>25734</v>
          </cell>
        </row>
        <row r="154">
          <cell r="C154">
            <v>9318</v>
          </cell>
          <cell r="E154">
            <v>4245</v>
          </cell>
          <cell r="G154">
            <v>27403</v>
          </cell>
        </row>
        <row r="155">
          <cell r="C155">
            <v>5942</v>
          </cell>
          <cell r="E155">
            <v>4116</v>
          </cell>
          <cell r="G155">
            <v>25766</v>
          </cell>
        </row>
        <row r="156">
          <cell r="C156">
            <v>6855</v>
          </cell>
          <cell r="E156">
            <v>8129</v>
          </cell>
        </row>
        <row r="157">
          <cell r="C157">
            <v>18412</v>
          </cell>
          <cell r="E157">
            <v>4270</v>
          </cell>
        </row>
        <row r="161">
          <cell r="C161">
            <v>2641</v>
          </cell>
        </row>
        <row r="162">
          <cell r="C162">
            <v>6692</v>
          </cell>
        </row>
        <row r="163">
          <cell r="C163">
            <v>36367</v>
          </cell>
        </row>
        <row r="171">
          <cell r="H171">
            <v>2885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85709</v>
          </cell>
        </row>
        <row r="20">
          <cell r="D20">
            <v>5569</v>
          </cell>
        </row>
        <row r="21">
          <cell r="D21">
            <v>5426</v>
          </cell>
        </row>
        <row r="22">
          <cell r="D22">
            <v>8618</v>
          </cell>
        </row>
        <row r="23">
          <cell r="D23">
            <v>5012</v>
          </cell>
        </row>
        <row r="24">
          <cell r="D24">
            <v>3889</v>
          </cell>
        </row>
        <row r="25">
          <cell r="D25">
            <v>16546</v>
          </cell>
        </row>
        <row r="26">
          <cell r="D26">
            <v>13527</v>
          </cell>
        </row>
        <row r="27">
          <cell r="D27">
            <v>6862</v>
          </cell>
        </row>
        <row r="28">
          <cell r="D28">
            <v>7974</v>
          </cell>
        </row>
        <row r="29">
          <cell r="D29">
            <v>2911</v>
          </cell>
        </row>
        <row r="30">
          <cell r="D30">
            <v>4621</v>
          </cell>
        </row>
        <row r="31">
          <cell r="D31">
            <v>9895</v>
          </cell>
        </row>
        <row r="32">
          <cell r="D32">
            <v>3882</v>
          </cell>
        </row>
        <row r="33">
          <cell r="D33">
            <v>3365</v>
          </cell>
        </row>
        <row r="34">
          <cell r="D34">
            <v>2853</v>
          </cell>
        </row>
        <row r="35">
          <cell r="D35">
            <v>6858</v>
          </cell>
        </row>
        <row r="36">
          <cell r="D36">
            <v>26794</v>
          </cell>
        </row>
        <row r="37">
          <cell r="D37">
            <v>24256</v>
          </cell>
        </row>
        <row r="38">
          <cell r="D38">
            <v>17410</v>
          </cell>
        </row>
        <row r="39">
          <cell r="D39">
            <v>34580</v>
          </cell>
        </row>
        <row r="40">
          <cell r="D40">
            <v>13545</v>
          </cell>
        </row>
        <row r="41">
          <cell r="D41">
            <v>0</v>
          </cell>
        </row>
        <row r="42">
          <cell r="D42">
            <v>15401</v>
          </cell>
        </row>
        <row r="43">
          <cell r="D43">
            <v>19975</v>
          </cell>
        </row>
        <row r="44">
          <cell r="D44">
            <v>14801</v>
          </cell>
        </row>
        <row r="45">
          <cell r="D45">
            <v>2135</v>
          </cell>
        </row>
        <row r="46">
          <cell r="D46">
            <v>18059</v>
          </cell>
        </row>
        <row r="47">
          <cell r="D47">
            <v>1461</v>
          </cell>
        </row>
        <row r="48">
          <cell r="D48">
            <v>10784</v>
          </cell>
        </row>
        <row r="49">
          <cell r="D49">
            <v>15200</v>
          </cell>
        </row>
        <row r="50">
          <cell r="D50">
            <v>949</v>
          </cell>
        </row>
        <row r="51">
          <cell r="D51">
            <v>7514</v>
          </cell>
        </row>
        <row r="52">
          <cell r="D52">
            <v>488</v>
          </cell>
        </row>
        <row r="53">
          <cell r="D53">
            <v>4995</v>
          </cell>
        </row>
        <row r="54">
          <cell r="D54">
            <v>1586</v>
          </cell>
        </row>
        <row r="55">
          <cell r="D55">
            <v>18183</v>
          </cell>
        </row>
        <row r="56">
          <cell r="D56">
            <v>111625</v>
          </cell>
        </row>
        <row r="64">
          <cell r="D64">
            <v>21999</v>
          </cell>
        </row>
        <row r="65">
          <cell r="D65">
            <v>17049</v>
          </cell>
        </row>
        <row r="66">
          <cell r="D66">
            <v>19481</v>
          </cell>
        </row>
        <row r="67">
          <cell r="D67">
            <v>7659</v>
          </cell>
        </row>
        <row r="68">
          <cell r="D68">
            <v>9738</v>
          </cell>
        </row>
        <row r="69">
          <cell r="D69">
            <v>14923</v>
          </cell>
        </row>
        <row r="70">
          <cell r="D70">
            <v>22410</v>
          </cell>
        </row>
        <row r="71">
          <cell r="D71">
            <v>12014</v>
          </cell>
        </row>
        <row r="72">
          <cell r="D72">
            <v>12647</v>
          </cell>
        </row>
        <row r="73">
          <cell r="D73">
            <v>6433</v>
          </cell>
        </row>
        <row r="74">
          <cell r="D74">
            <v>25622</v>
          </cell>
        </row>
        <row r="75">
          <cell r="D75">
            <v>19774</v>
          </cell>
        </row>
        <row r="76">
          <cell r="D76">
            <v>13796</v>
          </cell>
        </row>
        <row r="77">
          <cell r="D77">
            <v>11252</v>
          </cell>
        </row>
        <row r="78">
          <cell r="D78">
            <v>14664</v>
          </cell>
        </row>
        <row r="79">
          <cell r="D79">
            <v>9662</v>
          </cell>
        </row>
        <row r="80">
          <cell r="D80">
            <v>13922</v>
          </cell>
        </row>
        <row r="81">
          <cell r="D81">
            <v>11788</v>
          </cell>
        </row>
        <row r="82">
          <cell r="D82">
            <v>22390</v>
          </cell>
        </row>
        <row r="83">
          <cell r="D83">
            <v>0</v>
          </cell>
        </row>
        <row r="84">
          <cell r="D84">
            <v>8566</v>
          </cell>
        </row>
        <row r="85">
          <cell r="D85">
            <v>5307</v>
          </cell>
        </row>
        <row r="86">
          <cell r="D86">
            <v>22845</v>
          </cell>
        </row>
        <row r="87">
          <cell r="D87">
            <v>7888</v>
          </cell>
        </row>
        <row r="88">
          <cell r="D88">
            <v>11140</v>
          </cell>
        </row>
        <row r="89">
          <cell r="D89">
            <v>55453</v>
          </cell>
        </row>
        <row r="90">
          <cell r="D90">
            <v>13950</v>
          </cell>
        </row>
        <row r="91">
          <cell r="D91">
            <v>2263</v>
          </cell>
        </row>
        <row r="92">
          <cell r="D92">
            <v>5109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3433</v>
          </cell>
        </row>
        <row r="98">
          <cell r="D98">
            <v>1561</v>
          </cell>
        </row>
        <row r="99">
          <cell r="D99">
            <v>3539</v>
          </cell>
        </row>
        <row r="100">
          <cell r="D100">
            <v>4105</v>
          </cell>
        </row>
        <row r="101">
          <cell r="D101">
            <v>0</v>
          </cell>
        </row>
        <row r="102">
          <cell r="D102">
            <v>5746</v>
          </cell>
        </row>
        <row r="103">
          <cell r="D103">
            <v>2615</v>
          </cell>
        </row>
        <row r="104">
          <cell r="D104">
            <v>3702</v>
          </cell>
        </row>
        <row r="105">
          <cell r="D105">
            <v>3338</v>
          </cell>
        </row>
        <row r="106">
          <cell r="D106">
            <v>4449</v>
          </cell>
        </row>
        <row r="107">
          <cell r="D107">
            <v>2786</v>
          </cell>
          <cell r="G107">
            <v>17960</v>
          </cell>
        </row>
        <row r="108">
          <cell r="D108">
            <v>1805</v>
          </cell>
          <cell r="G108">
            <v>5557</v>
          </cell>
        </row>
        <row r="109">
          <cell r="D109">
            <v>0</v>
          </cell>
          <cell r="G109">
            <v>10028</v>
          </cell>
        </row>
        <row r="110">
          <cell r="D110">
            <v>3630</v>
          </cell>
          <cell r="G110">
            <v>12533</v>
          </cell>
        </row>
        <row r="111">
          <cell r="D111">
            <v>3296</v>
          </cell>
          <cell r="G111">
            <v>7682</v>
          </cell>
        </row>
        <row r="112">
          <cell r="D112">
            <v>7264</v>
          </cell>
          <cell r="G112">
            <v>9260</v>
          </cell>
        </row>
        <row r="113">
          <cell r="D113">
            <v>3143</v>
          </cell>
          <cell r="G113">
            <v>7900</v>
          </cell>
        </row>
        <row r="114">
          <cell r="D114">
            <v>6974</v>
          </cell>
          <cell r="G114">
            <v>14789</v>
          </cell>
        </row>
        <row r="115">
          <cell r="D115">
            <v>9156</v>
          </cell>
        </row>
        <row r="116">
          <cell r="D116">
            <v>3774</v>
          </cell>
        </row>
        <row r="117">
          <cell r="D117">
            <v>18197</v>
          </cell>
        </row>
        <row r="118">
          <cell r="D118">
            <v>13402</v>
          </cell>
          <cell r="G118">
            <v>27291</v>
          </cell>
        </row>
        <row r="119">
          <cell r="D119">
            <v>5873</v>
          </cell>
          <cell r="G119">
            <v>11579</v>
          </cell>
        </row>
        <row r="120">
          <cell r="D120">
            <v>10750</v>
          </cell>
          <cell r="G120">
            <v>18723</v>
          </cell>
        </row>
        <row r="121">
          <cell r="D121">
            <v>4172</v>
          </cell>
          <cell r="G121">
            <v>16385</v>
          </cell>
        </row>
        <row r="122">
          <cell r="D122">
            <v>9990</v>
          </cell>
          <cell r="G122">
            <v>542</v>
          </cell>
        </row>
        <row r="123">
          <cell r="D123">
            <v>3985</v>
          </cell>
          <cell r="G123">
            <v>14911</v>
          </cell>
        </row>
        <row r="124">
          <cell r="D124">
            <v>6053</v>
          </cell>
          <cell r="G124">
            <v>22194</v>
          </cell>
        </row>
        <row r="125">
          <cell r="D125">
            <v>3246</v>
          </cell>
        </row>
        <row r="126">
          <cell r="D126">
            <v>1640</v>
          </cell>
        </row>
        <row r="127">
          <cell r="D127">
            <v>6405</v>
          </cell>
        </row>
        <row r="128">
          <cell r="D128">
            <v>13669</v>
          </cell>
          <cell r="G128">
            <v>1011</v>
          </cell>
        </row>
        <row r="129">
          <cell r="D129">
            <v>10552</v>
          </cell>
          <cell r="G129">
            <v>2630</v>
          </cell>
        </row>
        <row r="130">
          <cell r="D130">
            <v>50558</v>
          </cell>
          <cell r="G130">
            <v>12097</v>
          </cell>
        </row>
        <row r="131">
          <cell r="G131">
            <v>12912</v>
          </cell>
        </row>
        <row r="132">
          <cell r="G132">
            <v>5570</v>
          </cell>
        </row>
        <row r="133">
          <cell r="G133">
            <v>4573</v>
          </cell>
        </row>
        <row r="134">
          <cell r="G134">
            <v>7287</v>
          </cell>
        </row>
        <row r="135">
          <cell r="G135">
            <v>4478</v>
          </cell>
        </row>
        <row r="139">
          <cell r="D139">
            <v>2334</v>
          </cell>
          <cell r="G139">
            <v>2912</v>
          </cell>
        </row>
        <row r="140">
          <cell r="D140">
            <v>341</v>
          </cell>
          <cell r="G140">
            <v>32593</v>
          </cell>
        </row>
        <row r="141">
          <cell r="D141">
            <v>2085</v>
          </cell>
          <cell r="G141">
            <v>17928</v>
          </cell>
        </row>
        <row r="142">
          <cell r="D142">
            <v>311</v>
          </cell>
        </row>
        <row r="143">
          <cell r="D143">
            <v>53433</v>
          </cell>
        </row>
        <row r="148">
          <cell r="D148">
            <v>1218371</v>
          </cell>
        </row>
      </sheetData>
      <sheetData sheetId="1">
        <row r="11">
          <cell r="H11">
            <v>81340</v>
          </cell>
        </row>
        <row r="20">
          <cell r="H20">
            <v>5347</v>
          </cell>
        </row>
        <row r="21">
          <cell r="H21">
            <v>5958</v>
          </cell>
        </row>
        <row r="22">
          <cell r="H22">
            <v>10288</v>
          </cell>
        </row>
        <row r="23">
          <cell r="H23">
            <v>3371</v>
          </cell>
        </row>
        <row r="24">
          <cell r="H24">
            <v>4263</v>
          </cell>
        </row>
        <row r="25">
          <cell r="H25">
            <v>14010</v>
          </cell>
        </row>
        <row r="26">
          <cell r="H26">
            <v>5657</v>
          </cell>
        </row>
        <row r="27">
          <cell r="H27">
            <v>2516</v>
          </cell>
        </row>
        <row r="28">
          <cell r="H28">
            <v>8244</v>
          </cell>
        </row>
        <row r="29">
          <cell r="H29">
            <v>3529</v>
          </cell>
        </row>
        <row r="30">
          <cell r="H30">
            <v>4620</v>
          </cell>
        </row>
        <row r="31">
          <cell r="H31">
            <v>10408</v>
          </cell>
        </row>
        <row r="32">
          <cell r="H32">
            <v>3910</v>
          </cell>
        </row>
        <row r="33">
          <cell r="H33">
            <v>3278</v>
          </cell>
        </row>
        <row r="34">
          <cell r="H34">
            <v>2735</v>
          </cell>
        </row>
        <row r="35">
          <cell r="H35">
            <v>7127</v>
          </cell>
        </row>
        <row r="36">
          <cell r="H36">
            <v>24803</v>
          </cell>
        </row>
        <row r="37">
          <cell r="H37">
            <v>20244</v>
          </cell>
        </row>
        <row r="38">
          <cell r="H38">
            <v>16570</v>
          </cell>
        </row>
        <row r="39">
          <cell r="H39">
            <v>29395</v>
          </cell>
        </row>
        <row r="40">
          <cell r="H40">
            <v>13289</v>
          </cell>
        </row>
        <row r="41">
          <cell r="H41">
            <v>0</v>
          </cell>
        </row>
        <row r="42">
          <cell r="H42">
            <v>15334</v>
          </cell>
        </row>
        <row r="43">
          <cell r="H43">
            <v>19372</v>
          </cell>
        </row>
        <row r="44">
          <cell r="H44">
            <v>14731</v>
          </cell>
        </row>
        <row r="45">
          <cell r="H45">
            <v>17270</v>
          </cell>
        </row>
        <row r="46">
          <cell r="H46">
            <v>2952</v>
          </cell>
        </row>
        <row r="47">
          <cell r="H47">
            <v>10557</v>
          </cell>
        </row>
        <row r="48">
          <cell r="H48">
            <v>1678</v>
          </cell>
        </row>
        <row r="49">
          <cell r="H49">
            <v>16618</v>
          </cell>
        </row>
        <row r="50">
          <cell r="H50">
            <v>8135</v>
          </cell>
        </row>
        <row r="51">
          <cell r="H51">
            <v>1422</v>
          </cell>
        </row>
        <row r="52">
          <cell r="H52">
            <v>4297</v>
          </cell>
        </row>
        <row r="53">
          <cell r="H53">
            <v>769</v>
          </cell>
        </row>
        <row r="54">
          <cell r="H54">
            <v>18514</v>
          </cell>
        </row>
        <row r="55">
          <cell r="H55">
            <v>2102</v>
          </cell>
        </row>
        <row r="56">
          <cell r="H56">
            <v>112157</v>
          </cell>
        </row>
        <row r="63">
          <cell r="H63">
            <v>20259</v>
          </cell>
        </row>
        <row r="64">
          <cell r="H64">
            <v>13744</v>
          </cell>
        </row>
        <row r="65">
          <cell r="H65">
            <v>21211</v>
          </cell>
        </row>
        <row r="66">
          <cell r="H66">
            <v>5864</v>
          </cell>
        </row>
        <row r="67">
          <cell r="H67">
            <v>7534</v>
          </cell>
        </row>
        <row r="68">
          <cell r="H68">
            <v>16315</v>
          </cell>
        </row>
        <row r="69">
          <cell r="H69">
            <v>23418</v>
          </cell>
        </row>
        <row r="70">
          <cell r="H70">
            <v>11339</v>
          </cell>
        </row>
        <row r="71">
          <cell r="H71">
            <v>10208</v>
          </cell>
        </row>
        <row r="72">
          <cell r="H72">
            <v>7204</v>
          </cell>
        </row>
        <row r="73">
          <cell r="H73">
            <v>22771</v>
          </cell>
        </row>
        <row r="74">
          <cell r="H74">
            <v>19161</v>
          </cell>
        </row>
        <row r="75">
          <cell r="H75">
            <v>14968</v>
          </cell>
        </row>
        <row r="76">
          <cell r="H76">
            <v>9788</v>
          </cell>
        </row>
        <row r="77">
          <cell r="H77">
            <v>12379</v>
          </cell>
        </row>
        <row r="78">
          <cell r="H78">
            <v>7959</v>
          </cell>
        </row>
        <row r="79">
          <cell r="H79">
            <v>12931</v>
          </cell>
        </row>
        <row r="80">
          <cell r="H80">
            <v>11604</v>
          </cell>
        </row>
        <row r="81">
          <cell r="H81">
            <v>19124</v>
          </cell>
        </row>
        <row r="82">
          <cell r="H82">
            <v>0</v>
          </cell>
        </row>
        <row r="83">
          <cell r="H83">
            <v>8182</v>
          </cell>
        </row>
        <row r="84">
          <cell r="H84">
            <v>4538</v>
          </cell>
        </row>
        <row r="85">
          <cell r="H85">
            <v>23187</v>
          </cell>
        </row>
        <row r="86">
          <cell r="H86">
            <v>7316</v>
          </cell>
        </row>
        <row r="87">
          <cell r="H87">
            <v>8737</v>
          </cell>
        </row>
        <row r="88">
          <cell r="H88">
            <v>46638</v>
          </cell>
        </row>
        <row r="89">
          <cell r="H89">
            <v>11787</v>
          </cell>
        </row>
        <row r="90">
          <cell r="H90">
            <v>2364</v>
          </cell>
        </row>
        <row r="91">
          <cell r="H91">
            <v>4587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3225</v>
          </cell>
        </row>
        <row r="97">
          <cell r="H97">
            <v>1521</v>
          </cell>
        </row>
        <row r="98">
          <cell r="H98">
            <v>3449</v>
          </cell>
        </row>
        <row r="99">
          <cell r="H99">
            <v>3894</v>
          </cell>
        </row>
        <row r="100">
          <cell r="H100">
            <v>0</v>
          </cell>
        </row>
        <row r="101">
          <cell r="H101">
            <v>5761</v>
          </cell>
        </row>
        <row r="102">
          <cell r="H102">
            <v>2598</v>
          </cell>
        </row>
        <row r="103">
          <cell r="H103">
            <v>3304</v>
          </cell>
        </row>
        <row r="104">
          <cell r="H104">
            <v>1917</v>
          </cell>
        </row>
        <row r="105">
          <cell r="H105">
            <v>3651</v>
          </cell>
        </row>
        <row r="106">
          <cell r="H106">
            <v>3435</v>
          </cell>
        </row>
        <row r="107">
          <cell r="H107">
            <v>1440</v>
          </cell>
        </row>
        <row r="108">
          <cell r="H108">
            <v>0</v>
          </cell>
        </row>
        <row r="109">
          <cell r="H109">
            <v>3371</v>
          </cell>
        </row>
        <row r="110">
          <cell r="H110">
            <v>2940</v>
          </cell>
        </row>
        <row r="111">
          <cell r="H111">
            <v>7417</v>
          </cell>
        </row>
        <row r="112">
          <cell r="H112">
            <v>3166</v>
          </cell>
        </row>
        <row r="113">
          <cell r="H113">
            <v>7112</v>
          </cell>
        </row>
        <row r="114">
          <cell r="H114">
            <v>8321</v>
          </cell>
        </row>
        <row r="115">
          <cell r="H115">
            <v>2522</v>
          </cell>
        </row>
        <row r="116">
          <cell r="H116">
            <v>15028</v>
          </cell>
        </row>
        <row r="117">
          <cell r="H117">
            <v>12601</v>
          </cell>
        </row>
        <row r="118">
          <cell r="H118">
            <v>5234</v>
          </cell>
        </row>
        <row r="119">
          <cell r="H119">
            <v>4099</v>
          </cell>
        </row>
        <row r="120">
          <cell r="H120">
            <v>9588</v>
          </cell>
        </row>
        <row r="121">
          <cell r="H121">
            <v>7581</v>
          </cell>
        </row>
        <row r="122">
          <cell r="H122">
            <v>4720</v>
          </cell>
        </row>
        <row r="123">
          <cell r="H123">
            <v>4771</v>
          </cell>
        </row>
        <row r="124">
          <cell r="H124">
            <v>3051</v>
          </cell>
        </row>
        <row r="125">
          <cell r="H125">
            <v>1716</v>
          </cell>
        </row>
        <row r="126">
          <cell r="H126">
            <v>5620</v>
          </cell>
        </row>
        <row r="127">
          <cell r="H127">
            <v>12298</v>
          </cell>
        </row>
        <row r="128">
          <cell r="H128">
            <v>7994</v>
          </cell>
        </row>
        <row r="129">
          <cell r="H129">
            <v>44876</v>
          </cell>
        </row>
        <row r="138">
          <cell r="H138">
            <v>267</v>
          </cell>
        </row>
        <row r="139">
          <cell r="H139">
            <v>2062</v>
          </cell>
        </row>
        <row r="140">
          <cell r="H140">
            <v>240</v>
          </cell>
        </row>
        <row r="141">
          <cell r="H141">
            <v>2177</v>
          </cell>
        </row>
        <row r="142">
          <cell r="H142">
            <v>47907</v>
          </cell>
        </row>
        <row r="147">
          <cell r="D147">
            <v>7911</v>
          </cell>
          <cell r="E147">
            <v>237600</v>
          </cell>
          <cell r="F147">
            <v>894784</v>
          </cell>
          <cell r="G147">
            <v>5387</v>
          </cell>
        </row>
        <row r="150">
          <cell r="C150">
            <v>15547</v>
          </cell>
          <cell r="E150">
            <v>3082</v>
          </cell>
          <cell r="G150">
            <v>29921</v>
          </cell>
        </row>
        <row r="151">
          <cell r="C151">
            <v>4188</v>
          </cell>
          <cell r="E151">
            <v>1424</v>
          </cell>
          <cell r="G151">
            <v>5087</v>
          </cell>
        </row>
        <row r="152">
          <cell r="C152">
            <v>8218</v>
          </cell>
          <cell r="E152">
            <v>8461</v>
          </cell>
          <cell r="G152">
            <v>97</v>
          </cell>
        </row>
        <row r="153">
          <cell r="C153">
            <v>13020</v>
          </cell>
          <cell r="E153">
            <v>10642</v>
          </cell>
          <cell r="G153">
            <v>24154</v>
          </cell>
        </row>
        <row r="154">
          <cell r="C154">
            <v>8927</v>
          </cell>
          <cell r="E154">
            <v>4399</v>
          </cell>
          <cell r="G154">
            <v>28993</v>
          </cell>
        </row>
        <row r="155">
          <cell r="C155">
            <v>6229</v>
          </cell>
          <cell r="E155">
            <v>4311</v>
          </cell>
          <cell r="G155">
            <v>23905</v>
          </cell>
        </row>
        <row r="156">
          <cell r="C156">
            <v>6503</v>
          </cell>
          <cell r="E156">
            <v>8268</v>
          </cell>
        </row>
        <row r="157">
          <cell r="C157">
            <v>18708</v>
          </cell>
          <cell r="E157">
            <v>4289</v>
          </cell>
        </row>
        <row r="161">
          <cell r="C161">
            <v>3121</v>
          </cell>
        </row>
        <row r="162">
          <cell r="C162">
            <v>7539</v>
          </cell>
        </row>
        <row r="163">
          <cell r="C163">
            <v>37247</v>
          </cell>
        </row>
        <row r="171">
          <cell r="H171">
            <v>2219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63518</v>
          </cell>
        </row>
        <row r="20">
          <cell r="D20">
            <v>4260</v>
          </cell>
        </row>
        <row r="21">
          <cell r="D21">
            <v>3617</v>
          </cell>
        </row>
        <row r="22">
          <cell r="D22">
            <v>6418</v>
          </cell>
        </row>
        <row r="23">
          <cell r="D23">
            <v>4203</v>
          </cell>
        </row>
        <row r="24">
          <cell r="D24">
            <v>3067</v>
          </cell>
        </row>
        <row r="25">
          <cell r="D25">
            <v>12071</v>
          </cell>
        </row>
        <row r="26">
          <cell r="D26">
            <v>9786</v>
          </cell>
        </row>
        <row r="27">
          <cell r="D27">
            <v>4782</v>
          </cell>
        </row>
        <row r="28">
          <cell r="D28">
            <v>4571</v>
          </cell>
        </row>
        <row r="29">
          <cell r="D29">
            <v>2025</v>
          </cell>
        </row>
        <row r="30">
          <cell r="D30">
            <v>3913</v>
          </cell>
        </row>
        <row r="31">
          <cell r="D31">
            <v>7169</v>
          </cell>
        </row>
        <row r="32">
          <cell r="D32">
            <v>2602</v>
          </cell>
        </row>
        <row r="33">
          <cell r="D33">
            <v>2444</v>
          </cell>
        </row>
        <row r="34">
          <cell r="D34">
            <v>2541</v>
          </cell>
        </row>
        <row r="35">
          <cell r="D35">
            <v>4599</v>
          </cell>
        </row>
        <row r="36">
          <cell r="D36">
            <v>15064</v>
          </cell>
        </row>
        <row r="37">
          <cell r="D37">
            <v>12815</v>
          </cell>
        </row>
        <row r="38">
          <cell r="D38">
            <v>6795</v>
          </cell>
        </row>
        <row r="39">
          <cell r="D39">
            <v>13820</v>
          </cell>
        </row>
        <row r="40">
          <cell r="D40">
            <v>6951</v>
          </cell>
        </row>
        <row r="41">
          <cell r="D41">
            <v>0</v>
          </cell>
        </row>
        <row r="42">
          <cell r="D42">
            <v>7716</v>
          </cell>
        </row>
        <row r="43">
          <cell r="D43">
            <v>11865</v>
          </cell>
        </row>
        <row r="44">
          <cell r="D44">
            <v>10478</v>
          </cell>
        </row>
        <row r="45">
          <cell r="D45">
            <v>1696</v>
          </cell>
        </row>
        <row r="46">
          <cell r="D46">
            <v>11220</v>
          </cell>
        </row>
        <row r="47">
          <cell r="D47">
            <v>1225</v>
          </cell>
        </row>
        <row r="48">
          <cell r="D48">
            <v>6403</v>
          </cell>
        </row>
        <row r="49">
          <cell r="D49">
            <v>9891</v>
          </cell>
        </row>
        <row r="50">
          <cell r="D50">
            <v>839</v>
          </cell>
        </row>
        <row r="51">
          <cell r="D51">
            <v>4806</v>
          </cell>
        </row>
        <row r="52">
          <cell r="D52">
            <v>407</v>
          </cell>
        </row>
        <row r="53">
          <cell r="D53">
            <v>3241</v>
          </cell>
        </row>
        <row r="54">
          <cell r="D54">
            <v>920</v>
          </cell>
        </row>
        <row r="55">
          <cell r="D55">
            <v>11493</v>
          </cell>
        </row>
        <row r="56">
          <cell r="D56">
            <v>83153</v>
          </cell>
        </row>
        <row r="64">
          <cell r="D64">
            <v>11893</v>
          </cell>
        </row>
        <row r="65">
          <cell r="D65">
            <v>5899</v>
          </cell>
        </row>
        <row r="66">
          <cell r="D66">
            <v>12647</v>
          </cell>
        </row>
        <row r="67">
          <cell r="D67">
            <v>3145</v>
          </cell>
        </row>
        <row r="68">
          <cell r="D68">
            <v>4418</v>
          </cell>
        </row>
        <row r="69">
          <cell r="D69">
            <v>8042</v>
          </cell>
        </row>
        <row r="70">
          <cell r="D70">
            <v>17979</v>
          </cell>
        </row>
        <row r="71">
          <cell r="D71">
            <v>7739</v>
          </cell>
        </row>
        <row r="72">
          <cell r="D72">
            <v>7536</v>
          </cell>
        </row>
        <row r="73">
          <cell r="D73">
            <v>4214</v>
          </cell>
        </row>
        <row r="74">
          <cell r="D74">
            <v>15075</v>
          </cell>
        </row>
        <row r="75">
          <cell r="D75">
            <v>11141</v>
          </cell>
        </row>
        <row r="76">
          <cell r="D76">
            <v>7191</v>
          </cell>
        </row>
        <row r="77">
          <cell r="D77">
            <v>5468</v>
          </cell>
        </row>
        <row r="78">
          <cell r="D78">
            <v>7154</v>
          </cell>
        </row>
        <row r="79">
          <cell r="D79">
            <v>3131</v>
          </cell>
        </row>
        <row r="80">
          <cell r="D80">
            <v>7177</v>
          </cell>
        </row>
        <row r="81">
          <cell r="D81">
            <v>5029</v>
          </cell>
        </row>
        <row r="82">
          <cell r="D82">
            <v>7313</v>
          </cell>
        </row>
        <row r="83">
          <cell r="D83">
            <v>0</v>
          </cell>
        </row>
        <row r="84">
          <cell r="D84">
            <v>4788</v>
          </cell>
        </row>
        <row r="85">
          <cell r="D85">
            <v>3916</v>
          </cell>
        </row>
        <row r="86">
          <cell r="D86">
            <v>15210</v>
          </cell>
        </row>
        <row r="87">
          <cell r="D87">
            <v>4824</v>
          </cell>
        </row>
        <row r="88">
          <cell r="D88">
            <v>9830</v>
          </cell>
        </row>
        <row r="89">
          <cell r="D89">
            <v>39439</v>
          </cell>
        </row>
        <row r="90">
          <cell r="D90">
            <v>18208</v>
          </cell>
        </row>
        <row r="91">
          <cell r="D91">
            <v>1979</v>
          </cell>
        </row>
        <row r="92">
          <cell r="D92">
            <v>4224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2602</v>
          </cell>
        </row>
        <row r="98">
          <cell r="D98">
            <v>1583</v>
          </cell>
        </row>
        <row r="99">
          <cell r="D99">
            <v>3359</v>
          </cell>
        </row>
        <row r="100">
          <cell r="D100">
            <v>4705</v>
          </cell>
        </row>
        <row r="101">
          <cell r="D101">
            <v>0</v>
          </cell>
        </row>
        <row r="102">
          <cell r="D102">
            <v>4368</v>
          </cell>
        </row>
        <row r="103">
          <cell r="D103">
            <v>1190</v>
          </cell>
        </row>
        <row r="104">
          <cell r="D104">
            <v>1635</v>
          </cell>
        </row>
        <row r="105">
          <cell r="D105">
            <v>2226</v>
          </cell>
        </row>
        <row r="106">
          <cell r="D106">
            <v>3950</v>
          </cell>
        </row>
        <row r="107">
          <cell r="D107">
            <v>1381</v>
          </cell>
          <cell r="G107">
            <v>15359</v>
          </cell>
        </row>
        <row r="108">
          <cell r="D108">
            <v>308</v>
          </cell>
          <cell r="G108">
            <v>4069</v>
          </cell>
        </row>
        <row r="109">
          <cell r="D109">
            <v>0</v>
          </cell>
          <cell r="G109">
            <v>7468</v>
          </cell>
        </row>
        <row r="110">
          <cell r="D110">
            <v>1756</v>
          </cell>
          <cell r="G110">
            <v>9042</v>
          </cell>
        </row>
        <row r="111">
          <cell r="D111">
            <v>2656</v>
          </cell>
          <cell r="G111">
            <v>5536</v>
          </cell>
        </row>
        <row r="112">
          <cell r="D112">
            <v>4413</v>
          </cell>
          <cell r="G112">
            <v>6675</v>
          </cell>
        </row>
        <row r="113">
          <cell r="D113">
            <v>2384</v>
          </cell>
          <cell r="G113">
            <v>5835</v>
          </cell>
        </row>
        <row r="114">
          <cell r="D114">
            <v>5153</v>
          </cell>
          <cell r="G114">
            <v>9534</v>
          </cell>
        </row>
        <row r="115">
          <cell r="D115">
            <v>7663</v>
          </cell>
        </row>
        <row r="116">
          <cell r="D116">
            <v>3556</v>
          </cell>
        </row>
        <row r="117">
          <cell r="D117">
            <v>15054</v>
          </cell>
        </row>
        <row r="118">
          <cell r="D118">
            <v>9629</v>
          </cell>
          <cell r="G118">
            <v>23287</v>
          </cell>
        </row>
        <row r="119">
          <cell r="D119">
            <v>4811</v>
          </cell>
          <cell r="G119">
            <v>8987</v>
          </cell>
        </row>
        <row r="120">
          <cell r="D120">
            <v>7883</v>
          </cell>
          <cell r="G120">
            <v>11906</v>
          </cell>
        </row>
        <row r="121">
          <cell r="D121">
            <v>2958</v>
          </cell>
          <cell r="G121">
            <v>12383</v>
          </cell>
        </row>
        <row r="122">
          <cell r="D122">
            <v>7616</v>
          </cell>
          <cell r="G122">
            <v>521</v>
          </cell>
        </row>
        <row r="123">
          <cell r="D123">
            <v>3620</v>
          </cell>
          <cell r="G123">
            <v>10376</v>
          </cell>
        </row>
        <row r="124">
          <cell r="D124">
            <v>5101</v>
          </cell>
          <cell r="G124">
            <v>15693</v>
          </cell>
        </row>
        <row r="125">
          <cell r="D125">
            <v>2682</v>
          </cell>
        </row>
        <row r="126">
          <cell r="D126">
            <v>1369</v>
          </cell>
        </row>
        <row r="127">
          <cell r="D127">
            <v>4779</v>
          </cell>
        </row>
        <row r="128">
          <cell r="D128">
            <v>10501</v>
          </cell>
          <cell r="G128">
            <v>885</v>
          </cell>
        </row>
        <row r="129">
          <cell r="D129">
            <v>7514</v>
          </cell>
          <cell r="G129">
            <v>1986</v>
          </cell>
        </row>
        <row r="130">
          <cell r="D130">
            <v>38883</v>
          </cell>
          <cell r="G130">
            <v>10663</v>
          </cell>
        </row>
        <row r="131">
          <cell r="G131">
            <v>10210</v>
          </cell>
        </row>
        <row r="132">
          <cell r="G132">
            <v>4210</v>
          </cell>
        </row>
        <row r="133">
          <cell r="G133">
            <v>3564</v>
          </cell>
        </row>
        <row r="134">
          <cell r="G134">
            <v>3719</v>
          </cell>
        </row>
        <row r="135">
          <cell r="G135">
            <v>3646</v>
          </cell>
        </row>
        <row r="139">
          <cell r="D139">
            <v>1744</v>
          </cell>
          <cell r="G139">
            <v>2260</v>
          </cell>
        </row>
        <row r="140">
          <cell r="D140">
            <v>285</v>
          </cell>
          <cell r="G140">
            <v>27259</v>
          </cell>
        </row>
        <row r="141">
          <cell r="D141">
            <v>1535</v>
          </cell>
          <cell r="G141">
            <v>12287</v>
          </cell>
        </row>
        <row r="142">
          <cell r="D142">
            <v>269</v>
          </cell>
        </row>
        <row r="143">
          <cell r="D143">
            <v>41806</v>
          </cell>
        </row>
        <row r="148">
          <cell r="D148">
            <v>806019</v>
          </cell>
        </row>
      </sheetData>
      <sheetData sheetId="1">
        <row r="11">
          <cell r="H11">
            <v>57434</v>
          </cell>
        </row>
        <row r="20">
          <cell r="H20">
            <v>4136</v>
          </cell>
        </row>
        <row r="21">
          <cell r="H21">
            <v>3957</v>
          </cell>
        </row>
        <row r="22">
          <cell r="H22">
            <v>7221</v>
          </cell>
        </row>
        <row r="23">
          <cell r="H23">
            <v>2337</v>
          </cell>
        </row>
        <row r="24">
          <cell r="H24">
            <v>3052</v>
          </cell>
        </row>
        <row r="25">
          <cell r="H25">
            <v>10024</v>
          </cell>
        </row>
        <row r="26">
          <cell r="H26">
            <v>3546</v>
          </cell>
        </row>
        <row r="27">
          <cell r="H27">
            <v>1766</v>
          </cell>
        </row>
        <row r="28">
          <cell r="H28">
            <v>5121</v>
          </cell>
        </row>
        <row r="29">
          <cell r="H29">
            <v>2321</v>
          </cell>
        </row>
        <row r="30">
          <cell r="H30">
            <v>3844</v>
          </cell>
        </row>
        <row r="31">
          <cell r="H31">
            <v>7152</v>
          </cell>
        </row>
        <row r="32">
          <cell r="H32">
            <v>2583</v>
          </cell>
        </row>
        <row r="33">
          <cell r="H33">
            <v>2390</v>
          </cell>
        </row>
        <row r="34">
          <cell r="H34">
            <v>2319</v>
          </cell>
        </row>
        <row r="35">
          <cell r="H35">
            <v>4480</v>
          </cell>
        </row>
        <row r="36">
          <cell r="H36">
            <v>12861</v>
          </cell>
        </row>
        <row r="37">
          <cell r="H37">
            <v>9786</v>
          </cell>
        </row>
        <row r="38">
          <cell r="H38">
            <v>6626</v>
          </cell>
        </row>
        <row r="39">
          <cell r="H39">
            <v>14445</v>
          </cell>
        </row>
        <row r="40">
          <cell r="H40">
            <v>6384</v>
          </cell>
        </row>
        <row r="41">
          <cell r="H41">
            <v>0</v>
          </cell>
        </row>
        <row r="42">
          <cell r="H42">
            <v>7642</v>
          </cell>
        </row>
        <row r="43">
          <cell r="H43">
            <v>11722</v>
          </cell>
        </row>
        <row r="44">
          <cell r="H44">
            <v>10450</v>
          </cell>
        </row>
        <row r="45">
          <cell r="H45">
            <v>10322</v>
          </cell>
        </row>
        <row r="46">
          <cell r="H46">
            <v>2105</v>
          </cell>
        </row>
        <row r="47">
          <cell r="H47">
            <v>6194</v>
          </cell>
        </row>
        <row r="48">
          <cell r="H48">
            <v>1132</v>
          </cell>
        </row>
        <row r="49">
          <cell r="H49">
            <v>9727</v>
          </cell>
        </row>
        <row r="50">
          <cell r="H50">
            <v>4669</v>
          </cell>
        </row>
        <row r="51">
          <cell r="H51">
            <v>964</v>
          </cell>
        </row>
        <row r="52">
          <cell r="H52">
            <v>2641</v>
          </cell>
        </row>
        <row r="53">
          <cell r="H53">
            <v>497</v>
          </cell>
        </row>
        <row r="54">
          <cell r="H54">
            <v>10379</v>
          </cell>
        </row>
        <row r="55">
          <cell r="H55">
            <v>1252</v>
          </cell>
        </row>
        <row r="56">
          <cell r="H56">
            <v>78266</v>
          </cell>
        </row>
        <row r="63">
          <cell r="H63">
            <v>11313</v>
          </cell>
        </row>
        <row r="64">
          <cell r="H64">
            <v>5331</v>
          </cell>
        </row>
        <row r="65">
          <cell r="H65">
            <v>12042</v>
          </cell>
        </row>
        <row r="66">
          <cell r="H66">
            <v>2572</v>
          </cell>
        </row>
        <row r="67">
          <cell r="H67">
            <v>2923</v>
          </cell>
        </row>
        <row r="68">
          <cell r="H68">
            <v>9531</v>
          </cell>
        </row>
        <row r="69">
          <cell r="H69">
            <v>17257</v>
          </cell>
        </row>
        <row r="70">
          <cell r="H70">
            <v>7131</v>
          </cell>
        </row>
        <row r="71">
          <cell r="H71">
            <v>6119</v>
          </cell>
        </row>
        <row r="72">
          <cell r="H72">
            <v>4703</v>
          </cell>
        </row>
        <row r="73">
          <cell r="H73">
            <v>12767</v>
          </cell>
        </row>
        <row r="74">
          <cell r="H74">
            <v>9626</v>
          </cell>
        </row>
        <row r="75">
          <cell r="H75">
            <v>7881</v>
          </cell>
        </row>
        <row r="76">
          <cell r="H76">
            <v>4923</v>
          </cell>
        </row>
        <row r="77">
          <cell r="H77">
            <v>5428</v>
          </cell>
        </row>
        <row r="78">
          <cell r="H78">
            <v>2506</v>
          </cell>
        </row>
        <row r="79">
          <cell r="H79">
            <v>6488</v>
          </cell>
        </row>
        <row r="80">
          <cell r="H80">
            <v>4841</v>
          </cell>
        </row>
        <row r="81">
          <cell r="H81">
            <v>6354</v>
          </cell>
        </row>
        <row r="82">
          <cell r="H82">
            <v>0</v>
          </cell>
        </row>
        <row r="83">
          <cell r="H83">
            <v>4225</v>
          </cell>
        </row>
        <row r="84">
          <cell r="H84">
            <v>3228</v>
          </cell>
        </row>
        <row r="85">
          <cell r="H85">
            <v>14107</v>
          </cell>
        </row>
        <row r="86">
          <cell r="H86">
            <v>4343</v>
          </cell>
        </row>
        <row r="87">
          <cell r="H87">
            <v>7126</v>
          </cell>
        </row>
        <row r="88">
          <cell r="H88">
            <v>33379</v>
          </cell>
        </row>
        <row r="89">
          <cell r="H89">
            <v>13769</v>
          </cell>
        </row>
        <row r="90">
          <cell r="H90">
            <v>1650</v>
          </cell>
        </row>
        <row r="91">
          <cell r="H91">
            <v>3457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2709</v>
          </cell>
        </row>
        <row r="97">
          <cell r="H97">
            <v>1433</v>
          </cell>
        </row>
        <row r="98">
          <cell r="H98">
            <v>3018</v>
          </cell>
        </row>
        <row r="99">
          <cell r="H99">
            <v>4088</v>
          </cell>
        </row>
        <row r="100">
          <cell r="H100">
            <v>0</v>
          </cell>
        </row>
        <row r="101">
          <cell r="H101">
            <v>3689</v>
          </cell>
        </row>
        <row r="102">
          <cell r="H102">
            <v>925</v>
          </cell>
        </row>
        <row r="103">
          <cell r="H103">
            <v>1337</v>
          </cell>
        </row>
        <row r="104">
          <cell r="H104">
            <v>1372</v>
          </cell>
        </row>
        <row r="105">
          <cell r="H105">
            <v>4046</v>
          </cell>
        </row>
        <row r="106">
          <cell r="H106">
            <v>1528</v>
          </cell>
        </row>
        <row r="107">
          <cell r="H107">
            <v>210</v>
          </cell>
        </row>
        <row r="108">
          <cell r="H108">
            <v>0</v>
          </cell>
        </row>
        <row r="109">
          <cell r="H109">
            <v>1734</v>
          </cell>
        </row>
        <row r="110">
          <cell r="H110">
            <v>2382</v>
          </cell>
        </row>
        <row r="111">
          <cell r="H111">
            <v>4324</v>
          </cell>
        </row>
        <row r="112">
          <cell r="H112">
            <v>2501</v>
          </cell>
        </row>
        <row r="113">
          <cell r="H113">
            <v>5124</v>
          </cell>
        </row>
        <row r="114">
          <cell r="H114">
            <v>7226</v>
          </cell>
        </row>
        <row r="115">
          <cell r="H115">
            <v>2226</v>
          </cell>
        </row>
        <row r="116">
          <cell r="H116">
            <v>12399</v>
          </cell>
        </row>
        <row r="117">
          <cell r="H117">
            <v>9329</v>
          </cell>
        </row>
        <row r="118">
          <cell r="H118">
            <v>4389</v>
          </cell>
        </row>
        <row r="119">
          <cell r="H119">
            <v>2889</v>
          </cell>
        </row>
        <row r="120">
          <cell r="H120">
            <v>7163</v>
          </cell>
        </row>
        <row r="121">
          <cell r="H121">
            <v>5556</v>
          </cell>
        </row>
        <row r="122">
          <cell r="H122">
            <v>4159</v>
          </cell>
        </row>
        <row r="123">
          <cell r="H123">
            <v>4089</v>
          </cell>
        </row>
        <row r="124">
          <cell r="H124">
            <v>2537</v>
          </cell>
        </row>
        <row r="125">
          <cell r="H125">
            <v>1365</v>
          </cell>
        </row>
        <row r="126">
          <cell r="H126">
            <v>4537</v>
          </cell>
        </row>
        <row r="127">
          <cell r="H127">
            <v>9940</v>
          </cell>
        </row>
        <row r="128">
          <cell r="H128">
            <v>6723</v>
          </cell>
        </row>
        <row r="129">
          <cell r="H129">
            <v>34576</v>
          </cell>
        </row>
        <row r="138">
          <cell r="H138">
            <v>159</v>
          </cell>
        </row>
        <row r="139">
          <cell r="H139">
            <v>1479</v>
          </cell>
        </row>
        <row r="140">
          <cell r="H140">
            <v>140</v>
          </cell>
        </row>
        <row r="141">
          <cell r="H141">
            <v>1468</v>
          </cell>
        </row>
        <row r="142">
          <cell r="H142">
            <v>36455</v>
          </cell>
        </row>
        <row r="147">
          <cell r="D147">
            <v>6866</v>
          </cell>
          <cell r="E147">
            <v>128107</v>
          </cell>
          <cell r="F147">
            <v>598826</v>
          </cell>
          <cell r="G147">
            <v>2264</v>
          </cell>
        </row>
        <row r="150">
          <cell r="C150">
            <v>12150</v>
          </cell>
          <cell r="E150">
            <v>2427</v>
          </cell>
          <cell r="G150">
            <v>22515</v>
          </cell>
        </row>
        <row r="151">
          <cell r="C151">
            <v>3683</v>
          </cell>
          <cell r="E151">
            <v>1238</v>
          </cell>
          <cell r="G151">
            <v>2947</v>
          </cell>
        </row>
        <row r="152">
          <cell r="C152">
            <v>5477</v>
          </cell>
          <cell r="E152">
            <v>6929</v>
          </cell>
          <cell r="G152">
            <v>100</v>
          </cell>
        </row>
        <row r="153">
          <cell r="C153">
            <v>8847</v>
          </cell>
          <cell r="E153">
            <v>8262</v>
          </cell>
          <cell r="G153">
            <v>16108</v>
          </cell>
        </row>
        <row r="154">
          <cell r="C154">
            <v>5047</v>
          </cell>
          <cell r="E154">
            <v>3435</v>
          </cell>
          <cell r="G154">
            <v>18854</v>
          </cell>
        </row>
        <row r="155">
          <cell r="C155">
            <v>5453</v>
          </cell>
          <cell r="E155">
            <v>3700</v>
          </cell>
          <cell r="G155">
            <v>17742</v>
          </cell>
        </row>
        <row r="156">
          <cell r="C156">
            <v>4897</v>
          </cell>
          <cell r="E156">
            <v>5144</v>
          </cell>
        </row>
        <row r="157">
          <cell r="C157">
            <v>11880</v>
          </cell>
          <cell r="E157">
            <v>3441</v>
          </cell>
        </row>
        <row r="161">
          <cell r="C161">
            <v>2087</v>
          </cell>
        </row>
        <row r="162">
          <cell r="C162">
            <v>4450</v>
          </cell>
        </row>
        <row r="163">
          <cell r="C163">
            <v>29918</v>
          </cell>
        </row>
        <row r="171">
          <cell r="H171">
            <v>417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32069</v>
          </cell>
        </row>
        <row r="20">
          <cell r="D20">
            <v>2560</v>
          </cell>
        </row>
        <row r="21">
          <cell r="D21">
            <v>1334</v>
          </cell>
        </row>
        <row r="22">
          <cell r="D22">
            <v>3239</v>
          </cell>
        </row>
        <row r="23">
          <cell r="D23">
            <v>2387</v>
          </cell>
        </row>
        <row r="24">
          <cell r="D24">
            <v>1447</v>
          </cell>
        </row>
        <row r="25">
          <cell r="D25">
            <v>5629</v>
          </cell>
        </row>
        <row r="26">
          <cell r="D26">
            <v>5591</v>
          </cell>
        </row>
        <row r="27">
          <cell r="D27">
            <v>2906</v>
          </cell>
        </row>
        <row r="28">
          <cell r="D28">
            <v>1542</v>
          </cell>
        </row>
        <row r="29">
          <cell r="D29">
            <v>861</v>
          </cell>
        </row>
        <row r="30">
          <cell r="D30">
            <v>2166</v>
          </cell>
        </row>
        <row r="31">
          <cell r="D31">
            <v>3515</v>
          </cell>
        </row>
        <row r="32">
          <cell r="D32">
            <v>1401</v>
          </cell>
        </row>
        <row r="33">
          <cell r="D33">
            <v>1213</v>
          </cell>
        </row>
        <row r="34">
          <cell r="D34">
            <v>1543</v>
          </cell>
        </row>
        <row r="35">
          <cell r="D35">
            <v>1584</v>
          </cell>
        </row>
        <row r="36">
          <cell r="D36">
            <v>2719</v>
          </cell>
        </row>
        <row r="37">
          <cell r="D37">
            <v>2732</v>
          </cell>
        </row>
        <row r="38">
          <cell r="D38">
            <v>1686</v>
          </cell>
        </row>
        <row r="39">
          <cell r="D39">
            <v>4181</v>
          </cell>
        </row>
        <row r="40">
          <cell r="D40">
            <v>2509</v>
          </cell>
        </row>
        <row r="41">
          <cell r="D41">
            <v>0</v>
          </cell>
        </row>
        <row r="42">
          <cell r="D42">
            <v>2818</v>
          </cell>
        </row>
        <row r="43">
          <cell r="D43">
            <v>3850</v>
          </cell>
        </row>
        <row r="44">
          <cell r="D44">
            <v>5009</v>
          </cell>
        </row>
        <row r="45">
          <cell r="D45">
            <v>904</v>
          </cell>
        </row>
        <row r="46">
          <cell r="D46">
            <v>4655</v>
          </cell>
        </row>
        <row r="47">
          <cell r="D47">
            <v>909</v>
          </cell>
        </row>
        <row r="48">
          <cell r="D48">
            <v>2103</v>
          </cell>
        </row>
        <row r="49">
          <cell r="D49">
            <v>5044</v>
          </cell>
        </row>
        <row r="50">
          <cell r="D50">
            <v>442</v>
          </cell>
        </row>
        <row r="51">
          <cell r="D51">
            <v>1654</v>
          </cell>
        </row>
        <row r="52">
          <cell r="D52">
            <v>206</v>
          </cell>
        </row>
        <row r="53">
          <cell r="D53">
            <v>1333</v>
          </cell>
        </row>
        <row r="54">
          <cell r="D54">
            <v>661</v>
          </cell>
        </row>
        <row r="55">
          <cell r="D55">
            <v>5044</v>
          </cell>
        </row>
        <row r="56">
          <cell r="D56">
            <v>50388</v>
          </cell>
        </row>
        <row r="64">
          <cell r="D64">
            <v>2326</v>
          </cell>
        </row>
        <row r="65">
          <cell r="D65">
            <v>877</v>
          </cell>
        </row>
        <row r="66">
          <cell r="D66">
            <v>4865</v>
          </cell>
        </row>
        <row r="67">
          <cell r="D67">
            <v>1004</v>
          </cell>
        </row>
        <row r="68">
          <cell r="D68">
            <v>1470</v>
          </cell>
        </row>
        <row r="69">
          <cell r="D69">
            <v>2617</v>
          </cell>
        </row>
        <row r="70">
          <cell r="D70">
            <v>6254</v>
          </cell>
        </row>
        <row r="71">
          <cell r="D71">
            <v>2136</v>
          </cell>
        </row>
        <row r="72">
          <cell r="D72">
            <v>1978</v>
          </cell>
        </row>
        <row r="73">
          <cell r="D73">
            <v>1233</v>
          </cell>
        </row>
        <row r="74">
          <cell r="D74">
            <v>4391</v>
          </cell>
        </row>
        <row r="75">
          <cell r="D75">
            <v>2653</v>
          </cell>
        </row>
        <row r="76">
          <cell r="D76">
            <v>2447</v>
          </cell>
        </row>
        <row r="77">
          <cell r="D77">
            <v>1467</v>
          </cell>
        </row>
        <row r="78">
          <cell r="D78">
            <v>2085</v>
          </cell>
        </row>
        <row r="79">
          <cell r="D79">
            <v>870</v>
          </cell>
        </row>
        <row r="80">
          <cell r="D80">
            <v>1833</v>
          </cell>
        </row>
        <row r="81">
          <cell r="D81">
            <v>1633</v>
          </cell>
        </row>
        <row r="82">
          <cell r="D82">
            <v>2466</v>
          </cell>
        </row>
        <row r="83">
          <cell r="D83">
            <v>0</v>
          </cell>
        </row>
        <row r="84">
          <cell r="D84">
            <v>1982</v>
          </cell>
        </row>
        <row r="85">
          <cell r="D85">
            <v>1445</v>
          </cell>
        </row>
        <row r="86">
          <cell r="D86">
            <v>5233</v>
          </cell>
        </row>
        <row r="87">
          <cell r="D87">
            <v>1611</v>
          </cell>
        </row>
        <row r="88">
          <cell r="D88">
            <v>3746</v>
          </cell>
        </row>
        <row r="89">
          <cell r="D89">
            <v>14781</v>
          </cell>
        </row>
        <row r="90">
          <cell r="D90">
            <v>7146</v>
          </cell>
        </row>
        <row r="91">
          <cell r="D91">
            <v>623</v>
          </cell>
        </row>
        <row r="92">
          <cell r="D92">
            <v>2787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847</v>
          </cell>
        </row>
        <row r="98">
          <cell r="D98">
            <v>597</v>
          </cell>
        </row>
        <row r="99">
          <cell r="D99">
            <v>1279</v>
          </cell>
        </row>
        <row r="100">
          <cell r="D100">
            <v>2091</v>
          </cell>
        </row>
        <row r="101">
          <cell r="D101">
            <v>0</v>
          </cell>
        </row>
        <row r="102">
          <cell r="D102">
            <v>975</v>
          </cell>
        </row>
        <row r="103">
          <cell r="D103">
            <v>274</v>
          </cell>
        </row>
        <row r="104">
          <cell r="D104">
            <v>610</v>
          </cell>
        </row>
        <row r="105">
          <cell r="D105">
            <v>687</v>
          </cell>
        </row>
        <row r="106">
          <cell r="D106">
            <v>1611</v>
          </cell>
        </row>
        <row r="107">
          <cell r="D107">
            <v>376</v>
          </cell>
          <cell r="G107">
            <v>8080</v>
          </cell>
        </row>
        <row r="108">
          <cell r="D108">
            <v>169</v>
          </cell>
          <cell r="G108">
            <v>2567</v>
          </cell>
        </row>
        <row r="109">
          <cell r="D109">
            <v>0</v>
          </cell>
          <cell r="G109">
            <v>4051</v>
          </cell>
        </row>
        <row r="110">
          <cell r="D110">
            <v>891</v>
          </cell>
          <cell r="G110">
            <v>3992</v>
          </cell>
        </row>
        <row r="111">
          <cell r="D111">
            <v>1677</v>
          </cell>
          <cell r="G111">
            <v>2703</v>
          </cell>
        </row>
        <row r="112">
          <cell r="D112">
            <v>2274</v>
          </cell>
          <cell r="G112">
            <v>3092</v>
          </cell>
        </row>
        <row r="113">
          <cell r="D113">
            <v>1017</v>
          </cell>
          <cell r="G113">
            <v>2736</v>
          </cell>
        </row>
        <row r="114">
          <cell r="D114">
            <v>2326</v>
          </cell>
          <cell r="G114">
            <v>4848</v>
          </cell>
        </row>
        <row r="115">
          <cell r="D115">
            <v>2569</v>
          </cell>
        </row>
        <row r="116">
          <cell r="D116">
            <v>1755</v>
          </cell>
        </row>
        <row r="117">
          <cell r="D117">
            <v>7663</v>
          </cell>
        </row>
        <row r="118">
          <cell r="D118">
            <v>4772</v>
          </cell>
          <cell r="G118">
            <v>13084</v>
          </cell>
        </row>
        <row r="119">
          <cell r="D119">
            <v>2964</v>
          </cell>
          <cell r="G119">
            <v>5881</v>
          </cell>
        </row>
        <row r="120">
          <cell r="D120">
            <v>4617</v>
          </cell>
          <cell r="G120">
            <v>6525</v>
          </cell>
        </row>
        <row r="121">
          <cell r="D121">
            <v>1246</v>
          </cell>
          <cell r="G121">
            <v>8558</v>
          </cell>
        </row>
        <row r="122">
          <cell r="D122">
            <v>5718</v>
          </cell>
          <cell r="G122">
            <v>361</v>
          </cell>
        </row>
        <row r="123">
          <cell r="D123">
            <v>1963</v>
          </cell>
          <cell r="G123">
            <v>7186</v>
          </cell>
        </row>
        <row r="124">
          <cell r="D124">
            <v>3004</v>
          </cell>
          <cell r="G124">
            <v>8793</v>
          </cell>
        </row>
        <row r="125">
          <cell r="D125">
            <v>1478</v>
          </cell>
        </row>
        <row r="126">
          <cell r="D126">
            <v>662</v>
          </cell>
        </row>
        <row r="127">
          <cell r="D127">
            <v>2494</v>
          </cell>
        </row>
        <row r="128">
          <cell r="D128">
            <v>6431</v>
          </cell>
          <cell r="G128">
            <v>572</v>
          </cell>
        </row>
        <row r="129">
          <cell r="D129">
            <v>5385</v>
          </cell>
          <cell r="G129">
            <v>1219</v>
          </cell>
        </row>
        <row r="130">
          <cell r="D130">
            <v>20259</v>
          </cell>
          <cell r="G130">
            <v>4551</v>
          </cell>
        </row>
        <row r="131">
          <cell r="G131">
            <v>5711</v>
          </cell>
        </row>
        <row r="132">
          <cell r="G132">
            <v>2153</v>
          </cell>
        </row>
        <row r="133">
          <cell r="G133">
            <v>2146</v>
          </cell>
        </row>
        <row r="134">
          <cell r="G134">
            <v>1921</v>
          </cell>
        </row>
        <row r="135">
          <cell r="G135">
            <v>1986</v>
          </cell>
        </row>
        <row r="139">
          <cell r="D139">
            <v>801</v>
          </cell>
          <cell r="G139">
            <v>1276</v>
          </cell>
        </row>
        <row r="140">
          <cell r="D140">
            <v>279</v>
          </cell>
          <cell r="G140">
            <v>10686</v>
          </cell>
        </row>
        <row r="141">
          <cell r="D141">
            <v>636</v>
          </cell>
          <cell r="G141">
            <v>9884</v>
          </cell>
        </row>
        <row r="142">
          <cell r="D142">
            <v>200</v>
          </cell>
        </row>
        <row r="143">
          <cell r="D143">
            <v>21846</v>
          </cell>
        </row>
        <row r="148">
          <cell r="D148">
            <v>346249</v>
          </cell>
        </row>
      </sheetData>
      <sheetData sheetId="1">
        <row r="11">
          <cell r="H11">
            <v>25839</v>
          </cell>
        </row>
        <row r="20">
          <cell r="H20">
            <v>2114</v>
          </cell>
        </row>
        <row r="21">
          <cell r="H21">
            <v>1333</v>
          </cell>
        </row>
        <row r="22">
          <cell r="H22">
            <v>3179</v>
          </cell>
        </row>
        <row r="23">
          <cell r="H23">
            <v>903</v>
          </cell>
        </row>
        <row r="24">
          <cell r="H24">
            <v>1321</v>
          </cell>
        </row>
        <row r="25">
          <cell r="H25">
            <v>4836</v>
          </cell>
        </row>
        <row r="26">
          <cell r="H26">
            <v>1942</v>
          </cell>
        </row>
        <row r="27">
          <cell r="H27">
            <v>804</v>
          </cell>
        </row>
        <row r="28">
          <cell r="H28">
            <v>1749</v>
          </cell>
        </row>
        <row r="29">
          <cell r="H29">
            <v>910</v>
          </cell>
        </row>
        <row r="30">
          <cell r="H30">
            <v>1837</v>
          </cell>
        </row>
        <row r="31">
          <cell r="H31">
            <v>3386</v>
          </cell>
        </row>
        <row r="32">
          <cell r="H32">
            <v>1330</v>
          </cell>
        </row>
        <row r="33">
          <cell r="H33">
            <v>1344</v>
          </cell>
        </row>
        <row r="34">
          <cell r="H34">
            <v>1153</v>
          </cell>
        </row>
        <row r="35">
          <cell r="H35">
            <v>1581</v>
          </cell>
        </row>
        <row r="36">
          <cell r="H36">
            <v>2557</v>
          </cell>
        </row>
        <row r="37">
          <cell r="H37">
            <v>2688</v>
          </cell>
        </row>
        <row r="38">
          <cell r="H38">
            <v>1480</v>
          </cell>
        </row>
        <row r="39">
          <cell r="H39">
            <v>3826</v>
          </cell>
        </row>
        <row r="40">
          <cell r="H40">
            <v>2076</v>
          </cell>
        </row>
        <row r="41">
          <cell r="H41">
            <v>0</v>
          </cell>
        </row>
        <row r="42">
          <cell r="H42">
            <v>2541</v>
          </cell>
        </row>
        <row r="43">
          <cell r="H43">
            <v>3917</v>
          </cell>
        </row>
        <row r="44">
          <cell r="H44">
            <v>4417</v>
          </cell>
        </row>
        <row r="45">
          <cell r="H45">
            <v>4004</v>
          </cell>
        </row>
        <row r="46">
          <cell r="H46">
            <v>959</v>
          </cell>
        </row>
        <row r="47">
          <cell r="H47">
            <v>2143</v>
          </cell>
        </row>
        <row r="48">
          <cell r="H48">
            <v>625</v>
          </cell>
        </row>
        <row r="49">
          <cell r="H49">
            <v>4301</v>
          </cell>
        </row>
        <row r="50">
          <cell r="H50">
            <v>1544</v>
          </cell>
        </row>
        <row r="51">
          <cell r="H51">
            <v>430</v>
          </cell>
        </row>
        <row r="52">
          <cell r="H52">
            <v>1100</v>
          </cell>
        </row>
        <row r="53">
          <cell r="H53">
            <v>271</v>
          </cell>
        </row>
        <row r="54">
          <cell r="H54">
            <v>4139</v>
          </cell>
        </row>
        <row r="55">
          <cell r="H55">
            <v>471</v>
          </cell>
        </row>
        <row r="56">
          <cell r="H56">
            <v>44495</v>
          </cell>
        </row>
        <row r="63">
          <cell r="H63">
            <v>2251</v>
          </cell>
        </row>
        <row r="64">
          <cell r="H64">
            <v>952</v>
          </cell>
        </row>
        <row r="65">
          <cell r="H65">
            <v>4590</v>
          </cell>
        </row>
        <row r="66">
          <cell r="H66">
            <v>756</v>
          </cell>
        </row>
        <row r="67">
          <cell r="H67">
            <v>845</v>
          </cell>
        </row>
        <row r="68">
          <cell r="H68">
            <v>3594</v>
          </cell>
        </row>
        <row r="69">
          <cell r="H69">
            <v>6236</v>
          </cell>
        </row>
        <row r="70">
          <cell r="H70">
            <v>2035</v>
          </cell>
        </row>
        <row r="71">
          <cell r="H71">
            <v>2225</v>
          </cell>
        </row>
        <row r="72">
          <cell r="H72">
            <v>1587</v>
          </cell>
        </row>
        <row r="73">
          <cell r="H73">
            <v>3817</v>
          </cell>
        </row>
        <row r="74">
          <cell r="H74">
            <v>2643</v>
          </cell>
        </row>
        <row r="75">
          <cell r="H75">
            <v>2419</v>
          </cell>
        </row>
        <row r="76">
          <cell r="H76">
            <v>1187</v>
          </cell>
        </row>
        <row r="77">
          <cell r="H77">
            <v>1471</v>
          </cell>
        </row>
        <row r="78">
          <cell r="H78">
            <v>651</v>
          </cell>
        </row>
        <row r="79">
          <cell r="H79">
            <v>1820</v>
          </cell>
        </row>
        <row r="80">
          <cell r="H80">
            <v>1706</v>
          </cell>
        </row>
        <row r="81">
          <cell r="H81">
            <v>2164</v>
          </cell>
        </row>
        <row r="82">
          <cell r="H82">
            <v>0</v>
          </cell>
        </row>
        <row r="83">
          <cell r="H83">
            <v>2039</v>
          </cell>
        </row>
        <row r="84">
          <cell r="H84">
            <v>1551</v>
          </cell>
        </row>
        <row r="85">
          <cell r="H85">
            <v>4928</v>
          </cell>
        </row>
        <row r="86">
          <cell r="H86">
            <v>1287</v>
          </cell>
        </row>
        <row r="87">
          <cell r="H87">
            <v>2385</v>
          </cell>
        </row>
        <row r="88">
          <cell r="H88">
            <v>12850</v>
          </cell>
        </row>
        <row r="89">
          <cell r="H89">
            <v>5269</v>
          </cell>
        </row>
        <row r="90">
          <cell r="H90">
            <v>481</v>
          </cell>
        </row>
        <row r="91">
          <cell r="H91">
            <v>1803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742</v>
          </cell>
        </row>
        <row r="97">
          <cell r="H97">
            <v>478</v>
          </cell>
        </row>
        <row r="98">
          <cell r="H98">
            <v>1078</v>
          </cell>
        </row>
        <row r="99">
          <cell r="H99">
            <v>1484</v>
          </cell>
        </row>
        <row r="100">
          <cell r="H100">
            <v>0</v>
          </cell>
        </row>
        <row r="101">
          <cell r="H101">
            <v>690</v>
          </cell>
        </row>
        <row r="102">
          <cell r="H102">
            <v>154</v>
          </cell>
        </row>
        <row r="103">
          <cell r="H103">
            <v>424</v>
          </cell>
        </row>
        <row r="104">
          <cell r="H104">
            <v>311</v>
          </cell>
        </row>
        <row r="105">
          <cell r="H105">
            <v>1333</v>
          </cell>
        </row>
        <row r="106">
          <cell r="H106">
            <v>297</v>
          </cell>
        </row>
        <row r="107">
          <cell r="H107">
            <v>56</v>
          </cell>
        </row>
        <row r="108">
          <cell r="H108">
            <v>0</v>
          </cell>
        </row>
        <row r="109">
          <cell r="H109">
            <v>651</v>
          </cell>
        </row>
        <row r="110">
          <cell r="H110">
            <v>1490</v>
          </cell>
        </row>
        <row r="111">
          <cell r="H111">
            <v>2123</v>
          </cell>
        </row>
        <row r="112">
          <cell r="H112">
            <v>1117</v>
          </cell>
        </row>
        <row r="113">
          <cell r="H113">
            <v>2269</v>
          </cell>
        </row>
        <row r="114">
          <cell r="H114">
            <v>2977</v>
          </cell>
        </row>
        <row r="115">
          <cell r="H115">
            <v>1149</v>
          </cell>
        </row>
        <row r="116">
          <cell r="H116">
            <v>6877</v>
          </cell>
        </row>
        <row r="117">
          <cell r="H117">
            <v>4580</v>
          </cell>
        </row>
        <row r="118">
          <cell r="H118">
            <v>2477</v>
          </cell>
        </row>
        <row r="119">
          <cell r="H119">
            <v>1209</v>
          </cell>
        </row>
        <row r="120">
          <cell r="H120">
            <v>3320</v>
          </cell>
        </row>
        <row r="121">
          <cell r="H121">
            <v>2581</v>
          </cell>
        </row>
        <row r="122">
          <cell r="H122">
            <v>2167</v>
          </cell>
        </row>
        <row r="123">
          <cell r="H123">
            <v>2261</v>
          </cell>
        </row>
        <row r="124">
          <cell r="H124">
            <v>1188</v>
          </cell>
        </row>
        <row r="125">
          <cell r="H125">
            <v>628</v>
          </cell>
        </row>
        <row r="126">
          <cell r="H126">
            <v>1962</v>
          </cell>
        </row>
        <row r="127">
          <cell r="H127">
            <v>5535</v>
          </cell>
        </row>
        <row r="128">
          <cell r="H128">
            <v>3455</v>
          </cell>
        </row>
        <row r="129">
          <cell r="H129">
            <v>15475</v>
          </cell>
        </row>
        <row r="138">
          <cell r="H138">
            <v>137</v>
          </cell>
        </row>
        <row r="139">
          <cell r="H139">
            <v>698</v>
          </cell>
        </row>
        <row r="140">
          <cell r="H140">
            <v>82</v>
          </cell>
        </row>
        <row r="141">
          <cell r="H141">
            <v>605</v>
          </cell>
        </row>
        <row r="142">
          <cell r="H142">
            <v>17183</v>
          </cell>
        </row>
        <row r="147">
          <cell r="D147">
            <v>3775</v>
          </cell>
          <cell r="E147">
            <v>38350</v>
          </cell>
          <cell r="F147">
            <v>257942</v>
          </cell>
          <cell r="G147">
            <v>578</v>
          </cell>
        </row>
        <row r="150">
          <cell r="C150">
            <v>6234</v>
          </cell>
          <cell r="E150">
            <v>1296</v>
          </cell>
          <cell r="G150">
            <v>13035</v>
          </cell>
        </row>
        <row r="151">
          <cell r="C151">
            <v>1550</v>
          </cell>
          <cell r="E151">
            <v>655</v>
          </cell>
          <cell r="G151">
            <v>1748</v>
          </cell>
        </row>
        <row r="152">
          <cell r="C152">
            <v>2959</v>
          </cell>
          <cell r="E152">
            <v>3555</v>
          </cell>
          <cell r="G152">
            <v>66</v>
          </cell>
        </row>
        <row r="153">
          <cell r="C153">
            <v>3476</v>
          </cell>
          <cell r="E153">
            <v>3283</v>
          </cell>
          <cell r="G153">
            <v>9161</v>
          </cell>
        </row>
        <row r="154">
          <cell r="C154">
            <v>2112</v>
          </cell>
          <cell r="E154">
            <v>1411</v>
          </cell>
          <cell r="G154">
            <v>10173</v>
          </cell>
        </row>
        <row r="155">
          <cell r="C155">
            <v>2545</v>
          </cell>
          <cell r="E155">
            <v>1837</v>
          </cell>
          <cell r="G155">
            <v>10312</v>
          </cell>
        </row>
        <row r="156">
          <cell r="C156">
            <v>1811</v>
          </cell>
          <cell r="E156">
            <v>1913</v>
          </cell>
        </row>
        <row r="157">
          <cell r="C157">
            <v>5152</v>
          </cell>
          <cell r="E157">
            <v>1525</v>
          </cell>
        </row>
        <row r="161">
          <cell r="C161">
            <v>1185</v>
          </cell>
        </row>
        <row r="162">
          <cell r="C162">
            <v>3</v>
          </cell>
        </row>
        <row r="163">
          <cell r="C163">
            <v>15995</v>
          </cell>
        </row>
        <row r="171">
          <cell r="H171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87278</v>
          </cell>
        </row>
        <row r="20">
          <cell r="D20">
            <v>5455</v>
          </cell>
        </row>
        <row r="21">
          <cell r="D21">
            <v>5418</v>
          </cell>
        </row>
        <row r="22">
          <cell r="D22">
            <v>8604</v>
          </cell>
        </row>
        <row r="23">
          <cell r="D23">
            <v>5167</v>
          </cell>
        </row>
        <row r="24">
          <cell r="D24">
            <v>4163</v>
          </cell>
        </row>
        <row r="25">
          <cell r="D25">
            <v>16654</v>
          </cell>
        </row>
        <row r="26">
          <cell r="D26">
            <v>14166</v>
          </cell>
        </row>
        <row r="27">
          <cell r="D27">
            <v>6233</v>
          </cell>
        </row>
        <row r="28">
          <cell r="D28">
            <v>7863</v>
          </cell>
        </row>
        <row r="29">
          <cell r="D29">
            <v>2897</v>
          </cell>
        </row>
        <row r="30">
          <cell r="D30">
            <v>4599</v>
          </cell>
        </row>
        <row r="31">
          <cell r="D31">
            <v>9574</v>
          </cell>
        </row>
        <row r="32">
          <cell r="D32">
            <v>3720</v>
          </cell>
        </row>
        <row r="33">
          <cell r="D33">
            <v>3189</v>
          </cell>
        </row>
        <row r="34">
          <cell r="D34">
            <v>2806</v>
          </cell>
        </row>
        <row r="35">
          <cell r="D35">
            <v>6585</v>
          </cell>
        </row>
        <row r="36">
          <cell r="D36">
            <v>25324</v>
          </cell>
        </row>
        <row r="37">
          <cell r="D37">
            <v>21734</v>
          </cell>
        </row>
        <row r="38">
          <cell r="D38">
            <v>17150</v>
          </cell>
        </row>
        <row r="39">
          <cell r="D39">
            <v>33206</v>
          </cell>
        </row>
        <row r="40">
          <cell r="D40">
            <v>13451</v>
          </cell>
        </row>
        <row r="41">
          <cell r="D41">
            <v>0</v>
          </cell>
        </row>
        <row r="42">
          <cell r="D42">
            <v>15061</v>
          </cell>
        </row>
        <row r="43">
          <cell r="D43">
            <v>19457</v>
          </cell>
        </row>
        <row r="44">
          <cell r="D44">
            <v>14284</v>
          </cell>
        </row>
        <row r="45">
          <cell r="D45">
            <v>2026</v>
          </cell>
        </row>
        <row r="46">
          <cell r="D46">
            <v>18143</v>
          </cell>
        </row>
        <row r="47">
          <cell r="D47">
            <v>1406</v>
          </cell>
        </row>
        <row r="48">
          <cell r="D48">
            <v>11078</v>
          </cell>
        </row>
        <row r="49">
          <cell r="D49">
            <v>15399</v>
          </cell>
        </row>
        <row r="50">
          <cell r="D50">
            <v>930</v>
          </cell>
        </row>
        <row r="51">
          <cell r="D51">
            <v>7806</v>
          </cell>
        </row>
        <row r="52">
          <cell r="D52">
            <v>546</v>
          </cell>
        </row>
        <row r="53">
          <cell r="D53">
            <v>4961</v>
          </cell>
        </row>
        <row r="54">
          <cell r="D54">
            <v>1448</v>
          </cell>
        </row>
        <row r="55">
          <cell r="D55">
            <v>19213</v>
          </cell>
        </row>
        <row r="56">
          <cell r="D56">
            <v>109505</v>
          </cell>
        </row>
        <row r="64">
          <cell r="D64">
            <v>21571</v>
          </cell>
        </row>
        <row r="65">
          <cell r="D65">
            <v>14460</v>
          </cell>
        </row>
        <row r="66">
          <cell r="D66">
            <v>23636</v>
          </cell>
        </row>
        <row r="67">
          <cell r="D67">
            <v>10083</v>
          </cell>
        </row>
        <row r="68">
          <cell r="D68">
            <v>7731</v>
          </cell>
        </row>
        <row r="69">
          <cell r="D69">
            <v>13772</v>
          </cell>
        </row>
        <row r="70">
          <cell r="D70">
            <v>23506</v>
          </cell>
        </row>
        <row r="71">
          <cell r="D71">
            <v>13385</v>
          </cell>
        </row>
        <row r="72">
          <cell r="D72">
            <v>10127</v>
          </cell>
        </row>
        <row r="73">
          <cell r="D73">
            <v>6015</v>
          </cell>
        </row>
        <row r="74">
          <cell r="D74">
            <v>23797</v>
          </cell>
        </row>
        <row r="75">
          <cell r="D75">
            <v>19348</v>
          </cell>
        </row>
        <row r="76">
          <cell r="D76">
            <v>13177</v>
          </cell>
        </row>
        <row r="77">
          <cell r="D77">
            <v>11428</v>
          </cell>
        </row>
        <row r="78">
          <cell r="D78">
            <v>14363</v>
          </cell>
        </row>
        <row r="79">
          <cell r="D79">
            <v>9798</v>
          </cell>
        </row>
        <row r="80">
          <cell r="D80">
            <v>15050</v>
          </cell>
        </row>
        <row r="81">
          <cell r="D81">
            <v>11897</v>
          </cell>
        </row>
        <row r="82">
          <cell r="D82">
            <v>22319</v>
          </cell>
        </row>
        <row r="83">
          <cell r="D83">
            <v>0</v>
          </cell>
        </row>
        <row r="84">
          <cell r="D84">
            <v>8143</v>
          </cell>
        </row>
        <row r="85">
          <cell r="D85">
            <v>4871</v>
          </cell>
        </row>
        <row r="86">
          <cell r="D86">
            <v>21584</v>
          </cell>
        </row>
        <row r="87">
          <cell r="D87">
            <v>7749</v>
          </cell>
        </row>
        <row r="88">
          <cell r="D88">
            <v>11494</v>
          </cell>
        </row>
        <row r="89">
          <cell r="D89">
            <v>54486</v>
          </cell>
        </row>
        <row r="90">
          <cell r="D90">
            <v>13600</v>
          </cell>
        </row>
        <row r="91">
          <cell r="D91">
            <v>2123</v>
          </cell>
        </row>
        <row r="92">
          <cell r="D92">
            <v>4622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3456</v>
          </cell>
        </row>
        <row r="98">
          <cell r="D98">
            <v>1512</v>
          </cell>
        </row>
        <row r="99">
          <cell r="D99">
            <v>3617</v>
          </cell>
        </row>
        <row r="100">
          <cell r="D100">
            <v>3943</v>
          </cell>
        </row>
        <row r="101">
          <cell r="D101">
            <v>0</v>
          </cell>
        </row>
        <row r="102">
          <cell r="D102">
            <v>5515</v>
          </cell>
        </row>
        <row r="103">
          <cell r="D103">
            <v>2247</v>
          </cell>
        </row>
        <row r="104">
          <cell r="D104">
            <v>3745</v>
          </cell>
        </row>
        <row r="105">
          <cell r="D105">
            <v>3526</v>
          </cell>
        </row>
        <row r="106">
          <cell r="D106">
            <v>5794</v>
          </cell>
        </row>
        <row r="107">
          <cell r="D107">
            <v>2807</v>
          </cell>
          <cell r="G107">
            <v>16258</v>
          </cell>
        </row>
        <row r="108">
          <cell r="D108">
            <v>725</v>
          </cell>
          <cell r="G108">
            <v>6345</v>
          </cell>
        </row>
        <row r="109">
          <cell r="D109">
            <v>0</v>
          </cell>
          <cell r="G109">
            <v>10674</v>
          </cell>
        </row>
        <row r="110">
          <cell r="D110">
            <v>3382</v>
          </cell>
          <cell r="G110">
            <v>13347</v>
          </cell>
        </row>
        <row r="111">
          <cell r="D111">
            <v>3103</v>
          </cell>
          <cell r="G111">
            <v>8016</v>
          </cell>
        </row>
        <row r="112">
          <cell r="D112">
            <v>7383</v>
          </cell>
          <cell r="G112">
            <v>9758</v>
          </cell>
        </row>
        <row r="113">
          <cell r="D113">
            <v>3227</v>
          </cell>
          <cell r="G113">
            <v>7885</v>
          </cell>
        </row>
        <row r="114">
          <cell r="D114">
            <v>7107</v>
          </cell>
          <cell r="G114">
            <v>14995</v>
          </cell>
        </row>
        <row r="115">
          <cell r="D115">
            <v>8616</v>
          </cell>
        </row>
        <row r="116">
          <cell r="D116">
            <v>3538</v>
          </cell>
        </row>
        <row r="117">
          <cell r="D117">
            <v>16781</v>
          </cell>
        </row>
        <row r="118">
          <cell r="D118">
            <v>14021</v>
          </cell>
          <cell r="G118">
            <v>25247</v>
          </cell>
        </row>
        <row r="119">
          <cell r="D119">
            <v>6027</v>
          </cell>
          <cell r="G119">
            <v>10682</v>
          </cell>
        </row>
        <row r="120">
          <cell r="D120">
            <v>10876</v>
          </cell>
          <cell r="G120">
            <v>18177</v>
          </cell>
        </row>
        <row r="121">
          <cell r="D121">
            <v>4439</v>
          </cell>
          <cell r="G121">
            <v>16347</v>
          </cell>
        </row>
        <row r="122">
          <cell r="D122">
            <v>10788</v>
          </cell>
          <cell r="G122">
            <v>562</v>
          </cell>
        </row>
        <row r="123">
          <cell r="D123">
            <v>4017</v>
          </cell>
          <cell r="G123">
            <v>15612</v>
          </cell>
        </row>
        <row r="124">
          <cell r="D124">
            <v>6056</v>
          </cell>
          <cell r="G124">
            <v>22878</v>
          </cell>
        </row>
        <row r="125">
          <cell r="D125">
            <v>3246</v>
          </cell>
        </row>
        <row r="126">
          <cell r="D126">
            <v>1627</v>
          </cell>
        </row>
        <row r="127">
          <cell r="D127">
            <v>6560</v>
          </cell>
        </row>
        <row r="128">
          <cell r="D128">
            <v>13682</v>
          </cell>
          <cell r="G128">
            <v>1015</v>
          </cell>
        </row>
        <row r="129">
          <cell r="D129">
            <v>10510</v>
          </cell>
          <cell r="G129">
            <v>2488</v>
          </cell>
        </row>
        <row r="130">
          <cell r="D130">
            <v>50973</v>
          </cell>
          <cell r="G130">
            <v>12344</v>
          </cell>
        </row>
        <row r="131">
          <cell r="G131">
            <v>13149</v>
          </cell>
        </row>
        <row r="132">
          <cell r="G132">
            <v>5701</v>
          </cell>
        </row>
        <row r="133">
          <cell r="G133">
            <v>4572</v>
          </cell>
        </row>
        <row r="134">
          <cell r="G134">
            <v>7101</v>
          </cell>
        </row>
        <row r="135">
          <cell r="G135">
            <v>4603</v>
          </cell>
        </row>
        <row r="139">
          <cell r="D139">
            <v>2246</v>
          </cell>
          <cell r="G139">
            <v>2777</v>
          </cell>
        </row>
        <row r="140">
          <cell r="D140">
            <v>357</v>
          </cell>
          <cell r="G140">
            <v>33833</v>
          </cell>
        </row>
        <row r="141">
          <cell r="D141">
            <v>1999</v>
          </cell>
          <cell r="G141">
            <v>17173</v>
          </cell>
        </row>
        <row r="142">
          <cell r="D142">
            <v>268</v>
          </cell>
        </row>
        <row r="143">
          <cell r="D143">
            <v>53783</v>
          </cell>
        </row>
        <row r="148">
          <cell r="D148">
            <v>1205269</v>
          </cell>
        </row>
      </sheetData>
      <sheetData sheetId="1">
        <row r="11">
          <cell r="H11">
            <v>80094</v>
          </cell>
        </row>
        <row r="20">
          <cell r="H20">
            <v>5077</v>
          </cell>
        </row>
        <row r="21">
          <cell r="H21">
            <v>5864</v>
          </cell>
        </row>
        <row r="22">
          <cell r="H22">
            <v>10294</v>
          </cell>
        </row>
        <row r="23">
          <cell r="H23">
            <v>3616</v>
          </cell>
        </row>
        <row r="24">
          <cell r="H24">
            <v>4227</v>
          </cell>
        </row>
        <row r="25">
          <cell r="H25">
            <v>13012</v>
          </cell>
        </row>
        <row r="26">
          <cell r="H26">
            <v>4443</v>
          </cell>
        </row>
        <row r="27">
          <cell r="H27">
            <v>2197</v>
          </cell>
        </row>
        <row r="28">
          <cell r="H28">
            <v>8045</v>
          </cell>
        </row>
        <row r="29">
          <cell r="H29">
            <v>3507</v>
          </cell>
        </row>
        <row r="30">
          <cell r="H30">
            <v>4332</v>
          </cell>
        </row>
        <row r="31">
          <cell r="H31">
            <v>10269</v>
          </cell>
        </row>
        <row r="32">
          <cell r="H32">
            <v>3822</v>
          </cell>
        </row>
        <row r="33">
          <cell r="H33">
            <v>2976</v>
          </cell>
        </row>
        <row r="34">
          <cell r="H34">
            <v>2862</v>
          </cell>
        </row>
        <row r="35">
          <cell r="H35">
            <v>7049</v>
          </cell>
        </row>
        <row r="36">
          <cell r="H36">
            <v>25157</v>
          </cell>
        </row>
        <row r="37">
          <cell r="H37">
            <v>20001</v>
          </cell>
        </row>
        <row r="38">
          <cell r="H38">
            <v>17530</v>
          </cell>
        </row>
        <row r="39">
          <cell r="H39">
            <v>29436</v>
          </cell>
        </row>
        <row r="40">
          <cell r="H40">
            <v>13974</v>
          </cell>
        </row>
        <row r="41">
          <cell r="H41">
            <v>0</v>
          </cell>
        </row>
        <row r="42">
          <cell r="H42">
            <v>15253</v>
          </cell>
        </row>
        <row r="43">
          <cell r="H43">
            <v>19253</v>
          </cell>
        </row>
        <row r="44">
          <cell r="H44">
            <v>14603</v>
          </cell>
        </row>
        <row r="45">
          <cell r="H45">
            <v>16948</v>
          </cell>
        </row>
        <row r="46">
          <cell r="H46">
            <v>2952</v>
          </cell>
        </row>
        <row r="47">
          <cell r="H47">
            <v>10407</v>
          </cell>
        </row>
        <row r="48">
          <cell r="H48">
            <v>1657</v>
          </cell>
        </row>
        <row r="49">
          <cell r="H49">
            <v>15920</v>
          </cell>
        </row>
        <row r="50">
          <cell r="H50">
            <v>8122</v>
          </cell>
        </row>
        <row r="51">
          <cell r="H51">
            <v>1416</v>
          </cell>
        </row>
        <row r="52">
          <cell r="H52">
            <v>4142</v>
          </cell>
        </row>
        <row r="53">
          <cell r="H53">
            <v>688</v>
          </cell>
        </row>
        <row r="54">
          <cell r="H54">
            <v>18474</v>
          </cell>
        </row>
        <row r="55">
          <cell r="H55">
            <v>2292</v>
          </cell>
        </row>
        <row r="56">
          <cell r="H56">
            <v>109982</v>
          </cell>
        </row>
        <row r="63">
          <cell r="H63">
            <v>21325</v>
          </cell>
        </row>
        <row r="64">
          <cell r="H64">
            <v>13056</v>
          </cell>
        </row>
        <row r="65">
          <cell r="H65">
            <v>23685</v>
          </cell>
        </row>
        <row r="66">
          <cell r="H66">
            <v>9069</v>
          </cell>
        </row>
        <row r="67">
          <cell r="H67">
            <v>7490</v>
          </cell>
        </row>
        <row r="68">
          <cell r="H68">
            <v>16130</v>
          </cell>
        </row>
        <row r="69">
          <cell r="H69">
            <v>25273</v>
          </cell>
        </row>
        <row r="70">
          <cell r="H70">
            <v>12904</v>
          </cell>
        </row>
        <row r="71">
          <cell r="H71">
            <v>9740</v>
          </cell>
        </row>
        <row r="72">
          <cell r="H72">
            <v>7281</v>
          </cell>
        </row>
        <row r="73">
          <cell r="H73">
            <v>23311</v>
          </cell>
        </row>
        <row r="74">
          <cell r="H74">
            <v>18946</v>
          </cell>
        </row>
        <row r="75">
          <cell r="H75">
            <v>14238</v>
          </cell>
        </row>
        <row r="76">
          <cell r="H76">
            <v>10519</v>
          </cell>
        </row>
        <row r="77">
          <cell r="H77">
            <v>13226</v>
          </cell>
        </row>
        <row r="78">
          <cell r="H78">
            <v>8927</v>
          </cell>
        </row>
        <row r="79">
          <cell r="H79">
            <v>13971</v>
          </cell>
        </row>
        <row r="80">
          <cell r="H80">
            <v>11858</v>
          </cell>
        </row>
        <row r="81">
          <cell r="H81">
            <v>18752</v>
          </cell>
        </row>
        <row r="82">
          <cell r="H82">
            <v>0</v>
          </cell>
        </row>
        <row r="83">
          <cell r="H83">
            <v>7747</v>
          </cell>
        </row>
        <row r="84">
          <cell r="H84">
            <v>4311</v>
          </cell>
        </row>
        <row r="85">
          <cell r="H85">
            <v>21916</v>
          </cell>
        </row>
        <row r="86">
          <cell r="H86">
            <v>7419</v>
          </cell>
        </row>
        <row r="87">
          <cell r="H87">
            <v>9075</v>
          </cell>
        </row>
        <row r="88">
          <cell r="H88">
            <v>49252</v>
          </cell>
        </row>
        <row r="89">
          <cell r="H89">
            <v>11449</v>
          </cell>
        </row>
        <row r="90">
          <cell r="H90">
            <v>2302</v>
          </cell>
        </row>
        <row r="91">
          <cell r="H91">
            <v>4430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3485</v>
          </cell>
        </row>
        <row r="97">
          <cell r="H97">
            <v>1467</v>
          </cell>
        </row>
        <row r="98">
          <cell r="H98">
            <v>3559</v>
          </cell>
        </row>
        <row r="99">
          <cell r="H99">
            <v>3670</v>
          </cell>
        </row>
        <row r="100">
          <cell r="H100">
            <v>0</v>
          </cell>
        </row>
        <row r="101">
          <cell r="H101">
            <v>5439</v>
          </cell>
        </row>
        <row r="102">
          <cell r="H102">
            <v>2037</v>
          </cell>
        </row>
        <row r="103">
          <cell r="H103">
            <v>3524</v>
          </cell>
        </row>
        <row r="104">
          <cell r="H104">
            <v>2748</v>
          </cell>
        </row>
        <row r="105">
          <cell r="H105">
            <v>6063</v>
          </cell>
        </row>
        <row r="106">
          <cell r="H106">
            <v>3263</v>
          </cell>
        </row>
        <row r="107">
          <cell r="H107">
            <v>640</v>
          </cell>
        </row>
        <row r="108">
          <cell r="H108">
            <v>0</v>
          </cell>
        </row>
        <row r="109">
          <cell r="H109">
            <v>3442</v>
          </cell>
        </row>
        <row r="110">
          <cell r="H110">
            <v>2791</v>
          </cell>
        </row>
        <row r="111">
          <cell r="H111">
            <v>7605</v>
          </cell>
        </row>
        <row r="112">
          <cell r="H112">
            <v>3169</v>
          </cell>
        </row>
        <row r="113">
          <cell r="H113">
            <v>7020</v>
          </cell>
        </row>
        <row r="114">
          <cell r="H114">
            <v>8145</v>
          </cell>
        </row>
        <row r="115">
          <cell r="H115">
            <v>2444</v>
          </cell>
        </row>
        <row r="116">
          <cell r="H116">
            <v>14748</v>
          </cell>
        </row>
        <row r="117">
          <cell r="H117">
            <v>13056</v>
          </cell>
        </row>
        <row r="118">
          <cell r="H118">
            <v>5093</v>
          </cell>
        </row>
        <row r="119">
          <cell r="H119">
            <v>4150</v>
          </cell>
        </row>
        <row r="120">
          <cell r="H120">
            <v>9696</v>
          </cell>
        </row>
        <row r="121">
          <cell r="H121">
            <v>7545</v>
          </cell>
        </row>
        <row r="122">
          <cell r="H122">
            <v>4867</v>
          </cell>
        </row>
        <row r="123">
          <cell r="H123">
            <v>4845</v>
          </cell>
        </row>
        <row r="124">
          <cell r="H124">
            <v>3045</v>
          </cell>
        </row>
        <row r="125">
          <cell r="H125">
            <v>1707</v>
          </cell>
        </row>
        <row r="126">
          <cell r="H126">
            <v>5598</v>
          </cell>
        </row>
        <row r="127">
          <cell r="H127">
            <v>12359</v>
          </cell>
        </row>
        <row r="128">
          <cell r="H128">
            <v>8136</v>
          </cell>
        </row>
        <row r="129">
          <cell r="H129">
            <v>45190</v>
          </cell>
        </row>
        <row r="138">
          <cell r="H138">
            <v>274</v>
          </cell>
        </row>
        <row r="139">
          <cell r="H139">
            <v>1994</v>
          </cell>
        </row>
        <row r="140">
          <cell r="H140">
            <v>216</v>
          </cell>
        </row>
        <row r="141">
          <cell r="H141">
            <v>2044</v>
          </cell>
        </row>
        <row r="142">
          <cell r="H142">
            <v>48147</v>
          </cell>
        </row>
        <row r="147">
          <cell r="D147">
            <v>8594</v>
          </cell>
          <cell r="E147">
            <v>244964</v>
          </cell>
          <cell r="F147">
            <v>895092</v>
          </cell>
          <cell r="G147">
            <v>6129</v>
          </cell>
        </row>
        <row r="150">
          <cell r="C150">
            <v>14510</v>
          </cell>
          <cell r="E150">
            <v>3077</v>
          </cell>
          <cell r="G150">
            <v>29226</v>
          </cell>
        </row>
        <row r="151">
          <cell r="C151">
            <v>5058</v>
          </cell>
          <cell r="E151">
            <v>1513</v>
          </cell>
          <cell r="G151">
            <v>4676</v>
          </cell>
        </row>
        <row r="152">
          <cell r="C152">
            <v>8261</v>
          </cell>
          <cell r="E152">
            <v>8181</v>
          </cell>
          <cell r="G152">
            <v>107</v>
          </cell>
        </row>
        <row r="153">
          <cell r="C153">
            <v>12826</v>
          </cell>
          <cell r="E153">
            <v>10519</v>
          </cell>
          <cell r="G153">
            <v>24064</v>
          </cell>
        </row>
        <row r="154">
          <cell r="C154">
            <v>8529</v>
          </cell>
          <cell r="E154">
            <v>4781</v>
          </cell>
          <cell r="G154">
            <v>27101</v>
          </cell>
        </row>
        <row r="155">
          <cell r="C155">
            <v>5732</v>
          </cell>
          <cell r="E155">
            <v>4673</v>
          </cell>
          <cell r="G155">
            <v>24808</v>
          </cell>
        </row>
        <row r="156">
          <cell r="C156">
            <v>6738</v>
          </cell>
          <cell r="E156">
            <v>8218</v>
          </cell>
        </row>
        <row r="157">
          <cell r="C157">
            <v>18440</v>
          </cell>
          <cell r="E157">
            <v>4228</v>
          </cell>
        </row>
        <row r="161">
          <cell r="C161">
            <v>2945</v>
          </cell>
        </row>
        <row r="162">
          <cell r="C162">
            <v>6935</v>
          </cell>
        </row>
        <row r="163">
          <cell r="C163">
            <v>38267</v>
          </cell>
        </row>
        <row r="171">
          <cell r="H171">
            <v>2409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88271</v>
          </cell>
        </row>
        <row r="20">
          <cell r="D20">
            <v>5502</v>
          </cell>
        </row>
        <row r="21">
          <cell r="D21">
            <v>5548</v>
          </cell>
        </row>
        <row r="22">
          <cell r="D22">
            <v>8993</v>
          </cell>
        </row>
        <row r="23">
          <cell r="D23">
            <v>5234</v>
          </cell>
        </row>
        <row r="24">
          <cell r="D24">
            <v>3444</v>
          </cell>
        </row>
        <row r="25">
          <cell r="D25">
            <v>16610</v>
          </cell>
        </row>
        <row r="26">
          <cell r="D26">
            <v>14118</v>
          </cell>
        </row>
        <row r="27">
          <cell r="D27">
            <v>6932</v>
          </cell>
        </row>
        <row r="28">
          <cell r="D28">
            <v>7776</v>
          </cell>
        </row>
        <row r="29">
          <cell r="D29">
            <v>3021</v>
          </cell>
        </row>
        <row r="30">
          <cell r="D30">
            <v>4569</v>
          </cell>
        </row>
        <row r="31">
          <cell r="D31">
            <v>9522</v>
          </cell>
        </row>
        <row r="32">
          <cell r="D32">
            <v>3809</v>
          </cell>
        </row>
        <row r="33">
          <cell r="D33">
            <v>3237</v>
          </cell>
        </row>
        <row r="34">
          <cell r="D34">
            <v>2842</v>
          </cell>
        </row>
        <row r="35">
          <cell r="D35">
            <v>6570</v>
          </cell>
        </row>
        <row r="36">
          <cell r="D36">
            <v>26022</v>
          </cell>
        </row>
        <row r="37">
          <cell r="D37">
            <v>22012</v>
          </cell>
        </row>
        <row r="38">
          <cell r="D38">
            <v>17531</v>
          </cell>
        </row>
        <row r="39">
          <cell r="D39">
            <v>35040</v>
          </cell>
        </row>
        <row r="40">
          <cell r="D40">
            <v>13868</v>
          </cell>
        </row>
        <row r="41">
          <cell r="D41">
            <v>0</v>
          </cell>
        </row>
        <row r="42">
          <cell r="D42">
            <v>14754</v>
          </cell>
        </row>
        <row r="43">
          <cell r="D43">
            <v>19940</v>
          </cell>
        </row>
        <row r="44">
          <cell r="D44">
            <v>14452</v>
          </cell>
        </row>
        <row r="45">
          <cell r="D45">
            <v>2012</v>
          </cell>
        </row>
        <row r="46">
          <cell r="D46">
            <v>18440</v>
          </cell>
        </row>
        <row r="47">
          <cell r="D47">
            <v>1596</v>
          </cell>
        </row>
        <row r="48">
          <cell r="D48">
            <v>11425</v>
          </cell>
        </row>
        <row r="49">
          <cell r="D49">
            <v>15567</v>
          </cell>
        </row>
        <row r="50">
          <cell r="D50">
            <v>967</v>
          </cell>
        </row>
        <row r="51">
          <cell r="D51">
            <v>8025</v>
          </cell>
        </row>
        <row r="52">
          <cell r="D52">
            <v>482</v>
          </cell>
        </row>
        <row r="53">
          <cell r="D53">
            <v>5151</v>
          </cell>
        </row>
        <row r="54">
          <cell r="D54">
            <v>1426</v>
          </cell>
        </row>
        <row r="55">
          <cell r="D55">
            <v>19904</v>
          </cell>
        </row>
        <row r="56">
          <cell r="D56">
            <v>112778</v>
          </cell>
        </row>
        <row r="64">
          <cell r="D64">
            <v>21727</v>
          </cell>
        </row>
        <row r="65">
          <cell r="D65">
            <v>15807</v>
          </cell>
        </row>
        <row r="66">
          <cell r="D66">
            <v>26271</v>
          </cell>
        </row>
        <row r="67">
          <cell r="D67">
            <v>10273</v>
          </cell>
        </row>
        <row r="68">
          <cell r="D68">
            <v>8750</v>
          </cell>
        </row>
        <row r="69">
          <cell r="D69">
            <v>13593</v>
          </cell>
        </row>
        <row r="70">
          <cell r="D70">
            <v>24434</v>
          </cell>
        </row>
        <row r="71">
          <cell r="D71">
            <v>13571</v>
          </cell>
        </row>
        <row r="72">
          <cell r="D72">
            <v>9997</v>
          </cell>
        </row>
        <row r="73">
          <cell r="D73">
            <v>6439</v>
          </cell>
        </row>
        <row r="74">
          <cell r="D74">
            <v>26956</v>
          </cell>
        </row>
        <row r="75">
          <cell r="D75">
            <v>18643</v>
          </cell>
        </row>
        <row r="76">
          <cell r="D76">
            <v>13261</v>
          </cell>
        </row>
        <row r="77">
          <cell r="D77">
            <v>11520</v>
          </cell>
        </row>
        <row r="78">
          <cell r="D78">
            <v>14588</v>
          </cell>
        </row>
        <row r="79">
          <cell r="D79">
            <v>10145</v>
          </cell>
        </row>
        <row r="80">
          <cell r="D80">
            <v>14974</v>
          </cell>
        </row>
        <row r="81">
          <cell r="D81">
            <v>11884</v>
          </cell>
        </row>
        <row r="82">
          <cell r="D82">
            <v>22866</v>
          </cell>
        </row>
        <row r="83">
          <cell r="D83">
            <v>0</v>
          </cell>
        </row>
        <row r="84">
          <cell r="D84">
            <v>8085</v>
          </cell>
        </row>
        <row r="85">
          <cell r="D85">
            <v>5080</v>
          </cell>
        </row>
        <row r="86">
          <cell r="D86">
            <v>22092</v>
          </cell>
        </row>
        <row r="87">
          <cell r="D87">
            <v>8053</v>
          </cell>
        </row>
        <row r="88">
          <cell r="D88">
            <v>11681</v>
          </cell>
        </row>
        <row r="89">
          <cell r="D89">
            <v>54862</v>
          </cell>
        </row>
        <row r="90">
          <cell r="D90">
            <v>13271</v>
          </cell>
        </row>
        <row r="91">
          <cell r="D91">
            <v>2180</v>
          </cell>
        </row>
        <row r="92">
          <cell r="D92">
            <v>4485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3631</v>
          </cell>
        </row>
        <row r="98">
          <cell r="D98">
            <v>1519</v>
          </cell>
        </row>
        <row r="99">
          <cell r="D99">
            <v>3603</v>
          </cell>
        </row>
        <row r="100">
          <cell r="D100">
            <v>3829</v>
          </cell>
        </row>
        <row r="101">
          <cell r="D101">
            <v>0</v>
          </cell>
        </row>
        <row r="102">
          <cell r="D102">
            <v>5496</v>
          </cell>
        </row>
        <row r="103">
          <cell r="D103">
            <v>2248</v>
          </cell>
        </row>
        <row r="104">
          <cell r="D104">
            <v>3624</v>
          </cell>
        </row>
        <row r="105">
          <cell r="D105">
            <v>3803</v>
          </cell>
        </row>
        <row r="106">
          <cell r="D106">
            <v>5655</v>
          </cell>
        </row>
        <row r="107">
          <cell r="D107">
            <v>2722</v>
          </cell>
          <cell r="G107">
            <v>17350</v>
          </cell>
        </row>
        <row r="108">
          <cell r="D108">
            <v>699</v>
          </cell>
          <cell r="G108">
            <v>6376</v>
          </cell>
        </row>
        <row r="109">
          <cell r="D109">
            <v>0</v>
          </cell>
          <cell r="G109">
            <v>10553</v>
          </cell>
        </row>
        <row r="110">
          <cell r="D110">
            <v>3291</v>
          </cell>
          <cell r="G110">
            <v>13465</v>
          </cell>
        </row>
        <row r="111">
          <cell r="D111">
            <v>3223</v>
          </cell>
          <cell r="G111">
            <v>7884</v>
          </cell>
        </row>
        <row r="112">
          <cell r="D112">
            <v>7583</v>
          </cell>
          <cell r="G112">
            <v>9717</v>
          </cell>
        </row>
        <row r="113">
          <cell r="D113">
            <v>3365</v>
          </cell>
          <cell r="G113">
            <v>7865</v>
          </cell>
        </row>
        <row r="114">
          <cell r="D114">
            <v>7205</v>
          </cell>
          <cell r="G114">
            <v>15061</v>
          </cell>
        </row>
        <row r="115">
          <cell r="D115">
            <v>8615</v>
          </cell>
        </row>
        <row r="116">
          <cell r="D116">
            <v>3660</v>
          </cell>
        </row>
        <row r="117">
          <cell r="D117">
            <v>17206</v>
          </cell>
        </row>
        <row r="118">
          <cell r="D118">
            <v>13440</v>
          </cell>
          <cell r="G118">
            <v>25534</v>
          </cell>
        </row>
        <row r="119">
          <cell r="D119">
            <v>5967</v>
          </cell>
          <cell r="G119">
            <v>12170</v>
          </cell>
        </row>
        <row r="120">
          <cell r="D120">
            <v>11045</v>
          </cell>
          <cell r="G120">
            <v>18371</v>
          </cell>
        </row>
        <row r="121">
          <cell r="D121">
            <v>4432</v>
          </cell>
          <cell r="G121">
            <v>16893</v>
          </cell>
        </row>
        <row r="122">
          <cell r="D122">
            <v>10721</v>
          </cell>
          <cell r="G122">
            <v>550</v>
          </cell>
        </row>
        <row r="123">
          <cell r="D123">
            <v>4148</v>
          </cell>
          <cell r="G123">
            <v>15866</v>
          </cell>
        </row>
        <row r="124">
          <cell r="D124">
            <v>6084</v>
          </cell>
          <cell r="G124">
            <v>23394</v>
          </cell>
        </row>
        <row r="125">
          <cell r="D125">
            <v>3282</v>
          </cell>
        </row>
        <row r="126">
          <cell r="D126">
            <v>1607</v>
          </cell>
        </row>
        <row r="127">
          <cell r="D127">
            <v>6498</v>
          </cell>
        </row>
        <row r="128">
          <cell r="D128">
            <v>13709</v>
          </cell>
          <cell r="G128">
            <v>1014</v>
          </cell>
        </row>
        <row r="129">
          <cell r="D129">
            <v>11408</v>
          </cell>
          <cell r="G129">
            <v>2208</v>
          </cell>
        </row>
        <row r="130">
          <cell r="D130">
            <v>50188</v>
          </cell>
          <cell r="G130">
            <v>12370</v>
          </cell>
        </row>
        <row r="131">
          <cell r="G131">
            <v>12927</v>
          </cell>
        </row>
        <row r="132">
          <cell r="G132">
            <v>5937</v>
          </cell>
        </row>
        <row r="133">
          <cell r="G133">
            <v>4718</v>
          </cell>
        </row>
        <row r="134">
          <cell r="G134">
            <v>6243</v>
          </cell>
        </row>
        <row r="135">
          <cell r="G135">
            <v>4771</v>
          </cell>
        </row>
        <row r="139">
          <cell r="D139">
            <v>2358</v>
          </cell>
          <cell r="G139">
            <v>2921</v>
          </cell>
        </row>
        <row r="140">
          <cell r="D140">
            <v>323</v>
          </cell>
          <cell r="G140">
            <v>33711</v>
          </cell>
        </row>
        <row r="141">
          <cell r="D141">
            <v>1957</v>
          </cell>
          <cell r="G141">
            <v>17086</v>
          </cell>
        </row>
        <row r="142">
          <cell r="D142">
            <v>327</v>
          </cell>
        </row>
        <row r="143">
          <cell r="D143">
            <v>53718</v>
          </cell>
        </row>
        <row r="148">
          <cell r="D148">
            <v>1226654</v>
          </cell>
        </row>
      </sheetData>
      <sheetData sheetId="1">
        <row r="11">
          <cell r="H11">
            <v>81614</v>
          </cell>
        </row>
        <row r="20">
          <cell r="H20">
            <v>5244</v>
          </cell>
        </row>
        <row r="21">
          <cell r="H21">
            <v>5842</v>
          </cell>
        </row>
        <row r="22">
          <cell r="H22">
            <v>10515</v>
          </cell>
        </row>
        <row r="23">
          <cell r="H23">
            <v>3705</v>
          </cell>
        </row>
        <row r="24">
          <cell r="H24">
            <v>4287</v>
          </cell>
        </row>
        <row r="25">
          <cell r="H25">
            <v>13472</v>
          </cell>
        </row>
        <row r="26">
          <cell r="H26">
            <v>4514</v>
          </cell>
        </row>
        <row r="27">
          <cell r="H27">
            <v>2584</v>
          </cell>
        </row>
        <row r="28">
          <cell r="H28">
            <v>8224</v>
          </cell>
        </row>
        <row r="29">
          <cell r="H29">
            <v>3527</v>
          </cell>
        </row>
        <row r="30">
          <cell r="H30">
            <v>4421</v>
          </cell>
        </row>
        <row r="31">
          <cell r="H31">
            <v>10292</v>
          </cell>
        </row>
        <row r="32">
          <cell r="H32">
            <v>3931</v>
          </cell>
        </row>
        <row r="33">
          <cell r="H33">
            <v>3160</v>
          </cell>
        </row>
        <row r="34">
          <cell r="H34">
            <v>2865</v>
          </cell>
        </row>
        <row r="35">
          <cell r="H35">
            <v>7102</v>
          </cell>
        </row>
        <row r="36">
          <cell r="H36">
            <v>26100</v>
          </cell>
        </row>
        <row r="37">
          <cell r="H37">
            <v>20388</v>
          </cell>
        </row>
        <row r="38">
          <cell r="H38">
            <v>17958</v>
          </cell>
        </row>
        <row r="39">
          <cell r="H39">
            <v>30076</v>
          </cell>
        </row>
        <row r="40">
          <cell r="H40">
            <v>14134</v>
          </cell>
        </row>
        <row r="41">
          <cell r="H41">
            <v>0</v>
          </cell>
        </row>
        <row r="42">
          <cell r="H42">
            <v>15648</v>
          </cell>
        </row>
        <row r="43">
          <cell r="H43">
            <v>19789</v>
          </cell>
        </row>
        <row r="44">
          <cell r="H44">
            <v>15062</v>
          </cell>
        </row>
        <row r="45">
          <cell r="H45">
            <v>17657</v>
          </cell>
        </row>
        <row r="46">
          <cell r="H46">
            <v>2914</v>
          </cell>
        </row>
        <row r="47">
          <cell r="H47">
            <v>10636</v>
          </cell>
        </row>
        <row r="48">
          <cell r="H48">
            <v>1919</v>
          </cell>
        </row>
        <row r="49">
          <cell r="H49">
            <v>16204</v>
          </cell>
        </row>
        <row r="50">
          <cell r="H50">
            <v>8439</v>
          </cell>
        </row>
        <row r="51">
          <cell r="H51">
            <v>1316</v>
          </cell>
        </row>
        <row r="52">
          <cell r="H52">
            <v>4391</v>
          </cell>
        </row>
        <row r="53">
          <cell r="H53">
            <v>714</v>
          </cell>
        </row>
        <row r="54">
          <cell r="H54">
            <v>18975</v>
          </cell>
        </row>
        <row r="55">
          <cell r="H55">
            <v>2369</v>
          </cell>
        </row>
        <row r="56">
          <cell r="H56">
            <v>111596</v>
          </cell>
        </row>
        <row r="63">
          <cell r="H63">
            <v>21471</v>
          </cell>
        </row>
        <row r="64">
          <cell r="H64">
            <v>13615</v>
          </cell>
        </row>
        <row r="65">
          <cell r="H65">
            <v>25503</v>
          </cell>
        </row>
        <row r="66">
          <cell r="H66">
            <v>9820</v>
          </cell>
        </row>
        <row r="67">
          <cell r="H67">
            <v>7559</v>
          </cell>
        </row>
        <row r="68">
          <cell r="H68">
            <v>15961</v>
          </cell>
        </row>
        <row r="69">
          <cell r="H69">
            <v>25218</v>
          </cell>
        </row>
        <row r="70">
          <cell r="H70">
            <v>12957</v>
          </cell>
        </row>
        <row r="71">
          <cell r="H71">
            <v>9694</v>
          </cell>
        </row>
        <row r="72">
          <cell r="H72">
            <v>8087</v>
          </cell>
        </row>
        <row r="73">
          <cell r="H73">
            <v>24270</v>
          </cell>
        </row>
        <row r="74">
          <cell r="H74">
            <v>19387</v>
          </cell>
        </row>
        <row r="75">
          <cell r="H75">
            <v>15091</v>
          </cell>
        </row>
        <row r="76">
          <cell r="H76">
            <v>11206</v>
          </cell>
        </row>
        <row r="77">
          <cell r="H77">
            <v>13215</v>
          </cell>
        </row>
        <row r="78">
          <cell r="H78">
            <v>8866</v>
          </cell>
        </row>
        <row r="79">
          <cell r="H79">
            <v>13872</v>
          </cell>
        </row>
        <row r="80">
          <cell r="H80">
            <v>12077</v>
          </cell>
        </row>
        <row r="81">
          <cell r="H81">
            <v>18756</v>
          </cell>
        </row>
        <row r="82">
          <cell r="H82">
            <v>0</v>
          </cell>
        </row>
        <row r="83">
          <cell r="H83">
            <v>7797</v>
          </cell>
        </row>
        <row r="84">
          <cell r="H84">
            <v>4464</v>
          </cell>
        </row>
        <row r="85">
          <cell r="H85">
            <v>22148</v>
          </cell>
        </row>
        <row r="86">
          <cell r="H86">
            <v>7535</v>
          </cell>
        </row>
        <row r="87">
          <cell r="H87">
            <v>8745</v>
          </cell>
        </row>
        <row r="88">
          <cell r="H88">
            <v>49482</v>
          </cell>
        </row>
        <row r="89">
          <cell r="H89">
            <v>11220</v>
          </cell>
        </row>
        <row r="90">
          <cell r="H90">
            <v>2335</v>
          </cell>
        </row>
        <row r="91">
          <cell r="H91">
            <v>4478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3724</v>
          </cell>
        </row>
        <row r="97">
          <cell r="H97">
            <v>1404</v>
          </cell>
        </row>
        <row r="98">
          <cell r="H98">
            <v>3454</v>
          </cell>
        </row>
        <row r="99">
          <cell r="H99">
            <v>3577</v>
          </cell>
        </row>
        <row r="100">
          <cell r="H100">
            <v>0</v>
          </cell>
        </row>
        <row r="101">
          <cell r="H101">
            <v>5599</v>
          </cell>
        </row>
        <row r="102">
          <cell r="H102">
            <v>1948</v>
          </cell>
        </row>
        <row r="103">
          <cell r="H103">
            <v>3287</v>
          </cell>
        </row>
        <row r="104">
          <cell r="H104">
            <v>2665</v>
          </cell>
        </row>
        <row r="105">
          <cell r="H105">
            <v>5818</v>
          </cell>
        </row>
        <row r="106">
          <cell r="H106">
            <v>3240</v>
          </cell>
        </row>
        <row r="107">
          <cell r="H107">
            <v>672</v>
          </cell>
        </row>
        <row r="108">
          <cell r="H108">
            <v>0</v>
          </cell>
        </row>
        <row r="109">
          <cell r="H109">
            <v>3466</v>
          </cell>
        </row>
        <row r="110">
          <cell r="H110">
            <v>2851</v>
          </cell>
        </row>
        <row r="111">
          <cell r="H111">
            <v>7723</v>
          </cell>
        </row>
        <row r="112">
          <cell r="H112">
            <v>3208</v>
          </cell>
        </row>
        <row r="113">
          <cell r="H113">
            <v>7358</v>
          </cell>
        </row>
        <row r="114">
          <cell r="H114">
            <v>8195</v>
          </cell>
        </row>
        <row r="115">
          <cell r="H115">
            <v>2486</v>
          </cell>
        </row>
        <row r="116">
          <cell r="H116">
            <v>14897</v>
          </cell>
        </row>
        <row r="117">
          <cell r="H117">
            <v>12909</v>
          </cell>
        </row>
        <row r="118">
          <cell r="H118">
            <v>5311</v>
          </cell>
        </row>
        <row r="119">
          <cell r="H119">
            <v>4266</v>
          </cell>
        </row>
        <row r="120">
          <cell r="H120">
            <v>9756</v>
          </cell>
        </row>
        <row r="121">
          <cell r="H121">
            <v>7731</v>
          </cell>
        </row>
        <row r="122">
          <cell r="H122">
            <v>4818</v>
          </cell>
        </row>
        <row r="123">
          <cell r="H123">
            <v>4769</v>
          </cell>
        </row>
        <row r="124">
          <cell r="H124">
            <v>3167</v>
          </cell>
        </row>
        <row r="125">
          <cell r="H125">
            <v>1782</v>
          </cell>
        </row>
        <row r="126">
          <cell r="H126">
            <v>5705</v>
          </cell>
        </row>
        <row r="127">
          <cell r="H127">
            <v>12302</v>
          </cell>
        </row>
        <row r="128">
          <cell r="H128">
            <v>8281</v>
          </cell>
        </row>
        <row r="129">
          <cell r="H129">
            <v>45076</v>
          </cell>
        </row>
        <row r="138">
          <cell r="H138">
            <v>262</v>
          </cell>
        </row>
        <row r="139">
          <cell r="H139">
            <v>1983</v>
          </cell>
        </row>
        <row r="140">
          <cell r="H140">
            <v>246</v>
          </cell>
        </row>
        <row r="141">
          <cell r="H141">
            <v>2008</v>
          </cell>
        </row>
        <row r="142">
          <cell r="H142">
            <v>47398</v>
          </cell>
        </row>
        <row r="147">
          <cell r="D147">
            <v>8834</v>
          </cell>
          <cell r="E147">
            <v>251113</v>
          </cell>
          <cell r="F147">
            <v>906566</v>
          </cell>
          <cell r="G147">
            <v>6427</v>
          </cell>
        </row>
        <row r="150">
          <cell r="C150">
            <v>14805</v>
          </cell>
          <cell r="E150">
            <v>3057</v>
          </cell>
          <cell r="G150">
            <v>28985</v>
          </cell>
        </row>
        <row r="151">
          <cell r="C151">
            <v>4629</v>
          </cell>
          <cell r="E151">
            <v>1488</v>
          </cell>
          <cell r="G151">
            <v>4866</v>
          </cell>
        </row>
        <row r="152">
          <cell r="C152">
            <v>8229</v>
          </cell>
          <cell r="E152">
            <v>7664</v>
          </cell>
          <cell r="G152">
            <v>155</v>
          </cell>
        </row>
        <row r="153">
          <cell r="C153">
            <v>12917</v>
          </cell>
          <cell r="E153">
            <v>10966</v>
          </cell>
          <cell r="G153">
            <v>24405</v>
          </cell>
        </row>
        <row r="154">
          <cell r="C154">
            <v>9286</v>
          </cell>
          <cell r="E154">
            <v>4603</v>
          </cell>
          <cell r="G154">
            <v>27536</v>
          </cell>
        </row>
        <row r="155">
          <cell r="C155">
            <v>6268</v>
          </cell>
          <cell r="E155">
            <v>4372</v>
          </cell>
          <cell r="G155">
            <v>25649</v>
          </cell>
        </row>
        <row r="156">
          <cell r="C156">
            <v>7040</v>
          </cell>
          <cell r="E156">
            <v>8416</v>
          </cell>
        </row>
        <row r="157">
          <cell r="C157">
            <v>18440</v>
          </cell>
          <cell r="E157">
            <v>4510</v>
          </cell>
        </row>
        <row r="161">
          <cell r="C161">
            <v>3174</v>
          </cell>
        </row>
        <row r="162">
          <cell r="C162">
            <v>6570</v>
          </cell>
        </row>
        <row r="163">
          <cell r="C163">
            <v>37654</v>
          </cell>
        </row>
        <row r="171">
          <cell r="H171">
            <v>2524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86566</v>
          </cell>
        </row>
        <row r="20">
          <cell r="D20">
            <v>5395</v>
          </cell>
        </row>
        <row r="21">
          <cell r="D21">
            <v>5419</v>
          </cell>
        </row>
        <row r="22">
          <cell r="D22">
            <v>8829</v>
          </cell>
        </row>
        <row r="23">
          <cell r="D23">
            <v>5028</v>
          </cell>
        </row>
        <row r="24">
          <cell r="D24">
            <v>4154</v>
          </cell>
        </row>
        <row r="25">
          <cell r="D25">
            <v>16150</v>
          </cell>
        </row>
        <row r="26">
          <cell r="D26">
            <v>13429</v>
          </cell>
        </row>
        <row r="27">
          <cell r="D27">
            <v>6553</v>
          </cell>
        </row>
        <row r="28">
          <cell r="D28">
            <v>7832</v>
          </cell>
        </row>
        <row r="29">
          <cell r="D29">
            <v>2965</v>
          </cell>
        </row>
        <row r="30">
          <cell r="D30">
            <v>4440</v>
          </cell>
        </row>
        <row r="31">
          <cell r="D31">
            <v>9145</v>
          </cell>
        </row>
        <row r="32">
          <cell r="D32">
            <v>3737</v>
          </cell>
        </row>
        <row r="33">
          <cell r="D33">
            <v>3341</v>
          </cell>
        </row>
        <row r="34">
          <cell r="D34">
            <v>2984</v>
          </cell>
        </row>
        <row r="35">
          <cell r="D35">
            <v>6685</v>
          </cell>
        </row>
        <row r="36">
          <cell r="D36">
            <v>26217</v>
          </cell>
        </row>
        <row r="37">
          <cell r="D37">
            <v>21902</v>
          </cell>
        </row>
        <row r="38">
          <cell r="D38">
            <v>17152</v>
          </cell>
        </row>
        <row r="39">
          <cell r="D39">
            <v>32442</v>
          </cell>
        </row>
        <row r="40">
          <cell r="D40">
            <v>13764</v>
          </cell>
        </row>
        <row r="41">
          <cell r="D41">
            <v>0</v>
          </cell>
        </row>
        <row r="42">
          <cell r="D42">
            <v>15039</v>
          </cell>
        </row>
        <row r="43">
          <cell r="D43">
            <v>19723</v>
          </cell>
        </row>
        <row r="44">
          <cell r="D44">
            <v>14579</v>
          </cell>
        </row>
        <row r="45">
          <cell r="D45">
            <v>1863</v>
          </cell>
        </row>
        <row r="46">
          <cell r="D46">
            <v>18251</v>
          </cell>
        </row>
        <row r="47">
          <cell r="D47">
            <v>1442</v>
          </cell>
        </row>
        <row r="48">
          <cell r="D48">
            <v>11060</v>
          </cell>
        </row>
        <row r="49">
          <cell r="D49">
            <v>15255</v>
          </cell>
        </row>
        <row r="50">
          <cell r="D50">
            <v>925</v>
          </cell>
        </row>
        <row r="51">
          <cell r="D51">
            <v>7987</v>
          </cell>
        </row>
        <row r="52">
          <cell r="D52">
            <v>523</v>
          </cell>
        </row>
        <row r="53">
          <cell r="D53">
            <v>5110</v>
          </cell>
        </row>
        <row r="54">
          <cell r="D54">
            <v>1333</v>
          </cell>
        </row>
        <row r="55">
          <cell r="D55">
            <v>19347</v>
          </cell>
        </row>
        <row r="56">
          <cell r="D56">
            <v>110262</v>
          </cell>
        </row>
        <row r="64">
          <cell r="D64">
            <v>21303</v>
          </cell>
        </row>
        <row r="65">
          <cell r="D65">
            <v>15234</v>
          </cell>
        </row>
        <row r="66">
          <cell r="D66">
            <v>26284</v>
          </cell>
        </row>
        <row r="67">
          <cell r="D67">
            <v>10106</v>
          </cell>
        </row>
        <row r="68">
          <cell r="D68">
            <v>7335</v>
          </cell>
        </row>
        <row r="69">
          <cell r="D69">
            <v>14317</v>
          </cell>
        </row>
        <row r="70">
          <cell r="D70">
            <v>24838</v>
          </cell>
        </row>
        <row r="71">
          <cell r="D71">
            <v>13771</v>
          </cell>
        </row>
        <row r="72">
          <cell r="D72">
            <v>9698</v>
          </cell>
        </row>
        <row r="73">
          <cell r="D73">
            <v>6211</v>
          </cell>
        </row>
        <row r="74">
          <cell r="D74">
            <v>24217</v>
          </cell>
        </row>
        <row r="75">
          <cell r="D75">
            <v>18754</v>
          </cell>
        </row>
        <row r="76">
          <cell r="D76">
            <v>13456</v>
          </cell>
        </row>
        <row r="77">
          <cell r="D77">
            <v>11759</v>
          </cell>
        </row>
        <row r="78">
          <cell r="D78">
            <v>14800</v>
          </cell>
        </row>
        <row r="79">
          <cell r="D79">
            <v>10104</v>
          </cell>
        </row>
        <row r="80">
          <cell r="D80">
            <v>14678</v>
          </cell>
        </row>
        <row r="81">
          <cell r="D81">
            <v>12137</v>
          </cell>
        </row>
        <row r="82">
          <cell r="D82">
            <v>22087</v>
          </cell>
        </row>
        <row r="83">
          <cell r="D83">
            <v>0</v>
          </cell>
        </row>
        <row r="84">
          <cell r="D84">
            <v>7944</v>
          </cell>
        </row>
        <row r="85">
          <cell r="D85">
            <v>5063</v>
          </cell>
        </row>
        <row r="86">
          <cell r="D86">
            <v>21403</v>
          </cell>
        </row>
        <row r="87">
          <cell r="D87">
            <v>7623</v>
          </cell>
        </row>
        <row r="88">
          <cell r="D88">
            <v>11163</v>
          </cell>
        </row>
        <row r="89">
          <cell r="D89">
            <v>54912</v>
          </cell>
        </row>
        <row r="90">
          <cell r="D90">
            <v>15086</v>
          </cell>
        </row>
        <row r="91">
          <cell r="D91">
            <v>2167</v>
          </cell>
        </row>
        <row r="92">
          <cell r="D92">
            <v>4569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3396</v>
          </cell>
        </row>
        <row r="98">
          <cell r="D98">
            <v>1414</v>
          </cell>
        </row>
        <row r="99">
          <cell r="D99">
            <v>3856</v>
          </cell>
        </row>
        <row r="100">
          <cell r="D100">
            <v>3661</v>
          </cell>
        </row>
        <row r="101">
          <cell r="D101">
            <v>0</v>
          </cell>
        </row>
        <row r="102">
          <cell r="D102">
            <v>5692</v>
          </cell>
        </row>
        <row r="103">
          <cell r="D103">
            <v>2388</v>
          </cell>
        </row>
        <row r="104">
          <cell r="D104">
            <v>3733</v>
          </cell>
        </row>
        <row r="105">
          <cell r="D105">
            <v>3599</v>
          </cell>
        </row>
        <row r="106">
          <cell r="D106">
            <v>5565</v>
          </cell>
        </row>
        <row r="107">
          <cell r="D107">
            <v>2760</v>
          </cell>
          <cell r="G107">
            <v>15812</v>
          </cell>
        </row>
        <row r="108">
          <cell r="D108">
            <v>643</v>
          </cell>
          <cell r="G108">
            <v>6291</v>
          </cell>
        </row>
        <row r="109">
          <cell r="D109">
            <v>0</v>
          </cell>
          <cell r="G109">
            <v>10406</v>
          </cell>
        </row>
        <row r="110">
          <cell r="D110">
            <v>3306</v>
          </cell>
          <cell r="G110">
            <v>13179</v>
          </cell>
        </row>
        <row r="111">
          <cell r="D111">
            <v>3195</v>
          </cell>
          <cell r="G111">
            <v>8103</v>
          </cell>
        </row>
        <row r="112">
          <cell r="D112">
            <v>7237</v>
          </cell>
          <cell r="G112">
            <v>9834</v>
          </cell>
        </row>
        <row r="113">
          <cell r="D113">
            <v>3273</v>
          </cell>
          <cell r="G113">
            <v>8040</v>
          </cell>
        </row>
        <row r="114">
          <cell r="D114">
            <v>7155</v>
          </cell>
          <cell r="G114">
            <v>14901</v>
          </cell>
        </row>
        <row r="115">
          <cell r="D115">
            <v>8482</v>
          </cell>
        </row>
        <row r="116">
          <cell r="D116">
            <v>3536</v>
          </cell>
        </row>
        <row r="117">
          <cell r="D117">
            <v>17142</v>
          </cell>
        </row>
        <row r="118">
          <cell r="D118">
            <v>13292</v>
          </cell>
          <cell r="G118">
            <v>24881</v>
          </cell>
        </row>
        <row r="119">
          <cell r="D119">
            <v>5800</v>
          </cell>
          <cell r="G119">
            <v>11308</v>
          </cell>
        </row>
        <row r="120">
          <cell r="D120">
            <v>10860</v>
          </cell>
          <cell r="G120">
            <v>18144</v>
          </cell>
        </row>
        <row r="121">
          <cell r="D121">
            <v>4414</v>
          </cell>
          <cell r="G121">
            <v>16372</v>
          </cell>
        </row>
        <row r="122">
          <cell r="D122">
            <v>10526</v>
          </cell>
          <cell r="G122">
            <v>508</v>
          </cell>
        </row>
        <row r="123">
          <cell r="D123">
            <v>4068</v>
          </cell>
          <cell r="G123">
            <v>15789</v>
          </cell>
        </row>
        <row r="124">
          <cell r="D124">
            <v>5954</v>
          </cell>
          <cell r="G124">
            <v>23260</v>
          </cell>
        </row>
        <row r="125">
          <cell r="D125">
            <v>3153</v>
          </cell>
        </row>
        <row r="126">
          <cell r="D126">
            <v>1712</v>
          </cell>
        </row>
        <row r="127">
          <cell r="D127">
            <v>6403</v>
          </cell>
        </row>
        <row r="128">
          <cell r="D128">
            <v>13593</v>
          </cell>
          <cell r="G128">
            <v>991</v>
          </cell>
        </row>
        <row r="129">
          <cell r="D129">
            <v>10500</v>
          </cell>
          <cell r="G129">
            <v>2932</v>
          </cell>
        </row>
        <row r="130">
          <cell r="D130">
            <v>51676</v>
          </cell>
          <cell r="G130">
            <v>12564</v>
          </cell>
        </row>
        <row r="131">
          <cell r="G131">
            <v>12825</v>
          </cell>
        </row>
        <row r="132">
          <cell r="G132">
            <v>5694</v>
          </cell>
        </row>
        <row r="133">
          <cell r="G133">
            <v>4610</v>
          </cell>
        </row>
        <row r="134">
          <cell r="G134">
            <v>7338</v>
          </cell>
        </row>
        <row r="135">
          <cell r="G135">
            <v>4722</v>
          </cell>
        </row>
        <row r="139">
          <cell r="D139">
            <v>2241</v>
          </cell>
          <cell r="G139">
            <v>2902</v>
          </cell>
        </row>
        <row r="140">
          <cell r="D140">
            <v>316</v>
          </cell>
          <cell r="G140">
            <v>33344</v>
          </cell>
        </row>
        <row r="141">
          <cell r="D141">
            <v>1933</v>
          </cell>
          <cell r="G141">
            <v>17737</v>
          </cell>
        </row>
        <row r="142">
          <cell r="D142">
            <v>282</v>
          </cell>
        </row>
        <row r="143">
          <cell r="D143">
            <v>53983</v>
          </cell>
        </row>
        <row r="148">
          <cell r="D148">
            <v>1212550</v>
          </cell>
        </row>
      </sheetData>
      <sheetData sheetId="1">
        <row r="11">
          <cell r="H11">
            <v>80438</v>
          </cell>
        </row>
        <row r="20">
          <cell r="H20">
            <v>5333</v>
          </cell>
        </row>
        <row r="21">
          <cell r="H21">
            <v>5903</v>
          </cell>
        </row>
        <row r="22">
          <cell r="H22">
            <v>10678</v>
          </cell>
        </row>
        <row r="23">
          <cell r="H23">
            <v>3170</v>
          </cell>
        </row>
        <row r="24">
          <cell r="H24">
            <v>4243</v>
          </cell>
        </row>
        <row r="25">
          <cell r="H25">
            <v>13126</v>
          </cell>
        </row>
        <row r="26">
          <cell r="H26">
            <v>4062</v>
          </cell>
        </row>
        <row r="27">
          <cell r="H27">
            <v>2250</v>
          </cell>
        </row>
        <row r="28">
          <cell r="H28">
            <v>7886</v>
          </cell>
        </row>
        <row r="29">
          <cell r="H29">
            <v>3583</v>
          </cell>
        </row>
        <row r="30">
          <cell r="H30">
            <v>4390</v>
          </cell>
        </row>
        <row r="31">
          <cell r="H31">
            <v>9993</v>
          </cell>
        </row>
        <row r="32">
          <cell r="H32">
            <v>3855</v>
          </cell>
        </row>
        <row r="33">
          <cell r="H33">
            <v>3105</v>
          </cell>
        </row>
        <row r="34">
          <cell r="H34">
            <v>2935</v>
          </cell>
        </row>
        <row r="35">
          <cell r="H35">
            <v>7177</v>
          </cell>
        </row>
        <row r="36">
          <cell r="H36">
            <v>25484</v>
          </cell>
        </row>
        <row r="37">
          <cell r="H37">
            <v>19670</v>
          </cell>
        </row>
        <row r="38">
          <cell r="H38">
            <v>17291</v>
          </cell>
        </row>
        <row r="39">
          <cell r="H39">
            <v>28930</v>
          </cell>
        </row>
        <row r="40">
          <cell r="H40">
            <v>13720</v>
          </cell>
        </row>
        <row r="41">
          <cell r="H41">
            <v>0</v>
          </cell>
        </row>
        <row r="42">
          <cell r="H42">
            <v>15367</v>
          </cell>
        </row>
        <row r="43">
          <cell r="H43">
            <v>19285</v>
          </cell>
        </row>
        <row r="44">
          <cell r="H44">
            <v>14692</v>
          </cell>
        </row>
        <row r="45">
          <cell r="H45">
            <v>17180</v>
          </cell>
        </row>
        <row r="46">
          <cell r="H46">
            <v>3003</v>
          </cell>
        </row>
        <row r="47">
          <cell r="H47">
            <v>10813</v>
          </cell>
        </row>
        <row r="48">
          <cell r="H48">
            <v>1798</v>
          </cell>
        </row>
        <row r="49">
          <cell r="H49">
            <v>16231</v>
          </cell>
        </row>
        <row r="50">
          <cell r="H50">
            <v>8368</v>
          </cell>
        </row>
        <row r="51">
          <cell r="H51">
            <v>1337</v>
          </cell>
        </row>
        <row r="52">
          <cell r="H52">
            <v>4430</v>
          </cell>
        </row>
        <row r="53">
          <cell r="H53">
            <v>674</v>
          </cell>
        </row>
        <row r="54">
          <cell r="H54">
            <v>18732</v>
          </cell>
        </row>
        <row r="55">
          <cell r="H55">
            <v>2377</v>
          </cell>
        </row>
        <row r="56">
          <cell r="H56">
            <v>109788</v>
          </cell>
        </row>
        <row r="63">
          <cell r="H63">
            <v>20933</v>
          </cell>
        </row>
        <row r="64">
          <cell r="H64">
            <v>13199</v>
          </cell>
        </row>
        <row r="65">
          <cell r="H65">
            <v>24764</v>
          </cell>
        </row>
        <row r="66">
          <cell r="H66">
            <v>9588</v>
          </cell>
        </row>
        <row r="67">
          <cell r="H67">
            <v>7139</v>
          </cell>
        </row>
        <row r="68">
          <cell r="H68">
            <v>15651</v>
          </cell>
        </row>
        <row r="69">
          <cell r="H69">
            <v>24539</v>
          </cell>
        </row>
        <row r="70">
          <cell r="H70">
            <v>12823</v>
          </cell>
        </row>
        <row r="71">
          <cell r="H71">
            <v>9575</v>
          </cell>
        </row>
        <row r="72">
          <cell r="H72">
            <v>7249</v>
          </cell>
        </row>
        <row r="73">
          <cell r="H73">
            <v>21726</v>
          </cell>
        </row>
        <row r="74">
          <cell r="H74">
            <v>19063</v>
          </cell>
        </row>
        <row r="75">
          <cell r="H75">
            <v>14866</v>
          </cell>
        </row>
        <row r="76">
          <cell r="H76">
            <v>11230</v>
          </cell>
        </row>
        <row r="77">
          <cell r="H77">
            <v>13227</v>
          </cell>
        </row>
        <row r="78">
          <cell r="H78">
            <v>8879</v>
          </cell>
        </row>
        <row r="79">
          <cell r="H79">
            <v>13615</v>
          </cell>
        </row>
        <row r="80">
          <cell r="H80">
            <v>12072</v>
          </cell>
        </row>
        <row r="81">
          <cell r="H81">
            <v>18788</v>
          </cell>
        </row>
        <row r="82">
          <cell r="H82">
            <v>0</v>
          </cell>
        </row>
        <row r="83">
          <cell r="H83">
            <v>7615</v>
          </cell>
        </row>
        <row r="84">
          <cell r="H84">
            <v>4247</v>
          </cell>
        </row>
        <row r="85">
          <cell r="H85">
            <v>21457</v>
          </cell>
        </row>
        <row r="86">
          <cell r="H86">
            <v>7181</v>
          </cell>
        </row>
        <row r="87">
          <cell r="H87">
            <v>8379</v>
          </cell>
        </row>
        <row r="88">
          <cell r="H88">
            <v>49069</v>
          </cell>
        </row>
        <row r="89">
          <cell r="H89">
            <v>11620</v>
          </cell>
        </row>
        <row r="90">
          <cell r="H90">
            <v>2256</v>
          </cell>
        </row>
        <row r="91">
          <cell r="H91">
            <v>4318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3493</v>
          </cell>
        </row>
        <row r="97">
          <cell r="H97">
            <v>1386</v>
          </cell>
        </row>
        <row r="98">
          <cell r="H98">
            <v>3469</v>
          </cell>
        </row>
        <row r="99">
          <cell r="H99">
            <v>3599</v>
          </cell>
        </row>
        <row r="100">
          <cell r="H100">
            <v>0</v>
          </cell>
        </row>
        <row r="101">
          <cell r="H101">
            <v>5509</v>
          </cell>
        </row>
        <row r="102">
          <cell r="H102">
            <v>2102</v>
          </cell>
        </row>
        <row r="103">
          <cell r="H103">
            <v>3427</v>
          </cell>
        </row>
        <row r="104">
          <cell r="H104">
            <v>2733</v>
          </cell>
        </row>
        <row r="105">
          <cell r="H105">
            <v>5708</v>
          </cell>
        </row>
        <row r="106">
          <cell r="H106">
            <v>3184</v>
          </cell>
        </row>
        <row r="107">
          <cell r="H107">
            <v>722</v>
          </cell>
        </row>
        <row r="108">
          <cell r="H108">
            <v>0</v>
          </cell>
        </row>
        <row r="109">
          <cell r="H109">
            <v>3447</v>
          </cell>
        </row>
        <row r="110">
          <cell r="H110">
            <v>2878</v>
          </cell>
        </row>
        <row r="111">
          <cell r="H111">
            <v>7403</v>
          </cell>
        </row>
        <row r="112">
          <cell r="H112">
            <v>3286</v>
          </cell>
        </row>
        <row r="113">
          <cell r="H113">
            <v>7189</v>
          </cell>
        </row>
        <row r="114">
          <cell r="H114">
            <v>7766</v>
          </cell>
        </row>
        <row r="115">
          <cell r="H115">
            <v>2412</v>
          </cell>
        </row>
        <row r="116">
          <cell r="H116">
            <v>14842</v>
          </cell>
        </row>
        <row r="117">
          <cell r="H117">
            <v>12728</v>
          </cell>
        </row>
        <row r="118">
          <cell r="H118">
            <v>5091</v>
          </cell>
        </row>
        <row r="119">
          <cell r="H119">
            <v>4170</v>
          </cell>
        </row>
        <row r="120">
          <cell r="H120">
            <v>9544</v>
          </cell>
        </row>
        <row r="121">
          <cell r="H121">
            <v>7553</v>
          </cell>
        </row>
        <row r="122">
          <cell r="H122">
            <v>4835</v>
          </cell>
        </row>
        <row r="123">
          <cell r="H123">
            <v>4705</v>
          </cell>
        </row>
        <row r="124">
          <cell r="H124">
            <v>3099</v>
          </cell>
        </row>
        <row r="125">
          <cell r="H125">
            <v>1768</v>
          </cell>
        </row>
        <row r="126">
          <cell r="H126">
            <v>5810</v>
          </cell>
        </row>
        <row r="127">
          <cell r="H127">
            <v>12541</v>
          </cell>
        </row>
        <row r="128">
          <cell r="H128">
            <v>8327</v>
          </cell>
        </row>
        <row r="129">
          <cell r="H129">
            <v>44740</v>
          </cell>
        </row>
        <row r="138">
          <cell r="H138">
            <v>244</v>
          </cell>
        </row>
        <row r="139">
          <cell r="H139">
            <v>2059</v>
          </cell>
        </row>
        <row r="140">
          <cell r="H140">
            <v>234</v>
          </cell>
        </row>
        <row r="141">
          <cell r="H141">
            <v>1964</v>
          </cell>
        </row>
        <row r="142">
          <cell r="H142">
            <v>48339</v>
          </cell>
        </row>
        <row r="147">
          <cell r="D147">
            <v>8424</v>
          </cell>
          <cell r="E147">
            <v>248085</v>
          </cell>
          <cell r="F147">
            <v>890372</v>
          </cell>
          <cell r="G147">
            <v>6428</v>
          </cell>
        </row>
        <row r="150">
          <cell r="C150">
            <v>14484</v>
          </cell>
          <cell r="E150">
            <v>3054</v>
          </cell>
          <cell r="G150">
            <v>29603</v>
          </cell>
        </row>
        <row r="151">
          <cell r="C151">
            <v>5075</v>
          </cell>
          <cell r="E151">
            <v>1440</v>
          </cell>
          <cell r="G151">
            <v>4944</v>
          </cell>
        </row>
        <row r="152">
          <cell r="C152">
            <v>8454</v>
          </cell>
          <cell r="E152">
            <v>8539</v>
          </cell>
          <cell r="G152">
            <v>125</v>
          </cell>
        </row>
        <row r="153">
          <cell r="C153">
            <v>12286</v>
          </cell>
          <cell r="E153">
            <v>10299</v>
          </cell>
          <cell r="G153">
            <v>23193</v>
          </cell>
        </row>
        <row r="154">
          <cell r="C154">
            <v>9131</v>
          </cell>
          <cell r="E154">
            <v>4433</v>
          </cell>
          <cell r="G154">
            <v>27563</v>
          </cell>
        </row>
        <row r="155">
          <cell r="C155">
            <v>6020</v>
          </cell>
          <cell r="E155">
            <v>3998</v>
          </cell>
          <cell r="G155">
            <v>24360</v>
          </cell>
        </row>
        <row r="156">
          <cell r="C156">
            <v>6808</v>
          </cell>
          <cell r="E156">
            <v>8541</v>
          </cell>
        </row>
        <row r="157">
          <cell r="C157">
            <v>18180</v>
          </cell>
          <cell r="E157">
            <v>4436</v>
          </cell>
        </row>
        <row r="161">
          <cell r="C161">
            <v>2777</v>
          </cell>
        </row>
        <row r="162">
          <cell r="C162">
            <v>6469</v>
          </cell>
        </row>
        <row r="163">
          <cell r="C163">
            <v>39093</v>
          </cell>
        </row>
        <row r="171">
          <cell r="H171">
            <v>2675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86361</v>
          </cell>
        </row>
        <row r="20">
          <cell r="D20">
            <v>5417</v>
          </cell>
        </row>
        <row r="21">
          <cell r="D21">
            <v>5542</v>
          </cell>
        </row>
        <row r="22">
          <cell r="D22">
            <v>8919</v>
          </cell>
        </row>
        <row r="23">
          <cell r="D23">
            <v>5707</v>
          </cell>
        </row>
        <row r="24">
          <cell r="D24">
            <v>4193</v>
          </cell>
        </row>
        <row r="25">
          <cell r="D25">
            <v>16395</v>
          </cell>
        </row>
        <row r="26">
          <cell r="D26">
            <v>13706</v>
          </cell>
        </row>
        <row r="27">
          <cell r="D27">
            <v>6603</v>
          </cell>
        </row>
        <row r="28">
          <cell r="D28">
            <v>7986</v>
          </cell>
        </row>
        <row r="29">
          <cell r="D29">
            <v>2959</v>
          </cell>
        </row>
        <row r="30">
          <cell r="D30">
            <v>4515</v>
          </cell>
        </row>
        <row r="31">
          <cell r="D31">
            <v>9892</v>
          </cell>
        </row>
        <row r="32">
          <cell r="D32">
            <v>3805</v>
          </cell>
        </row>
        <row r="33">
          <cell r="D33">
            <v>3318</v>
          </cell>
        </row>
        <row r="34">
          <cell r="D34">
            <v>2913</v>
          </cell>
        </row>
        <row r="35">
          <cell r="D35">
            <v>6607</v>
          </cell>
        </row>
        <row r="36">
          <cell r="D36">
            <v>26763</v>
          </cell>
        </row>
        <row r="37">
          <cell r="D37">
            <v>22742</v>
          </cell>
        </row>
        <row r="38">
          <cell r="D38">
            <v>17498</v>
          </cell>
        </row>
        <row r="39">
          <cell r="D39">
            <v>34086</v>
          </cell>
        </row>
        <row r="40">
          <cell r="D40">
            <v>13836</v>
          </cell>
        </row>
        <row r="41">
          <cell r="D41">
            <v>0</v>
          </cell>
        </row>
        <row r="42">
          <cell r="D42">
            <v>15283</v>
          </cell>
        </row>
        <row r="43">
          <cell r="D43">
            <v>20144</v>
          </cell>
        </row>
        <row r="44">
          <cell r="D44">
            <v>14812</v>
          </cell>
        </row>
        <row r="45">
          <cell r="D45">
            <v>2090</v>
          </cell>
        </row>
        <row r="46">
          <cell r="D46">
            <v>18120</v>
          </cell>
        </row>
        <row r="47">
          <cell r="D47">
            <v>1488</v>
          </cell>
        </row>
        <row r="48">
          <cell r="D48">
            <v>11162</v>
          </cell>
        </row>
        <row r="49">
          <cell r="D49">
            <v>15514</v>
          </cell>
        </row>
        <row r="50">
          <cell r="D50">
            <v>959</v>
          </cell>
        </row>
        <row r="51">
          <cell r="D51">
            <v>8011</v>
          </cell>
        </row>
        <row r="52">
          <cell r="D52">
            <v>502</v>
          </cell>
        </row>
        <row r="53">
          <cell r="D53">
            <v>5003</v>
          </cell>
        </row>
        <row r="54">
          <cell r="D54">
            <v>1425</v>
          </cell>
        </row>
        <row r="55">
          <cell r="D55">
            <v>19437</v>
          </cell>
        </row>
        <row r="56">
          <cell r="D56">
            <v>111760</v>
          </cell>
        </row>
        <row r="64">
          <cell r="D64">
            <v>21239</v>
          </cell>
        </row>
        <row r="65">
          <cell r="D65">
            <v>15375</v>
          </cell>
        </row>
        <row r="66">
          <cell r="D66">
            <v>26749</v>
          </cell>
        </row>
        <row r="67">
          <cell r="D67">
            <v>9889</v>
          </cell>
        </row>
        <row r="68">
          <cell r="D68">
            <v>7273</v>
          </cell>
        </row>
        <row r="69">
          <cell r="D69">
            <v>13683</v>
          </cell>
        </row>
        <row r="70">
          <cell r="D70">
            <v>25701</v>
          </cell>
        </row>
        <row r="71">
          <cell r="D71">
            <v>13550</v>
          </cell>
        </row>
        <row r="72">
          <cell r="D72">
            <v>9776</v>
          </cell>
        </row>
        <row r="73">
          <cell r="D73">
            <v>6472</v>
          </cell>
        </row>
        <row r="74">
          <cell r="D74">
            <v>24805</v>
          </cell>
        </row>
        <row r="75">
          <cell r="D75">
            <v>19272</v>
          </cell>
        </row>
        <row r="76">
          <cell r="D76">
            <v>13920</v>
          </cell>
        </row>
        <row r="77">
          <cell r="D77">
            <v>11877</v>
          </cell>
        </row>
        <row r="78">
          <cell r="D78">
            <v>14602</v>
          </cell>
        </row>
        <row r="79">
          <cell r="D79">
            <v>9985</v>
          </cell>
        </row>
        <row r="80">
          <cell r="D80">
            <v>14732</v>
          </cell>
        </row>
        <row r="81">
          <cell r="D81">
            <v>11972</v>
          </cell>
        </row>
        <row r="82">
          <cell r="D82">
            <v>23119</v>
          </cell>
        </row>
        <row r="83">
          <cell r="D83">
            <v>0</v>
          </cell>
        </row>
        <row r="84">
          <cell r="D84">
            <v>8512</v>
          </cell>
        </row>
        <row r="85">
          <cell r="D85">
            <v>5130</v>
          </cell>
        </row>
        <row r="86">
          <cell r="D86">
            <v>22287</v>
          </cell>
        </row>
        <row r="87">
          <cell r="D87">
            <v>8087</v>
          </cell>
        </row>
        <row r="88">
          <cell r="D88">
            <v>11217</v>
          </cell>
        </row>
        <row r="89">
          <cell r="D89">
            <v>54465</v>
          </cell>
        </row>
        <row r="90">
          <cell r="D90">
            <v>12773</v>
          </cell>
        </row>
        <row r="91">
          <cell r="D91">
            <v>2151</v>
          </cell>
        </row>
        <row r="92">
          <cell r="D92">
            <v>4626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3441</v>
          </cell>
        </row>
        <row r="98">
          <cell r="D98">
            <v>1547</v>
          </cell>
        </row>
        <row r="99">
          <cell r="D99">
            <v>3569</v>
          </cell>
        </row>
        <row r="100">
          <cell r="D100">
            <v>3774</v>
          </cell>
        </row>
        <row r="101">
          <cell r="D101">
            <v>0</v>
          </cell>
        </row>
        <row r="102">
          <cell r="D102">
            <v>5419</v>
          </cell>
        </row>
        <row r="103">
          <cell r="D103">
            <v>2223</v>
          </cell>
        </row>
        <row r="104">
          <cell r="D104">
            <v>3620</v>
          </cell>
        </row>
        <row r="105">
          <cell r="D105">
            <v>3622</v>
          </cell>
        </row>
        <row r="106">
          <cell r="D106">
            <v>5648</v>
          </cell>
        </row>
        <row r="107">
          <cell r="D107">
            <v>2836</v>
          </cell>
          <cell r="G107">
            <v>15850</v>
          </cell>
        </row>
        <row r="108">
          <cell r="D108">
            <v>738</v>
          </cell>
          <cell r="G108">
            <v>6275</v>
          </cell>
        </row>
        <row r="109">
          <cell r="D109">
            <v>0</v>
          </cell>
          <cell r="G109">
            <v>10171</v>
          </cell>
        </row>
        <row r="110">
          <cell r="D110">
            <v>3339</v>
          </cell>
          <cell r="G110">
            <v>13280</v>
          </cell>
        </row>
        <row r="111">
          <cell r="D111">
            <v>3129</v>
          </cell>
          <cell r="G111">
            <v>8034</v>
          </cell>
        </row>
        <row r="112">
          <cell r="D112">
            <v>7493</v>
          </cell>
          <cell r="G112">
            <v>9783</v>
          </cell>
        </row>
        <row r="113">
          <cell r="D113">
            <v>3267</v>
          </cell>
          <cell r="G113">
            <v>8099</v>
          </cell>
        </row>
        <row r="114">
          <cell r="D114">
            <v>6431</v>
          </cell>
          <cell r="G114">
            <v>14869</v>
          </cell>
        </row>
        <row r="115">
          <cell r="D115">
            <v>8234</v>
          </cell>
        </row>
        <row r="116">
          <cell r="D116">
            <v>3428</v>
          </cell>
        </row>
        <row r="117">
          <cell r="D117">
            <v>17314</v>
          </cell>
        </row>
        <row r="118">
          <cell r="D118">
            <v>13489</v>
          </cell>
          <cell r="G118">
            <v>25218</v>
          </cell>
        </row>
        <row r="119">
          <cell r="D119">
            <v>5864</v>
          </cell>
          <cell r="G119">
            <v>11561</v>
          </cell>
        </row>
        <row r="120">
          <cell r="D120">
            <v>10989</v>
          </cell>
          <cell r="G120">
            <v>18689</v>
          </cell>
        </row>
        <row r="121">
          <cell r="D121">
            <v>4328</v>
          </cell>
          <cell r="G121">
            <v>17025</v>
          </cell>
        </row>
        <row r="122">
          <cell r="D122">
            <v>10654</v>
          </cell>
          <cell r="G122">
            <v>513</v>
          </cell>
        </row>
        <row r="123">
          <cell r="D123">
            <v>3999</v>
          </cell>
          <cell r="G123">
            <v>15530</v>
          </cell>
        </row>
        <row r="124">
          <cell r="D124">
            <v>5953</v>
          </cell>
          <cell r="G124">
            <v>23224</v>
          </cell>
        </row>
        <row r="125">
          <cell r="D125">
            <v>3257</v>
          </cell>
        </row>
        <row r="126">
          <cell r="D126">
            <v>1611</v>
          </cell>
        </row>
        <row r="127">
          <cell r="D127">
            <v>6448</v>
          </cell>
        </row>
        <row r="128">
          <cell r="D128">
            <v>13525</v>
          </cell>
          <cell r="G128">
            <v>1041</v>
          </cell>
        </row>
        <row r="129">
          <cell r="D129">
            <v>10682</v>
          </cell>
          <cell r="G129">
            <v>2920</v>
          </cell>
        </row>
        <row r="130">
          <cell r="D130">
            <v>52426</v>
          </cell>
          <cell r="G130">
            <v>12517</v>
          </cell>
        </row>
        <row r="131">
          <cell r="G131">
            <v>13019</v>
          </cell>
        </row>
        <row r="132">
          <cell r="G132">
            <v>5872</v>
          </cell>
        </row>
        <row r="133">
          <cell r="G133">
            <v>4577</v>
          </cell>
        </row>
        <row r="134">
          <cell r="G134">
            <v>7771</v>
          </cell>
        </row>
        <row r="135">
          <cell r="G135">
            <v>4709</v>
          </cell>
        </row>
        <row r="139">
          <cell r="D139">
            <v>2296</v>
          </cell>
          <cell r="G139">
            <v>2889</v>
          </cell>
        </row>
        <row r="140">
          <cell r="D140">
            <v>338</v>
          </cell>
          <cell r="G140">
            <v>32946</v>
          </cell>
        </row>
        <row r="141">
          <cell r="D141">
            <v>1969</v>
          </cell>
          <cell r="G141">
            <v>17711</v>
          </cell>
        </row>
        <row r="142">
          <cell r="D142">
            <v>343</v>
          </cell>
        </row>
        <row r="143">
          <cell r="D143">
            <v>53546</v>
          </cell>
        </row>
        <row r="148">
          <cell r="D148">
            <v>1222149</v>
          </cell>
        </row>
      </sheetData>
      <sheetData sheetId="1">
        <row r="11">
          <cell r="H11">
            <v>80980</v>
          </cell>
        </row>
        <row r="20">
          <cell r="H20">
            <v>5176</v>
          </cell>
        </row>
        <row r="21">
          <cell r="H21">
            <v>5976</v>
          </cell>
        </row>
        <row r="22">
          <cell r="H22">
            <v>10639</v>
          </cell>
        </row>
        <row r="23">
          <cell r="H23">
            <v>3580</v>
          </cell>
        </row>
        <row r="24">
          <cell r="H24">
            <v>4368</v>
          </cell>
        </row>
        <row r="25">
          <cell r="H25">
            <v>12884</v>
          </cell>
        </row>
        <row r="26">
          <cell r="H26">
            <v>4605</v>
          </cell>
        </row>
        <row r="27">
          <cell r="H27">
            <v>2190</v>
          </cell>
        </row>
        <row r="28">
          <cell r="H28">
            <v>8141</v>
          </cell>
        </row>
        <row r="29">
          <cell r="H29">
            <v>3492</v>
          </cell>
        </row>
        <row r="30">
          <cell r="H30">
            <v>4342</v>
          </cell>
        </row>
        <row r="31">
          <cell r="H31">
            <v>10040</v>
          </cell>
        </row>
        <row r="32">
          <cell r="H32">
            <v>3818</v>
          </cell>
        </row>
        <row r="33">
          <cell r="H33">
            <v>3093</v>
          </cell>
        </row>
        <row r="34">
          <cell r="H34">
            <v>2893</v>
          </cell>
        </row>
        <row r="35">
          <cell r="H35">
            <v>6989</v>
          </cell>
        </row>
        <row r="36">
          <cell r="H36">
            <v>25861</v>
          </cell>
        </row>
        <row r="37">
          <cell r="H37">
            <v>20443</v>
          </cell>
        </row>
        <row r="38">
          <cell r="H38">
            <v>17244</v>
          </cell>
        </row>
        <row r="39">
          <cell r="H39">
            <v>28630</v>
          </cell>
        </row>
        <row r="40">
          <cell r="H40">
            <v>14760</v>
          </cell>
        </row>
        <row r="41">
          <cell r="H41">
            <v>0</v>
          </cell>
        </row>
        <row r="42">
          <cell r="H42">
            <v>15315</v>
          </cell>
        </row>
        <row r="43">
          <cell r="H43">
            <v>19509</v>
          </cell>
        </row>
        <row r="44">
          <cell r="H44">
            <v>14882</v>
          </cell>
        </row>
        <row r="45">
          <cell r="H45">
            <v>17309</v>
          </cell>
        </row>
        <row r="46">
          <cell r="H46">
            <v>2958</v>
          </cell>
        </row>
        <row r="47">
          <cell r="H47">
            <v>10767</v>
          </cell>
        </row>
        <row r="48">
          <cell r="H48">
            <v>1747</v>
          </cell>
        </row>
        <row r="49">
          <cell r="H49">
            <v>16573</v>
          </cell>
        </row>
        <row r="50">
          <cell r="H50">
            <v>8275</v>
          </cell>
        </row>
        <row r="51">
          <cell r="H51">
            <v>1359</v>
          </cell>
        </row>
        <row r="52">
          <cell r="H52">
            <v>4310</v>
          </cell>
        </row>
        <row r="53">
          <cell r="H53">
            <v>751</v>
          </cell>
        </row>
        <row r="54">
          <cell r="H54">
            <v>19187</v>
          </cell>
        </row>
        <row r="55">
          <cell r="H55">
            <v>2376</v>
          </cell>
        </row>
        <row r="56">
          <cell r="H56">
            <v>111837</v>
          </cell>
        </row>
        <row r="63">
          <cell r="H63">
            <v>20972</v>
          </cell>
        </row>
        <row r="64">
          <cell r="H64">
            <v>13039</v>
          </cell>
        </row>
        <row r="65">
          <cell r="H65">
            <v>25434</v>
          </cell>
        </row>
        <row r="66">
          <cell r="H66">
            <v>9643</v>
          </cell>
        </row>
        <row r="67">
          <cell r="H67">
            <v>6936</v>
          </cell>
        </row>
        <row r="68">
          <cell r="H68">
            <v>15720</v>
          </cell>
        </row>
        <row r="69">
          <cell r="H69">
            <v>25266</v>
          </cell>
        </row>
        <row r="70">
          <cell r="H70">
            <v>12928</v>
          </cell>
        </row>
        <row r="71">
          <cell r="H71">
            <v>9516</v>
          </cell>
        </row>
        <row r="72">
          <cell r="H72">
            <v>7680</v>
          </cell>
        </row>
        <row r="73">
          <cell r="H73">
            <v>22354</v>
          </cell>
        </row>
        <row r="74">
          <cell r="H74">
            <v>19205</v>
          </cell>
        </row>
        <row r="75">
          <cell r="H75">
            <v>15134</v>
          </cell>
        </row>
        <row r="76">
          <cell r="H76">
            <v>11030</v>
          </cell>
        </row>
        <row r="77">
          <cell r="H77">
            <v>13107</v>
          </cell>
        </row>
        <row r="78">
          <cell r="H78">
            <v>8387</v>
          </cell>
        </row>
        <row r="79">
          <cell r="H79">
            <v>13810</v>
          </cell>
        </row>
        <row r="80">
          <cell r="H80">
            <v>11776</v>
          </cell>
        </row>
        <row r="81">
          <cell r="H81">
            <v>19465</v>
          </cell>
        </row>
        <row r="82">
          <cell r="H82">
            <v>0</v>
          </cell>
        </row>
        <row r="83">
          <cell r="H83">
            <v>7881</v>
          </cell>
        </row>
        <row r="84">
          <cell r="H84">
            <v>4461</v>
          </cell>
        </row>
        <row r="85">
          <cell r="H85">
            <v>22312</v>
          </cell>
        </row>
        <row r="86">
          <cell r="H86">
            <v>7445</v>
          </cell>
        </row>
        <row r="87">
          <cell r="H87">
            <v>8454</v>
          </cell>
        </row>
        <row r="88">
          <cell r="H88">
            <v>48539</v>
          </cell>
        </row>
        <row r="89">
          <cell r="H89">
            <v>10776</v>
          </cell>
        </row>
        <row r="90">
          <cell r="H90">
            <v>2307</v>
          </cell>
        </row>
        <row r="91">
          <cell r="H91">
            <v>4375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3530</v>
          </cell>
        </row>
        <row r="97">
          <cell r="H97">
            <v>1373</v>
          </cell>
        </row>
        <row r="98">
          <cell r="H98">
            <v>3546</v>
          </cell>
        </row>
        <row r="99">
          <cell r="H99">
            <v>3479</v>
          </cell>
        </row>
        <row r="100">
          <cell r="H100">
            <v>0</v>
          </cell>
        </row>
        <row r="101">
          <cell r="H101">
            <v>5495</v>
          </cell>
        </row>
        <row r="102">
          <cell r="H102">
            <v>2080</v>
          </cell>
        </row>
        <row r="103">
          <cell r="H103">
            <v>3342</v>
          </cell>
        </row>
        <row r="104">
          <cell r="H104">
            <v>2706</v>
          </cell>
        </row>
        <row r="105">
          <cell r="H105">
            <v>5920</v>
          </cell>
        </row>
        <row r="106">
          <cell r="H106">
            <v>3192</v>
          </cell>
        </row>
        <row r="107">
          <cell r="H107">
            <v>712</v>
          </cell>
        </row>
        <row r="108">
          <cell r="H108">
            <v>0</v>
          </cell>
        </row>
        <row r="109">
          <cell r="H109">
            <v>3484</v>
          </cell>
        </row>
        <row r="110">
          <cell r="H110">
            <v>2822</v>
          </cell>
        </row>
        <row r="111">
          <cell r="H111">
            <v>7467</v>
          </cell>
        </row>
        <row r="112">
          <cell r="H112">
            <v>3298</v>
          </cell>
        </row>
        <row r="113">
          <cell r="H113">
            <v>7330</v>
          </cell>
        </row>
        <row r="114">
          <cell r="H114">
            <v>7679</v>
          </cell>
        </row>
        <row r="115">
          <cell r="H115">
            <v>2449</v>
          </cell>
        </row>
        <row r="116">
          <cell r="H116">
            <v>14708</v>
          </cell>
        </row>
        <row r="117">
          <cell r="H117">
            <v>12658</v>
          </cell>
        </row>
        <row r="118">
          <cell r="H118">
            <v>5219</v>
          </cell>
        </row>
        <row r="119">
          <cell r="H119">
            <v>4322</v>
          </cell>
        </row>
        <row r="120">
          <cell r="H120">
            <v>9704</v>
          </cell>
        </row>
        <row r="121">
          <cell r="H121">
            <v>7609</v>
          </cell>
        </row>
        <row r="122">
          <cell r="H122">
            <v>4809</v>
          </cell>
        </row>
        <row r="123">
          <cell r="H123">
            <v>4708</v>
          </cell>
        </row>
        <row r="124">
          <cell r="H124">
            <v>2978</v>
          </cell>
        </row>
        <row r="125">
          <cell r="H125">
            <v>1687</v>
          </cell>
        </row>
        <row r="126">
          <cell r="H126">
            <v>5754</v>
          </cell>
        </row>
        <row r="127">
          <cell r="H127">
            <v>12303</v>
          </cell>
        </row>
        <row r="128">
          <cell r="H128">
            <v>8288</v>
          </cell>
        </row>
        <row r="129">
          <cell r="H129">
            <v>44721</v>
          </cell>
        </row>
        <row r="138">
          <cell r="H138">
            <v>230</v>
          </cell>
        </row>
        <row r="139">
          <cell r="H139">
            <v>1970</v>
          </cell>
        </row>
        <row r="140">
          <cell r="H140">
            <v>226</v>
          </cell>
        </row>
        <row r="141">
          <cell r="H141">
            <v>1932</v>
          </cell>
        </row>
        <row r="142">
          <cell r="H142">
            <v>48703</v>
          </cell>
        </row>
        <row r="147">
          <cell r="D147">
            <v>7938</v>
          </cell>
          <cell r="E147">
            <v>248816</v>
          </cell>
          <cell r="F147">
            <v>898037</v>
          </cell>
          <cell r="G147">
            <v>6621</v>
          </cell>
        </row>
        <row r="150">
          <cell r="C150">
            <v>14372</v>
          </cell>
          <cell r="E150">
            <v>3034</v>
          </cell>
          <cell r="G150">
            <v>29650</v>
          </cell>
        </row>
        <row r="151">
          <cell r="C151">
            <v>5109</v>
          </cell>
          <cell r="E151">
            <v>1427</v>
          </cell>
          <cell r="G151">
            <v>4746</v>
          </cell>
        </row>
        <row r="152">
          <cell r="C152">
            <v>8273</v>
          </cell>
          <cell r="E152">
            <v>8177</v>
          </cell>
          <cell r="G152">
            <v>99</v>
          </cell>
        </row>
        <row r="153">
          <cell r="C153">
            <v>12935</v>
          </cell>
          <cell r="E153">
            <v>10022</v>
          </cell>
          <cell r="G153">
            <v>24101</v>
          </cell>
        </row>
        <row r="154">
          <cell r="C154">
            <v>9056</v>
          </cell>
          <cell r="E154">
            <v>4485</v>
          </cell>
          <cell r="G154">
            <v>30187</v>
          </cell>
        </row>
        <row r="155">
          <cell r="C155">
            <v>5963</v>
          </cell>
          <cell r="E155">
            <v>4826</v>
          </cell>
          <cell r="G155">
            <v>23054</v>
          </cell>
        </row>
        <row r="156">
          <cell r="C156">
            <v>7044</v>
          </cell>
          <cell r="E156">
            <v>8488</v>
          </cell>
        </row>
        <row r="157">
          <cell r="C157">
            <v>18228</v>
          </cell>
          <cell r="E157">
            <v>4262</v>
          </cell>
        </row>
        <row r="161">
          <cell r="C161">
            <v>2828</v>
          </cell>
        </row>
        <row r="162">
          <cell r="C162">
            <v>6606</v>
          </cell>
        </row>
        <row r="163">
          <cell r="C163">
            <v>39269</v>
          </cell>
        </row>
        <row r="171">
          <cell r="H171">
            <v>2449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85309</v>
          </cell>
        </row>
        <row r="20">
          <cell r="D20">
            <v>5183</v>
          </cell>
        </row>
        <row r="21">
          <cell r="D21">
            <v>5302</v>
          </cell>
        </row>
        <row r="22">
          <cell r="D22">
            <v>8651</v>
          </cell>
        </row>
        <row r="23">
          <cell r="D23">
            <v>4357</v>
          </cell>
        </row>
        <row r="24">
          <cell r="D24">
            <v>4189</v>
          </cell>
        </row>
        <row r="25">
          <cell r="D25">
            <v>16400</v>
          </cell>
        </row>
        <row r="26">
          <cell r="D26">
            <v>13017</v>
          </cell>
        </row>
        <row r="27">
          <cell r="D27">
            <v>6697</v>
          </cell>
        </row>
        <row r="28">
          <cell r="D28">
            <v>8059</v>
          </cell>
        </row>
        <row r="29">
          <cell r="D29">
            <v>2885</v>
          </cell>
        </row>
        <row r="30">
          <cell r="D30">
            <v>4650</v>
          </cell>
        </row>
        <row r="31">
          <cell r="D31">
            <v>9753</v>
          </cell>
        </row>
        <row r="32">
          <cell r="D32">
            <v>3760</v>
          </cell>
        </row>
        <row r="33">
          <cell r="D33">
            <v>3420</v>
          </cell>
        </row>
        <row r="34">
          <cell r="D34">
            <v>2814</v>
          </cell>
        </row>
        <row r="35">
          <cell r="D35">
            <v>6686</v>
          </cell>
        </row>
        <row r="36">
          <cell r="D36">
            <v>27039</v>
          </cell>
        </row>
        <row r="37">
          <cell r="D37">
            <v>23122</v>
          </cell>
        </row>
        <row r="38">
          <cell r="D38">
            <v>17125</v>
          </cell>
        </row>
        <row r="39">
          <cell r="D39">
            <v>34026</v>
          </cell>
        </row>
        <row r="40">
          <cell r="D40">
            <v>13475</v>
          </cell>
        </row>
        <row r="41">
          <cell r="D41">
            <v>0</v>
          </cell>
        </row>
        <row r="42">
          <cell r="D42">
            <v>14353</v>
          </cell>
        </row>
        <row r="43">
          <cell r="D43">
            <v>19929</v>
          </cell>
        </row>
        <row r="44">
          <cell r="D44">
            <v>14184</v>
          </cell>
        </row>
        <row r="45">
          <cell r="D45">
            <v>2023</v>
          </cell>
        </row>
        <row r="46">
          <cell r="D46">
            <v>17556</v>
          </cell>
        </row>
        <row r="47">
          <cell r="D47">
            <v>1451</v>
          </cell>
        </row>
        <row r="48">
          <cell r="D48">
            <v>10838</v>
          </cell>
        </row>
        <row r="49">
          <cell r="D49">
            <v>15059</v>
          </cell>
        </row>
        <row r="50">
          <cell r="D50">
            <v>972</v>
          </cell>
        </row>
        <row r="51">
          <cell r="D51">
            <v>7625</v>
          </cell>
        </row>
        <row r="52">
          <cell r="D52">
            <v>442</v>
          </cell>
        </row>
        <row r="53">
          <cell r="D53">
            <v>4948</v>
          </cell>
        </row>
        <row r="54">
          <cell r="D54">
            <v>1454</v>
          </cell>
        </row>
        <row r="55">
          <cell r="D55">
            <v>19367</v>
          </cell>
        </row>
        <row r="56">
          <cell r="D56">
            <v>112365</v>
          </cell>
        </row>
        <row r="64">
          <cell r="D64">
            <v>21835</v>
          </cell>
        </row>
        <row r="65">
          <cell r="D65">
            <v>15147</v>
          </cell>
        </row>
        <row r="66">
          <cell r="D66">
            <v>27024</v>
          </cell>
        </row>
        <row r="67">
          <cell r="D67">
            <v>9921</v>
          </cell>
        </row>
        <row r="68">
          <cell r="D68">
            <v>7403</v>
          </cell>
        </row>
        <row r="69">
          <cell r="D69">
            <v>13962</v>
          </cell>
        </row>
        <row r="70">
          <cell r="D70">
            <v>25814</v>
          </cell>
        </row>
        <row r="71">
          <cell r="D71">
            <v>14082</v>
          </cell>
        </row>
        <row r="72">
          <cell r="D72">
            <v>10156</v>
          </cell>
        </row>
        <row r="73">
          <cell r="D73">
            <v>6554</v>
          </cell>
        </row>
        <row r="74">
          <cell r="D74">
            <v>25899</v>
          </cell>
        </row>
        <row r="75">
          <cell r="D75">
            <v>19197</v>
          </cell>
        </row>
        <row r="76">
          <cell r="D76">
            <v>13883</v>
          </cell>
        </row>
        <row r="77">
          <cell r="D77">
            <v>11846</v>
          </cell>
        </row>
        <row r="78">
          <cell r="D78">
            <v>14501</v>
          </cell>
        </row>
        <row r="79">
          <cell r="D79">
            <v>9830</v>
          </cell>
        </row>
        <row r="80">
          <cell r="D80">
            <v>14952</v>
          </cell>
        </row>
        <row r="81">
          <cell r="D81">
            <v>12005</v>
          </cell>
        </row>
        <row r="82">
          <cell r="D82">
            <v>22857</v>
          </cell>
        </row>
        <row r="83">
          <cell r="D83">
            <v>0</v>
          </cell>
        </row>
        <row r="84">
          <cell r="D84">
            <v>8821</v>
          </cell>
        </row>
        <row r="85">
          <cell r="D85">
            <v>5167</v>
          </cell>
        </row>
        <row r="86">
          <cell r="D86">
            <v>22850</v>
          </cell>
        </row>
        <row r="87">
          <cell r="D87">
            <v>7834</v>
          </cell>
        </row>
        <row r="88">
          <cell r="D88">
            <v>11154</v>
          </cell>
        </row>
        <row r="89">
          <cell r="D89">
            <v>55106</v>
          </cell>
        </row>
        <row r="90">
          <cell r="D90">
            <v>13208</v>
          </cell>
        </row>
        <row r="91">
          <cell r="D91">
            <v>2430</v>
          </cell>
        </row>
        <row r="92">
          <cell r="D92">
            <v>4908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3712</v>
          </cell>
        </row>
        <row r="98">
          <cell r="D98">
            <v>1682</v>
          </cell>
        </row>
        <row r="99">
          <cell r="D99">
            <v>3658</v>
          </cell>
        </row>
        <row r="100">
          <cell r="D100">
            <v>3955</v>
          </cell>
        </row>
        <row r="101">
          <cell r="D101">
            <v>0</v>
          </cell>
        </row>
        <row r="102">
          <cell r="D102">
            <v>5460</v>
          </cell>
        </row>
        <row r="103">
          <cell r="D103">
            <v>2355</v>
          </cell>
        </row>
        <row r="104">
          <cell r="D104">
            <v>3489</v>
          </cell>
        </row>
        <row r="105">
          <cell r="D105">
            <v>3598</v>
          </cell>
        </row>
        <row r="106">
          <cell r="D106">
            <v>5465</v>
          </cell>
        </row>
        <row r="107">
          <cell r="D107">
            <v>2934</v>
          </cell>
          <cell r="G107">
            <v>16355</v>
          </cell>
        </row>
        <row r="108">
          <cell r="D108">
            <v>681</v>
          </cell>
          <cell r="G108">
            <v>5869</v>
          </cell>
        </row>
        <row r="109">
          <cell r="D109">
            <v>0</v>
          </cell>
          <cell r="G109">
            <v>10456</v>
          </cell>
        </row>
        <row r="110">
          <cell r="D110">
            <v>3246</v>
          </cell>
          <cell r="G110">
            <v>12777</v>
          </cell>
        </row>
        <row r="111">
          <cell r="D111">
            <v>3270</v>
          </cell>
          <cell r="G111">
            <v>7768</v>
          </cell>
        </row>
        <row r="112">
          <cell r="D112">
            <v>6893</v>
          </cell>
          <cell r="G112">
            <v>9384</v>
          </cell>
        </row>
        <row r="113">
          <cell r="D113">
            <v>3205</v>
          </cell>
          <cell r="G113">
            <v>8018</v>
          </cell>
        </row>
        <row r="114">
          <cell r="D114">
            <v>7202</v>
          </cell>
          <cell r="G114">
            <v>14682</v>
          </cell>
        </row>
        <row r="115">
          <cell r="D115">
            <v>9041</v>
          </cell>
        </row>
        <row r="116">
          <cell r="D116">
            <v>3738</v>
          </cell>
        </row>
        <row r="117">
          <cell r="D117">
            <v>18196</v>
          </cell>
        </row>
        <row r="118">
          <cell r="D118">
            <v>13105</v>
          </cell>
          <cell r="G118">
            <v>26972</v>
          </cell>
        </row>
        <row r="119">
          <cell r="D119">
            <v>5936</v>
          </cell>
          <cell r="G119">
            <v>11273</v>
          </cell>
        </row>
        <row r="120">
          <cell r="D120">
            <v>10811</v>
          </cell>
          <cell r="G120">
            <v>18416</v>
          </cell>
        </row>
        <row r="121">
          <cell r="D121">
            <v>4195</v>
          </cell>
          <cell r="G121">
            <v>16890</v>
          </cell>
        </row>
        <row r="122">
          <cell r="D122">
            <v>10464</v>
          </cell>
          <cell r="G122">
            <v>536</v>
          </cell>
        </row>
        <row r="123">
          <cell r="D123">
            <v>3952</v>
          </cell>
          <cell r="G123">
            <v>15268</v>
          </cell>
        </row>
        <row r="124">
          <cell r="D124">
            <v>5987</v>
          </cell>
          <cell r="G124">
            <v>23010</v>
          </cell>
        </row>
        <row r="125">
          <cell r="D125">
            <v>3128</v>
          </cell>
        </row>
        <row r="126">
          <cell r="D126">
            <v>1616</v>
          </cell>
        </row>
        <row r="127">
          <cell r="D127">
            <v>6526</v>
          </cell>
        </row>
        <row r="128">
          <cell r="D128">
            <v>13702</v>
          </cell>
          <cell r="G128">
            <v>1070</v>
          </cell>
        </row>
        <row r="129">
          <cell r="D129">
            <v>10407</v>
          </cell>
          <cell r="G129">
            <v>1875</v>
          </cell>
        </row>
        <row r="130">
          <cell r="D130">
            <v>51586</v>
          </cell>
          <cell r="G130">
            <v>12540</v>
          </cell>
        </row>
        <row r="131">
          <cell r="G131">
            <v>13232</v>
          </cell>
        </row>
        <row r="132">
          <cell r="G132">
            <v>5892</v>
          </cell>
        </row>
        <row r="133">
          <cell r="G133">
            <v>4524</v>
          </cell>
        </row>
        <row r="134">
          <cell r="G134">
            <v>7748</v>
          </cell>
        </row>
        <row r="135">
          <cell r="G135">
            <v>4705</v>
          </cell>
        </row>
        <row r="139">
          <cell r="D139">
            <v>2211</v>
          </cell>
          <cell r="G139">
            <v>2904</v>
          </cell>
        </row>
        <row r="140">
          <cell r="D140">
            <v>328</v>
          </cell>
          <cell r="G140">
            <v>33599</v>
          </cell>
        </row>
        <row r="141">
          <cell r="D141">
            <v>1804</v>
          </cell>
          <cell r="G141">
            <v>17648</v>
          </cell>
        </row>
        <row r="142">
          <cell r="D142">
            <v>337</v>
          </cell>
        </row>
        <row r="143">
          <cell r="D143">
            <v>54151</v>
          </cell>
        </row>
        <row r="148">
          <cell r="D148">
            <v>1223915</v>
          </cell>
        </row>
      </sheetData>
      <sheetData sheetId="1">
        <row r="11">
          <cell r="H11">
            <v>82260</v>
          </cell>
        </row>
        <row r="20">
          <cell r="H20">
            <v>5295</v>
          </cell>
        </row>
        <row r="21">
          <cell r="H21">
            <v>5962</v>
          </cell>
        </row>
        <row r="22">
          <cell r="H22">
            <v>10700</v>
          </cell>
        </row>
        <row r="23">
          <cell r="H23">
            <v>3514</v>
          </cell>
        </row>
        <row r="24">
          <cell r="H24">
            <v>4256</v>
          </cell>
        </row>
        <row r="25">
          <cell r="H25">
            <v>13130</v>
          </cell>
        </row>
        <row r="26">
          <cell r="H26">
            <v>4351</v>
          </cell>
        </row>
        <row r="27">
          <cell r="H27">
            <v>1998</v>
          </cell>
        </row>
        <row r="28">
          <cell r="H28">
            <v>8115</v>
          </cell>
        </row>
        <row r="29">
          <cell r="H29">
            <v>3549</v>
          </cell>
        </row>
        <row r="30">
          <cell r="H30">
            <v>4408</v>
          </cell>
        </row>
        <row r="31">
          <cell r="H31">
            <v>10213</v>
          </cell>
        </row>
        <row r="32">
          <cell r="H32">
            <v>3762</v>
          </cell>
        </row>
        <row r="33">
          <cell r="H33">
            <v>3145</v>
          </cell>
        </row>
        <row r="34">
          <cell r="H34">
            <v>2895</v>
          </cell>
        </row>
        <row r="35">
          <cell r="H35">
            <v>7051</v>
          </cell>
        </row>
        <row r="36">
          <cell r="H36">
            <v>24883</v>
          </cell>
        </row>
        <row r="37">
          <cell r="H37">
            <v>19829</v>
          </cell>
        </row>
        <row r="38">
          <cell r="H38">
            <v>16891</v>
          </cell>
        </row>
        <row r="39">
          <cell r="H39">
            <v>28729</v>
          </cell>
        </row>
        <row r="40">
          <cell r="H40">
            <v>13677</v>
          </cell>
        </row>
        <row r="41">
          <cell r="H41">
            <v>0</v>
          </cell>
        </row>
        <row r="42">
          <cell r="H42">
            <v>14579</v>
          </cell>
        </row>
        <row r="43">
          <cell r="H43">
            <v>19660</v>
          </cell>
        </row>
        <row r="44">
          <cell r="H44">
            <v>14412</v>
          </cell>
        </row>
        <row r="45">
          <cell r="H45">
            <v>16825</v>
          </cell>
        </row>
        <row r="46">
          <cell r="H46">
            <v>2883</v>
          </cell>
        </row>
        <row r="47">
          <cell r="H47">
            <v>10656</v>
          </cell>
        </row>
        <row r="48">
          <cell r="H48">
            <v>1747</v>
          </cell>
        </row>
        <row r="49">
          <cell r="H49">
            <v>16490</v>
          </cell>
        </row>
        <row r="50">
          <cell r="H50">
            <v>8254</v>
          </cell>
        </row>
        <row r="51">
          <cell r="H51">
            <v>1381</v>
          </cell>
        </row>
        <row r="52">
          <cell r="H52">
            <v>4432</v>
          </cell>
        </row>
        <row r="53">
          <cell r="H53">
            <v>715</v>
          </cell>
        </row>
        <row r="54">
          <cell r="H54">
            <v>19126</v>
          </cell>
        </row>
        <row r="55">
          <cell r="H55">
            <v>2339</v>
          </cell>
        </row>
        <row r="56">
          <cell r="H56">
            <v>113976</v>
          </cell>
        </row>
        <row r="63">
          <cell r="H63">
            <v>20513</v>
          </cell>
        </row>
        <row r="64">
          <cell r="H64">
            <v>12313</v>
          </cell>
        </row>
        <row r="65">
          <cell r="H65">
            <v>25001</v>
          </cell>
        </row>
        <row r="66">
          <cell r="H66">
            <v>9328</v>
          </cell>
        </row>
        <row r="67">
          <cell r="H67">
            <v>6483</v>
          </cell>
        </row>
        <row r="68">
          <cell r="H68">
            <v>15993</v>
          </cell>
        </row>
        <row r="69">
          <cell r="H69">
            <v>24343</v>
          </cell>
        </row>
        <row r="70">
          <cell r="H70">
            <v>13104</v>
          </cell>
        </row>
        <row r="71">
          <cell r="H71">
            <v>9562</v>
          </cell>
        </row>
        <row r="72">
          <cell r="H72">
            <v>7610</v>
          </cell>
        </row>
        <row r="73">
          <cell r="H73">
            <v>22664</v>
          </cell>
        </row>
        <row r="74">
          <cell r="H74">
            <v>19200</v>
          </cell>
        </row>
        <row r="75">
          <cell r="H75">
            <v>15706</v>
          </cell>
        </row>
        <row r="76">
          <cell r="H76">
            <v>10990</v>
          </cell>
        </row>
        <row r="77">
          <cell r="H77">
            <v>12524</v>
          </cell>
        </row>
        <row r="78">
          <cell r="H78">
            <v>8268</v>
          </cell>
        </row>
        <row r="79">
          <cell r="H79">
            <v>13511</v>
          </cell>
        </row>
        <row r="80">
          <cell r="H80">
            <v>11446</v>
          </cell>
        </row>
        <row r="81">
          <cell r="H81">
            <v>18747</v>
          </cell>
        </row>
        <row r="82">
          <cell r="H82">
            <v>0</v>
          </cell>
        </row>
        <row r="83">
          <cell r="H83">
            <v>8166</v>
          </cell>
        </row>
        <row r="84">
          <cell r="H84">
            <v>4442</v>
          </cell>
        </row>
        <row r="85">
          <cell r="H85">
            <v>22738</v>
          </cell>
        </row>
        <row r="86">
          <cell r="H86">
            <v>7069</v>
          </cell>
        </row>
        <row r="87">
          <cell r="H87">
            <v>8185</v>
          </cell>
        </row>
        <row r="88">
          <cell r="H88">
            <v>46621</v>
          </cell>
        </row>
        <row r="89">
          <cell r="H89">
            <v>10591</v>
          </cell>
        </row>
        <row r="90">
          <cell r="H90">
            <v>2240</v>
          </cell>
        </row>
        <row r="91">
          <cell r="H91">
            <v>4426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3757</v>
          </cell>
        </row>
        <row r="97">
          <cell r="H97">
            <v>1474</v>
          </cell>
        </row>
        <row r="98">
          <cell r="H98">
            <v>3450</v>
          </cell>
        </row>
        <row r="99">
          <cell r="H99">
            <v>3787</v>
          </cell>
        </row>
        <row r="100">
          <cell r="H100">
            <v>0</v>
          </cell>
        </row>
        <row r="101">
          <cell r="H101">
            <v>5729</v>
          </cell>
        </row>
        <row r="102">
          <cell r="H102">
            <v>2092</v>
          </cell>
        </row>
        <row r="103">
          <cell r="H103">
            <v>3210</v>
          </cell>
        </row>
        <row r="104">
          <cell r="H104">
            <v>2644</v>
          </cell>
        </row>
        <row r="105">
          <cell r="H105">
            <v>5846</v>
          </cell>
        </row>
        <row r="106">
          <cell r="H106">
            <v>3177</v>
          </cell>
        </row>
        <row r="107">
          <cell r="H107">
            <v>683</v>
          </cell>
        </row>
        <row r="108">
          <cell r="H108">
            <v>0</v>
          </cell>
        </row>
        <row r="109">
          <cell r="H109">
            <v>3334</v>
          </cell>
        </row>
        <row r="110">
          <cell r="H110">
            <v>2986</v>
          </cell>
        </row>
        <row r="111">
          <cell r="H111">
            <v>7146</v>
          </cell>
        </row>
        <row r="112">
          <cell r="H112">
            <v>3242</v>
          </cell>
        </row>
        <row r="113">
          <cell r="H113">
            <v>7394</v>
          </cell>
        </row>
        <row r="114">
          <cell r="H114">
            <v>8216</v>
          </cell>
        </row>
        <row r="115">
          <cell r="H115">
            <v>2650</v>
          </cell>
        </row>
        <row r="116">
          <cell r="H116">
            <v>15300</v>
          </cell>
        </row>
        <row r="117">
          <cell r="H117">
            <v>12745</v>
          </cell>
        </row>
        <row r="118">
          <cell r="H118">
            <v>5394</v>
          </cell>
        </row>
        <row r="119">
          <cell r="H119">
            <v>4033</v>
          </cell>
        </row>
        <row r="120">
          <cell r="H120">
            <v>9670</v>
          </cell>
        </row>
        <row r="121">
          <cell r="H121">
            <v>7541</v>
          </cell>
        </row>
        <row r="122">
          <cell r="H122">
            <v>4820</v>
          </cell>
        </row>
        <row r="123">
          <cell r="H123">
            <v>4901</v>
          </cell>
        </row>
        <row r="124">
          <cell r="H124">
            <v>3018</v>
          </cell>
        </row>
        <row r="125">
          <cell r="H125">
            <v>1734</v>
          </cell>
        </row>
        <row r="126">
          <cell r="H126">
            <v>5731</v>
          </cell>
        </row>
        <row r="127">
          <cell r="H127">
            <v>12616</v>
          </cell>
        </row>
        <row r="128">
          <cell r="H128">
            <v>8298</v>
          </cell>
        </row>
        <row r="129">
          <cell r="H129">
            <v>45364</v>
          </cell>
        </row>
        <row r="138">
          <cell r="H138">
            <v>249</v>
          </cell>
        </row>
        <row r="139">
          <cell r="H139">
            <v>2029</v>
          </cell>
        </row>
        <row r="140">
          <cell r="H140">
            <v>257</v>
          </cell>
        </row>
        <row r="141">
          <cell r="H141">
            <v>1877</v>
          </cell>
        </row>
        <row r="142">
          <cell r="H142">
            <v>48999</v>
          </cell>
        </row>
        <row r="147">
          <cell r="D147">
            <v>7961</v>
          </cell>
          <cell r="E147">
            <v>241317</v>
          </cell>
          <cell r="F147">
            <v>901793</v>
          </cell>
          <cell r="G147">
            <v>6492</v>
          </cell>
        </row>
        <row r="150">
          <cell r="C150">
            <v>15241</v>
          </cell>
          <cell r="E150">
            <v>3360</v>
          </cell>
          <cell r="G150">
            <v>30524</v>
          </cell>
        </row>
        <row r="151">
          <cell r="C151">
            <v>4653</v>
          </cell>
          <cell r="E151">
            <v>1571</v>
          </cell>
          <cell r="G151">
            <v>4600</v>
          </cell>
        </row>
        <row r="152">
          <cell r="C152">
            <v>8345</v>
          </cell>
          <cell r="E152">
            <v>7989</v>
          </cell>
          <cell r="G152">
            <v>97</v>
          </cell>
        </row>
        <row r="153">
          <cell r="C153">
            <v>13005</v>
          </cell>
          <cell r="E153">
            <v>10174</v>
          </cell>
          <cell r="G153">
            <v>24903</v>
          </cell>
        </row>
        <row r="154">
          <cell r="C154">
            <v>9062</v>
          </cell>
          <cell r="E154">
            <v>5151</v>
          </cell>
          <cell r="G154">
            <v>30310</v>
          </cell>
        </row>
        <row r="155">
          <cell r="C155">
            <v>6135</v>
          </cell>
          <cell r="E155">
            <v>4634</v>
          </cell>
          <cell r="G155">
            <v>23542</v>
          </cell>
        </row>
        <row r="156">
          <cell r="C156">
            <v>7509</v>
          </cell>
          <cell r="E156">
            <v>8227</v>
          </cell>
        </row>
        <row r="157">
          <cell r="C157">
            <v>18310</v>
          </cell>
          <cell r="E157">
            <v>4258</v>
          </cell>
        </row>
        <row r="161">
          <cell r="C161">
            <v>3089</v>
          </cell>
        </row>
        <row r="162">
          <cell r="C162">
            <v>6544</v>
          </cell>
        </row>
        <row r="163">
          <cell r="C163">
            <v>39366</v>
          </cell>
        </row>
        <row r="171">
          <cell r="H171">
            <v>2254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63464</v>
          </cell>
        </row>
        <row r="20">
          <cell r="D20">
            <v>4295</v>
          </cell>
        </row>
        <row r="21">
          <cell r="D21">
            <v>3854</v>
          </cell>
        </row>
        <row r="22">
          <cell r="D22">
            <v>6829</v>
          </cell>
        </row>
        <row r="23">
          <cell r="D23">
            <v>3832</v>
          </cell>
        </row>
        <row r="24">
          <cell r="D24">
            <v>3185</v>
          </cell>
        </row>
        <row r="25">
          <cell r="D25">
            <v>12275</v>
          </cell>
        </row>
        <row r="26">
          <cell r="D26">
            <v>10157</v>
          </cell>
        </row>
        <row r="27">
          <cell r="D27">
            <v>4357</v>
          </cell>
        </row>
        <row r="28">
          <cell r="D28">
            <v>4565</v>
          </cell>
        </row>
        <row r="29">
          <cell r="D29">
            <v>2069</v>
          </cell>
        </row>
        <row r="30">
          <cell r="D30">
            <v>3817</v>
          </cell>
        </row>
        <row r="31">
          <cell r="D31">
            <v>6937</v>
          </cell>
        </row>
        <row r="32">
          <cell r="D32">
            <v>2617</v>
          </cell>
        </row>
        <row r="33">
          <cell r="D33">
            <v>2468</v>
          </cell>
        </row>
        <row r="34">
          <cell r="D34">
            <v>2297</v>
          </cell>
        </row>
        <row r="35">
          <cell r="D35">
            <v>4814</v>
          </cell>
        </row>
        <row r="36">
          <cell r="D36">
            <v>15215</v>
          </cell>
        </row>
        <row r="37">
          <cell r="D37">
            <v>13054</v>
          </cell>
        </row>
        <row r="38">
          <cell r="D38">
            <v>7318</v>
          </cell>
        </row>
        <row r="39">
          <cell r="D39">
            <v>15458</v>
          </cell>
        </row>
        <row r="40">
          <cell r="D40">
            <v>7085</v>
          </cell>
        </row>
        <row r="41">
          <cell r="D41">
            <v>0</v>
          </cell>
        </row>
        <row r="42">
          <cell r="D42">
            <v>8063</v>
          </cell>
        </row>
        <row r="43">
          <cell r="D43">
            <v>12190</v>
          </cell>
        </row>
        <row r="44">
          <cell r="D44">
            <v>10301</v>
          </cell>
        </row>
        <row r="45">
          <cell r="D45">
            <v>1705</v>
          </cell>
        </row>
        <row r="46">
          <cell r="D46">
            <v>11195</v>
          </cell>
        </row>
        <row r="47">
          <cell r="D47">
            <v>1260</v>
          </cell>
        </row>
        <row r="48">
          <cell r="D48">
            <v>6290</v>
          </cell>
        </row>
        <row r="49">
          <cell r="D49">
            <v>9928</v>
          </cell>
        </row>
        <row r="50">
          <cell r="D50">
            <v>738</v>
          </cell>
        </row>
        <row r="51">
          <cell r="D51">
            <v>5001</v>
          </cell>
        </row>
        <row r="52">
          <cell r="D52">
            <v>341</v>
          </cell>
        </row>
        <row r="53">
          <cell r="D53">
            <v>3115</v>
          </cell>
        </row>
        <row r="54">
          <cell r="D54">
            <v>902</v>
          </cell>
        </row>
        <row r="55">
          <cell r="D55">
            <v>11222</v>
          </cell>
        </row>
        <row r="56">
          <cell r="D56">
            <v>82751</v>
          </cell>
        </row>
        <row r="64">
          <cell r="D64">
            <v>12609</v>
          </cell>
        </row>
        <row r="65">
          <cell r="D65">
            <v>6283</v>
          </cell>
        </row>
        <row r="66">
          <cell r="D66">
            <v>14046</v>
          </cell>
        </row>
        <row r="67">
          <cell r="D67">
            <v>4182</v>
          </cell>
        </row>
        <row r="68">
          <cell r="D68">
            <v>4462</v>
          </cell>
        </row>
        <row r="69">
          <cell r="D69">
            <v>8433</v>
          </cell>
        </row>
        <row r="70">
          <cell r="D70">
            <v>19461</v>
          </cell>
        </row>
        <row r="71">
          <cell r="D71">
            <v>8439</v>
          </cell>
        </row>
        <row r="72">
          <cell r="D72">
            <v>6930</v>
          </cell>
        </row>
        <row r="73">
          <cell r="D73">
            <v>4205</v>
          </cell>
        </row>
        <row r="74">
          <cell r="D74">
            <v>15479</v>
          </cell>
        </row>
        <row r="75">
          <cell r="D75">
            <v>11588</v>
          </cell>
        </row>
        <row r="76">
          <cell r="D76">
            <v>7392</v>
          </cell>
        </row>
        <row r="77">
          <cell r="D77">
            <v>5646</v>
          </cell>
        </row>
        <row r="78">
          <cell r="D78">
            <v>7090</v>
          </cell>
        </row>
        <row r="79">
          <cell r="D79">
            <v>3301</v>
          </cell>
        </row>
        <row r="80">
          <cell r="D80">
            <v>7159</v>
          </cell>
        </row>
        <row r="81">
          <cell r="D81">
            <v>4512</v>
          </cell>
        </row>
        <row r="82">
          <cell r="D82">
            <v>7123</v>
          </cell>
        </row>
        <row r="83">
          <cell r="D83">
            <v>0</v>
          </cell>
        </row>
        <row r="84">
          <cell r="D84">
            <v>4988</v>
          </cell>
        </row>
        <row r="85">
          <cell r="D85">
            <v>3766</v>
          </cell>
        </row>
        <row r="86">
          <cell r="D86">
            <v>14911</v>
          </cell>
        </row>
        <row r="87">
          <cell r="D87">
            <v>4896</v>
          </cell>
        </row>
        <row r="88">
          <cell r="D88">
            <v>9388</v>
          </cell>
        </row>
        <row r="89">
          <cell r="D89">
            <v>37319</v>
          </cell>
        </row>
        <row r="90">
          <cell r="D90">
            <v>18655</v>
          </cell>
        </row>
        <row r="91">
          <cell r="D91">
            <v>2211</v>
          </cell>
        </row>
        <row r="92">
          <cell r="D92">
            <v>4083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2379</v>
          </cell>
        </row>
        <row r="98">
          <cell r="D98">
            <v>1461</v>
          </cell>
        </row>
        <row r="99">
          <cell r="D99">
            <v>3201</v>
          </cell>
        </row>
        <row r="100">
          <cell r="D100">
            <v>4384</v>
          </cell>
        </row>
        <row r="101">
          <cell r="D101">
            <v>0</v>
          </cell>
        </row>
        <row r="102">
          <cell r="D102">
            <v>4187</v>
          </cell>
        </row>
        <row r="103">
          <cell r="D103">
            <v>1189</v>
          </cell>
        </row>
        <row r="104">
          <cell r="D104">
            <v>1669</v>
          </cell>
        </row>
        <row r="105">
          <cell r="D105">
            <v>2181</v>
          </cell>
        </row>
        <row r="106">
          <cell r="D106">
            <v>3965</v>
          </cell>
        </row>
        <row r="107">
          <cell r="D107">
            <v>1440</v>
          </cell>
          <cell r="G107">
            <v>14887</v>
          </cell>
        </row>
        <row r="108">
          <cell r="D108">
            <v>410</v>
          </cell>
          <cell r="G108">
            <v>4424</v>
          </cell>
        </row>
        <row r="109">
          <cell r="D109">
            <v>0</v>
          </cell>
          <cell r="G109">
            <v>7250</v>
          </cell>
        </row>
        <row r="110">
          <cell r="D110">
            <v>1811</v>
          </cell>
          <cell r="G110">
            <v>9199</v>
          </cell>
        </row>
        <row r="111">
          <cell r="D111">
            <v>2608</v>
          </cell>
          <cell r="G111">
            <v>5558</v>
          </cell>
        </row>
        <row r="112">
          <cell r="D112">
            <v>4405</v>
          </cell>
          <cell r="G112">
            <v>6751</v>
          </cell>
        </row>
        <row r="113">
          <cell r="D113">
            <v>2414</v>
          </cell>
          <cell r="G113">
            <v>5887</v>
          </cell>
        </row>
        <row r="114">
          <cell r="D114">
            <v>5425</v>
          </cell>
          <cell r="G114">
            <v>9508</v>
          </cell>
        </row>
        <row r="115">
          <cell r="D115">
            <v>7900</v>
          </cell>
        </row>
        <row r="116">
          <cell r="D116">
            <v>3453</v>
          </cell>
        </row>
        <row r="117">
          <cell r="D117">
            <v>14864</v>
          </cell>
        </row>
        <row r="118">
          <cell r="D118">
            <v>9538</v>
          </cell>
          <cell r="G118">
            <v>22276</v>
          </cell>
        </row>
        <row r="119">
          <cell r="D119">
            <v>4801</v>
          </cell>
          <cell r="G119">
            <v>9181</v>
          </cell>
        </row>
        <row r="120">
          <cell r="D120">
            <v>7863</v>
          </cell>
          <cell r="G120">
            <v>11556</v>
          </cell>
        </row>
        <row r="121">
          <cell r="D121">
            <v>2865</v>
          </cell>
          <cell r="G121">
            <v>11908</v>
          </cell>
        </row>
        <row r="122">
          <cell r="D122">
            <v>7827</v>
          </cell>
          <cell r="G122">
            <v>447</v>
          </cell>
        </row>
        <row r="123">
          <cell r="D123">
            <v>3691</v>
          </cell>
          <cell r="G123">
            <v>11093</v>
          </cell>
        </row>
        <row r="124">
          <cell r="D124">
            <v>5184</v>
          </cell>
          <cell r="G124">
            <v>16290</v>
          </cell>
        </row>
        <row r="125">
          <cell r="D125">
            <v>2585</v>
          </cell>
        </row>
        <row r="126">
          <cell r="D126">
            <v>1290</v>
          </cell>
        </row>
        <row r="127">
          <cell r="D127">
            <v>4689</v>
          </cell>
        </row>
        <row r="128">
          <cell r="D128">
            <v>10614</v>
          </cell>
          <cell r="G128">
            <v>862</v>
          </cell>
        </row>
        <row r="129">
          <cell r="D129">
            <v>7348</v>
          </cell>
          <cell r="G129">
            <v>1395</v>
          </cell>
        </row>
        <row r="130">
          <cell r="D130">
            <v>39449</v>
          </cell>
          <cell r="G130">
            <v>10896</v>
          </cell>
        </row>
        <row r="131">
          <cell r="G131">
            <v>10254</v>
          </cell>
        </row>
        <row r="132">
          <cell r="G132">
            <v>4206</v>
          </cell>
        </row>
        <row r="133">
          <cell r="G133">
            <v>3549</v>
          </cell>
        </row>
        <row r="134">
          <cell r="G134">
            <v>4432</v>
          </cell>
        </row>
        <row r="135">
          <cell r="G135">
            <v>3855</v>
          </cell>
        </row>
        <row r="139">
          <cell r="D139">
            <v>1718</v>
          </cell>
          <cell r="G139">
            <v>2295</v>
          </cell>
        </row>
        <row r="140">
          <cell r="D140">
            <v>246</v>
          </cell>
          <cell r="G140">
            <v>27827</v>
          </cell>
        </row>
        <row r="141">
          <cell r="D141">
            <v>1436</v>
          </cell>
          <cell r="G141">
            <v>11267</v>
          </cell>
        </row>
        <row r="142">
          <cell r="D142">
            <v>237</v>
          </cell>
        </row>
        <row r="143">
          <cell r="D143">
            <v>41389</v>
          </cell>
        </row>
        <row r="148">
          <cell r="D148">
            <v>812116</v>
          </cell>
        </row>
      </sheetData>
      <sheetData sheetId="1">
        <row r="11">
          <cell r="H11">
            <v>57046</v>
          </cell>
        </row>
        <row r="20">
          <cell r="H20">
            <v>4158</v>
          </cell>
        </row>
        <row r="21">
          <cell r="H21">
            <v>4144</v>
          </cell>
        </row>
        <row r="22">
          <cell r="H22">
            <v>7273</v>
          </cell>
        </row>
        <row r="23">
          <cell r="H23">
            <v>2270</v>
          </cell>
        </row>
        <row r="24">
          <cell r="H24">
            <v>3155</v>
          </cell>
        </row>
        <row r="25">
          <cell r="H25">
            <v>10015</v>
          </cell>
        </row>
        <row r="26">
          <cell r="H26">
            <v>3665</v>
          </cell>
        </row>
        <row r="27">
          <cell r="H27">
            <v>1438</v>
          </cell>
        </row>
        <row r="28">
          <cell r="H28">
            <v>5109</v>
          </cell>
        </row>
        <row r="29">
          <cell r="H29">
            <v>2348</v>
          </cell>
        </row>
        <row r="30">
          <cell r="H30">
            <v>3611</v>
          </cell>
        </row>
        <row r="31">
          <cell r="H31">
            <v>6925</v>
          </cell>
        </row>
        <row r="32">
          <cell r="H32">
            <v>2628</v>
          </cell>
        </row>
        <row r="33">
          <cell r="H33">
            <v>2340</v>
          </cell>
        </row>
        <row r="34">
          <cell r="H34">
            <v>2231</v>
          </cell>
        </row>
        <row r="35">
          <cell r="H35">
            <v>4597</v>
          </cell>
        </row>
        <row r="36">
          <cell r="H36">
            <v>13109</v>
          </cell>
        </row>
        <row r="37">
          <cell r="H37">
            <v>10089</v>
          </cell>
        </row>
        <row r="38">
          <cell r="H38">
            <v>6986</v>
          </cell>
        </row>
        <row r="39">
          <cell r="H39">
            <v>14567</v>
          </cell>
        </row>
        <row r="40">
          <cell r="H40">
            <v>6723</v>
          </cell>
        </row>
        <row r="41">
          <cell r="H41">
            <v>0</v>
          </cell>
        </row>
        <row r="42">
          <cell r="H42">
            <v>7592</v>
          </cell>
        </row>
        <row r="43">
          <cell r="H43">
            <v>11894</v>
          </cell>
        </row>
        <row r="44">
          <cell r="H44">
            <v>10217</v>
          </cell>
        </row>
        <row r="45">
          <cell r="H45">
            <v>10215</v>
          </cell>
        </row>
        <row r="46">
          <cell r="H46">
            <v>1982</v>
          </cell>
        </row>
        <row r="47">
          <cell r="H47">
            <v>6116</v>
          </cell>
        </row>
        <row r="48">
          <cell r="H48">
            <v>1167</v>
          </cell>
        </row>
        <row r="49">
          <cell r="H49">
            <v>9699</v>
          </cell>
        </row>
        <row r="50">
          <cell r="H50">
            <v>4701</v>
          </cell>
        </row>
        <row r="51">
          <cell r="H51">
            <v>972</v>
          </cell>
        </row>
        <row r="52">
          <cell r="H52">
            <v>2677</v>
          </cell>
        </row>
        <row r="53">
          <cell r="H53">
            <v>574</v>
          </cell>
        </row>
        <row r="54">
          <cell r="H54">
            <v>10262</v>
          </cell>
        </row>
        <row r="55">
          <cell r="H55">
            <v>1326</v>
          </cell>
        </row>
        <row r="56">
          <cell r="H56">
            <v>78315</v>
          </cell>
        </row>
        <row r="63">
          <cell r="H63">
            <v>11815</v>
          </cell>
        </row>
        <row r="64">
          <cell r="H64">
            <v>5094</v>
          </cell>
        </row>
        <row r="65">
          <cell r="H65">
            <v>13751</v>
          </cell>
        </row>
        <row r="66">
          <cell r="H66">
            <v>3783</v>
          </cell>
        </row>
        <row r="67">
          <cell r="H67">
            <v>3140</v>
          </cell>
        </row>
        <row r="68">
          <cell r="H68">
            <v>9485</v>
          </cell>
        </row>
        <row r="69">
          <cell r="H69">
            <v>18597</v>
          </cell>
        </row>
        <row r="70">
          <cell r="H70">
            <v>7647</v>
          </cell>
        </row>
        <row r="71">
          <cell r="H71">
            <v>6340</v>
          </cell>
        </row>
        <row r="72">
          <cell r="H72">
            <v>5000</v>
          </cell>
        </row>
        <row r="73">
          <cell r="H73">
            <v>13544</v>
          </cell>
        </row>
        <row r="74">
          <cell r="H74">
            <v>9998</v>
          </cell>
        </row>
        <row r="75">
          <cell r="H75">
            <v>8597</v>
          </cell>
        </row>
        <row r="76">
          <cell r="H76">
            <v>5372</v>
          </cell>
        </row>
        <row r="77">
          <cell r="H77">
            <v>5221</v>
          </cell>
        </row>
        <row r="78">
          <cell r="H78">
            <v>2519</v>
          </cell>
        </row>
        <row r="79">
          <cell r="H79">
            <v>6360</v>
          </cell>
        </row>
        <row r="80">
          <cell r="H80">
            <v>4406</v>
          </cell>
        </row>
        <row r="81">
          <cell r="H81">
            <v>6383</v>
          </cell>
        </row>
        <row r="82">
          <cell r="H82">
            <v>0</v>
          </cell>
        </row>
        <row r="83">
          <cell r="H83">
            <v>4427</v>
          </cell>
        </row>
        <row r="84">
          <cell r="H84">
            <v>3380</v>
          </cell>
        </row>
        <row r="85">
          <cell r="H85">
            <v>14058</v>
          </cell>
        </row>
        <row r="86">
          <cell r="H86">
            <v>4187</v>
          </cell>
        </row>
        <row r="87">
          <cell r="H87">
            <v>6102</v>
          </cell>
        </row>
        <row r="88">
          <cell r="H88">
            <v>31480</v>
          </cell>
        </row>
        <row r="89">
          <cell r="H89">
            <v>11829</v>
          </cell>
        </row>
        <row r="90">
          <cell r="H90">
            <v>1539</v>
          </cell>
        </row>
        <row r="91">
          <cell r="H91">
            <v>3288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2324</v>
          </cell>
        </row>
        <row r="97">
          <cell r="H97">
            <v>1213</v>
          </cell>
        </row>
        <row r="98">
          <cell r="H98">
            <v>2802</v>
          </cell>
        </row>
        <row r="99">
          <cell r="H99">
            <v>3790</v>
          </cell>
        </row>
        <row r="100">
          <cell r="H100">
            <v>0</v>
          </cell>
        </row>
        <row r="101">
          <cell r="H101">
            <v>3556</v>
          </cell>
        </row>
        <row r="102">
          <cell r="H102">
            <v>957</v>
          </cell>
        </row>
        <row r="103">
          <cell r="H103">
            <v>1335</v>
          </cell>
        </row>
        <row r="104">
          <cell r="H104">
            <v>1436</v>
          </cell>
        </row>
        <row r="105">
          <cell r="H105">
            <v>4113</v>
          </cell>
        </row>
        <row r="106">
          <cell r="H106">
            <v>1563</v>
          </cell>
        </row>
        <row r="107">
          <cell r="H107">
            <v>297</v>
          </cell>
        </row>
        <row r="108">
          <cell r="H108">
            <v>0</v>
          </cell>
        </row>
        <row r="109">
          <cell r="H109">
            <v>1787</v>
          </cell>
        </row>
        <row r="110">
          <cell r="H110">
            <v>2352</v>
          </cell>
        </row>
        <row r="111">
          <cell r="H111">
            <v>4290</v>
          </cell>
        </row>
        <row r="112">
          <cell r="H112">
            <v>2481</v>
          </cell>
        </row>
        <row r="113">
          <cell r="H113">
            <v>5388</v>
          </cell>
        </row>
        <row r="114">
          <cell r="H114">
            <v>7079</v>
          </cell>
        </row>
        <row r="115">
          <cell r="H115">
            <v>2144</v>
          </cell>
        </row>
        <row r="116">
          <cell r="H116">
            <v>12464</v>
          </cell>
        </row>
        <row r="117">
          <cell r="H117">
            <v>9451</v>
          </cell>
        </row>
        <row r="118">
          <cell r="H118">
            <v>4358</v>
          </cell>
        </row>
        <row r="119">
          <cell r="H119">
            <v>2994</v>
          </cell>
        </row>
        <row r="120">
          <cell r="H120">
            <v>6962</v>
          </cell>
        </row>
        <row r="121">
          <cell r="H121">
            <v>5393</v>
          </cell>
        </row>
        <row r="122">
          <cell r="H122">
            <v>4110</v>
          </cell>
        </row>
        <row r="123">
          <cell r="H123">
            <v>3979</v>
          </cell>
        </row>
        <row r="124">
          <cell r="H124">
            <v>2436</v>
          </cell>
        </row>
        <row r="125">
          <cell r="H125">
            <v>1270</v>
          </cell>
        </row>
        <row r="126">
          <cell r="H126">
            <v>4506</v>
          </cell>
        </row>
        <row r="127">
          <cell r="H127">
            <v>9979</v>
          </cell>
        </row>
        <row r="128">
          <cell r="H128">
            <v>6522</v>
          </cell>
        </row>
        <row r="129">
          <cell r="H129">
            <v>34886</v>
          </cell>
        </row>
        <row r="138">
          <cell r="H138">
            <v>171</v>
          </cell>
        </row>
        <row r="139">
          <cell r="H139">
            <v>1406</v>
          </cell>
        </row>
        <row r="140">
          <cell r="H140">
            <v>139</v>
          </cell>
        </row>
        <row r="141">
          <cell r="H141">
            <v>1463</v>
          </cell>
        </row>
        <row r="142">
          <cell r="H142">
            <v>36372</v>
          </cell>
        </row>
        <row r="147">
          <cell r="D147">
            <v>6153</v>
          </cell>
          <cell r="E147">
            <v>126911</v>
          </cell>
          <cell r="F147">
            <v>602115</v>
          </cell>
          <cell r="G147">
            <v>2779</v>
          </cell>
        </row>
        <row r="150">
          <cell r="C150">
            <v>11659</v>
          </cell>
          <cell r="E150">
            <v>2439</v>
          </cell>
          <cell r="G150">
            <v>21923</v>
          </cell>
        </row>
        <row r="151">
          <cell r="C151">
            <v>3519</v>
          </cell>
          <cell r="E151">
            <v>1225</v>
          </cell>
          <cell r="G151">
            <v>2788</v>
          </cell>
        </row>
        <row r="152">
          <cell r="C152">
            <v>5603</v>
          </cell>
          <cell r="E152">
            <v>7410</v>
          </cell>
          <cell r="G152">
            <v>94</v>
          </cell>
        </row>
        <row r="153">
          <cell r="C153">
            <v>9026</v>
          </cell>
          <cell r="E153">
            <v>8116</v>
          </cell>
          <cell r="G153">
            <v>16379</v>
          </cell>
        </row>
        <row r="154">
          <cell r="C154">
            <v>5403</v>
          </cell>
          <cell r="E154">
            <v>3009</v>
          </cell>
          <cell r="G154">
            <v>19338</v>
          </cell>
        </row>
        <row r="155">
          <cell r="C155">
            <v>4940</v>
          </cell>
          <cell r="E155">
            <v>3529</v>
          </cell>
          <cell r="G155">
            <v>17793</v>
          </cell>
        </row>
        <row r="156">
          <cell r="C156">
            <v>5011</v>
          </cell>
          <cell r="E156">
            <v>5564</v>
          </cell>
        </row>
        <row r="157">
          <cell r="C157">
            <v>11885</v>
          </cell>
          <cell r="E157">
            <v>3594</v>
          </cell>
        </row>
        <row r="161">
          <cell r="C161">
            <v>2032</v>
          </cell>
        </row>
        <row r="162">
          <cell r="C162">
            <v>4629</v>
          </cell>
        </row>
        <row r="163">
          <cell r="C163">
            <v>29711</v>
          </cell>
        </row>
        <row r="171">
          <cell r="H171">
            <v>387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31089</v>
          </cell>
        </row>
        <row r="20">
          <cell r="D20">
            <v>2356</v>
          </cell>
        </row>
        <row r="21">
          <cell r="D21">
            <v>1336</v>
          </cell>
        </row>
        <row r="22">
          <cell r="D22">
            <v>3065</v>
          </cell>
        </row>
        <row r="23">
          <cell r="D23">
            <v>2258</v>
          </cell>
        </row>
        <row r="24">
          <cell r="D24">
            <v>1396</v>
          </cell>
        </row>
        <row r="25">
          <cell r="D25">
            <v>5696</v>
          </cell>
        </row>
        <row r="26">
          <cell r="D26">
            <v>5598</v>
          </cell>
        </row>
        <row r="27">
          <cell r="D27">
            <v>2709</v>
          </cell>
        </row>
        <row r="28">
          <cell r="D28">
            <v>1335</v>
          </cell>
        </row>
        <row r="29">
          <cell r="D29">
            <v>729</v>
          </cell>
        </row>
        <row r="30">
          <cell r="D30">
            <v>1969</v>
          </cell>
        </row>
        <row r="31">
          <cell r="D31">
            <v>3364</v>
          </cell>
        </row>
        <row r="32">
          <cell r="D32">
            <v>1210</v>
          </cell>
        </row>
        <row r="33">
          <cell r="D33">
            <v>1304</v>
          </cell>
        </row>
        <row r="34">
          <cell r="D34">
            <v>1369</v>
          </cell>
        </row>
        <row r="35">
          <cell r="D35">
            <v>1529</v>
          </cell>
        </row>
        <row r="36">
          <cell r="D36">
            <v>2859</v>
          </cell>
        </row>
        <row r="37">
          <cell r="D37">
            <v>2799</v>
          </cell>
        </row>
        <row r="38">
          <cell r="D38">
            <v>1636</v>
          </cell>
        </row>
        <row r="39">
          <cell r="D39">
            <v>3972</v>
          </cell>
        </row>
        <row r="40">
          <cell r="D40">
            <v>2570</v>
          </cell>
        </row>
        <row r="41">
          <cell r="D41">
            <v>0</v>
          </cell>
        </row>
        <row r="42">
          <cell r="D42">
            <v>2807</v>
          </cell>
        </row>
        <row r="43">
          <cell r="D43">
            <v>3926</v>
          </cell>
        </row>
        <row r="44">
          <cell r="D44">
            <v>4787</v>
          </cell>
        </row>
        <row r="45">
          <cell r="D45">
            <v>887</v>
          </cell>
        </row>
        <row r="46">
          <cell r="D46">
            <v>4674</v>
          </cell>
        </row>
        <row r="47">
          <cell r="D47">
            <v>742</v>
          </cell>
        </row>
        <row r="48">
          <cell r="D48">
            <v>2191</v>
          </cell>
        </row>
        <row r="49">
          <cell r="D49">
            <v>4894</v>
          </cell>
        </row>
        <row r="50">
          <cell r="D50">
            <v>418</v>
          </cell>
        </row>
        <row r="51">
          <cell r="D51">
            <v>1705</v>
          </cell>
        </row>
        <row r="52">
          <cell r="D52">
            <v>248</v>
          </cell>
        </row>
        <row r="53">
          <cell r="D53">
            <v>1354</v>
          </cell>
        </row>
        <row r="54">
          <cell r="D54">
            <v>561</v>
          </cell>
        </row>
        <row r="55">
          <cell r="D55">
            <v>4667</v>
          </cell>
        </row>
        <row r="56">
          <cell r="D56">
            <v>47897</v>
          </cell>
        </row>
        <row r="64">
          <cell r="D64">
            <v>2334</v>
          </cell>
        </row>
        <row r="65">
          <cell r="D65">
            <v>846</v>
          </cell>
        </row>
        <row r="66">
          <cell r="D66">
            <v>4620</v>
          </cell>
        </row>
        <row r="67">
          <cell r="D67">
            <v>1131</v>
          </cell>
        </row>
        <row r="68">
          <cell r="D68">
            <v>1532</v>
          </cell>
        </row>
        <row r="69">
          <cell r="D69">
            <v>2809</v>
          </cell>
        </row>
        <row r="70">
          <cell r="D70">
            <v>6007</v>
          </cell>
        </row>
        <row r="71">
          <cell r="D71">
            <v>2070</v>
          </cell>
        </row>
        <row r="72">
          <cell r="D72">
            <v>1773</v>
          </cell>
        </row>
        <row r="73">
          <cell r="D73">
            <v>1208</v>
          </cell>
        </row>
        <row r="74">
          <cell r="D74">
            <v>4372</v>
          </cell>
        </row>
        <row r="75">
          <cell r="D75">
            <v>2617</v>
          </cell>
        </row>
        <row r="76">
          <cell r="D76">
            <v>2660</v>
          </cell>
        </row>
        <row r="77">
          <cell r="D77">
            <v>1483</v>
          </cell>
        </row>
        <row r="78">
          <cell r="D78">
            <v>1680</v>
          </cell>
        </row>
        <row r="79">
          <cell r="D79">
            <v>661</v>
          </cell>
        </row>
        <row r="80">
          <cell r="D80">
            <v>1655</v>
          </cell>
        </row>
        <row r="81">
          <cell r="D81">
            <v>1634</v>
          </cell>
        </row>
        <row r="82">
          <cell r="D82">
            <v>3187</v>
          </cell>
        </row>
        <row r="83">
          <cell r="D83">
            <v>0</v>
          </cell>
        </row>
        <row r="84">
          <cell r="D84">
            <v>1921</v>
          </cell>
        </row>
        <row r="85">
          <cell r="D85">
            <v>1335</v>
          </cell>
        </row>
        <row r="86">
          <cell r="D86">
            <v>5024</v>
          </cell>
        </row>
        <row r="87">
          <cell r="D87">
            <v>1476</v>
          </cell>
        </row>
        <row r="88">
          <cell r="D88">
            <v>3074</v>
          </cell>
        </row>
        <row r="89">
          <cell r="D89">
            <v>12237</v>
          </cell>
        </row>
        <row r="90">
          <cell r="D90">
            <v>5500</v>
          </cell>
        </row>
        <row r="91">
          <cell r="D91">
            <v>652</v>
          </cell>
        </row>
        <row r="92">
          <cell r="D92">
            <v>2510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724</v>
          </cell>
        </row>
        <row r="98">
          <cell r="D98">
            <v>538</v>
          </cell>
        </row>
        <row r="99">
          <cell r="D99">
            <v>1087</v>
          </cell>
        </row>
        <row r="100">
          <cell r="D100">
            <v>1808</v>
          </cell>
        </row>
        <row r="101">
          <cell r="D101">
            <v>0</v>
          </cell>
        </row>
        <row r="102">
          <cell r="D102">
            <v>893</v>
          </cell>
        </row>
        <row r="103">
          <cell r="D103">
            <v>250</v>
          </cell>
        </row>
        <row r="104">
          <cell r="D104">
            <v>595</v>
          </cell>
        </row>
        <row r="105">
          <cell r="D105">
            <v>598</v>
          </cell>
        </row>
        <row r="106">
          <cell r="D106">
            <v>1457</v>
          </cell>
        </row>
        <row r="107">
          <cell r="D107">
            <v>329</v>
          </cell>
          <cell r="G107">
            <v>7673</v>
          </cell>
        </row>
        <row r="108">
          <cell r="D108">
            <v>141</v>
          </cell>
          <cell r="G108">
            <v>2631</v>
          </cell>
        </row>
        <row r="109">
          <cell r="D109">
            <v>0</v>
          </cell>
          <cell r="G109">
            <v>3965</v>
          </cell>
        </row>
        <row r="110">
          <cell r="D110">
            <v>803</v>
          </cell>
          <cell r="G110">
            <v>3986</v>
          </cell>
        </row>
        <row r="111">
          <cell r="D111">
            <v>1571</v>
          </cell>
          <cell r="G111">
            <v>2505</v>
          </cell>
        </row>
        <row r="112">
          <cell r="D112">
            <v>2075</v>
          </cell>
          <cell r="G112">
            <v>3049</v>
          </cell>
        </row>
        <row r="113">
          <cell r="D113">
            <v>1018</v>
          </cell>
          <cell r="G113">
            <v>2702</v>
          </cell>
        </row>
        <row r="114">
          <cell r="D114">
            <v>2476</v>
          </cell>
          <cell r="G114">
            <v>4578</v>
          </cell>
        </row>
        <row r="115">
          <cell r="D115">
            <v>2655</v>
          </cell>
        </row>
        <row r="116">
          <cell r="D116">
            <v>1695</v>
          </cell>
        </row>
        <row r="117">
          <cell r="D117">
            <v>7576</v>
          </cell>
        </row>
        <row r="118">
          <cell r="D118">
            <v>4443</v>
          </cell>
          <cell r="G118">
            <v>12408</v>
          </cell>
        </row>
        <row r="119">
          <cell r="D119">
            <v>2790</v>
          </cell>
          <cell r="G119">
            <v>5562</v>
          </cell>
        </row>
        <row r="120">
          <cell r="D120">
            <v>4383</v>
          </cell>
          <cell r="G120">
            <v>6158</v>
          </cell>
        </row>
        <row r="121">
          <cell r="D121">
            <v>1147</v>
          </cell>
          <cell r="G121">
            <v>7648</v>
          </cell>
        </row>
        <row r="122">
          <cell r="D122">
            <v>5711</v>
          </cell>
          <cell r="G122">
            <v>403</v>
          </cell>
        </row>
        <row r="123">
          <cell r="D123">
            <v>2114</v>
          </cell>
          <cell r="G123">
            <v>6963</v>
          </cell>
        </row>
        <row r="124">
          <cell r="D124">
            <v>2644</v>
          </cell>
          <cell r="G124">
            <v>8755</v>
          </cell>
        </row>
        <row r="125">
          <cell r="D125">
            <v>1372</v>
          </cell>
        </row>
        <row r="126">
          <cell r="D126">
            <v>738</v>
          </cell>
        </row>
        <row r="127">
          <cell r="D127">
            <v>2332</v>
          </cell>
        </row>
        <row r="128">
          <cell r="D128">
            <v>5939</v>
          </cell>
          <cell r="G128">
            <v>508</v>
          </cell>
        </row>
        <row r="129">
          <cell r="D129">
            <v>5196</v>
          </cell>
          <cell r="G129">
            <v>740</v>
          </cell>
        </row>
        <row r="130">
          <cell r="D130">
            <v>19553</v>
          </cell>
          <cell r="G130">
            <v>4527</v>
          </cell>
        </row>
        <row r="131">
          <cell r="G131">
            <v>5553</v>
          </cell>
        </row>
        <row r="132">
          <cell r="G132">
            <v>1972</v>
          </cell>
        </row>
        <row r="133">
          <cell r="G133">
            <v>2011</v>
          </cell>
        </row>
        <row r="134">
          <cell r="G134">
            <v>2262</v>
          </cell>
        </row>
        <row r="135">
          <cell r="G135">
            <v>1980</v>
          </cell>
        </row>
        <row r="139">
          <cell r="D139">
            <v>810</v>
          </cell>
          <cell r="G139">
            <v>1202</v>
          </cell>
        </row>
        <row r="140">
          <cell r="D140">
            <v>239</v>
          </cell>
          <cell r="G140">
            <v>10887</v>
          </cell>
        </row>
        <row r="141">
          <cell r="D141">
            <v>642</v>
          </cell>
          <cell r="G141">
            <v>8747</v>
          </cell>
        </row>
        <row r="142">
          <cell r="D142">
            <v>183</v>
          </cell>
        </row>
        <row r="143">
          <cell r="D143">
            <v>20836</v>
          </cell>
        </row>
        <row r="148">
          <cell r="D148">
            <v>329803</v>
          </cell>
        </row>
      </sheetData>
      <sheetData sheetId="1">
        <row r="11">
          <cell r="H11">
            <v>25128</v>
          </cell>
        </row>
        <row r="20">
          <cell r="H20">
            <v>1915</v>
          </cell>
        </row>
        <row r="21">
          <cell r="H21">
            <v>1319</v>
          </cell>
        </row>
        <row r="22">
          <cell r="H22">
            <v>2954</v>
          </cell>
        </row>
        <row r="23">
          <cell r="H23">
            <v>950</v>
          </cell>
        </row>
        <row r="24">
          <cell r="H24">
            <v>1280</v>
          </cell>
        </row>
        <row r="25">
          <cell r="H25">
            <v>4699</v>
          </cell>
        </row>
        <row r="26">
          <cell r="H26">
            <v>1868</v>
          </cell>
        </row>
        <row r="27">
          <cell r="H27">
            <v>750</v>
          </cell>
        </row>
        <row r="28">
          <cell r="H28">
            <v>1475</v>
          </cell>
        </row>
        <row r="29">
          <cell r="H29">
            <v>861</v>
          </cell>
        </row>
        <row r="30">
          <cell r="H30">
            <v>1608</v>
          </cell>
        </row>
        <row r="31">
          <cell r="H31">
            <v>3309</v>
          </cell>
        </row>
        <row r="32">
          <cell r="H32">
            <v>1203</v>
          </cell>
        </row>
        <row r="33">
          <cell r="H33">
            <v>1391</v>
          </cell>
        </row>
        <row r="34">
          <cell r="H34">
            <v>1093</v>
          </cell>
        </row>
        <row r="35">
          <cell r="H35">
            <v>1456</v>
          </cell>
        </row>
        <row r="36">
          <cell r="H36">
            <v>2611</v>
          </cell>
        </row>
        <row r="37">
          <cell r="H37">
            <v>2787</v>
          </cell>
        </row>
        <row r="38">
          <cell r="H38">
            <v>1527</v>
          </cell>
        </row>
        <row r="39">
          <cell r="H39">
            <v>3779</v>
          </cell>
        </row>
        <row r="40">
          <cell r="H40">
            <v>2196</v>
          </cell>
        </row>
        <row r="41">
          <cell r="H41">
            <v>0</v>
          </cell>
        </row>
        <row r="42">
          <cell r="H42">
            <v>2533</v>
          </cell>
        </row>
        <row r="43">
          <cell r="H43">
            <v>4040</v>
          </cell>
        </row>
        <row r="44">
          <cell r="H44">
            <v>4414</v>
          </cell>
        </row>
        <row r="45">
          <cell r="H45">
            <v>3994</v>
          </cell>
        </row>
        <row r="46">
          <cell r="H46">
            <v>926</v>
          </cell>
        </row>
        <row r="47">
          <cell r="H47">
            <v>2176</v>
          </cell>
        </row>
        <row r="48">
          <cell r="H48">
            <v>580</v>
          </cell>
        </row>
        <row r="49">
          <cell r="H49">
            <v>4283</v>
          </cell>
        </row>
        <row r="50">
          <cell r="H50">
            <v>1624</v>
          </cell>
        </row>
        <row r="51">
          <cell r="H51">
            <v>432</v>
          </cell>
        </row>
        <row r="52">
          <cell r="H52">
            <v>1048</v>
          </cell>
        </row>
        <row r="53">
          <cell r="H53">
            <v>261</v>
          </cell>
        </row>
        <row r="54">
          <cell r="H54">
            <v>3969</v>
          </cell>
        </row>
        <row r="55">
          <cell r="H55">
            <v>391</v>
          </cell>
        </row>
        <row r="56">
          <cell r="H56">
            <v>42137</v>
          </cell>
        </row>
        <row r="63">
          <cell r="H63">
            <v>2386</v>
          </cell>
        </row>
        <row r="64">
          <cell r="H64">
            <v>830</v>
          </cell>
        </row>
        <row r="65">
          <cell r="H65">
            <v>4342</v>
          </cell>
        </row>
        <row r="66">
          <cell r="H66">
            <v>874</v>
          </cell>
        </row>
        <row r="67">
          <cell r="H67">
            <v>1095</v>
          </cell>
        </row>
        <row r="68">
          <cell r="H68">
            <v>3447</v>
          </cell>
        </row>
        <row r="69">
          <cell r="H69">
            <v>6402</v>
          </cell>
        </row>
        <row r="70">
          <cell r="H70">
            <v>1992</v>
          </cell>
        </row>
        <row r="71">
          <cell r="H71">
            <v>1968</v>
          </cell>
        </row>
        <row r="72">
          <cell r="H72">
            <v>1575</v>
          </cell>
        </row>
        <row r="73">
          <cell r="H73">
            <v>3621</v>
          </cell>
        </row>
        <row r="74">
          <cell r="H74">
            <v>2720</v>
          </cell>
        </row>
        <row r="75">
          <cell r="H75">
            <v>2589</v>
          </cell>
        </row>
        <row r="76">
          <cell r="H76">
            <v>1315</v>
          </cell>
        </row>
        <row r="77">
          <cell r="H77">
            <v>1433</v>
          </cell>
        </row>
        <row r="78">
          <cell r="H78">
            <v>578</v>
          </cell>
        </row>
        <row r="79">
          <cell r="H79">
            <v>1596</v>
          </cell>
        </row>
        <row r="80">
          <cell r="H80">
            <v>1733</v>
          </cell>
        </row>
        <row r="81">
          <cell r="H81">
            <v>2876</v>
          </cell>
        </row>
        <row r="82">
          <cell r="H82">
            <v>0</v>
          </cell>
        </row>
        <row r="83">
          <cell r="H83">
            <v>1917</v>
          </cell>
        </row>
        <row r="84">
          <cell r="H84">
            <v>1526</v>
          </cell>
        </row>
        <row r="85">
          <cell r="H85">
            <v>4687</v>
          </cell>
        </row>
        <row r="86">
          <cell r="H86">
            <v>1212</v>
          </cell>
        </row>
        <row r="87">
          <cell r="H87">
            <v>1964</v>
          </cell>
        </row>
        <row r="88">
          <cell r="H88">
            <v>10510</v>
          </cell>
        </row>
        <row r="89">
          <cell r="H89">
            <v>3948</v>
          </cell>
        </row>
        <row r="90">
          <cell r="H90">
            <v>460</v>
          </cell>
        </row>
        <row r="91">
          <cell r="H91">
            <v>1737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654</v>
          </cell>
        </row>
        <row r="97">
          <cell r="H97">
            <v>409</v>
          </cell>
        </row>
        <row r="98">
          <cell r="H98">
            <v>986</v>
          </cell>
        </row>
        <row r="99">
          <cell r="H99">
            <v>1360</v>
          </cell>
        </row>
        <row r="100">
          <cell r="H100">
            <v>0</v>
          </cell>
        </row>
        <row r="101">
          <cell r="H101">
            <v>713</v>
          </cell>
        </row>
        <row r="102">
          <cell r="H102">
            <v>143</v>
          </cell>
        </row>
        <row r="103">
          <cell r="H103">
            <v>402</v>
          </cell>
        </row>
        <row r="104">
          <cell r="H104">
            <v>286</v>
          </cell>
        </row>
        <row r="105">
          <cell r="H105">
            <v>1377</v>
          </cell>
        </row>
        <row r="106">
          <cell r="H106">
            <v>302</v>
          </cell>
        </row>
        <row r="107">
          <cell r="H107">
            <v>23</v>
          </cell>
        </row>
        <row r="108">
          <cell r="H108">
            <v>0</v>
          </cell>
        </row>
        <row r="109">
          <cell r="H109">
            <v>644</v>
          </cell>
        </row>
        <row r="110">
          <cell r="H110">
            <v>1427</v>
          </cell>
        </row>
        <row r="111">
          <cell r="H111">
            <v>2133</v>
          </cell>
        </row>
        <row r="112">
          <cell r="H112">
            <v>1117</v>
          </cell>
        </row>
        <row r="113">
          <cell r="H113">
            <v>2297</v>
          </cell>
        </row>
        <row r="114">
          <cell r="H114">
            <v>2822</v>
          </cell>
        </row>
        <row r="115">
          <cell r="H115">
            <v>981</v>
          </cell>
        </row>
        <row r="116">
          <cell r="H116">
            <v>6589</v>
          </cell>
        </row>
        <row r="117">
          <cell r="H117">
            <v>4341</v>
          </cell>
        </row>
        <row r="118">
          <cell r="H118">
            <v>2408</v>
          </cell>
        </row>
        <row r="119">
          <cell r="H119">
            <v>1124</v>
          </cell>
        </row>
        <row r="120">
          <cell r="H120">
            <v>3328</v>
          </cell>
        </row>
        <row r="121">
          <cell r="H121">
            <v>2544</v>
          </cell>
        </row>
        <row r="122">
          <cell r="H122">
            <v>2111</v>
          </cell>
        </row>
        <row r="123">
          <cell r="H123">
            <v>2158</v>
          </cell>
        </row>
        <row r="124">
          <cell r="H124">
            <v>1229</v>
          </cell>
        </row>
        <row r="125">
          <cell r="H125">
            <v>643</v>
          </cell>
        </row>
        <row r="126">
          <cell r="H126">
            <v>1937</v>
          </cell>
        </row>
        <row r="127">
          <cell r="H127">
            <v>5321</v>
          </cell>
        </row>
        <row r="128">
          <cell r="H128">
            <v>3184</v>
          </cell>
        </row>
        <row r="129">
          <cell r="H129">
            <v>15291</v>
          </cell>
        </row>
        <row r="138">
          <cell r="H138">
            <v>125</v>
          </cell>
        </row>
        <row r="139">
          <cell r="H139">
            <v>654</v>
          </cell>
        </row>
        <row r="140">
          <cell r="H140">
            <v>75</v>
          </cell>
        </row>
        <row r="141">
          <cell r="H141">
            <v>585</v>
          </cell>
        </row>
        <row r="142">
          <cell r="H142">
            <v>15778</v>
          </cell>
        </row>
        <row r="147">
          <cell r="D147">
            <v>3490</v>
          </cell>
          <cell r="E147">
            <v>36858</v>
          </cell>
          <cell r="F147">
            <v>247623</v>
          </cell>
          <cell r="G147">
            <v>534</v>
          </cell>
        </row>
        <row r="150">
          <cell r="C150">
            <v>5899</v>
          </cell>
          <cell r="E150">
            <v>1217</v>
          </cell>
          <cell r="G150">
            <v>12251</v>
          </cell>
        </row>
        <row r="151">
          <cell r="C151">
            <v>1575</v>
          </cell>
          <cell r="E151">
            <v>600</v>
          </cell>
          <cell r="G151">
            <v>1423</v>
          </cell>
        </row>
        <row r="152">
          <cell r="C152">
            <v>3095</v>
          </cell>
          <cell r="E152">
            <v>3726</v>
          </cell>
          <cell r="G152">
            <v>61</v>
          </cell>
        </row>
        <row r="153">
          <cell r="C153">
            <v>3448</v>
          </cell>
          <cell r="E153">
            <v>2666</v>
          </cell>
          <cell r="G153">
            <v>8858</v>
          </cell>
        </row>
        <row r="154">
          <cell r="C154">
            <v>1833</v>
          </cell>
          <cell r="E154">
            <v>1333</v>
          </cell>
          <cell r="G154">
            <v>10520</v>
          </cell>
        </row>
        <row r="155">
          <cell r="C155">
            <v>2450</v>
          </cell>
          <cell r="E155">
            <v>2243</v>
          </cell>
          <cell r="G155">
            <v>9024</v>
          </cell>
        </row>
        <row r="156">
          <cell r="C156">
            <v>1861</v>
          </cell>
          <cell r="E156">
            <v>2164</v>
          </cell>
        </row>
        <row r="157">
          <cell r="C157">
            <v>4967</v>
          </cell>
          <cell r="E157">
            <v>1342</v>
          </cell>
        </row>
        <row r="161">
          <cell r="C161">
            <v>1183</v>
          </cell>
        </row>
        <row r="162">
          <cell r="C162">
            <v>1</v>
          </cell>
        </row>
        <row r="163">
          <cell r="C163">
            <v>14594</v>
          </cell>
        </row>
        <row r="171">
          <cell r="H171">
            <v>0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91883</v>
          </cell>
        </row>
        <row r="20">
          <cell r="D20">
            <v>5543</v>
          </cell>
        </row>
        <row r="21">
          <cell r="D21">
            <v>5663</v>
          </cell>
        </row>
        <row r="22">
          <cell r="D22">
            <v>8902</v>
          </cell>
        </row>
        <row r="23">
          <cell r="D23">
            <v>5145</v>
          </cell>
        </row>
        <row r="24">
          <cell r="D24">
            <v>4282</v>
          </cell>
        </row>
        <row r="25">
          <cell r="D25">
            <v>17006</v>
          </cell>
        </row>
        <row r="26">
          <cell r="D26">
            <v>14367</v>
          </cell>
        </row>
        <row r="27">
          <cell r="D27">
            <v>6915</v>
          </cell>
        </row>
        <row r="28">
          <cell r="D28">
            <v>7910</v>
          </cell>
        </row>
        <row r="29">
          <cell r="D29">
            <v>2959</v>
          </cell>
        </row>
        <row r="30">
          <cell r="D30">
            <v>4493</v>
          </cell>
        </row>
        <row r="31">
          <cell r="D31">
            <v>9752</v>
          </cell>
        </row>
        <row r="32">
          <cell r="D32">
            <v>3807</v>
          </cell>
        </row>
        <row r="33">
          <cell r="D33">
            <v>3201</v>
          </cell>
        </row>
        <row r="34">
          <cell r="D34">
            <v>2833</v>
          </cell>
        </row>
        <row r="35">
          <cell r="D35">
            <v>5653</v>
          </cell>
        </row>
        <row r="36">
          <cell r="D36">
            <v>25518</v>
          </cell>
        </row>
        <row r="37">
          <cell r="D37">
            <v>20792</v>
          </cell>
        </row>
        <row r="38">
          <cell r="D38">
            <v>18100</v>
          </cell>
        </row>
        <row r="39">
          <cell r="D39">
            <v>32935</v>
          </cell>
        </row>
        <row r="40">
          <cell r="D40">
            <v>14058</v>
          </cell>
        </row>
        <row r="41">
          <cell r="D41">
            <v>0</v>
          </cell>
        </row>
        <row r="42">
          <cell r="D42">
            <v>14898</v>
          </cell>
        </row>
        <row r="43">
          <cell r="D43">
            <v>20038</v>
          </cell>
        </row>
        <row r="44">
          <cell r="D44">
            <v>14310</v>
          </cell>
        </row>
        <row r="45">
          <cell r="D45">
            <v>2013</v>
          </cell>
        </row>
        <row r="46">
          <cell r="D46">
            <v>18006</v>
          </cell>
        </row>
        <row r="47">
          <cell r="D47">
            <v>1460</v>
          </cell>
        </row>
        <row r="48">
          <cell r="D48">
            <v>10922</v>
          </cell>
        </row>
        <row r="49">
          <cell r="D49">
            <v>15432</v>
          </cell>
        </row>
        <row r="50">
          <cell r="D50">
            <v>915</v>
          </cell>
        </row>
        <row r="51">
          <cell r="D51">
            <v>8031</v>
          </cell>
        </row>
        <row r="52">
          <cell r="D52">
            <v>441</v>
          </cell>
        </row>
        <row r="53">
          <cell r="D53">
            <v>5058</v>
          </cell>
        </row>
        <row r="54">
          <cell r="D54">
            <v>1428</v>
          </cell>
        </row>
        <row r="55">
          <cell r="D55">
            <v>19156</v>
          </cell>
        </row>
        <row r="56">
          <cell r="D56">
            <v>110635</v>
          </cell>
        </row>
        <row r="64">
          <cell r="D64">
            <v>21212</v>
          </cell>
        </row>
        <row r="65">
          <cell r="D65">
            <v>15352</v>
          </cell>
        </row>
        <row r="66">
          <cell r="D66">
            <v>26820</v>
          </cell>
        </row>
        <row r="67">
          <cell r="D67">
            <v>10222</v>
          </cell>
        </row>
        <row r="68">
          <cell r="D68">
            <v>7424</v>
          </cell>
        </row>
        <row r="69">
          <cell r="D69">
            <v>14017</v>
          </cell>
        </row>
        <row r="70">
          <cell r="D70">
            <v>26140</v>
          </cell>
        </row>
        <row r="71">
          <cell r="D71">
            <v>13483</v>
          </cell>
        </row>
        <row r="72">
          <cell r="D72">
            <v>9574</v>
          </cell>
        </row>
        <row r="73">
          <cell r="D73">
            <v>6264</v>
          </cell>
        </row>
        <row r="74">
          <cell r="D74">
            <v>24136</v>
          </cell>
        </row>
        <row r="75">
          <cell r="D75">
            <v>18003</v>
          </cell>
        </row>
        <row r="76">
          <cell r="D76">
            <v>15299</v>
          </cell>
        </row>
        <row r="77">
          <cell r="D77">
            <v>13118</v>
          </cell>
        </row>
        <row r="78">
          <cell r="D78">
            <v>14037</v>
          </cell>
        </row>
        <row r="79">
          <cell r="D79">
            <v>9655</v>
          </cell>
        </row>
        <row r="80">
          <cell r="D80">
            <v>15505</v>
          </cell>
        </row>
        <row r="81">
          <cell r="D81">
            <v>11925</v>
          </cell>
        </row>
        <row r="82">
          <cell r="D82">
            <v>22806</v>
          </cell>
        </row>
        <row r="83">
          <cell r="D83">
            <v>0</v>
          </cell>
        </row>
        <row r="84">
          <cell r="D84">
            <v>8282</v>
          </cell>
        </row>
        <row r="85">
          <cell r="D85">
            <v>4777</v>
          </cell>
        </row>
        <row r="86">
          <cell r="D86">
            <v>21895</v>
          </cell>
        </row>
        <row r="87">
          <cell r="D87">
            <v>7704</v>
          </cell>
        </row>
        <row r="88">
          <cell r="D88">
            <v>10949</v>
          </cell>
        </row>
        <row r="89">
          <cell r="D89">
            <v>53805</v>
          </cell>
        </row>
        <row r="90">
          <cell r="D90">
            <v>12676</v>
          </cell>
        </row>
        <row r="91">
          <cell r="D91">
            <v>2704</v>
          </cell>
        </row>
        <row r="92">
          <cell r="D92">
            <v>4734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3151</v>
          </cell>
        </row>
        <row r="98">
          <cell r="D98">
            <v>1540</v>
          </cell>
        </row>
        <row r="99">
          <cell r="D99">
            <v>3479</v>
          </cell>
        </row>
        <row r="100">
          <cell r="D100">
            <v>3597</v>
          </cell>
        </row>
        <row r="101">
          <cell r="D101">
            <v>0</v>
          </cell>
        </row>
        <row r="102">
          <cell r="D102">
            <v>5598</v>
          </cell>
        </row>
        <row r="103">
          <cell r="D103">
            <v>2232</v>
          </cell>
        </row>
        <row r="104">
          <cell r="D104">
            <v>3446</v>
          </cell>
        </row>
        <row r="105">
          <cell r="D105">
            <v>3517</v>
          </cell>
        </row>
        <row r="106">
          <cell r="D106">
            <v>5468</v>
          </cell>
        </row>
        <row r="107">
          <cell r="D107">
            <v>2854</v>
          </cell>
          <cell r="G107">
            <v>17275</v>
          </cell>
        </row>
        <row r="108">
          <cell r="D108">
            <v>722</v>
          </cell>
          <cell r="G108">
            <v>6159</v>
          </cell>
        </row>
        <row r="109">
          <cell r="D109">
            <v>0</v>
          </cell>
          <cell r="G109">
            <v>10690</v>
          </cell>
        </row>
        <row r="110">
          <cell r="D110">
            <v>3384</v>
          </cell>
          <cell r="G110">
            <v>13151</v>
          </cell>
        </row>
        <row r="111">
          <cell r="D111">
            <v>3236</v>
          </cell>
          <cell r="G111">
            <v>8250</v>
          </cell>
        </row>
        <row r="112">
          <cell r="D112">
            <v>7618</v>
          </cell>
          <cell r="G112">
            <v>9949</v>
          </cell>
        </row>
        <row r="113">
          <cell r="D113">
            <v>3305</v>
          </cell>
          <cell r="G113">
            <v>8202</v>
          </cell>
        </row>
        <row r="114">
          <cell r="D114">
            <v>7192</v>
          </cell>
          <cell r="G114">
            <v>18207</v>
          </cell>
        </row>
        <row r="115">
          <cell r="D115">
            <v>8858</v>
          </cell>
        </row>
        <row r="116">
          <cell r="D116">
            <v>3521</v>
          </cell>
        </row>
        <row r="117">
          <cell r="D117">
            <v>17489</v>
          </cell>
        </row>
        <row r="118">
          <cell r="D118">
            <v>13892</v>
          </cell>
          <cell r="G118">
            <v>25650</v>
          </cell>
        </row>
        <row r="119">
          <cell r="D119">
            <v>5993</v>
          </cell>
          <cell r="G119">
            <v>11262</v>
          </cell>
        </row>
        <row r="120">
          <cell r="D120">
            <v>11032</v>
          </cell>
          <cell r="G120">
            <v>18254</v>
          </cell>
        </row>
        <row r="121">
          <cell r="D121">
            <v>4409</v>
          </cell>
          <cell r="G121">
            <v>16611</v>
          </cell>
        </row>
        <row r="122">
          <cell r="D122">
            <v>10688</v>
          </cell>
          <cell r="G122">
            <v>486</v>
          </cell>
        </row>
        <row r="123">
          <cell r="D123">
            <v>4051</v>
          </cell>
          <cell r="G123">
            <v>15295</v>
          </cell>
        </row>
        <row r="124">
          <cell r="D124">
            <v>6041</v>
          </cell>
          <cell r="G124">
            <v>23077</v>
          </cell>
        </row>
        <row r="125">
          <cell r="D125">
            <v>3305</v>
          </cell>
        </row>
        <row r="126">
          <cell r="D126">
            <v>1613</v>
          </cell>
        </row>
        <row r="127">
          <cell r="D127">
            <v>6451</v>
          </cell>
        </row>
        <row r="128">
          <cell r="D128">
            <v>13582</v>
          </cell>
          <cell r="G128">
            <v>1029</v>
          </cell>
        </row>
        <row r="129">
          <cell r="D129">
            <v>10636</v>
          </cell>
          <cell r="G129">
            <v>2525</v>
          </cell>
        </row>
        <row r="130">
          <cell r="D130">
            <v>52934</v>
          </cell>
          <cell r="G130">
            <v>12619</v>
          </cell>
        </row>
        <row r="131">
          <cell r="G131">
            <v>13399</v>
          </cell>
        </row>
        <row r="132">
          <cell r="G132">
            <v>5861</v>
          </cell>
        </row>
        <row r="133">
          <cell r="G133">
            <v>4553</v>
          </cell>
        </row>
        <row r="134">
          <cell r="G134">
            <v>7980</v>
          </cell>
        </row>
        <row r="135">
          <cell r="G135">
            <v>4968</v>
          </cell>
        </row>
        <row r="139">
          <cell r="D139">
            <v>2328</v>
          </cell>
          <cell r="G139">
            <v>3138</v>
          </cell>
        </row>
        <row r="140">
          <cell r="D140">
            <v>329</v>
          </cell>
          <cell r="G140">
            <v>34573</v>
          </cell>
        </row>
        <row r="141">
          <cell r="D141">
            <v>1892</v>
          </cell>
          <cell r="G141">
            <v>17933</v>
          </cell>
        </row>
        <row r="142">
          <cell r="D142">
            <v>288</v>
          </cell>
        </row>
        <row r="143">
          <cell r="D143">
            <v>55644</v>
          </cell>
        </row>
        <row r="148">
          <cell r="D148">
            <v>1224542</v>
          </cell>
        </row>
      </sheetData>
      <sheetData sheetId="1">
        <row r="11">
          <cell r="H11">
            <v>84823</v>
          </cell>
        </row>
        <row r="20">
          <cell r="H20">
            <v>5573</v>
          </cell>
        </row>
        <row r="21">
          <cell r="H21">
            <v>6029</v>
          </cell>
        </row>
        <row r="22">
          <cell r="H22">
            <v>10824</v>
          </cell>
        </row>
        <row r="23">
          <cell r="H23">
            <v>3404</v>
          </cell>
        </row>
        <row r="24">
          <cell r="H24">
            <v>4392</v>
          </cell>
        </row>
        <row r="25">
          <cell r="H25">
            <v>13906</v>
          </cell>
        </row>
        <row r="26">
          <cell r="H26">
            <v>4862</v>
          </cell>
        </row>
        <row r="27">
          <cell r="H27">
            <v>2210</v>
          </cell>
        </row>
        <row r="28">
          <cell r="H28">
            <v>8417</v>
          </cell>
        </row>
        <row r="29">
          <cell r="H29">
            <v>3775</v>
          </cell>
        </row>
        <row r="30">
          <cell r="H30">
            <v>4423</v>
          </cell>
        </row>
        <row r="31">
          <cell r="H31">
            <v>10751</v>
          </cell>
        </row>
        <row r="32">
          <cell r="H32">
            <v>3946</v>
          </cell>
        </row>
        <row r="33">
          <cell r="H33">
            <v>3100</v>
          </cell>
        </row>
        <row r="34">
          <cell r="H34">
            <v>2820</v>
          </cell>
        </row>
        <row r="35">
          <cell r="H35">
            <v>7040</v>
          </cell>
        </row>
        <row r="36">
          <cell r="H36">
            <v>25247</v>
          </cell>
        </row>
        <row r="37">
          <cell r="H37">
            <v>19596</v>
          </cell>
        </row>
        <row r="38">
          <cell r="H38">
            <v>18012</v>
          </cell>
        </row>
        <row r="39">
          <cell r="H39">
            <v>29702</v>
          </cell>
        </row>
        <row r="40">
          <cell r="H40">
            <v>14071</v>
          </cell>
        </row>
        <row r="41">
          <cell r="H41">
            <v>0</v>
          </cell>
        </row>
        <row r="42">
          <cell r="H42">
            <v>15156</v>
          </cell>
        </row>
        <row r="43">
          <cell r="H43">
            <v>19693</v>
          </cell>
        </row>
        <row r="44">
          <cell r="H44">
            <v>14566</v>
          </cell>
        </row>
        <row r="45">
          <cell r="H45">
            <v>17078</v>
          </cell>
        </row>
        <row r="46">
          <cell r="H46">
            <v>2892</v>
          </cell>
        </row>
        <row r="47">
          <cell r="H47">
            <v>10542</v>
          </cell>
        </row>
        <row r="48">
          <cell r="H48">
            <v>1670</v>
          </cell>
        </row>
        <row r="49">
          <cell r="H49">
            <v>16257</v>
          </cell>
        </row>
        <row r="50">
          <cell r="H50">
            <v>8267</v>
          </cell>
        </row>
        <row r="51">
          <cell r="H51">
            <v>1440</v>
          </cell>
        </row>
        <row r="52">
          <cell r="H52">
            <v>4492</v>
          </cell>
        </row>
        <row r="53">
          <cell r="H53">
            <v>723</v>
          </cell>
        </row>
        <row r="54">
          <cell r="H54">
            <v>18736</v>
          </cell>
        </row>
        <row r="55">
          <cell r="H55">
            <v>2344</v>
          </cell>
        </row>
        <row r="56">
          <cell r="H56">
            <v>112037</v>
          </cell>
        </row>
        <row r="63">
          <cell r="H63">
            <v>20878</v>
          </cell>
        </row>
        <row r="64">
          <cell r="H64">
            <v>12952</v>
          </cell>
        </row>
        <row r="65">
          <cell r="H65">
            <v>25406</v>
          </cell>
        </row>
        <row r="66">
          <cell r="H66">
            <v>10101</v>
          </cell>
        </row>
        <row r="67">
          <cell r="H67">
            <v>7261</v>
          </cell>
        </row>
        <row r="68">
          <cell r="H68">
            <v>15932</v>
          </cell>
        </row>
        <row r="69">
          <cell r="H69">
            <v>26155</v>
          </cell>
        </row>
        <row r="70">
          <cell r="H70">
            <v>12906</v>
          </cell>
        </row>
        <row r="71">
          <cell r="H71">
            <v>9233</v>
          </cell>
        </row>
        <row r="72">
          <cell r="H72">
            <v>7528</v>
          </cell>
        </row>
        <row r="73">
          <cell r="H73">
            <v>22520</v>
          </cell>
        </row>
        <row r="74">
          <cell r="H74">
            <v>18550</v>
          </cell>
        </row>
        <row r="75">
          <cell r="H75">
            <v>15107</v>
          </cell>
        </row>
        <row r="76">
          <cell r="H76">
            <v>11970</v>
          </cell>
        </row>
        <row r="77">
          <cell r="H77">
            <v>12119</v>
          </cell>
        </row>
        <row r="78">
          <cell r="H78">
            <v>8824</v>
          </cell>
        </row>
        <row r="79">
          <cell r="H79">
            <v>15006</v>
          </cell>
        </row>
        <row r="80">
          <cell r="H80">
            <v>11602</v>
          </cell>
        </row>
        <row r="81">
          <cell r="H81">
            <v>19041</v>
          </cell>
        </row>
        <row r="82">
          <cell r="H82">
            <v>0</v>
          </cell>
        </row>
        <row r="83">
          <cell r="H83">
            <v>7634</v>
          </cell>
        </row>
        <row r="84">
          <cell r="H84">
            <v>4653</v>
          </cell>
        </row>
        <row r="85">
          <cell r="H85">
            <v>22849</v>
          </cell>
        </row>
        <row r="86">
          <cell r="H86">
            <v>7280</v>
          </cell>
        </row>
        <row r="87">
          <cell r="H87">
            <v>8236</v>
          </cell>
        </row>
        <row r="88">
          <cell r="H88">
            <v>46353</v>
          </cell>
        </row>
        <row r="89">
          <cell r="H89">
            <v>10719</v>
          </cell>
        </row>
        <row r="90">
          <cell r="H90">
            <v>2450</v>
          </cell>
        </row>
        <row r="91">
          <cell r="H91">
            <v>4577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3243</v>
          </cell>
        </row>
        <row r="97">
          <cell r="H97">
            <v>1348</v>
          </cell>
        </row>
        <row r="98">
          <cell r="H98">
            <v>3178</v>
          </cell>
        </row>
        <row r="99">
          <cell r="H99">
            <v>3500</v>
          </cell>
        </row>
        <row r="100">
          <cell r="H100">
            <v>0</v>
          </cell>
        </row>
        <row r="101">
          <cell r="H101">
            <v>5256</v>
          </cell>
        </row>
        <row r="102">
          <cell r="H102">
            <v>1905</v>
          </cell>
        </row>
        <row r="103">
          <cell r="H103">
            <v>3249</v>
          </cell>
        </row>
        <row r="104">
          <cell r="H104">
            <v>2683</v>
          </cell>
        </row>
        <row r="105">
          <cell r="H105">
            <v>5602</v>
          </cell>
        </row>
        <row r="106">
          <cell r="H106">
            <v>3157</v>
          </cell>
        </row>
        <row r="107">
          <cell r="H107">
            <v>669</v>
          </cell>
        </row>
        <row r="108">
          <cell r="H108">
            <v>0</v>
          </cell>
        </row>
        <row r="109">
          <cell r="H109">
            <v>3683</v>
          </cell>
        </row>
        <row r="110">
          <cell r="H110">
            <v>2912</v>
          </cell>
        </row>
        <row r="111">
          <cell r="H111">
            <v>7647</v>
          </cell>
        </row>
        <row r="112">
          <cell r="H112">
            <v>3322</v>
          </cell>
        </row>
        <row r="113">
          <cell r="H113">
            <v>7262</v>
          </cell>
        </row>
        <row r="114">
          <cell r="H114">
            <v>8003</v>
          </cell>
        </row>
        <row r="115">
          <cell r="H115">
            <v>2570</v>
          </cell>
        </row>
        <row r="116">
          <cell r="H116">
            <v>15295</v>
          </cell>
        </row>
        <row r="117">
          <cell r="H117">
            <v>13004</v>
          </cell>
        </row>
        <row r="118">
          <cell r="H118">
            <v>5287</v>
          </cell>
        </row>
        <row r="119">
          <cell r="H119">
            <v>4250</v>
          </cell>
        </row>
        <row r="120">
          <cell r="H120">
            <v>9756</v>
          </cell>
        </row>
        <row r="121">
          <cell r="H121">
            <v>7542</v>
          </cell>
        </row>
        <row r="122">
          <cell r="H122">
            <v>4759</v>
          </cell>
        </row>
        <row r="123">
          <cell r="H123">
            <v>5011</v>
          </cell>
        </row>
        <row r="124">
          <cell r="H124">
            <v>3121</v>
          </cell>
        </row>
        <row r="125">
          <cell r="H125">
            <v>1781</v>
          </cell>
        </row>
        <row r="126">
          <cell r="H126">
            <v>5655</v>
          </cell>
        </row>
        <row r="127">
          <cell r="H127">
            <v>12364</v>
          </cell>
        </row>
        <row r="128">
          <cell r="H128">
            <v>8107</v>
          </cell>
        </row>
        <row r="129">
          <cell r="H129">
            <v>45940</v>
          </cell>
        </row>
        <row r="138">
          <cell r="H138">
            <v>213</v>
          </cell>
        </row>
        <row r="139">
          <cell r="H139">
            <v>2172</v>
          </cell>
        </row>
        <row r="140">
          <cell r="H140">
            <v>248</v>
          </cell>
        </row>
        <row r="141">
          <cell r="H141">
            <v>2201</v>
          </cell>
        </row>
        <row r="142">
          <cell r="H142">
            <v>47734</v>
          </cell>
        </row>
        <row r="147">
          <cell r="D147">
            <v>8835</v>
          </cell>
          <cell r="E147">
            <v>243521</v>
          </cell>
          <cell r="F147">
            <v>908922</v>
          </cell>
          <cell r="G147">
            <v>6884</v>
          </cell>
        </row>
        <row r="150">
          <cell r="C150">
            <v>16259</v>
          </cell>
          <cell r="E150">
            <v>3127</v>
          </cell>
          <cell r="G150">
            <v>29650</v>
          </cell>
        </row>
        <row r="151">
          <cell r="C151">
            <v>4708</v>
          </cell>
          <cell r="E151">
            <v>1457</v>
          </cell>
          <cell r="G151">
            <v>4254</v>
          </cell>
        </row>
        <row r="152">
          <cell r="C152">
            <v>8274</v>
          </cell>
          <cell r="E152">
            <v>8471</v>
          </cell>
          <cell r="G152">
            <v>85</v>
          </cell>
        </row>
        <row r="153">
          <cell r="C153">
            <v>13496</v>
          </cell>
          <cell r="E153">
            <v>10678</v>
          </cell>
          <cell r="G153">
            <v>24885</v>
          </cell>
        </row>
        <row r="154">
          <cell r="C154">
            <v>8935</v>
          </cell>
          <cell r="E154">
            <v>4639</v>
          </cell>
          <cell r="G154">
            <v>27459</v>
          </cell>
        </row>
        <row r="155">
          <cell r="C155">
            <v>5966</v>
          </cell>
          <cell r="E155">
            <v>4420</v>
          </cell>
          <cell r="G155">
            <v>25704</v>
          </cell>
        </row>
        <row r="156">
          <cell r="C156">
            <v>7432</v>
          </cell>
          <cell r="E156">
            <v>8408</v>
          </cell>
        </row>
        <row r="157">
          <cell r="C157">
            <v>19753</v>
          </cell>
          <cell r="E157">
            <v>4740</v>
          </cell>
        </row>
        <row r="161">
          <cell r="C161">
            <v>4251</v>
          </cell>
        </row>
        <row r="162">
          <cell r="C162">
            <v>6056</v>
          </cell>
        </row>
        <row r="163">
          <cell r="C163">
            <v>37427</v>
          </cell>
        </row>
        <row r="171">
          <cell r="H171">
            <v>2493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90312</v>
          </cell>
        </row>
        <row r="20">
          <cell r="D20">
            <v>5747</v>
          </cell>
        </row>
        <row r="21">
          <cell r="D21">
            <v>5735</v>
          </cell>
        </row>
        <row r="22">
          <cell r="D22">
            <v>9067</v>
          </cell>
        </row>
        <row r="23">
          <cell r="D23">
            <v>4752</v>
          </cell>
        </row>
        <row r="24">
          <cell r="D24">
            <v>4169</v>
          </cell>
        </row>
        <row r="25">
          <cell r="D25">
            <v>17278</v>
          </cell>
        </row>
        <row r="26">
          <cell r="D26">
            <v>13868</v>
          </cell>
        </row>
        <row r="27">
          <cell r="D27">
            <v>7385</v>
          </cell>
        </row>
        <row r="28">
          <cell r="D28">
            <v>8031</v>
          </cell>
        </row>
        <row r="29">
          <cell r="D29">
            <v>3174</v>
          </cell>
        </row>
        <row r="30">
          <cell r="D30">
            <v>4619</v>
          </cell>
        </row>
        <row r="31">
          <cell r="D31">
            <v>9770</v>
          </cell>
        </row>
        <row r="32">
          <cell r="D32">
            <v>3919</v>
          </cell>
        </row>
        <row r="33">
          <cell r="D33">
            <v>3271</v>
          </cell>
        </row>
        <row r="34">
          <cell r="D34">
            <v>2765</v>
          </cell>
        </row>
        <row r="35">
          <cell r="D35">
            <v>5716</v>
          </cell>
        </row>
        <row r="36">
          <cell r="D36">
            <v>27100</v>
          </cell>
        </row>
        <row r="37">
          <cell r="D37">
            <v>21079</v>
          </cell>
        </row>
        <row r="38">
          <cell r="D38">
            <v>17715</v>
          </cell>
        </row>
        <row r="39">
          <cell r="D39">
            <v>33705</v>
          </cell>
        </row>
        <row r="40">
          <cell r="D40">
            <v>13235</v>
          </cell>
        </row>
        <row r="41">
          <cell r="D41">
            <v>0</v>
          </cell>
        </row>
        <row r="42">
          <cell r="D42">
            <v>14438</v>
          </cell>
        </row>
        <row r="43">
          <cell r="D43">
            <v>19609</v>
          </cell>
        </row>
        <row r="44">
          <cell r="D44">
            <v>14324</v>
          </cell>
        </row>
        <row r="45">
          <cell r="D45">
            <v>1954</v>
          </cell>
        </row>
        <row r="46">
          <cell r="D46">
            <v>18013</v>
          </cell>
        </row>
        <row r="47">
          <cell r="D47">
            <v>1421</v>
          </cell>
        </row>
        <row r="48">
          <cell r="D48">
            <v>11077</v>
          </cell>
        </row>
        <row r="49">
          <cell r="D49">
            <v>15349</v>
          </cell>
        </row>
        <row r="50">
          <cell r="D50">
            <v>928</v>
          </cell>
        </row>
        <row r="51">
          <cell r="D51">
            <v>8006</v>
          </cell>
        </row>
        <row r="52">
          <cell r="D52">
            <v>536</v>
          </cell>
        </row>
        <row r="53">
          <cell r="D53">
            <v>4959</v>
          </cell>
        </row>
        <row r="54">
          <cell r="D54">
            <v>1431</v>
          </cell>
        </row>
        <row r="55">
          <cell r="D55">
            <v>19527</v>
          </cell>
        </row>
        <row r="56">
          <cell r="D56">
            <v>109511</v>
          </cell>
        </row>
        <row r="64">
          <cell r="D64">
            <v>18537</v>
          </cell>
        </row>
        <row r="65">
          <cell r="D65">
            <v>15198</v>
          </cell>
        </row>
        <row r="66">
          <cell r="D66">
            <v>26034</v>
          </cell>
        </row>
        <row r="67">
          <cell r="D67">
            <v>10078</v>
          </cell>
        </row>
        <row r="68">
          <cell r="D68">
            <v>7828</v>
          </cell>
        </row>
        <row r="69">
          <cell r="D69">
            <v>13449</v>
          </cell>
        </row>
        <row r="70">
          <cell r="D70">
            <v>25258</v>
          </cell>
        </row>
        <row r="71">
          <cell r="D71">
            <v>12994</v>
          </cell>
        </row>
        <row r="72">
          <cell r="D72">
            <v>9116</v>
          </cell>
        </row>
        <row r="73">
          <cell r="D73">
            <v>6379</v>
          </cell>
        </row>
        <row r="74">
          <cell r="D74">
            <v>24914</v>
          </cell>
        </row>
        <row r="75">
          <cell r="D75">
            <v>17840</v>
          </cell>
        </row>
        <row r="76">
          <cell r="D76">
            <v>15266</v>
          </cell>
        </row>
        <row r="77">
          <cell r="D77">
            <v>12856</v>
          </cell>
        </row>
        <row r="78">
          <cell r="D78">
            <v>14260</v>
          </cell>
        </row>
        <row r="79">
          <cell r="D79">
            <v>9387</v>
          </cell>
        </row>
        <row r="80">
          <cell r="D80">
            <v>14235</v>
          </cell>
        </row>
        <row r="81">
          <cell r="D81">
            <v>11244</v>
          </cell>
        </row>
        <row r="82">
          <cell r="D82">
            <v>21419</v>
          </cell>
        </row>
        <row r="83">
          <cell r="D83">
            <v>0</v>
          </cell>
        </row>
        <row r="84">
          <cell r="D84">
            <v>7701</v>
          </cell>
        </row>
        <row r="85">
          <cell r="D85">
            <v>4860</v>
          </cell>
        </row>
        <row r="86">
          <cell r="D86">
            <v>20902</v>
          </cell>
        </row>
        <row r="87">
          <cell r="D87">
            <v>7763</v>
          </cell>
        </row>
        <row r="88">
          <cell r="D88">
            <v>10462</v>
          </cell>
        </row>
        <row r="89">
          <cell r="D89">
            <v>45588</v>
          </cell>
        </row>
        <row r="90">
          <cell r="D90">
            <v>12152</v>
          </cell>
        </row>
        <row r="91">
          <cell r="D91">
            <v>2584</v>
          </cell>
        </row>
        <row r="92">
          <cell r="D92">
            <v>4617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2782</v>
          </cell>
        </row>
        <row r="98">
          <cell r="D98">
            <v>1116</v>
          </cell>
        </row>
        <row r="99">
          <cell r="D99">
            <v>2762</v>
          </cell>
        </row>
        <row r="100">
          <cell r="D100">
            <v>2815</v>
          </cell>
        </row>
        <row r="101">
          <cell r="D101">
            <v>0</v>
          </cell>
        </row>
        <row r="102">
          <cell r="D102">
            <v>4599</v>
          </cell>
        </row>
        <row r="103">
          <cell r="D103">
            <v>1933</v>
          </cell>
        </row>
        <row r="104">
          <cell r="D104">
            <v>2741</v>
          </cell>
        </row>
        <row r="105">
          <cell r="D105">
            <v>3350</v>
          </cell>
        </row>
        <row r="106">
          <cell r="D106">
            <v>5832</v>
          </cell>
        </row>
        <row r="107">
          <cell r="D107">
            <v>2337</v>
          </cell>
          <cell r="G107">
            <v>16774</v>
          </cell>
        </row>
        <row r="108">
          <cell r="D108">
            <v>523</v>
          </cell>
          <cell r="G108">
            <v>6219</v>
          </cell>
        </row>
        <row r="109">
          <cell r="D109">
            <v>0</v>
          </cell>
          <cell r="G109">
            <v>10709</v>
          </cell>
        </row>
        <row r="110">
          <cell r="D110">
            <v>2784</v>
          </cell>
          <cell r="G110">
            <v>13143</v>
          </cell>
        </row>
        <row r="111">
          <cell r="D111">
            <v>3044</v>
          </cell>
          <cell r="G111">
            <v>8027</v>
          </cell>
        </row>
        <row r="112">
          <cell r="D112">
            <v>7247</v>
          </cell>
          <cell r="G112">
            <v>9847</v>
          </cell>
        </row>
        <row r="113">
          <cell r="D113">
            <v>3381</v>
          </cell>
          <cell r="G113">
            <v>8311</v>
          </cell>
        </row>
        <row r="114">
          <cell r="D114">
            <v>6980</v>
          </cell>
          <cell r="G114">
            <v>17282</v>
          </cell>
        </row>
        <row r="115">
          <cell r="D115">
            <v>8988</v>
          </cell>
        </row>
        <row r="116">
          <cell r="D116">
            <v>3435</v>
          </cell>
        </row>
        <row r="117">
          <cell r="D117">
            <v>18263</v>
          </cell>
        </row>
        <row r="118">
          <cell r="D118">
            <v>13638</v>
          </cell>
          <cell r="G118">
            <v>24626</v>
          </cell>
        </row>
        <row r="119">
          <cell r="D119">
            <v>5976</v>
          </cell>
          <cell r="G119">
            <v>11013</v>
          </cell>
        </row>
        <row r="120">
          <cell r="D120">
            <v>11020</v>
          </cell>
          <cell r="G120">
            <v>17992</v>
          </cell>
        </row>
        <row r="121">
          <cell r="D121">
            <v>4395</v>
          </cell>
          <cell r="G121">
            <v>16696</v>
          </cell>
        </row>
        <row r="122">
          <cell r="D122">
            <v>10556</v>
          </cell>
          <cell r="G122">
            <v>526</v>
          </cell>
        </row>
        <row r="123">
          <cell r="D123">
            <v>3975</v>
          </cell>
          <cell r="G123">
            <v>15882</v>
          </cell>
        </row>
        <row r="124">
          <cell r="D124">
            <v>6189</v>
          </cell>
          <cell r="G124">
            <v>22776</v>
          </cell>
        </row>
        <row r="125">
          <cell r="D125">
            <v>3355</v>
          </cell>
        </row>
        <row r="126">
          <cell r="D126">
            <v>1738</v>
          </cell>
        </row>
        <row r="127">
          <cell r="D127">
            <v>6612</v>
          </cell>
        </row>
        <row r="128">
          <cell r="D128">
            <v>13509</v>
          </cell>
          <cell r="G128">
            <v>1268</v>
          </cell>
        </row>
        <row r="129">
          <cell r="D129">
            <v>11373</v>
          </cell>
          <cell r="G129">
            <v>2058</v>
          </cell>
        </row>
        <row r="130">
          <cell r="D130">
            <v>53361</v>
          </cell>
          <cell r="G130">
            <v>12780</v>
          </cell>
        </row>
        <row r="131">
          <cell r="G131">
            <v>13313</v>
          </cell>
        </row>
        <row r="132">
          <cell r="G132">
            <v>5884</v>
          </cell>
        </row>
        <row r="133">
          <cell r="G133">
            <v>4830</v>
          </cell>
        </row>
        <row r="134">
          <cell r="G134">
            <v>8248</v>
          </cell>
        </row>
        <row r="135">
          <cell r="G135">
            <v>4980</v>
          </cell>
        </row>
        <row r="139">
          <cell r="D139">
            <v>2298</v>
          </cell>
          <cell r="G139">
            <v>3128</v>
          </cell>
        </row>
        <row r="140">
          <cell r="D140">
            <v>350</v>
          </cell>
          <cell r="G140">
            <v>35805</v>
          </cell>
        </row>
        <row r="141">
          <cell r="D141">
            <v>1892</v>
          </cell>
          <cell r="G141">
            <v>17921</v>
          </cell>
        </row>
        <row r="142">
          <cell r="D142">
            <v>273</v>
          </cell>
        </row>
        <row r="143">
          <cell r="D143">
            <v>56854</v>
          </cell>
        </row>
        <row r="148">
          <cell r="D148">
            <v>1200758</v>
          </cell>
        </row>
      </sheetData>
      <sheetData sheetId="1">
        <row r="11">
          <cell r="H11">
            <v>84223</v>
          </cell>
        </row>
        <row r="20">
          <cell r="H20">
            <v>5574</v>
          </cell>
        </row>
        <row r="21">
          <cell r="H21">
            <v>6235</v>
          </cell>
        </row>
        <row r="22">
          <cell r="H22">
            <v>10744</v>
          </cell>
        </row>
        <row r="23">
          <cell r="H23">
            <v>3518</v>
          </cell>
        </row>
        <row r="24">
          <cell r="H24">
            <v>4364</v>
          </cell>
        </row>
        <row r="25">
          <cell r="H25">
            <v>13822</v>
          </cell>
        </row>
        <row r="26">
          <cell r="H26">
            <v>3949</v>
          </cell>
        </row>
        <row r="27">
          <cell r="H27">
            <v>2478</v>
          </cell>
        </row>
        <row r="28">
          <cell r="H28">
            <v>8250</v>
          </cell>
        </row>
        <row r="29">
          <cell r="H29">
            <v>3760</v>
          </cell>
        </row>
        <row r="30">
          <cell r="H30">
            <v>4507</v>
          </cell>
        </row>
        <row r="31">
          <cell r="H31">
            <v>10205</v>
          </cell>
        </row>
        <row r="32">
          <cell r="H32">
            <v>3938</v>
          </cell>
        </row>
        <row r="33">
          <cell r="H33">
            <v>3085</v>
          </cell>
        </row>
        <row r="34">
          <cell r="H34">
            <v>2882</v>
          </cell>
        </row>
        <row r="35">
          <cell r="H35">
            <v>6871</v>
          </cell>
        </row>
        <row r="36">
          <cell r="H36">
            <v>24633</v>
          </cell>
        </row>
        <row r="37">
          <cell r="H37">
            <v>19256</v>
          </cell>
        </row>
        <row r="38">
          <cell r="H38">
            <v>17636</v>
          </cell>
        </row>
        <row r="39">
          <cell r="H39">
            <v>29593</v>
          </cell>
        </row>
        <row r="40">
          <cell r="H40">
            <v>13530</v>
          </cell>
        </row>
        <row r="41">
          <cell r="H41">
            <v>0</v>
          </cell>
        </row>
        <row r="42">
          <cell r="H42">
            <v>14963</v>
          </cell>
        </row>
        <row r="43">
          <cell r="H43">
            <v>19122</v>
          </cell>
        </row>
        <row r="44">
          <cell r="H44">
            <v>14568</v>
          </cell>
        </row>
        <row r="45">
          <cell r="H45">
            <v>17109</v>
          </cell>
        </row>
        <row r="46">
          <cell r="H46">
            <v>3000</v>
          </cell>
        </row>
        <row r="47">
          <cell r="H47">
            <v>10594</v>
          </cell>
        </row>
        <row r="48">
          <cell r="H48">
            <v>1760</v>
          </cell>
        </row>
        <row r="49">
          <cell r="H49">
            <v>16292</v>
          </cell>
        </row>
        <row r="50">
          <cell r="H50">
            <v>8262</v>
          </cell>
        </row>
        <row r="51">
          <cell r="H51">
            <v>1418</v>
          </cell>
        </row>
        <row r="52">
          <cell r="H52">
            <v>4312</v>
          </cell>
        </row>
        <row r="53">
          <cell r="H53">
            <v>722</v>
          </cell>
        </row>
        <row r="54">
          <cell r="H54">
            <v>18847</v>
          </cell>
        </row>
        <row r="55">
          <cell r="H55">
            <v>2364</v>
          </cell>
        </row>
        <row r="56">
          <cell r="H56">
            <v>109127</v>
          </cell>
        </row>
        <row r="63">
          <cell r="H63">
            <v>19627</v>
          </cell>
        </row>
        <row r="64">
          <cell r="H64">
            <v>12909</v>
          </cell>
        </row>
        <row r="65">
          <cell r="H65">
            <v>24936</v>
          </cell>
        </row>
        <row r="66">
          <cell r="H66">
            <v>9605</v>
          </cell>
        </row>
        <row r="67">
          <cell r="H67">
            <v>6844</v>
          </cell>
        </row>
        <row r="68">
          <cell r="H68">
            <v>15639</v>
          </cell>
        </row>
        <row r="69">
          <cell r="H69">
            <v>25144</v>
          </cell>
        </row>
        <row r="70">
          <cell r="H70">
            <v>12768</v>
          </cell>
        </row>
        <row r="71">
          <cell r="H71">
            <v>9157</v>
          </cell>
        </row>
        <row r="72">
          <cell r="H72">
            <v>7234</v>
          </cell>
        </row>
        <row r="73">
          <cell r="H73">
            <v>22233</v>
          </cell>
        </row>
        <row r="74">
          <cell r="H74">
            <v>18074</v>
          </cell>
        </row>
        <row r="75">
          <cell r="H75">
            <v>15129</v>
          </cell>
        </row>
        <row r="76">
          <cell r="H76">
            <v>11978</v>
          </cell>
        </row>
        <row r="77">
          <cell r="H77">
            <v>11090</v>
          </cell>
        </row>
        <row r="78">
          <cell r="H78">
            <v>8325</v>
          </cell>
        </row>
        <row r="79">
          <cell r="H79">
            <v>13229</v>
          </cell>
        </row>
        <row r="80">
          <cell r="H80">
            <v>11409</v>
          </cell>
        </row>
        <row r="81">
          <cell r="H81">
            <v>18354</v>
          </cell>
        </row>
        <row r="82">
          <cell r="H82">
            <v>0</v>
          </cell>
        </row>
        <row r="83">
          <cell r="H83">
            <v>7286</v>
          </cell>
        </row>
        <row r="84">
          <cell r="H84">
            <v>4359</v>
          </cell>
        </row>
        <row r="85">
          <cell r="H85">
            <v>21066</v>
          </cell>
        </row>
        <row r="86">
          <cell r="H86">
            <v>7071</v>
          </cell>
        </row>
        <row r="87">
          <cell r="H87">
            <v>7695</v>
          </cell>
        </row>
        <row r="88">
          <cell r="H88">
            <v>41491</v>
          </cell>
        </row>
        <row r="89">
          <cell r="H89">
            <v>10116</v>
          </cell>
        </row>
        <row r="90">
          <cell r="H90">
            <v>2331</v>
          </cell>
        </row>
        <row r="91">
          <cell r="H91">
            <v>4318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2901</v>
          </cell>
        </row>
        <row r="97">
          <cell r="H97">
            <v>1132</v>
          </cell>
        </row>
        <row r="98">
          <cell r="H98">
            <v>2725</v>
          </cell>
        </row>
        <row r="99">
          <cell r="H99">
            <v>2827</v>
          </cell>
        </row>
        <row r="100">
          <cell r="H100">
            <v>0</v>
          </cell>
        </row>
        <row r="101">
          <cell r="H101">
            <v>4724</v>
          </cell>
        </row>
        <row r="102">
          <cell r="H102">
            <v>1682</v>
          </cell>
        </row>
        <row r="103">
          <cell r="H103">
            <v>2605</v>
          </cell>
        </row>
        <row r="104">
          <cell r="H104">
            <v>2310</v>
          </cell>
        </row>
        <row r="105">
          <cell r="H105">
            <v>4939</v>
          </cell>
        </row>
        <row r="106">
          <cell r="H106">
            <v>2768</v>
          </cell>
        </row>
        <row r="107">
          <cell r="H107">
            <v>493</v>
          </cell>
        </row>
        <row r="108">
          <cell r="H108">
            <v>0</v>
          </cell>
        </row>
        <row r="109">
          <cell r="H109">
            <v>3184</v>
          </cell>
        </row>
        <row r="110">
          <cell r="H110">
            <v>2788</v>
          </cell>
        </row>
        <row r="111">
          <cell r="H111">
            <v>7264</v>
          </cell>
        </row>
        <row r="112">
          <cell r="H112">
            <v>3255</v>
          </cell>
        </row>
        <row r="113">
          <cell r="H113">
            <v>7021</v>
          </cell>
        </row>
        <row r="114">
          <cell r="H114">
            <v>8153</v>
          </cell>
        </row>
        <row r="115">
          <cell r="H115">
            <v>2500</v>
          </cell>
        </row>
        <row r="116">
          <cell r="H116">
            <v>15718</v>
          </cell>
        </row>
        <row r="117">
          <cell r="H117">
            <v>12867</v>
          </cell>
        </row>
        <row r="118">
          <cell r="H118">
            <v>5281</v>
          </cell>
        </row>
        <row r="119">
          <cell r="H119">
            <v>4210</v>
          </cell>
        </row>
        <row r="120">
          <cell r="H120">
            <v>9767</v>
          </cell>
        </row>
        <row r="121">
          <cell r="H121">
            <v>7712</v>
          </cell>
        </row>
        <row r="122">
          <cell r="H122">
            <v>4800</v>
          </cell>
        </row>
        <row r="123">
          <cell r="H123">
            <v>4958</v>
          </cell>
        </row>
        <row r="124">
          <cell r="H124">
            <v>3215</v>
          </cell>
        </row>
        <row r="125">
          <cell r="H125">
            <v>1859</v>
          </cell>
        </row>
        <row r="126">
          <cell r="H126">
            <v>5733</v>
          </cell>
        </row>
        <row r="127">
          <cell r="H127">
            <v>11962</v>
          </cell>
        </row>
        <row r="128">
          <cell r="H128">
            <v>8040</v>
          </cell>
        </row>
        <row r="129">
          <cell r="H129">
            <v>46022</v>
          </cell>
        </row>
        <row r="138">
          <cell r="H138">
            <v>267</v>
          </cell>
        </row>
        <row r="139">
          <cell r="H139">
            <v>1942</v>
          </cell>
        </row>
        <row r="140">
          <cell r="H140">
            <v>255</v>
          </cell>
        </row>
        <row r="141">
          <cell r="H141">
            <v>1981</v>
          </cell>
        </row>
        <row r="142">
          <cell r="H142">
            <v>49807</v>
          </cell>
        </row>
        <row r="147">
          <cell r="D147">
            <v>8873</v>
          </cell>
          <cell r="E147">
            <v>242215</v>
          </cell>
          <cell r="F147">
            <v>880453</v>
          </cell>
          <cell r="G147">
            <v>7359</v>
          </cell>
        </row>
        <row r="150">
          <cell r="C150">
            <v>17167</v>
          </cell>
          <cell r="E150">
            <v>3125</v>
          </cell>
          <cell r="G150">
            <v>28553</v>
          </cell>
        </row>
        <row r="151">
          <cell r="C151">
            <v>4283</v>
          </cell>
          <cell r="E151">
            <v>1497</v>
          </cell>
          <cell r="G151">
            <v>4303</v>
          </cell>
        </row>
        <row r="152">
          <cell r="C152">
            <v>8030</v>
          </cell>
          <cell r="E152">
            <v>8391</v>
          </cell>
          <cell r="G152">
            <v>111</v>
          </cell>
        </row>
        <row r="153">
          <cell r="C153">
            <v>12964</v>
          </cell>
          <cell r="E153">
            <v>10616</v>
          </cell>
          <cell r="G153">
            <v>23911</v>
          </cell>
        </row>
        <row r="154">
          <cell r="C154">
            <v>8702</v>
          </cell>
          <cell r="E154">
            <v>5133</v>
          </cell>
          <cell r="G154">
            <v>27751</v>
          </cell>
        </row>
        <row r="155">
          <cell r="C155">
            <v>5864</v>
          </cell>
          <cell r="E155">
            <v>4686</v>
          </cell>
          <cell r="G155">
            <v>24498</v>
          </cell>
        </row>
        <row r="156">
          <cell r="C156">
            <v>7626</v>
          </cell>
          <cell r="E156">
            <v>7752</v>
          </cell>
        </row>
        <row r="157">
          <cell r="C157">
            <v>19587</v>
          </cell>
          <cell r="E157">
            <v>4822</v>
          </cell>
        </row>
        <row r="161">
          <cell r="C161">
            <v>3028</v>
          </cell>
        </row>
        <row r="162">
          <cell r="C162">
            <v>7522</v>
          </cell>
        </row>
        <row r="163">
          <cell r="C163">
            <v>39257</v>
          </cell>
        </row>
        <row r="171">
          <cell r="H171">
            <v>2491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92424</v>
          </cell>
        </row>
        <row r="20">
          <cell r="D20">
            <v>5445</v>
          </cell>
        </row>
        <row r="21">
          <cell r="D21">
            <v>5646</v>
          </cell>
        </row>
        <row r="22">
          <cell r="D22">
            <v>9293</v>
          </cell>
        </row>
        <row r="23">
          <cell r="D23">
            <v>4580</v>
          </cell>
        </row>
        <row r="24">
          <cell r="D24">
            <v>4321</v>
          </cell>
        </row>
        <row r="25">
          <cell r="D25">
            <v>17526</v>
          </cell>
        </row>
        <row r="26">
          <cell r="D26">
            <v>13491</v>
          </cell>
        </row>
        <row r="27">
          <cell r="D27">
            <v>5739</v>
          </cell>
        </row>
        <row r="28">
          <cell r="D28">
            <v>7964</v>
          </cell>
        </row>
        <row r="29">
          <cell r="D29">
            <v>3160</v>
          </cell>
        </row>
        <row r="30">
          <cell r="D30">
            <v>4614</v>
          </cell>
        </row>
        <row r="31">
          <cell r="D31">
            <v>9565</v>
          </cell>
        </row>
        <row r="32">
          <cell r="D32">
            <v>3697</v>
          </cell>
        </row>
        <row r="33">
          <cell r="D33">
            <v>3257</v>
          </cell>
        </row>
        <row r="34">
          <cell r="D34">
            <v>2704</v>
          </cell>
        </row>
        <row r="35">
          <cell r="D35">
            <v>6483</v>
          </cell>
        </row>
        <row r="36">
          <cell r="D36">
            <v>25152</v>
          </cell>
        </row>
        <row r="37">
          <cell r="D37">
            <v>20809</v>
          </cell>
        </row>
        <row r="38">
          <cell r="D38">
            <v>17694</v>
          </cell>
        </row>
        <row r="39">
          <cell r="D39">
            <v>32361</v>
          </cell>
        </row>
        <row r="40">
          <cell r="D40">
            <v>13279</v>
          </cell>
        </row>
        <row r="41">
          <cell r="D41">
            <v>0</v>
          </cell>
        </row>
        <row r="42">
          <cell r="D42">
            <v>14658</v>
          </cell>
        </row>
        <row r="43">
          <cell r="D43">
            <v>19552</v>
          </cell>
        </row>
        <row r="44">
          <cell r="D44">
            <v>14356</v>
          </cell>
        </row>
        <row r="45">
          <cell r="D45">
            <v>2077</v>
          </cell>
        </row>
        <row r="46">
          <cell r="D46">
            <v>17707</v>
          </cell>
        </row>
        <row r="47">
          <cell r="D47">
            <v>1481</v>
          </cell>
        </row>
        <row r="48">
          <cell r="D48">
            <v>10963</v>
          </cell>
        </row>
        <row r="49">
          <cell r="D49">
            <v>14997</v>
          </cell>
        </row>
        <row r="50">
          <cell r="D50">
            <v>895</v>
          </cell>
        </row>
        <row r="51">
          <cell r="D51">
            <v>7888</v>
          </cell>
        </row>
        <row r="52">
          <cell r="D52">
            <v>462</v>
          </cell>
        </row>
        <row r="53">
          <cell r="D53">
            <v>5046</v>
          </cell>
        </row>
        <row r="54">
          <cell r="D54">
            <v>1339</v>
          </cell>
        </row>
        <row r="55">
          <cell r="D55">
            <v>19076</v>
          </cell>
        </row>
        <row r="56">
          <cell r="D56">
            <v>108783</v>
          </cell>
        </row>
        <row r="64">
          <cell r="D64">
            <v>21025</v>
          </cell>
        </row>
        <row r="65">
          <cell r="D65">
            <v>15036</v>
          </cell>
        </row>
        <row r="66">
          <cell r="D66">
            <v>26257</v>
          </cell>
        </row>
        <row r="67">
          <cell r="D67">
            <v>9999</v>
          </cell>
        </row>
        <row r="68">
          <cell r="D68">
            <v>7002</v>
          </cell>
        </row>
        <row r="69">
          <cell r="D69">
            <v>13493</v>
          </cell>
        </row>
        <row r="70">
          <cell r="D70">
            <v>25921</v>
          </cell>
        </row>
        <row r="71">
          <cell r="D71">
            <v>13428</v>
          </cell>
        </row>
        <row r="72">
          <cell r="D72">
            <v>9329</v>
          </cell>
        </row>
        <row r="73">
          <cell r="D73">
            <v>6338</v>
          </cell>
        </row>
        <row r="74">
          <cell r="D74">
            <v>23120</v>
          </cell>
        </row>
        <row r="75">
          <cell r="D75">
            <v>17216</v>
          </cell>
        </row>
        <row r="76">
          <cell r="D76">
            <v>15939</v>
          </cell>
        </row>
        <row r="77">
          <cell r="D77">
            <v>13496</v>
          </cell>
        </row>
        <row r="78">
          <cell r="D78">
            <v>13968</v>
          </cell>
        </row>
        <row r="79">
          <cell r="D79">
            <v>9608</v>
          </cell>
        </row>
        <row r="80">
          <cell r="D80">
            <v>14426</v>
          </cell>
        </row>
        <row r="81">
          <cell r="D81">
            <v>11913</v>
          </cell>
        </row>
        <row r="82">
          <cell r="D82">
            <v>21228</v>
          </cell>
        </row>
        <row r="83">
          <cell r="D83">
            <v>0</v>
          </cell>
        </row>
        <row r="84">
          <cell r="D84">
            <v>7471</v>
          </cell>
        </row>
        <row r="85">
          <cell r="D85">
            <v>4932</v>
          </cell>
        </row>
        <row r="86">
          <cell r="D86">
            <v>20557</v>
          </cell>
        </row>
        <row r="87">
          <cell r="D87">
            <v>7637</v>
          </cell>
        </row>
        <row r="88">
          <cell r="D88">
            <v>10395</v>
          </cell>
        </row>
        <row r="89">
          <cell r="D89">
            <v>51219</v>
          </cell>
        </row>
        <row r="90">
          <cell r="D90">
            <v>13258</v>
          </cell>
        </row>
        <row r="91">
          <cell r="D91">
            <v>2590</v>
          </cell>
        </row>
        <row r="92">
          <cell r="D92">
            <v>4465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3084</v>
          </cell>
        </row>
        <row r="98">
          <cell r="D98">
            <v>1368</v>
          </cell>
        </row>
        <row r="99">
          <cell r="D99">
            <v>3165</v>
          </cell>
        </row>
        <row r="100">
          <cell r="D100">
            <v>3322</v>
          </cell>
        </row>
        <row r="101">
          <cell r="D101">
            <v>0</v>
          </cell>
        </row>
        <row r="102">
          <cell r="D102">
            <v>5018</v>
          </cell>
        </row>
        <row r="103">
          <cell r="D103">
            <v>2191</v>
          </cell>
        </row>
        <row r="104">
          <cell r="D104">
            <v>3151</v>
          </cell>
        </row>
        <row r="105">
          <cell r="D105">
            <v>3249</v>
          </cell>
        </row>
        <row r="106">
          <cell r="D106">
            <v>4953</v>
          </cell>
        </row>
        <row r="107">
          <cell r="D107">
            <v>2609</v>
          </cell>
          <cell r="G107">
            <v>16517</v>
          </cell>
        </row>
        <row r="108">
          <cell r="D108">
            <v>533</v>
          </cell>
          <cell r="G108">
            <v>6703</v>
          </cell>
        </row>
        <row r="109">
          <cell r="D109">
            <v>0</v>
          </cell>
          <cell r="G109">
            <v>10834</v>
          </cell>
        </row>
        <row r="110">
          <cell r="D110">
            <v>2872</v>
          </cell>
          <cell r="G110">
            <v>13546</v>
          </cell>
        </row>
        <row r="111">
          <cell r="D111">
            <v>3089</v>
          </cell>
          <cell r="G111">
            <v>8381</v>
          </cell>
        </row>
        <row r="112">
          <cell r="D112">
            <v>7084</v>
          </cell>
          <cell r="G112">
            <v>10156</v>
          </cell>
        </row>
        <row r="113">
          <cell r="D113">
            <v>3318</v>
          </cell>
          <cell r="G113">
            <v>8205</v>
          </cell>
        </row>
        <row r="114">
          <cell r="D114">
            <v>7104</v>
          </cell>
          <cell r="G114">
            <v>18082</v>
          </cell>
        </row>
        <row r="115">
          <cell r="D115">
            <v>8992</v>
          </cell>
        </row>
        <row r="116">
          <cell r="D116">
            <v>3540</v>
          </cell>
        </row>
        <row r="117">
          <cell r="D117">
            <v>19152</v>
          </cell>
        </row>
        <row r="118">
          <cell r="D118">
            <v>14060</v>
          </cell>
          <cell r="G118">
            <v>23615</v>
          </cell>
        </row>
        <row r="119">
          <cell r="D119">
            <v>5912</v>
          </cell>
          <cell r="G119">
            <v>10909</v>
          </cell>
        </row>
        <row r="120">
          <cell r="D120">
            <v>11224</v>
          </cell>
          <cell r="G120">
            <v>18245</v>
          </cell>
        </row>
        <row r="121">
          <cell r="D121">
            <v>4325</v>
          </cell>
          <cell r="G121">
            <v>16798</v>
          </cell>
        </row>
        <row r="122">
          <cell r="D122">
            <v>10601</v>
          </cell>
          <cell r="G122">
            <v>509</v>
          </cell>
        </row>
        <row r="123">
          <cell r="D123">
            <v>4019</v>
          </cell>
          <cell r="G123">
            <v>15484</v>
          </cell>
        </row>
        <row r="124">
          <cell r="D124">
            <v>6210</v>
          </cell>
          <cell r="G124">
            <v>23223</v>
          </cell>
        </row>
        <row r="125">
          <cell r="D125">
            <v>3319</v>
          </cell>
        </row>
        <row r="126">
          <cell r="D126">
            <v>1664</v>
          </cell>
        </row>
        <row r="127">
          <cell r="D127">
            <v>6646</v>
          </cell>
        </row>
        <row r="128">
          <cell r="D128">
            <v>13725</v>
          </cell>
          <cell r="G128">
            <v>1073</v>
          </cell>
        </row>
        <row r="129">
          <cell r="D129">
            <v>10575</v>
          </cell>
          <cell r="G129">
            <v>4138</v>
          </cell>
        </row>
        <row r="130">
          <cell r="D130">
            <v>55413</v>
          </cell>
          <cell r="G130">
            <v>12966</v>
          </cell>
        </row>
        <row r="131">
          <cell r="G131">
            <v>13494</v>
          </cell>
        </row>
        <row r="132">
          <cell r="G132">
            <v>5949</v>
          </cell>
        </row>
        <row r="133">
          <cell r="G133">
            <v>4737</v>
          </cell>
        </row>
        <row r="134">
          <cell r="G134">
            <v>8165</v>
          </cell>
        </row>
        <row r="135">
          <cell r="G135">
            <v>4891</v>
          </cell>
        </row>
        <row r="139">
          <cell r="D139">
            <v>2232</v>
          </cell>
          <cell r="G139">
            <v>3056</v>
          </cell>
        </row>
        <row r="140">
          <cell r="D140">
            <v>336</v>
          </cell>
          <cell r="G140">
            <v>36004</v>
          </cell>
        </row>
        <row r="141">
          <cell r="D141">
            <v>1950</v>
          </cell>
          <cell r="G141">
            <v>18143</v>
          </cell>
        </row>
        <row r="142">
          <cell r="D142">
            <v>327</v>
          </cell>
        </row>
        <row r="143">
          <cell r="D143">
            <v>57203</v>
          </cell>
        </row>
        <row r="148">
          <cell r="D148">
            <v>1212299</v>
          </cell>
        </row>
      </sheetData>
      <sheetData sheetId="1">
        <row r="11">
          <cell r="H11">
            <v>84854</v>
          </cell>
        </row>
        <row r="20">
          <cell r="H20">
            <v>5321</v>
          </cell>
        </row>
        <row r="21">
          <cell r="H21">
            <v>6125</v>
          </cell>
        </row>
        <row r="22">
          <cell r="H22">
            <v>10918</v>
          </cell>
        </row>
        <row r="23">
          <cell r="H23">
            <v>3674</v>
          </cell>
        </row>
        <row r="24">
          <cell r="H24">
            <v>4528</v>
          </cell>
        </row>
        <row r="25">
          <cell r="H25">
            <v>13336</v>
          </cell>
        </row>
        <row r="26">
          <cell r="H26">
            <v>4315</v>
          </cell>
        </row>
        <row r="27">
          <cell r="H27">
            <v>2164</v>
          </cell>
        </row>
        <row r="28">
          <cell r="H28">
            <v>8090</v>
          </cell>
        </row>
        <row r="29">
          <cell r="H29">
            <v>3581</v>
          </cell>
        </row>
        <row r="30">
          <cell r="H30">
            <v>4616</v>
          </cell>
        </row>
        <row r="31">
          <cell r="H31">
            <v>10202</v>
          </cell>
        </row>
        <row r="32">
          <cell r="H32">
            <v>3698</v>
          </cell>
        </row>
        <row r="33">
          <cell r="H33">
            <v>3173</v>
          </cell>
        </row>
        <row r="34">
          <cell r="H34">
            <v>2769</v>
          </cell>
        </row>
        <row r="35">
          <cell r="H35">
            <v>6959</v>
          </cell>
        </row>
        <row r="36">
          <cell r="H36">
            <v>24845</v>
          </cell>
        </row>
        <row r="37">
          <cell r="H37">
            <v>19528</v>
          </cell>
        </row>
        <row r="38">
          <cell r="H38">
            <v>17673</v>
          </cell>
        </row>
        <row r="39">
          <cell r="H39">
            <v>29225</v>
          </cell>
        </row>
        <row r="40">
          <cell r="H40">
            <v>13438</v>
          </cell>
        </row>
        <row r="41">
          <cell r="H41">
            <v>0</v>
          </cell>
        </row>
        <row r="42">
          <cell r="H42">
            <v>14477</v>
          </cell>
        </row>
        <row r="43">
          <cell r="H43">
            <v>19039</v>
          </cell>
        </row>
        <row r="44">
          <cell r="H44">
            <v>14438</v>
          </cell>
        </row>
        <row r="45">
          <cell r="H45">
            <v>16839</v>
          </cell>
        </row>
        <row r="46">
          <cell r="H46">
            <v>2918</v>
          </cell>
        </row>
        <row r="47">
          <cell r="H47">
            <v>10556</v>
          </cell>
        </row>
        <row r="48">
          <cell r="H48">
            <v>1811</v>
          </cell>
        </row>
        <row r="49">
          <cell r="H49">
            <v>16316</v>
          </cell>
        </row>
        <row r="50">
          <cell r="H50">
            <v>8268</v>
          </cell>
        </row>
        <row r="51">
          <cell r="H51">
            <v>1365</v>
          </cell>
        </row>
        <row r="52">
          <cell r="H52">
            <v>4375</v>
          </cell>
        </row>
        <row r="53">
          <cell r="H53">
            <v>709</v>
          </cell>
        </row>
        <row r="54">
          <cell r="H54">
            <v>18653</v>
          </cell>
        </row>
        <row r="55">
          <cell r="H55">
            <v>2359</v>
          </cell>
        </row>
        <row r="56">
          <cell r="H56">
            <v>109366</v>
          </cell>
        </row>
        <row r="63">
          <cell r="H63">
            <v>20912</v>
          </cell>
        </row>
        <row r="64">
          <cell r="H64">
            <v>12936</v>
          </cell>
        </row>
        <row r="65">
          <cell r="H65">
            <v>25042</v>
          </cell>
        </row>
        <row r="66">
          <cell r="H66">
            <v>10092</v>
          </cell>
        </row>
        <row r="67">
          <cell r="H67">
            <v>6665</v>
          </cell>
        </row>
        <row r="68">
          <cell r="H68">
            <v>15713</v>
          </cell>
        </row>
        <row r="69">
          <cell r="H69">
            <v>25533</v>
          </cell>
        </row>
        <row r="70">
          <cell r="H70">
            <v>13314</v>
          </cell>
        </row>
        <row r="71">
          <cell r="H71">
            <v>9343</v>
          </cell>
        </row>
        <row r="72">
          <cell r="H72">
            <v>7332</v>
          </cell>
        </row>
        <row r="73">
          <cell r="H73">
            <v>21543</v>
          </cell>
        </row>
        <row r="74">
          <cell r="H74">
            <v>17745</v>
          </cell>
        </row>
        <row r="75">
          <cell r="H75">
            <v>15700</v>
          </cell>
        </row>
        <row r="76">
          <cell r="H76">
            <v>12600</v>
          </cell>
        </row>
        <row r="77">
          <cell r="H77">
            <v>10950</v>
          </cell>
        </row>
        <row r="78">
          <cell r="H78">
            <v>8675</v>
          </cell>
        </row>
        <row r="79">
          <cell r="H79">
            <v>13447</v>
          </cell>
        </row>
        <row r="80">
          <cell r="H80">
            <v>11965</v>
          </cell>
        </row>
        <row r="81">
          <cell r="H81">
            <v>18228</v>
          </cell>
        </row>
        <row r="82">
          <cell r="H82">
            <v>0</v>
          </cell>
        </row>
        <row r="83">
          <cell r="H83">
            <v>7290</v>
          </cell>
        </row>
        <row r="84">
          <cell r="H84">
            <v>4604</v>
          </cell>
        </row>
        <row r="85">
          <cell r="H85">
            <v>20722</v>
          </cell>
        </row>
        <row r="86">
          <cell r="H86">
            <v>7220</v>
          </cell>
        </row>
        <row r="87">
          <cell r="H87">
            <v>7649</v>
          </cell>
        </row>
        <row r="88">
          <cell r="H88">
            <v>45227</v>
          </cell>
        </row>
        <row r="89">
          <cell r="H89">
            <v>11286</v>
          </cell>
        </row>
        <row r="90">
          <cell r="H90">
            <v>2315</v>
          </cell>
        </row>
        <row r="91">
          <cell r="H91">
            <v>4405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3402</v>
          </cell>
        </row>
        <row r="97">
          <cell r="H97">
            <v>1297</v>
          </cell>
        </row>
        <row r="98">
          <cell r="H98">
            <v>3122</v>
          </cell>
        </row>
        <row r="99">
          <cell r="H99">
            <v>3336</v>
          </cell>
        </row>
        <row r="100">
          <cell r="H100">
            <v>0</v>
          </cell>
        </row>
        <row r="101">
          <cell r="H101">
            <v>5186</v>
          </cell>
        </row>
        <row r="102">
          <cell r="H102">
            <v>1865</v>
          </cell>
        </row>
        <row r="103">
          <cell r="H103">
            <v>2877</v>
          </cell>
        </row>
        <row r="104">
          <cell r="H104">
            <v>2333</v>
          </cell>
        </row>
        <row r="105">
          <cell r="H105">
            <v>5274</v>
          </cell>
        </row>
        <row r="106">
          <cell r="H106">
            <v>2999</v>
          </cell>
        </row>
        <row r="107">
          <cell r="H107">
            <v>573</v>
          </cell>
        </row>
        <row r="108">
          <cell r="H108">
            <v>0</v>
          </cell>
        </row>
        <row r="109">
          <cell r="H109">
            <v>3238</v>
          </cell>
        </row>
        <row r="110">
          <cell r="H110">
            <v>2833</v>
          </cell>
        </row>
        <row r="111">
          <cell r="H111">
            <v>7328</v>
          </cell>
        </row>
        <row r="112">
          <cell r="H112">
            <v>3271</v>
          </cell>
        </row>
        <row r="113">
          <cell r="H113">
            <v>7154</v>
          </cell>
        </row>
        <row r="114">
          <cell r="H114">
            <v>8229</v>
          </cell>
        </row>
        <row r="115">
          <cell r="H115">
            <v>2453</v>
          </cell>
        </row>
        <row r="116">
          <cell r="H116">
            <v>15480</v>
          </cell>
        </row>
        <row r="117">
          <cell r="H117">
            <v>13188</v>
          </cell>
        </row>
        <row r="118">
          <cell r="H118">
            <v>5336</v>
          </cell>
        </row>
        <row r="119">
          <cell r="H119">
            <v>4246</v>
          </cell>
        </row>
        <row r="120">
          <cell r="H120">
            <v>9732</v>
          </cell>
        </row>
        <row r="121">
          <cell r="H121">
            <v>7676</v>
          </cell>
        </row>
        <row r="122">
          <cell r="H122">
            <v>4855</v>
          </cell>
        </row>
        <row r="123">
          <cell r="H123">
            <v>4952</v>
          </cell>
        </row>
        <row r="124">
          <cell r="H124">
            <v>3051</v>
          </cell>
        </row>
        <row r="125">
          <cell r="H125">
            <v>1781</v>
          </cell>
        </row>
        <row r="126">
          <cell r="H126">
            <v>5795</v>
          </cell>
        </row>
        <row r="127">
          <cell r="H127">
            <v>12290</v>
          </cell>
        </row>
        <row r="128">
          <cell r="H128">
            <v>8186</v>
          </cell>
        </row>
        <row r="129">
          <cell r="H129">
            <v>46029</v>
          </cell>
        </row>
        <row r="138">
          <cell r="H138">
            <v>249</v>
          </cell>
        </row>
        <row r="139">
          <cell r="H139">
            <v>2006</v>
          </cell>
        </row>
        <row r="140">
          <cell r="H140">
            <v>275</v>
          </cell>
        </row>
        <row r="141">
          <cell r="H141">
            <v>2043</v>
          </cell>
        </row>
        <row r="142">
          <cell r="H142">
            <v>50804</v>
          </cell>
        </row>
        <row r="147">
          <cell r="D147">
            <v>8091</v>
          </cell>
          <cell r="E147">
            <v>245458</v>
          </cell>
          <cell r="F147">
            <v>890857</v>
          </cell>
          <cell r="G147">
            <v>7297</v>
          </cell>
        </row>
        <row r="150">
          <cell r="C150">
            <v>16029</v>
          </cell>
          <cell r="E150">
            <v>3659</v>
          </cell>
          <cell r="G150">
            <v>27640</v>
          </cell>
        </row>
        <row r="151">
          <cell r="C151">
            <v>4924</v>
          </cell>
          <cell r="E151">
            <v>1096</v>
          </cell>
          <cell r="G151">
            <v>4689</v>
          </cell>
        </row>
        <row r="152">
          <cell r="C152">
            <v>8499</v>
          </cell>
          <cell r="E152">
            <v>9075</v>
          </cell>
          <cell r="G152">
            <v>108</v>
          </cell>
        </row>
        <row r="153">
          <cell r="C153">
            <v>13649</v>
          </cell>
          <cell r="E153">
            <v>10685</v>
          </cell>
          <cell r="G153">
            <v>23843</v>
          </cell>
        </row>
        <row r="154">
          <cell r="C154">
            <v>9275</v>
          </cell>
          <cell r="E154">
            <v>4114</v>
          </cell>
          <cell r="G154">
            <v>27990</v>
          </cell>
        </row>
        <row r="155">
          <cell r="C155">
            <v>5635</v>
          </cell>
          <cell r="E155">
            <v>4667</v>
          </cell>
          <cell r="G155">
            <v>25096</v>
          </cell>
        </row>
        <row r="156">
          <cell r="C156">
            <v>7260</v>
          </cell>
          <cell r="E156">
            <v>8112</v>
          </cell>
        </row>
        <row r="157">
          <cell r="C157">
            <v>19583</v>
          </cell>
          <cell r="E157">
            <v>4621</v>
          </cell>
        </row>
        <row r="161">
          <cell r="C161">
            <v>2841</v>
          </cell>
        </row>
        <row r="162">
          <cell r="C162">
            <v>7640</v>
          </cell>
        </row>
        <row r="163">
          <cell r="C163">
            <v>40323</v>
          </cell>
        </row>
        <row r="171">
          <cell r="H171">
            <v>2499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89447</v>
          </cell>
        </row>
        <row r="20">
          <cell r="D20">
            <v>5541</v>
          </cell>
        </row>
        <row r="21">
          <cell r="D21">
            <v>5748</v>
          </cell>
        </row>
        <row r="22">
          <cell r="D22">
            <v>9121</v>
          </cell>
        </row>
        <row r="23">
          <cell r="D23">
            <v>4865</v>
          </cell>
        </row>
        <row r="24">
          <cell r="D24">
            <v>4271</v>
          </cell>
        </row>
        <row r="25">
          <cell r="D25">
            <v>17456</v>
          </cell>
        </row>
        <row r="26">
          <cell r="D26">
            <v>13185</v>
          </cell>
        </row>
        <row r="27">
          <cell r="D27">
            <v>6861</v>
          </cell>
        </row>
        <row r="28">
          <cell r="D28">
            <v>7967</v>
          </cell>
        </row>
        <row r="29">
          <cell r="D29">
            <v>3031</v>
          </cell>
        </row>
        <row r="30">
          <cell r="D30">
            <v>4561</v>
          </cell>
        </row>
        <row r="31">
          <cell r="D31">
            <v>9697</v>
          </cell>
        </row>
        <row r="32">
          <cell r="D32">
            <v>3854</v>
          </cell>
        </row>
        <row r="33">
          <cell r="D33">
            <v>3274</v>
          </cell>
        </row>
        <row r="34">
          <cell r="D34">
            <v>3201</v>
          </cell>
        </row>
        <row r="35">
          <cell r="D35">
            <v>6764</v>
          </cell>
        </row>
        <row r="36">
          <cell r="D36">
            <v>25871</v>
          </cell>
        </row>
        <row r="37">
          <cell r="D37">
            <v>21452</v>
          </cell>
        </row>
        <row r="38">
          <cell r="D38">
            <v>18110</v>
          </cell>
        </row>
        <row r="39">
          <cell r="D39">
            <v>34215</v>
          </cell>
        </row>
        <row r="40">
          <cell r="D40">
            <v>13578</v>
          </cell>
        </row>
        <row r="41">
          <cell r="D41">
            <v>0</v>
          </cell>
        </row>
        <row r="42">
          <cell r="D42">
            <v>14897</v>
          </cell>
        </row>
        <row r="43">
          <cell r="D43">
            <v>19748</v>
          </cell>
        </row>
        <row r="44">
          <cell r="D44">
            <v>16261</v>
          </cell>
        </row>
        <row r="45">
          <cell r="D45">
            <v>2107</v>
          </cell>
        </row>
        <row r="46">
          <cell r="D46">
            <v>17804</v>
          </cell>
        </row>
        <row r="47">
          <cell r="D47">
            <v>1418</v>
          </cell>
        </row>
        <row r="48">
          <cell r="D48">
            <v>11079</v>
          </cell>
        </row>
        <row r="49">
          <cell r="D49">
            <v>15213</v>
          </cell>
        </row>
        <row r="50">
          <cell r="D50">
            <v>905</v>
          </cell>
        </row>
        <row r="51">
          <cell r="D51">
            <v>7848</v>
          </cell>
        </row>
        <row r="52">
          <cell r="D52">
            <v>454</v>
          </cell>
        </row>
        <row r="53">
          <cell r="D53">
            <v>5037</v>
          </cell>
        </row>
        <row r="54">
          <cell r="D54">
            <v>1408</v>
          </cell>
        </row>
        <row r="55">
          <cell r="D55">
            <v>19493</v>
          </cell>
        </row>
        <row r="56">
          <cell r="D56">
            <v>109139</v>
          </cell>
        </row>
        <row r="64">
          <cell r="D64">
            <v>21530</v>
          </cell>
        </row>
        <row r="65">
          <cell r="D65">
            <v>15434</v>
          </cell>
        </row>
        <row r="66">
          <cell r="D66">
            <v>26421</v>
          </cell>
        </row>
        <row r="67">
          <cell r="D67">
            <v>10499</v>
          </cell>
        </row>
        <row r="68">
          <cell r="D68">
            <v>6885</v>
          </cell>
        </row>
        <row r="69">
          <cell r="D69">
            <v>13929</v>
          </cell>
        </row>
        <row r="70">
          <cell r="D70">
            <v>25833</v>
          </cell>
        </row>
        <row r="71">
          <cell r="D71">
            <v>13557</v>
          </cell>
        </row>
        <row r="72">
          <cell r="D72">
            <v>9308</v>
          </cell>
        </row>
        <row r="73">
          <cell r="D73">
            <v>6256</v>
          </cell>
        </row>
        <row r="74">
          <cell r="D74">
            <v>23612</v>
          </cell>
        </row>
        <row r="75">
          <cell r="D75">
            <v>17993</v>
          </cell>
        </row>
        <row r="76">
          <cell r="D76">
            <v>16132</v>
          </cell>
        </row>
        <row r="77">
          <cell r="D77">
            <v>13895</v>
          </cell>
        </row>
        <row r="78">
          <cell r="D78">
            <v>12985</v>
          </cell>
        </row>
        <row r="79">
          <cell r="D79">
            <v>9760</v>
          </cell>
        </row>
        <row r="80">
          <cell r="D80">
            <v>14762</v>
          </cell>
        </row>
        <row r="81">
          <cell r="D81">
            <v>11898</v>
          </cell>
        </row>
        <row r="82">
          <cell r="D82">
            <v>21553</v>
          </cell>
        </row>
        <row r="83">
          <cell r="D83">
            <v>0</v>
          </cell>
        </row>
        <row r="84">
          <cell r="D84">
            <v>8221</v>
          </cell>
        </row>
        <row r="85">
          <cell r="D85">
            <v>5028</v>
          </cell>
        </row>
        <row r="86">
          <cell r="D86">
            <v>21674</v>
          </cell>
        </row>
        <row r="87">
          <cell r="D87">
            <v>7925</v>
          </cell>
        </row>
        <row r="88">
          <cell r="D88">
            <v>10357</v>
          </cell>
        </row>
        <row r="89">
          <cell r="D89">
            <v>52069</v>
          </cell>
        </row>
        <row r="90">
          <cell r="D90">
            <v>12788</v>
          </cell>
        </row>
        <row r="91">
          <cell r="D91">
            <v>2774</v>
          </cell>
        </row>
        <row r="92">
          <cell r="D92">
            <v>4510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3128</v>
          </cell>
        </row>
        <row r="98">
          <cell r="D98">
            <v>1344</v>
          </cell>
        </row>
        <row r="99">
          <cell r="D99">
            <v>3248</v>
          </cell>
        </row>
        <row r="100">
          <cell r="D100">
            <v>3447</v>
          </cell>
        </row>
        <row r="101">
          <cell r="D101">
            <v>0</v>
          </cell>
        </row>
        <row r="102">
          <cell r="D102">
            <v>5054</v>
          </cell>
        </row>
        <row r="103">
          <cell r="D103">
            <v>2168</v>
          </cell>
        </row>
        <row r="104">
          <cell r="D104">
            <v>3215</v>
          </cell>
        </row>
        <row r="105">
          <cell r="D105">
            <v>3476</v>
          </cell>
        </row>
        <row r="106">
          <cell r="D106">
            <v>4892</v>
          </cell>
        </row>
        <row r="107">
          <cell r="D107">
            <v>2600</v>
          </cell>
          <cell r="G107">
            <v>16858</v>
          </cell>
        </row>
        <row r="108">
          <cell r="D108">
            <v>554</v>
          </cell>
          <cell r="G108">
            <v>6318</v>
          </cell>
        </row>
        <row r="109">
          <cell r="D109">
            <v>0</v>
          </cell>
          <cell r="G109">
            <v>10388</v>
          </cell>
        </row>
        <row r="110">
          <cell r="D110">
            <v>3037</v>
          </cell>
          <cell r="G110">
            <v>13278</v>
          </cell>
        </row>
        <row r="111">
          <cell r="D111">
            <v>3172</v>
          </cell>
          <cell r="G111">
            <v>8036</v>
          </cell>
        </row>
        <row r="112">
          <cell r="D112">
            <v>7170</v>
          </cell>
          <cell r="G112">
            <v>9960</v>
          </cell>
        </row>
        <row r="113">
          <cell r="D113">
            <v>3320</v>
          </cell>
          <cell r="G113">
            <v>8144</v>
          </cell>
        </row>
        <row r="114">
          <cell r="D114">
            <v>7230</v>
          </cell>
          <cell r="G114">
            <v>16465</v>
          </cell>
        </row>
        <row r="115">
          <cell r="D115">
            <v>8821</v>
          </cell>
        </row>
        <row r="116">
          <cell r="D116">
            <v>3433</v>
          </cell>
        </row>
        <row r="117">
          <cell r="D117">
            <v>18225</v>
          </cell>
        </row>
        <row r="118">
          <cell r="D118">
            <v>13870</v>
          </cell>
          <cell r="G118">
            <v>24269</v>
          </cell>
        </row>
        <row r="119">
          <cell r="D119">
            <v>6073</v>
          </cell>
          <cell r="G119">
            <v>10839</v>
          </cell>
        </row>
        <row r="120">
          <cell r="D120">
            <v>10891</v>
          </cell>
          <cell r="G120">
            <v>17459</v>
          </cell>
        </row>
        <row r="121">
          <cell r="D121">
            <v>4230</v>
          </cell>
          <cell r="G121">
            <v>17052</v>
          </cell>
        </row>
        <row r="122">
          <cell r="D122">
            <v>10450</v>
          </cell>
          <cell r="G122">
            <v>519</v>
          </cell>
        </row>
        <row r="123">
          <cell r="D123">
            <v>4086</v>
          </cell>
          <cell r="G123">
            <v>15723</v>
          </cell>
        </row>
        <row r="124">
          <cell r="D124">
            <v>5798</v>
          </cell>
          <cell r="G124">
            <v>23278</v>
          </cell>
        </row>
        <row r="125">
          <cell r="D125">
            <v>3236</v>
          </cell>
        </row>
        <row r="126">
          <cell r="D126">
            <v>1646</v>
          </cell>
        </row>
        <row r="127">
          <cell r="D127">
            <v>6519</v>
          </cell>
        </row>
        <row r="128">
          <cell r="D128">
            <v>13777</v>
          </cell>
          <cell r="G128">
            <v>937</v>
          </cell>
        </row>
        <row r="129">
          <cell r="D129">
            <v>10183</v>
          </cell>
          <cell r="G129">
            <v>3904</v>
          </cell>
        </row>
        <row r="130">
          <cell r="D130">
            <v>54413</v>
          </cell>
          <cell r="G130">
            <v>12459</v>
          </cell>
        </row>
        <row r="131">
          <cell r="G131">
            <v>13502</v>
          </cell>
        </row>
        <row r="132">
          <cell r="G132">
            <v>6058</v>
          </cell>
        </row>
        <row r="133">
          <cell r="G133">
            <v>4706</v>
          </cell>
        </row>
        <row r="134">
          <cell r="G134">
            <v>8079</v>
          </cell>
        </row>
        <row r="135">
          <cell r="G135">
            <v>4768</v>
          </cell>
        </row>
        <row r="139">
          <cell r="D139">
            <v>2059</v>
          </cell>
          <cell r="G139">
            <v>2982</v>
          </cell>
        </row>
        <row r="140">
          <cell r="D140">
            <v>298</v>
          </cell>
          <cell r="G140">
            <v>36172</v>
          </cell>
        </row>
        <row r="141">
          <cell r="D141">
            <v>1949</v>
          </cell>
          <cell r="G141">
            <v>17349</v>
          </cell>
        </row>
        <row r="142">
          <cell r="D142">
            <v>309</v>
          </cell>
        </row>
        <row r="143">
          <cell r="D143">
            <v>56503</v>
          </cell>
        </row>
        <row r="148">
          <cell r="D148">
            <v>1220749</v>
          </cell>
        </row>
      </sheetData>
      <sheetData sheetId="1">
        <row r="11">
          <cell r="H11">
            <v>84584</v>
          </cell>
        </row>
        <row r="20">
          <cell r="H20">
            <v>5431</v>
          </cell>
        </row>
        <row r="21">
          <cell r="H21">
            <v>6178</v>
          </cell>
        </row>
        <row r="22">
          <cell r="H22">
            <v>10714</v>
          </cell>
        </row>
        <row r="23">
          <cell r="H23">
            <v>3352</v>
          </cell>
        </row>
        <row r="24">
          <cell r="H24">
            <v>4427</v>
          </cell>
        </row>
        <row r="25">
          <cell r="H25">
            <v>13639</v>
          </cell>
        </row>
        <row r="26">
          <cell r="H26">
            <v>4298</v>
          </cell>
        </row>
        <row r="27">
          <cell r="H27">
            <v>2144</v>
          </cell>
        </row>
        <row r="28">
          <cell r="H28">
            <v>8152</v>
          </cell>
        </row>
        <row r="29">
          <cell r="H29">
            <v>3625</v>
          </cell>
        </row>
        <row r="30">
          <cell r="H30">
            <v>4490</v>
          </cell>
        </row>
        <row r="31">
          <cell r="H31">
            <v>10291</v>
          </cell>
        </row>
        <row r="32">
          <cell r="H32">
            <v>3835</v>
          </cell>
        </row>
        <row r="33">
          <cell r="H33">
            <v>3187</v>
          </cell>
        </row>
        <row r="34">
          <cell r="H34">
            <v>2801</v>
          </cell>
        </row>
        <row r="35">
          <cell r="H35">
            <v>6901</v>
          </cell>
        </row>
        <row r="36">
          <cell r="H36">
            <v>25743</v>
          </cell>
        </row>
        <row r="37">
          <cell r="H37">
            <v>19504</v>
          </cell>
        </row>
        <row r="38">
          <cell r="H38">
            <v>18039</v>
          </cell>
        </row>
        <row r="39">
          <cell r="H39">
            <v>29075</v>
          </cell>
        </row>
        <row r="40">
          <cell r="H40">
            <v>13775</v>
          </cell>
        </row>
        <row r="41">
          <cell r="H41">
            <v>0</v>
          </cell>
        </row>
        <row r="42">
          <cell r="H42">
            <v>14931</v>
          </cell>
        </row>
        <row r="43">
          <cell r="H43">
            <v>19358</v>
          </cell>
        </row>
        <row r="44">
          <cell r="H44">
            <v>14838</v>
          </cell>
        </row>
        <row r="45">
          <cell r="H45">
            <v>17064</v>
          </cell>
        </row>
        <row r="46">
          <cell r="H46">
            <v>2914</v>
          </cell>
        </row>
        <row r="47">
          <cell r="H47">
            <v>10523</v>
          </cell>
        </row>
        <row r="48">
          <cell r="H48">
            <v>1829</v>
          </cell>
        </row>
        <row r="49">
          <cell r="H49">
            <v>16318</v>
          </cell>
        </row>
        <row r="50">
          <cell r="H50">
            <v>8403</v>
          </cell>
        </row>
        <row r="51">
          <cell r="H51">
            <v>1425</v>
          </cell>
        </row>
        <row r="52">
          <cell r="H52">
            <v>4311</v>
          </cell>
        </row>
        <row r="53">
          <cell r="H53">
            <v>677</v>
          </cell>
        </row>
        <row r="54">
          <cell r="H54">
            <v>18901</v>
          </cell>
        </row>
        <row r="55">
          <cell r="H55">
            <v>2445</v>
          </cell>
        </row>
        <row r="56">
          <cell r="H56">
            <v>110103</v>
          </cell>
        </row>
        <row r="63">
          <cell r="H63">
            <v>19862</v>
          </cell>
        </row>
        <row r="64">
          <cell r="H64">
            <v>12647</v>
          </cell>
        </row>
        <row r="65">
          <cell r="H65">
            <v>23618</v>
          </cell>
        </row>
        <row r="66">
          <cell r="H66">
            <v>10241</v>
          </cell>
        </row>
        <row r="67">
          <cell r="H67">
            <v>6878</v>
          </cell>
        </row>
        <row r="68">
          <cell r="H68">
            <v>15653</v>
          </cell>
        </row>
        <row r="69">
          <cell r="H69">
            <v>26056</v>
          </cell>
        </row>
        <row r="70">
          <cell r="H70">
            <v>12855</v>
          </cell>
        </row>
        <row r="71">
          <cell r="H71">
            <v>9275</v>
          </cell>
        </row>
        <row r="72">
          <cell r="H72">
            <v>7409</v>
          </cell>
        </row>
        <row r="73">
          <cell r="H73">
            <v>22162</v>
          </cell>
        </row>
        <row r="74">
          <cell r="H74">
            <v>17869</v>
          </cell>
        </row>
        <row r="75">
          <cell r="H75">
            <v>16126</v>
          </cell>
        </row>
        <row r="76">
          <cell r="H76">
            <v>12611</v>
          </cell>
        </row>
        <row r="77">
          <cell r="H77">
            <v>11098</v>
          </cell>
        </row>
        <row r="78">
          <cell r="H78">
            <v>8720</v>
          </cell>
        </row>
        <row r="79">
          <cell r="H79">
            <v>13492</v>
          </cell>
        </row>
        <row r="80">
          <cell r="H80">
            <v>11996</v>
          </cell>
        </row>
        <row r="81">
          <cell r="H81">
            <v>17424</v>
          </cell>
        </row>
        <row r="82">
          <cell r="H82">
            <v>0</v>
          </cell>
        </row>
        <row r="83">
          <cell r="H83">
            <v>8125</v>
          </cell>
        </row>
        <row r="84">
          <cell r="H84">
            <v>4880</v>
          </cell>
        </row>
        <row r="85">
          <cell r="H85">
            <v>21264</v>
          </cell>
        </row>
        <row r="86">
          <cell r="H86">
            <v>7511</v>
          </cell>
        </row>
        <row r="87">
          <cell r="H87">
            <v>8293</v>
          </cell>
        </row>
        <row r="88">
          <cell r="H88">
            <v>44245</v>
          </cell>
        </row>
        <row r="89">
          <cell r="H89">
            <v>10359</v>
          </cell>
        </row>
        <row r="90">
          <cell r="H90">
            <v>2247</v>
          </cell>
        </row>
        <row r="91">
          <cell r="H91">
            <v>4271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3096</v>
          </cell>
        </row>
        <row r="97">
          <cell r="H97">
            <v>1389</v>
          </cell>
        </row>
        <row r="98">
          <cell r="H98">
            <v>3156</v>
          </cell>
        </row>
        <row r="99">
          <cell r="H99">
            <v>3427</v>
          </cell>
        </row>
        <row r="100">
          <cell r="H100">
            <v>0</v>
          </cell>
        </row>
        <row r="101">
          <cell r="H101">
            <v>5384</v>
          </cell>
        </row>
        <row r="102">
          <cell r="H102">
            <v>1842</v>
          </cell>
        </row>
        <row r="103">
          <cell r="H103">
            <v>3076</v>
          </cell>
        </row>
        <row r="104">
          <cell r="H104">
            <v>2552</v>
          </cell>
        </row>
        <row r="105">
          <cell r="H105">
            <v>5318</v>
          </cell>
        </row>
        <row r="106">
          <cell r="H106">
            <v>3060</v>
          </cell>
        </row>
        <row r="107">
          <cell r="H107">
            <v>594</v>
          </cell>
        </row>
        <row r="108">
          <cell r="H108">
            <v>0</v>
          </cell>
        </row>
        <row r="109">
          <cell r="H109">
            <v>3378</v>
          </cell>
        </row>
        <row r="110">
          <cell r="H110">
            <v>2866</v>
          </cell>
        </row>
        <row r="111">
          <cell r="H111">
            <v>7227</v>
          </cell>
        </row>
        <row r="112">
          <cell r="H112">
            <v>3354</v>
          </cell>
        </row>
        <row r="113">
          <cell r="H113">
            <v>7390</v>
          </cell>
        </row>
        <row r="114">
          <cell r="H114">
            <v>8050</v>
          </cell>
        </row>
        <row r="115">
          <cell r="H115">
            <v>2465</v>
          </cell>
        </row>
        <row r="116">
          <cell r="H116">
            <v>15194</v>
          </cell>
        </row>
        <row r="117">
          <cell r="H117">
            <v>13089</v>
          </cell>
        </row>
        <row r="118">
          <cell r="H118">
            <v>5380</v>
          </cell>
        </row>
        <row r="119">
          <cell r="H119">
            <v>4199</v>
          </cell>
        </row>
        <row r="120">
          <cell r="H120">
            <v>9658</v>
          </cell>
        </row>
        <row r="121">
          <cell r="H121">
            <v>7682</v>
          </cell>
        </row>
        <row r="122">
          <cell r="H122">
            <v>4816</v>
          </cell>
        </row>
        <row r="123">
          <cell r="H123">
            <v>4921</v>
          </cell>
        </row>
        <row r="124">
          <cell r="H124">
            <v>3099</v>
          </cell>
        </row>
        <row r="125">
          <cell r="H125">
            <v>1758</v>
          </cell>
        </row>
        <row r="126">
          <cell r="H126">
            <v>5829</v>
          </cell>
        </row>
        <row r="127">
          <cell r="H127">
            <v>12213</v>
          </cell>
        </row>
        <row r="128">
          <cell r="H128">
            <v>8054</v>
          </cell>
        </row>
        <row r="129">
          <cell r="H129">
            <v>46450</v>
          </cell>
        </row>
        <row r="138">
          <cell r="H138">
            <v>252</v>
          </cell>
        </row>
        <row r="139">
          <cell r="H139">
            <v>1944</v>
          </cell>
        </row>
        <row r="140">
          <cell r="H140">
            <v>248</v>
          </cell>
        </row>
        <row r="141">
          <cell r="H141">
            <v>2009</v>
          </cell>
        </row>
        <row r="142">
          <cell r="H142">
            <v>50150</v>
          </cell>
        </row>
        <row r="147">
          <cell r="D147">
            <v>8004</v>
          </cell>
          <cell r="E147">
            <v>246790</v>
          </cell>
          <cell r="F147">
            <v>892306</v>
          </cell>
          <cell r="G147">
            <v>7351</v>
          </cell>
        </row>
        <row r="150">
          <cell r="C150">
            <v>15567</v>
          </cell>
          <cell r="E150">
            <v>3214</v>
          </cell>
          <cell r="G150">
            <v>28069</v>
          </cell>
        </row>
        <row r="151">
          <cell r="C151">
            <v>4761</v>
          </cell>
          <cell r="E151">
            <v>1486</v>
          </cell>
          <cell r="G151">
            <v>4926</v>
          </cell>
        </row>
        <row r="152">
          <cell r="C152">
            <v>8110</v>
          </cell>
          <cell r="E152">
            <v>8645</v>
          </cell>
          <cell r="G152">
            <v>110</v>
          </cell>
        </row>
        <row r="153">
          <cell r="C153">
            <v>13939</v>
          </cell>
          <cell r="E153">
            <v>11134</v>
          </cell>
          <cell r="G153">
            <v>23334</v>
          </cell>
        </row>
        <row r="154">
          <cell r="C154">
            <v>9889</v>
          </cell>
          <cell r="E154">
            <v>4308</v>
          </cell>
          <cell r="G154">
            <v>29957</v>
          </cell>
        </row>
        <row r="155">
          <cell r="C155">
            <v>5857</v>
          </cell>
          <cell r="E155">
            <v>4469</v>
          </cell>
          <cell r="G155">
            <v>23707</v>
          </cell>
        </row>
        <row r="156">
          <cell r="C156">
            <v>7198</v>
          </cell>
          <cell r="E156">
            <v>8849</v>
          </cell>
        </row>
        <row r="157">
          <cell r="C157">
            <v>19263</v>
          </cell>
          <cell r="E157">
            <v>4345</v>
          </cell>
        </row>
        <row r="161">
          <cell r="C161">
            <v>2911</v>
          </cell>
        </row>
        <row r="162">
          <cell r="C162">
            <v>7876</v>
          </cell>
        </row>
        <row r="163">
          <cell r="C163">
            <v>39363</v>
          </cell>
        </row>
        <row r="171">
          <cell r="H171">
            <v>2459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89182</v>
          </cell>
        </row>
        <row r="20">
          <cell r="D20">
            <v>5684</v>
          </cell>
        </row>
        <row r="21">
          <cell r="D21">
            <v>5610</v>
          </cell>
        </row>
        <row r="22">
          <cell r="D22">
            <v>8906</v>
          </cell>
        </row>
        <row r="23">
          <cell r="D23">
            <v>6244</v>
          </cell>
        </row>
        <row r="24">
          <cell r="D24">
            <v>4232</v>
          </cell>
        </row>
        <row r="25">
          <cell r="D25">
            <v>17010</v>
          </cell>
        </row>
        <row r="26">
          <cell r="D26">
            <v>13560</v>
          </cell>
        </row>
        <row r="27">
          <cell r="D27">
            <v>6771</v>
          </cell>
        </row>
        <row r="28">
          <cell r="D28">
            <v>8300</v>
          </cell>
        </row>
        <row r="29">
          <cell r="D29">
            <v>3029</v>
          </cell>
        </row>
        <row r="30">
          <cell r="D30">
            <v>4743</v>
          </cell>
        </row>
        <row r="31">
          <cell r="D31">
            <v>10164</v>
          </cell>
        </row>
        <row r="32">
          <cell r="D32">
            <v>3941</v>
          </cell>
        </row>
        <row r="33">
          <cell r="D33">
            <v>3663</v>
          </cell>
        </row>
        <row r="34">
          <cell r="D34">
            <v>2899</v>
          </cell>
        </row>
        <row r="35">
          <cell r="D35">
            <v>6773</v>
          </cell>
        </row>
        <row r="36">
          <cell r="D36">
            <v>27854</v>
          </cell>
        </row>
        <row r="37">
          <cell r="D37">
            <v>23395</v>
          </cell>
        </row>
        <row r="38">
          <cell r="D38">
            <v>18403</v>
          </cell>
        </row>
        <row r="39">
          <cell r="D39">
            <v>34612</v>
          </cell>
        </row>
        <row r="40">
          <cell r="D40">
            <v>13554</v>
          </cell>
        </row>
        <row r="41">
          <cell r="D41">
            <v>0</v>
          </cell>
        </row>
        <row r="42">
          <cell r="D42">
            <v>15742</v>
          </cell>
        </row>
        <row r="43">
          <cell r="D43">
            <v>20413</v>
          </cell>
        </row>
        <row r="44">
          <cell r="D44">
            <v>14987</v>
          </cell>
        </row>
        <row r="45">
          <cell r="D45">
            <v>2168</v>
          </cell>
        </row>
        <row r="46">
          <cell r="D46">
            <v>18136</v>
          </cell>
        </row>
        <row r="47">
          <cell r="D47">
            <v>1374</v>
          </cell>
        </row>
        <row r="48">
          <cell r="D48">
            <v>11028</v>
          </cell>
        </row>
        <row r="49">
          <cell r="D49">
            <v>15333</v>
          </cell>
        </row>
        <row r="50">
          <cell r="D50">
            <v>1001</v>
          </cell>
        </row>
        <row r="51">
          <cell r="D51">
            <v>7692</v>
          </cell>
        </row>
        <row r="52">
          <cell r="D52">
            <v>455</v>
          </cell>
        </row>
        <row r="53">
          <cell r="D53">
            <v>5051</v>
          </cell>
        </row>
        <row r="54">
          <cell r="D54">
            <v>1435</v>
          </cell>
        </row>
        <row r="55">
          <cell r="D55">
            <v>19555</v>
          </cell>
        </row>
        <row r="56">
          <cell r="D56">
            <v>111800</v>
          </cell>
        </row>
        <row r="64">
          <cell r="D64">
            <v>21957</v>
          </cell>
        </row>
        <row r="65">
          <cell r="D65">
            <v>15365</v>
          </cell>
        </row>
        <row r="66">
          <cell r="D66">
            <v>28202</v>
          </cell>
        </row>
        <row r="67">
          <cell r="D67">
            <v>10665</v>
          </cell>
        </row>
        <row r="68">
          <cell r="D68">
            <v>7462</v>
          </cell>
        </row>
        <row r="69">
          <cell r="D69">
            <v>14224</v>
          </cell>
        </row>
        <row r="70">
          <cell r="D70">
            <v>28033</v>
          </cell>
        </row>
        <row r="71">
          <cell r="D71">
            <v>14764</v>
          </cell>
        </row>
        <row r="72">
          <cell r="D72">
            <v>10262</v>
          </cell>
        </row>
        <row r="73">
          <cell r="D73">
            <v>6476</v>
          </cell>
        </row>
        <row r="74">
          <cell r="D74">
            <v>26142</v>
          </cell>
        </row>
        <row r="75">
          <cell r="D75">
            <v>18345</v>
          </cell>
        </row>
        <row r="76">
          <cell r="D76">
            <v>17279</v>
          </cell>
        </row>
        <row r="77">
          <cell r="D77">
            <v>14227</v>
          </cell>
        </row>
        <row r="78">
          <cell r="D78">
            <v>13511</v>
          </cell>
        </row>
        <row r="79">
          <cell r="D79">
            <v>9772</v>
          </cell>
        </row>
        <row r="80">
          <cell r="D80">
            <v>15495</v>
          </cell>
        </row>
        <row r="81">
          <cell r="D81">
            <v>11769</v>
          </cell>
        </row>
        <row r="82">
          <cell r="D82">
            <v>23122</v>
          </cell>
        </row>
        <row r="83">
          <cell r="D83">
            <v>0</v>
          </cell>
        </row>
        <row r="84">
          <cell r="D84">
            <v>9169</v>
          </cell>
        </row>
        <row r="85">
          <cell r="D85">
            <v>5188</v>
          </cell>
        </row>
        <row r="86">
          <cell r="D86">
            <v>22854</v>
          </cell>
        </row>
        <row r="87">
          <cell r="D87">
            <v>7912</v>
          </cell>
        </row>
        <row r="88">
          <cell r="D88">
            <v>11244</v>
          </cell>
        </row>
        <row r="89">
          <cell r="D89">
            <v>55656</v>
          </cell>
        </row>
        <row r="90">
          <cell r="D90">
            <v>13325</v>
          </cell>
        </row>
        <row r="91">
          <cell r="D91">
            <v>2650</v>
          </cell>
        </row>
        <row r="92">
          <cell r="D92">
            <v>5076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3595</v>
          </cell>
        </row>
        <row r="98">
          <cell r="D98">
            <v>1563</v>
          </cell>
        </row>
        <row r="99">
          <cell r="D99">
            <v>3637</v>
          </cell>
        </row>
        <row r="100">
          <cell r="D100">
            <v>4018</v>
          </cell>
        </row>
        <row r="101">
          <cell r="D101">
            <v>0</v>
          </cell>
        </row>
        <row r="102">
          <cell r="D102">
            <v>5617</v>
          </cell>
        </row>
        <row r="103">
          <cell r="D103">
            <v>2291</v>
          </cell>
        </row>
        <row r="104">
          <cell r="D104">
            <v>3592</v>
          </cell>
        </row>
        <row r="105">
          <cell r="D105">
            <v>3790</v>
          </cell>
        </row>
        <row r="106">
          <cell r="D106">
            <v>5606</v>
          </cell>
        </row>
        <row r="107">
          <cell r="D107">
            <v>2771</v>
          </cell>
          <cell r="G107">
            <v>18300</v>
          </cell>
        </row>
        <row r="108">
          <cell r="D108">
            <v>642</v>
          </cell>
          <cell r="G108">
            <v>6197</v>
          </cell>
        </row>
        <row r="109">
          <cell r="D109">
            <v>0</v>
          </cell>
          <cell r="G109">
            <v>10428</v>
          </cell>
        </row>
        <row r="110">
          <cell r="D110">
            <v>3218</v>
          </cell>
          <cell r="G110">
            <v>13075</v>
          </cell>
        </row>
        <row r="111">
          <cell r="D111">
            <v>3305</v>
          </cell>
          <cell r="G111">
            <v>8161</v>
          </cell>
        </row>
        <row r="112">
          <cell r="D112">
            <v>7260</v>
          </cell>
          <cell r="G112">
            <v>9810</v>
          </cell>
        </row>
        <row r="113">
          <cell r="D113">
            <v>3538</v>
          </cell>
          <cell r="G113">
            <v>7871</v>
          </cell>
        </row>
        <row r="114">
          <cell r="D114">
            <v>7383</v>
          </cell>
          <cell r="G114">
            <v>15340</v>
          </cell>
        </row>
        <row r="115">
          <cell r="D115">
            <v>9733</v>
          </cell>
        </row>
        <row r="116">
          <cell r="D116">
            <v>3732</v>
          </cell>
        </row>
        <row r="117">
          <cell r="D117">
            <v>18972</v>
          </cell>
        </row>
        <row r="118">
          <cell r="D118">
            <v>13663</v>
          </cell>
          <cell r="G118">
            <v>28018</v>
          </cell>
        </row>
        <row r="119">
          <cell r="D119">
            <v>6213</v>
          </cell>
          <cell r="G119">
            <v>10952</v>
          </cell>
        </row>
        <row r="120">
          <cell r="D120">
            <v>11215</v>
          </cell>
          <cell r="G120">
            <v>17922</v>
          </cell>
        </row>
        <row r="121">
          <cell r="D121">
            <v>4298</v>
          </cell>
          <cell r="G121">
            <v>17314</v>
          </cell>
        </row>
        <row r="122">
          <cell r="D122">
            <v>10731</v>
          </cell>
          <cell r="G122">
            <v>554</v>
          </cell>
        </row>
        <row r="123">
          <cell r="D123">
            <v>3394</v>
          </cell>
          <cell r="G123">
            <v>14165</v>
          </cell>
        </row>
        <row r="124">
          <cell r="D124">
            <v>5118</v>
          </cell>
          <cell r="G124">
            <v>22875</v>
          </cell>
        </row>
        <row r="125">
          <cell r="D125">
            <v>3283</v>
          </cell>
        </row>
        <row r="126">
          <cell r="D126">
            <v>1629</v>
          </cell>
        </row>
        <row r="127">
          <cell r="D127">
            <v>6587</v>
          </cell>
        </row>
        <row r="128">
          <cell r="D128">
            <v>13748</v>
          </cell>
          <cell r="G128">
            <v>1112</v>
          </cell>
        </row>
        <row r="129">
          <cell r="D129">
            <v>10612</v>
          </cell>
          <cell r="G129">
            <v>3917</v>
          </cell>
        </row>
        <row r="130">
          <cell r="D130">
            <v>54699</v>
          </cell>
          <cell r="G130">
            <v>12607</v>
          </cell>
        </row>
        <row r="131">
          <cell r="G131">
            <v>13347</v>
          </cell>
        </row>
        <row r="132">
          <cell r="G132">
            <v>5922</v>
          </cell>
        </row>
        <row r="133">
          <cell r="G133">
            <v>4887</v>
          </cell>
        </row>
        <row r="134">
          <cell r="G134">
            <v>7815</v>
          </cell>
        </row>
        <row r="135">
          <cell r="G135">
            <v>5092</v>
          </cell>
        </row>
        <row r="139">
          <cell r="D139">
            <v>2265</v>
          </cell>
          <cell r="G139">
            <v>3126</v>
          </cell>
        </row>
        <row r="140">
          <cell r="D140">
            <v>375</v>
          </cell>
          <cell r="G140">
            <v>34874</v>
          </cell>
        </row>
        <row r="141">
          <cell r="D141">
            <v>1993</v>
          </cell>
          <cell r="G141">
            <v>17785</v>
          </cell>
        </row>
        <row r="142">
          <cell r="D142">
            <v>371</v>
          </cell>
        </row>
        <row r="143">
          <cell r="D143">
            <v>55785</v>
          </cell>
        </row>
        <row r="148">
          <cell r="D148">
            <v>1257169</v>
          </cell>
        </row>
      </sheetData>
      <sheetData sheetId="1">
        <row r="11">
          <cell r="H11">
            <v>85208</v>
          </cell>
        </row>
        <row r="20">
          <cell r="H20">
            <v>5619</v>
          </cell>
        </row>
        <row r="21">
          <cell r="H21">
            <v>6218</v>
          </cell>
        </row>
        <row r="22">
          <cell r="H22">
            <v>10898</v>
          </cell>
        </row>
        <row r="23">
          <cell r="H23">
            <v>3545</v>
          </cell>
        </row>
        <row r="24">
          <cell r="H24">
            <v>4462</v>
          </cell>
        </row>
        <row r="25">
          <cell r="H25">
            <v>13577</v>
          </cell>
        </row>
        <row r="26">
          <cell r="H26">
            <v>4621</v>
          </cell>
        </row>
        <row r="27">
          <cell r="H27">
            <v>2342</v>
          </cell>
        </row>
        <row r="28">
          <cell r="H28">
            <v>8200</v>
          </cell>
        </row>
        <row r="29">
          <cell r="H29">
            <v>3671</v>
          </cell>
        </row>
        <row r="30">
          <cell r="H30">
            <v>4670</v>
          </cell>
        </row>
        <row r="31">
          <cell r="H31">
            <v>10660</v>
          </cell>
        </row>
        <row r="32">
          <cell r="H32">
            <v>4048</v>
          </cell>
        </row>
        <row r="33">
          <cell r="H33">
            <v>3522</v>
          </cell>
        </row>
        <row r="34">
          <cell r="H34">
            <v>2848</v>
          </cell>
        </row>
        <row r="35">
          <cell r="H35">
            <v>7204</v>
          </cell>
        </row>
        <row r="36">
          <cell r="H36">
            <v>25896</v>
          </cell>
        </row>
        <row r="37">
          <cell r="H37">
            <v>20150</v>
          </cell>
        </row>
        <row r="38">
          <cell r="H38">
            <v>17969</v>
          </cell>
        </row>
        <row r="39">
          <cell r="H39">
            <v>30146</v>
          </cell>
        </row>
        <row r="40">
          <cell r="H40">
            <v>13442</v>
          </cell>
        </row>
        <row r="41">
          <cell r="H41">
            <v>0</v>
          </cell>
        </row>
        <row r="42">
          <cell r="H42">
            <v>15354</v>
          </cell>
        </row>
        <row r="43">
          <cell r="H43">
            <v>20016</v>
          </cell>
        </row>
        <row r="44">
          <cell r="H44">
            <v>15040</v>
          </cell>
        </row>
        <row r="45">
          <cell r="H45">
            <v>17439</v>
          </cell>
        </row>
        <row r="46">
          <cell r="H46">
            <v>3082</v>
          </cell>
        </row>
        <row r="47">
          <cell r="H47">
            <v>10743</v>
          </cell>
        </row>
        <row r="48">
          <cell r="H48">
            <v>1800</v>
          </cell>
        </row>
        <row r="49">
          <cell r="H49">
            <v>16940</v>
          </cell>
        </row>
        <row r="50">
          <cell r="H50">
            <v>8242</v>
          </cell>
        </row>
        <row r="51">
          <cell r="H51">
            <v>1435</v>
          </cell>
        </row>
        <row r="52">
          <cell r="H52">
            <v>4469</v>
          </cell>
        </row>
        <row r="53">
          <cell r="H53">
            <v>705</v>
          </cell>
        </row>
        <row r="54">
          <cell r="H54">
            <v>19132</v>
          </cell>
        </row>
        <row r="55">
          <cell r="H55">
            <v>2056</v>
          </cell>
        </row>
        <row r="56">
          <cell r="H56">
            <v>114193</v>
          </cell>
        </row>
        <row r="63">
          <cell r="H63">
            <v>20603</v>
          </cell>
        </row>
        <row r="64">
          <cell r="H64">
            <v>12881</v>
          </cell>
        </row>
        <row r="65">
          <cell r="H65">
            <v>24787</v>
          </cell>
        </row>
        <row r="66">
          <cell r="H66">
            <v>9980</v>
          </cell>
        </row>
        <row r="67">
          <cell r="H67">
            <v>7062</v>
          </cell>
        </row>
        <row r="68">
          <cell r="H68">
            <v>15390</v>
          </cell>
        </row>
        <row r="69">
          <cell r="H69">
            <v>25960</v>
          </cell>
        </row>
        <row r="70">
          <cell r="H70">
            <v>13645</v>
          </cell>
        </row>
        <row r="71">
          <cell r="H71">
            <v>9877</v>
          </cell>
        </row>
        <row r="72">
          <cell r="H72">
            <v>7859</v>
          </cell>
        </row>
        <row r="73">
          <cell r="H73">
            <v>23215</v>
          </cell>
        </row>
        <row r="74">
          <cell r="H74">
            <v>18380</v>
          </cell>
        </row>
        <row r="75">
          <cell r="H75">
            <v>17456</v>
          </cell>
        </row>
        <row r="76">
          <cell r="H76">
            <v>12330</v>
          </cell>
        </row>
        <row r="77">
          <cell r="H77">
            <v>11149</v>
          </cell>
        </row>
        <row r="78">
          <cell r="H78">
            <v>8190</v>
          </cell>
        </row>
        <row r="79">
          <cell r="H79">
            <v>13857</v>
          </cell>
        </row>
        <row r="80">
          <cell r="H80">
            <v>11523</v>
          </cell>
        </row>
        <row r="81">
          <cell r="H81">
            <v>18611</v>
          </cell>
        </row>
        <row r="82">
          <cell r="H82">
            <v>0</v>
          </cell>
        </row>
        <row r="83">
          <cell r="H83">
            <v>8337</v>
          </cell>
        </row>
        <row r="84">
          <cell r="H84">
            <v>4597</v>
          </cell>
        </row>
        <row r="85">
          <cell r="H85">
            <v>22917</v>
          </cell>
        </row>
        <row r="86">
          <cell r="H86">
            <v>7352</v>
          </cell>
        </row>
        <row r="87">
          <cell r="H87">
            <v>8360</v>
          </cell>
        </row>
        <row r="88">
          <cell r="H88">
            <v>47831</v>
          </cell>
        </row>
        <row r="89">
          <cell r="H89">
            <v>11001</v>
          </cell>
        </row>
        <row r="90">
          <cell r="H90">
            <v>2429</v>
          </cell>
        </row>
        <row r="91">
          <cell r="H91">
            <v>4515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3637</v>
          </cell>
        </row>
        <row r="97">
          <cell r="H97">
            <v>1425</v>
          </cell>
        </row>
        <row r="98">
          <cell r="H98">
            <v>3468</v>
          </cell>
        </row>
        <row r="99">
          <cell r="H99">
            <v>3881</v>
          </cell>
        </row>
        <row r="100">
          <cell r="H100">
            <v>0</v>
          </cell>
        </row>
        <row r="101">
          <cell r="H101">
            <v>5712</v>
          </cell>
        </row>
        <row r="102">
          <cell r="H102">
            <v>1966</v>
          </cell>
        </row>
        <row r="103">
          <cell r="H103">
            <v>3155</v>
          </cell>
        </row>
        <row r="104">
          <cell r="H104">
            <v>2468</v>
          </cell>
        </row>
        <row r="105">
          <cell r="H105">
            <v>5721</v>
          </cell>
        </row>
        <row r="106">
          <cell r="H106">
            <v>3121</v>
          </cell>
        </row>
        <row r="107">
          <cell r="H107">
            <v>599</v>
          </cell>
        </row>
        <row r="108">
          <cell r="H108">
            <v>0</v>
          </cell>
        </row>
        <row r="109">
          <cell r="H109">
            <v>3425</v>
          </cell>
        </row>
        <row r="110">
          <cell r="H110">
            <v>2956</v>
          </cell>
        </row>
        <row r="111">
          <cell r="H111">
            <v>7466</v>
          </cell>
        </row>
        <row r="112">
          <cell r="H112">
            <v>3538</v>
          </cell>
        </row>
        <row r="113">
          <cell r="H113">
            <v>7608</v>
          </cell>
        </row>
        <row r="114">
          <cell r="H114">
            <v>8446</v>
          </cell>
        </row>
        <row r="115">
          <cell r="H115">
            <v>2659</v>
          </cell>
        </row>
        <row r="116">
          <cell r="H116">
            <v>16076</v>
          </cell>
        </row>
        <row r="117">
          <cell r="H117">
            <v>13259</v>
          </cell>
        </row>
        <row r="118">
          <cell r="H118">
            <v>5779</v>
          </cell>
        </row>
        <row r="119">
          <cell r="H119">
            <v>4283</v>
          </cell>
        </row>
        <row r="120">
          <cell r="H120">
            <v>9964</v>
          </cell>
        </row>
        <row r="121">
          <cell r="H121">
            <v>7917</v>
          </cell>
        </row>
        <row r="122">
          <cell r="H122">
            <v>4901</v>
          </cell>
        </row>
        <row r="123">
          <cell r="H123">
            <v>5002</v>
          </cell>
        </row>
        <row r="124">
          <cell r="H124">
            <v>3253</v>
          </cell>
        </row>
        <row r="125">
          <cell r="H125">
            <v>1768</v>
          </cell>
        </row>
        <row r="126">
          <cell r="H126">
            <v>5880</v>
          </cell>
        </row>
        <row r="127">
          <cell r="H127">
            <v>12706</v>
          </cell>
        </row>
        <row r="128">
          <cell r="H128">
            <v>8427</v>
          </cell>
        </row>
        <row r="129">
          <cell r="H129">
            <v>47110</v>
          </cell>
        </row>
        <row r="138">
          <cell r="H138">
            <v>272</v>
          </cell>
        </row>
        <row r="139">
          <cell r="H139">
            <v>2001</v>
          </cell>
        </row>
        <row r="140">
          <cell r="H140">
            <v>269</v>
          </cell>
        </row>
        <row r="141">
          <cell r="H141">
            <v>2066</v>
          </cell>
        </row>
        <row r="142">
          <cell r="H142">
            <v>50571</v>
          </cell>
        </row>
        <row r="147">
          <cell r="D147">
            <v>8025</v>
          </cell>
          <cell r="E147">
            <v>244664</v>
          </cell>
          <cell r="F147">
            <v>925638</v>
          </cell>
          <cell r="G147">
            <v>7232</v>
          </cell>
        </row>
        <row r="150">
          <cell r="C150">
            <v>16701</v>
          </cell>
          <cell r="E150">
            <v>3175</v>
          </cell>
          <cell r="G150">
            <v>30544</v>
          </cell>
        </row>
        <row r="151">
          <cell r="C151">
            <v>5045</v>
          </cell>
          <cell r="E151">
            <v>1717</v>
          </cell>
          <cell r="G151">
            <v>4451</v>
          </cell>
        </row>
        <row r="152">
          <cell r="C152">
            <v>8536</v>
          </cell>
          <cell r="E152">
            <v>8056</v>
          </cell>
          <cell r="G152">
            <v>103</v>
          </cell>
        </row>
        <row r="153">
          <cell r="C153">
            <v>14040</v>
          </cell>
          <cell r="E153">
            <v>10698</v>
          </cell>
          <cell r="G153">
            <v>24961</v>
          </cell>
        </row>
        <row r="154">
          <cell r="C154">
            <v>9493</v>
          </cell>
          <cell r="E154">
            <v>5089</v>
          </cell>
          <cell r="G154">
            <v>30975</v>
          </cell>
        </row>
        <row r="155">
          <cell r="C155">
            <v>5747</v>
          </cell>
          <cell r="E155">
            <v>4937</v>
          </cell>
          <cell r="G155">
            <v>23159</v>
          </cell>
        </row>
        <row r="156">
          <cell r="C156">
            <v>6967</v>
          </cell>
          <cell r="E156">
            <v>8966</v>
          </cell>
        </row>
        <row r="157">
          <cell r="C157">
            <v>18679</v>
          </cell>
          <cell r="E157">
            <v>4472</v>
          </cell>
        </row>
        <row r="161">
          <cell r="C161">
            <v>3002</v>
          </cell>
        </row>
        <row r="162">
          <cell r="C162">
            <v>7563</v>
          </cell>
        </row>
        <row r="163">
          <cell r="C163">
            <v>40006</v>
          </cell>
        </row>
        <row r="171">
          <cell r="H171">
            <v>2334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64769</v>
          </cell>
        </row>
        <row r="20">
          <cell r="D20">
            <v>4402</v>
          </cell>
        </row>
        <row r="21">
          <cell r="D21">
            <v>3790</v>
          </cell>
        </row>
        <row r="22">
          <cell r="D22">
            <v>6806</v>
          </cell>
        </row>
        <row r="23">
          <cell r="D23">
            <v>4078</v>
          </cell>
        </row>
        <row r="24">
          <cell r="D24">
            <v>3022</v>
          </cell>
        </row>
        <row r="25">
          <cell r="D25">
            <v>11666</v>
          </cell>
        </row>
        <row r="26">
          <cell r="D26">
            <v>9812</v>
          </cell>
        </row>
        <row r="27">
          <cell r="D27">
            <v>4718</v>
          </cell>
        </row>
        <row r="28">
          <cell r="D28">
            <v>5309</v>
          </cell>
        </row>
        <row r="29">
          <cell r="D29">
            <v>2161</v>
          </cell>
        </row>
        <row r="30">
          <cell r="D30">
            <v>3963</v>
          </cell>
        </row>
        <row r="31">
          <cell r="D31">
            <v>7176</v>
          </cell>
        </row>
        <row r="32">
          <cell r="D32">
            <v>2674</v>
          </cell>
        </row>
        <row r="33">
          <cell r="D33">
            <v>2458</v>
          </cell>
        </row>
        <row r="34">
          <cell r="D34">
            <v>2510</v>
          </cell>
        </row>
        <row r="35">
          <cell r="D35">
            <v>4598</v>
          </cell>
        </row>
        <row r="36">
          <cell r="D36">
            <v>15557</v>
          </cell>
        </row>
        <row r="37">
          <cell r="D37">
            <v>13314</v>
          </cell>
        </row>
        <row r="38">
          <cell r="D38">
            <v>7564</v>
          </cell>
        </row>
        <row r="39">
          <cell r="D39">
            <v>15662</v>
          </cell>
        </row>
        <row r="40">
          <cell r="D40">
            <v>7214</v>
          </cell>
        </row>
        <row r="41">
          <cell r="D41">
            <v>0</v>
          </cell>
        </row>
        <row r="42">
          <cell r="D42">
            <v>8059</v>
          </cell>
        </row>
        <row r="43">
          <cell r="D43">
            <v>12444</v>
          </cell>
        </row>
        <row r="44">
          <cell r="D44">
            <v>10297</v>
          </cell>
        </row>
        <row r="45">
          <cell r="D45">
            <v>1842</v>
          </cell>
        </row>
        <row r="46">
          <cell r="D46">
            <v>11182</v>
          </cell>
        </row>
        <row r="47">
          <cell r="D47">
            <v>1303</v>
          </cell>
        </row>
        <row r="48">
          <cell r="D48">
            <v>6311</v>
          </cell>
        </row>
        <row r="49">
          <cell r="D49">
            <v>10119</v>
          </cell>
        </row>
        <row r="50">
          <cell r="D50">
            <v>814</v>
          </cell>
        </row>
        <row r="51">
          <cell r="D51">
            <v>4983</v>
          </cell>
        </row>
        <row r="52">
          <cell r="D52">
            <v>381</v>
          </cell>
        </row>
        <row r="53">
          <cell r="D53">
            <v>3160</v>
          </cell>
        </row>
        <row r="54">
          <cell r="D54">
            <v>890</v>
          </cell>
        </row>
        <row r="55">
          <cell r="D55">
            <v>11856</v>
          </cell>
        </row>
        <row r="56">
          <cell r="D56">
            <v>83519</v>
          </cell>
        </row>
        <row r="64">
          <cell r="D64">
            <v>12598</v>
          </cell>
        </row>
        <row r="65">
          <cell r="D65">
            <v>6534</v>
          </cell>
        </row>
        <row r="66">
          <cell r="D66">
            <v>14705</v>
          </cell>
        </row>
        <row r="67">
          <cell r="D67">
            <v>4393</v>
          </cell>
        </row>
        <row r="68">
          <cell r="D68">
            <v>4484</v>
          </cell>
        </row>
        <row r="69">
          <cell r="D69">
            <v>8472</v>
          </cell>
        </row>
        <row r="70">
          <cell r="D70">
            <v>20362</v>
          </cell>
        </row>
        <row r="71">
          <cell r="D71">
            <v>9212</v>
          </cell>
        </row>
        <row r="72">
          <cell r="D72">
            <v>7299</v>
          </cell>
        </row>
        <row r="73">
          <cell r="D73">
            <v>4411</v>
          </cell>
        </row>
        <row r="74">
          <cell r="D74">
            <v>15834</v>
          </cell>
        </row>
        <row r="75">
          <cell r="D75">
            <v>10718</v>
          </cell>
        </row>
        <row r="76">
          <cell r="D76">
            <v>9666</v>
          </cell>
        </row>
        <row r="77">
          <cell r="D77">
            <v>7362</v>
          </cell>
        </row>
        <row r="78">
          <cell r="D78">
            <v>5762</v>
          </cell>
        </row>
        <row r="79">
          <cell r="D79">
            <v>3165</v>
          </cell>
        </row>
        <row r="80">
          <cell r="D80">
            <v>7333</v>
          </cell>
        </row>
        <row r="81">
          <cell r="D81">
            <v>4305</v>
          </cell>
        </row>
        <row r="82">
          <cell r="D82">
            <v>7320</v>
          </cell>
        </row>
        <row r="83">
          <cell r="D83">
            <v>0</v>
          </cell>
        </row>
        <row r="84">
          <cell r="D84">
            <v>5050</v>
          </cell>
        </row>
        <row r="85">
          <cell r="D85">
            <v>3894</v>
          </cell>
        </row>
        <row r="86">
          <cell r="D86">
            <v>15171</v>
          </cell>
        </row>
        <row r="87">
          <cell r="D87">
            <v>4825</v>
          </cell>
        </row>
        <row r="88">
          <cell r="D88">
            <v>9270</v>
          </cell>
        </row>
        <row r="89">
          <cell r="D89">
            <v>36295</v>
          </cell>
        </row>
        <row r="90">
          <cell r="D90">
            <v>18210</v>
          </cell>
        </row>
        <row r="91">
          <cell r="D91">
            <v>2115</v>
          </cell>
        </row>
        <row r="92">
          <cell r="D92">
            <v>4159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2527</v>
          </cell>
        </row>
        <row r="98">
          <cell r="D98">
            <v>1505</v>
          </cell>
        </row>
        <row r="99">
          <cell r="D99">
            <v>3129</v>
          </cell>
        </row>
        <row r="100">
          <cell r="D100">
            <v>4439</v>
          </cell>
        </row>
        <row r="101">
          <cell r="D101">
            <v>0</v>
          </cell>
        </row>
        <row r="102">
          <cell r="D102">
            <v>4241</v>
          </cell>
        </row>
        <row r="103">
          <cell r="D103">
            <v>1180</v>
          </cell>
        </row>
        <row r="104">
          <cell r="D104">
            <v>1617</v>
          </cell>
        </row>
        <row r="105">
          <cell r="D105">
            <v>2228</v>
          </cell>
        </row>
        <row r="106">
          <cell r="D106">
            <v>3875</v>
          </cell>
        </row>
        <row r="107">
          <cell r="D107">
            <v>1537</v>
          </cell>
          <cell r="G107">
            <v>15574</v>
          </cell>
        </row>
        <row r="108">
          <cell r="D108">
            <v>429</v>
          </cell>
          <cell r="G108">
            <v>4326</v>
          </cell>
        </row>
        <row r="109">
          <cell r="D109">
            <v>0</v>
          </cell>
          <cell r="G109">
            <v>7622</v>
          </cell>
        </row>
        <row r="110">
          <cell r="D110">
            <v>1629</v>
          </cell>
          <cell r="G110">
            <v>9101</v>
          </cell>
        </row>
        <row r="111">
          <cell r="D111">
            <v>2689</v>
          </cell>
          <cell r="G111">
            <v>5650</v>
          </cell>
        </row>
        <row r="112">
          <cell r="D112">
            <v>4682</v>
          </cell>
          <cell r="G112">
            <v>6797</v>
          </cell>
        </row>
        <row r="113">
          <cell r="D113">
            <v>2462</v>
          </cell>
          <cell r="G113">
            <v>6017</v>
          </cell>
        </row>
        <row r="114">
          <cell r="D114">
            <v>5529</v>
          </cell>
          <cell r="G114">
            <v>9682</v>
          </cell>
        </row>
        <row r="115">
          <cell r="D115">
            <v>8315</v>
          </cell>
        </row>
        <row r="116">
          <cell r="D116">
            <v>3852</v>
          </cell>
        </row>
        <row r="117">
          <cell r="D117">
            <v>16372</v>
          </cell>
        </row>
        <row r="118">
          <cell r="D118">
            <v>9883</v>
          </cell>
          <cell r="G118">
            <v>23584</v>
          </cell>
        </row>
        <row r="119">
          <cell r="D119">
            <v>4881</v>
          </cell>
          <cell r="G119">
            <v>8746</v>
          </cell>
        </row>
        <row r="120">
          <cell r="D120">
            <v>8036</v>
          </cell>
          <cell r="G120">
            <v>11500</v>
          </cell>
        </row>
        <row r="121">
          <cell r="D121">
            <v>3023</v>
          </cell>
          <cell r="G121">
            <v>12344</v>
          </cell>
        </row>
        <row r="122">
          <cell r="D122">
            <v>8123</v>
          </cell>
          <cell r="G122">
            <v>459</v>
          </cell>
        </row>
        <row r="123">
          <cell r="D123">
            <v>3665</v>
          </cell>
          <cell r="G123">
            <v>10208</v>
          </cell>
        </row>
        <row r="124">
          <cell r="D124">
            <v>5159</v>
          </cell>
          <cell r="G124">
            <v>16678</v>
          </cell>
        </row>
        <row r="125">
          <cell r="D125">
            <v>2700</v>
          </cell>
        </row>
        <row r="126">
          <cell r="D126">
            <v>1295</v>
          </cell>
        </row>
        <row r="127">
          <cell r="D127">
            <v>5014</v>
          </cell>
        </row>
        <row r="128">
          <cell r="D128">
            <v>10700</v>
          </cell>
          <cell r="G128">
            <v>857</v>
          </cell>
        </row>
        <row r="129">
          <cell r="D129">
            <v>6972</v>
          </cell>
          <cell r="G129">
            <v>3182</v>
          </cell>
        </row>
        <row r="130">
          <cell r="D130">
            <v>41727</v>
          </cell>
          <cell r="G130">
            <v>11077</v>
          </cell>
        </row>
        <row r="131">
          <cell r="G131">
            <v>10489</v>
          </cell>
        </row>
        <row r="132">
          <cell r="G132">
            <v>4347</v>
          </cell>
        </row>
        <row r="133">
          <cell r="G133">
            <v>3719</v>
          </cell>
        </row>
        <row r="134">
          <cell r="G134">
            <v>4357</v>
          </cell>
        </row>
        <row r="135">
          <cell r="G135">
            <v>3699</v>
          </cell>
        </row>
        <row r="139">
          <cell r="D139">
            <v>1740</v>
          </cell>
          <cell r="G139">
            <v>2341</v>
          </cell>
        </row>
        <row r="140">
          <cell r="D140">
            <v>300</v>
          </cell>
          <cell r="G140">
            <v>28352</v>
          </cell>
        </row>
        <row r="141">
          <cell r="D141">
            <v>1463</v>
          </cell>
          <cell r="G141">
            <v>11684</v>
          </cell>
        </row>
        <row r="142">
          <cell r="D142">
            <v>253</v>
          </cell>
        </row>
        <row r="143">
          <cell r="D143">
            <v>42377</v>
          </cell>
        </row>
        <row r="148">
          <cell r="D148">
            <v>829152</v>
          </cell>
        </row>
      </sheetData>
      <sheetData sheetId="1">
        <row r="11">
          <cell r="H11">
            <v>58867</v>
          </cell>
        </row>
        <row r="20">
          <cell r="H20">
            <v>4244</v>
          </cell>
        </row>
        <row r="21">
          <cell r="H21">
            <v>4238</v>
          </cell>
        </row>
        <row r="22">
          <cell r="H22">
            <v>7565</v>
          </cell>
        </row>
        <row r="23">
          <cell r="H23">
            <v>2349</v>
          </cell>
        </row>
        <row r="24">
          <cell r="H24">
            <v>3218</v>
          </cell>
        </row>
        <row r="25">
          <cell r="H25">
            <v>10384</v>
          </cell>
        </row>
        <row r="26">
          <cell r="H26">
            <v>3612</v>
          </cell>
        </row>
        <row r="27">
          <cell r="H27">
            <v>1515</v>
          </cell>
        </row>
        <row r="28">
          <cell r="H28">
            <v>5729</v>
          </cell>
        </row>
        <row r="29">
          <cell r="H29">
            <v>2461</v>
          </cell>
        </row>
        <row r="30">
          <cell r="H30">
            <v>3647</v>
          </cell>
        </row>
        <row r="31">
          <cell r="H31">
            <v>7075</v>
          </cell>
        </row>
        <row r="32">
          <cell r="H32">
            <v>2596</v>
          </cell>
        </row>
        <row r="33">
          <cell r="H33">
            <v>2437</v>
          </cell>
        </row>
        <row r="34">
          <cell r="H34">
            <v>2145</v>
          </cell>
        </row>
        <row r="35">
          <cell r="H35">
            <v>4413</v>
          </cell>
        </row>
        <row r="36">
          <cell r="H36">
            <v>13031</v>
          </cell>
        </row>
        <row r="37">
          <cell r="H37">
            <v>10096</v>
          </cell>
        </row>
        <row r="38">
          <cell r="H38">
            <v>7175</v>
          </cell>
        </row>
        <row r="39">
          <cell r="H39">
            <v>15023</v>
          </cell>
        </row>
        <row r="40">
          <cell r="H40">
            <v>6849</v>
          </cell>
        </row>
        <row r="41">
          <cell r="H41">
            <v>0</v>
          </cell>
        </row>
        <row r="42">
          <cell r="H42">
            <v>7862</v>
          </cell>
        </row>
        <row r="43">
          <cell r="H43">
            <v>12358</v>
          </cell>
        </row>
        <row r="44">
          <cell r="H44">
            <v>10598</v>
          </cell>
        </row>
        <row r="45">
          <cell r="H45">
            <v>10542</v>
          </cell>
        </row>
        <row r="46">
          <cell r="H46">
            <v>2079</v>
          </cell>
        </row>
        <row r="47">
          <cell r="H47">
            <v>6255</v>
          </cell>
        </row>
        <row r="48">
          <cell r="H48">
            <v>1216</v>
          </cell>
        </row>
        <row r="49">
          <cell r="H49">
            <v>10094</v>
          </cell>
        </row>
        <row r="50">
          <cell r="H50">
            <v>4819</v>
          </cell>
        </row>
        <row r="51">
          <cell r="H51">
            <v>955</v>
          </cell>
        </row>
        <row r="52">
          <cell r="H52">
            <v>2766</v>
          </cell>
        </row>
        <row r="53">
          <cell r="H53">
            <v>480</v>
          </cell>
        </row>
        <row r="54">
          <cell r="H54">
            <v>10900</v>
          </cell>
        </row>
        <row r="55">
          <cell r="H55">
            <v>1325</v>
          </cell>
        </row>
        <row r="56">
          <cell r="H56">
            <v>80256</v>
          </cell>
        </row>
        <row r="63">
          <cell r="H63">
            <v>11877</v>
          </cell>
        </row>
        <row r="64">
          <cell r="H64">
            <v>5317</v>
          </cell>
        </row>
        <row r="65">
          <cell r="H65">
            <v>14053</v>
          </cell>
        </row>
        <row r="66">
          <cell r="H66">
            <v>3908</v>
          </cell>
        </row>
        <row r="67">
          <cell r="H67">
            <v>3223</v>
          </cell>
        </row>
        <row r="68">
          <cell r="H68">
            <v>9549</v>
          </cell>
        </row>
        <row r="69">
          <cell r="H69">
            <v>19448</v>
          </cell>
        </row>
        <row r="70">
          <cell r="H70">
            <v>8024</v>
          </cell>
        </row>
        <row r="71">
          <cell r="H71">
            <v>6599</v>
          </cell>
        </row>
        <row r="72">
          <cell r="H72">
            <v>5064</v>
          </cell>
        </row>
        <row r="73">
          <cell r="H73">
            <v>13743</v>
          </cell>
        </row>
        <row r="74">
          <cell r="H74">
            <v>9561</v>
          </cell>
        </row>
        <row r="75">
          <cell r="H75">
            <v>9401</v>
          </cell>
        </row>
        <row r="76">
          <cell r="H76">
            <v>6020</v>
          </cell>
        </row>
        <row r="77">
          <cell r="H77">
            <v>4807</v>
          </cell>
        </row>
        <row r="78">
          <cell r="H78">
            <v>2532</v>
          </cell>
        </row>
        <row r="79">
          <cell r="H79">
            <v>6407</v>
          </cell>
        </row>
        <row r="80">
          <cell r="H80">
            <v>4437</v>
          </cell>
        </row>
        <row r="81">
          <cell r="H81">
            <v>6512</v>
          </cell>
        </row>
        <row r="82">
          <cell r="H82">
            <v>0</v>
          </cell>
        </row>
        <row r="83">
          <cell r="H83">
            <v>4615</v>
          </cell>
        </row>
        <row r="84">
          <cell r="H84">
            <v>3436</v>
          </cell>
        </row>
        <row r="85">
          <cell r="H85">
            <v>14478</v>
          </cell>
        </row>
        <row r="86">
          <cell r="H86">
            <v>4162</v>
          </cell>
        </row>
        <row r="87">
          <cell r="H87">
            <v>6368</v>
          </cell>
        </row>
        <row r="88">
          <cell r="H88">
            <v>30946</v>
          </cell>
        </row>
        <row r="89">
          <cell r="H89">
            <v>11813</v>
          </cell>
        </row>
        <row r="90">
          <cell r="H90">
            <v>1549</v>
          </cell>
        </row>
        <row r="91">
          <cell r="H91">
            <v>3341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2501</v>
          </cell>
        </row>
        <row r="97">
          <cell r="H97">
            <v>1303</v>
          </cell>
        </row>
        <row r="98">
          <cell r="H98">
            <v>2713</v>
          </cell>
        </row>
        <row r="99">
          <cell r="H99">
            <v>3875</v>
          </cell>
        </row>
        <row r="100">
          <cell r="H100">
            <v>0</v>
          </cell>
        </row>
        <row r="101">
          <cell r="H101">
            <v>3636</v>
          </cell>
        </row>
        <row r="102">
          <cell r="H102">
            <v>954</v>
          </cell>
        </row>
        <row r="103">
          <cell r="H103">
            <v>1273</v>
          </cell>
        </row>
        <row r="104">
          <cell r="H104">
            <v>1370</v>
          </cell>
        </row>
        <row r="105">
          <cell r="H105">
            <v>4047</v>
          </cell>
        </row>
        <row r="106">
          <cell r="H106">
            <v>1690</v>
          </cell>
        </row>
        <row r="107">
          <cell r="H107">
            <v>258</v>
          </cell>
        </row>
        <row r="108">
          <cell r="H108">
            <v>0</v>
          </cell>
        </row>
        <row r="109">
          <cell r="H109">
            <v>1660</v>
          </cell>
        </row>
        <row r="110">
          <cell r="H110">
            <v>2531</v>
          </cell>
        </row>
        <row r="111">
          <cell r="H111">
            <v>4585</v>
          </cell>
        </row>
        <row r="112">
          <cell r="H112">
            <v>2570</v>
          </cell>
        </row>
        <row r="113">
          <cell r="H113">
            <v>5273</v>
          </cell>
        </row>
        <row r="114">
          <cell r="H114">
            <v>7364</v>
          </cell>
        </row>
        <row r="115">
          <cell r="H115">
            <v>2244</v>
          </cell>
        </row>
        <row r="116">
          <cell r="H116">
            <v>13515</v>
          </cell>
        </row>
        <row r="117">
          <cell r="H117">
            <v>9737</v>
          </cell>
        </row>
        <row r="118">
          <cell r="H118">
            <v>4556</v>
          </cell>
        </row>
        <row r="119">
          <cell r="H119">
            <v>3076</v>
          </cell>
        </row>
        <row r="120">
          <cell r="H120">
            <v>7137</v>
          </cell>
        </row>
        <row r="121">
          <cell r="H121">
            <v>5545</v>
          </cell>
        </row>
        <row r="122">
          <cell r="H122">
            <v>4182</v>
          </cell>
        </row>
        <row r="123">
          <cell r="H123">
            <v>4207</v>
          </cell>
        </row>
        <row r="124">
          <cell r="H124">
            <v>2578</v>
          </cell>
        </row>
        <row r="125">
          <cell r="H125">
            <v>1347</v>
          </cell>
        </row>
        <row r="126">
          <cell r="H126">
            <v>4586</v>
          </cell>
        </row>
        <row r="127">
          <cell r="H127">
            <v>10036</v>
          </cell>
        </row>
        <row r="128">
          <cell r="H128">
            <v>6611</v>
          </cell>
        </row>
        <row r="129">
          <cell r="H129">
            <v>35578</v>
          </cell>
        </row>
        <row r="138">
          <cell r="H138">
            <v>183</v>
          </cell>
        </row>
        <row r="139">
          <cell r="H139">
            <v>1479</v>
          </cell>
        </row>
        <row r="140">
          <cell r="H140">
            <v>139</v>
          </cell>
        </row>
        <row r="141">
          <cell r="H141">
            <v>1517</v>
          </cell>
        </row>
        <row r="142">
          <cell r="H142">
            <v>37709</v>
          </cell>
        </row>
        <row r="147">
          <cell r="D147">
            <v>6577</v>
          </cell>
          <cell r="E147">
            <v>129796</v>
          </cell>
          <cell r="F147">
            <v>616865</v>
          </cell>
          <cell r="G147">
            <v>3059</v>
          </cell>
        </row>
        <row r="150">
          <cell r="C150">
            <v>12479</v>
          </cell>
          <cell r="E150">
            <v>2384</v>
          </cell>
          <cell r="G150">
            <v>22543</v>
          </cell>
        </row>
        <row r="151">
          <cell r="C151">
            <v>3394</v>
          </cell>
          <cell r="E151">
            <v>1286</v>
          </cell>
          <cell r="G151">
            <v>2927</v>
          </cell>
        </row>
        <row r="152">
          <cell r="C152">
            <v>5502</v>
          </cell>
          <cell r="E152">
            <v>7487</v>
          </cell>
          <cell r="G152">
            <v>80</v>
          </cell>
        </row>
        <row r="153">
          <cell r="C153">
            <v>9081</v>
          </cell>
          <cell r="E153">
            <v>8464</v>
          </cell>
          <cell r="G153">
            <v>16395</v>
          </cell>
        </row>
        <row r="154">
          <cell r="C154">
            <v>5602</v>
          </cell>
          <cell r="E154">
            <v>3465</v>
          </cell>
          <cell r="G154">
            <v>21772</v>
          </cell>
        </row>
        <row r="155">
          <cell r="C155">
            <v>5548</v>
          </cell>
          <cell r="E155">
            <v>3540</v>
          </cell>
          <cell r="G155">
            <v>16539</v>
          </cell>
        </row>
        <row r="156">
          <cell r="C156">
            <v>5390</v>
          </cell>
          <cell r="E156">
            <v>5317</v>
          </cell>
        </row>
        <row r="157">
          <cell r="C157">
            <v>11871</v>
          </cell>
          <cell r="E157">
            <v>3635</v>
          </cell>
        </row>
        <row r="161">
          <cell r="C161">
            <v>2117</v>
          </cell>
        </row>
        <row r="162">
          <cell r="C162">
            <v>5098</v>
          </cell>
        </row>
        <row r="163">
          <cell r="C163">
            <v>30494</v>
          </cell>
        </row>
        <row r="171">
          <cell r="H171">
            <v>421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33250</v>
          </cell>
        </row>
        <row r="20">
          <cell r="D20">
            <v>2689</v>
          </cell>
        </row>
        <row r="21">
          <cell r="D21">
            <v>1405</v>
          </cell>
        </row>
        <row r="22">
          <cell r="D22">
            <v>3218</v>
          </cell>
        </row>
        <row r="23">
          <cell r="D23">
            <v>2163</v>
          </cell>
        </row>
        <row r="24">
          <cell r="D24">
            <v>1484</v>
          </cell>
        </row>
        <row r="25">
          <cell r="D25">
            <v>5748</v>
          </cell>
        </row>
        <row r="26">
          <cell r="D26">
            <v>5971</v>
          </cell>
        </row>
        <row r="27">
          <cell r="D27">
            <v>2830</v>
          </cell>
        </row>
        <row r="28">
          <cell r="D28">
            <v>1433</v>
          </cell>
        </row>
        <row r="29">
          <cell r="D29">
            <v>869</v>
          </cell>
        </row>
        <row r="30">
          <cell r="D30">
            <v>1984</v>
          </cell>
        </row>
        <row r="31">
          <cell r="D31">
            <v>3333</v>
          </cell>
        </row>
        <row r="32">
          <cell r="D32">
            <v>1371</v>
          </cell>
        </row>
        <row r="33">
          <cell r="D33">
            <v>1243</v>
          </cell>
        </row>
        <row r="34">
          <cell r="D34">
            <v>1650</v>
          </cell>
        </row>
        <row r="35">
          <cell r="D35">
            <v>1595</v>
          </cell>
        </row>
        <row r="36">
          <cell r="D36">
            <v>2930</v>
          </cell>
        </row>
        <row r="37">
          <cell r="D37">
            <v>2863</v>
          </cell>
        </row>
        <row r="38">
          <cell r="D38">
            <v>1683</v>
          </cell>
        </row>
        <row r="39">
          <cell r="D39">
            <v>4267</v>
          </cell>
        </row>
        <row r="40">
          <cell r="D40">
            <v>2500</v>
          </cell>
        </row>
        <row r="41">
          <cell r="D41">
            <v>0</v>
          </cell>
        </row>
        <row r="42">
          <cell r="D42">
            <v>2900</v>
          </cell>
        </row>
        <row r="43">
          <cell r="D43">
            <v>4301</v>
          </cell>
        </row>
        <row r="44">
          <cell r="D44">
            <v>4994</v>
          </cell>
        </row>
        <row r="45">
          <cell r="D45">
            <v>1069</v>
          </cell>
        </row>
        <row r="46">
          <cell r="D46">
            <v>4693</v>
          </cell>
        </row>
        <row r="47">
          <cell r="D47">
            <v>779</v>
          </cell>
        </row>
        <row r="48">
          <cell r="D48">
            <v>2067</v>
          </cell>
        </row>
        <row r="49">
          <cell r="D49">
            <v>4932</v>
          </cell>
        </row>
        <row r="50">
          <cell r="D50">
            <v>472</v>
          </cell>
        </row>
        <row r="51">
          <cell r="D51">
            <v>1686</v>
          </cell>
        </row>
        <row r="52">
          <cell r="D52">
            <v>247</v>
          </cell>
        </row>
        <row r="53">
          <cell r="D53">
            <v>1381</v>
          </cell>
        </row>
        <row r="54">
          <cell r="D54">
            <v>548</v>
          </cell>
        </row>
        <row r="55">
          <cell r="D55">
            <v>5017</v>
          </cell>
        </row>
        <row r="56">
          <cell r="D56">
            <v>49653</v>
          </cell>
        </row>
        <row r="64">
          <cell r="D64">
            <v>2314</v>
          </cell>
        </row>
        <row r="65">
          <cell r="D65">
            <v>910</v>
          </cell>
        </row>
        <row r="66">
          <cell r="D66">
            <v>4859</v>
          </cell>
        </row>
        <row r="67">
          <cell r="D67">
            <v>1148</v>
          </cell>
        </row>
        <row r="68">
          <cell r="D68">
            <v>1689</v>
          </cell>
        </row>
        <row r="69">
          <cell r="D69">
            <v>2699</v>
          </cell>
        </row>
        <row r="70">
          <cell r="D70">
            <v>6470</v>
          </cell>
        </row>
        <row r="71">
          <cell r="D71">
            <v>2202</v>
          </cell>
        </row>
        <row r="72">
          <cell r="D72">
            <v>1794</v>
          </cell>
        </row>
        <row r="73">
          <cell r="D73">
            <v>1423</v>
          </cell>
        </row>
        <row r="74">
          <cell r="D74">
            <v>4412</v>
          </cell>
        </row>
        <row r="75">
          <cell r="D75">
            <v>2459</v>
          </cell>
        </row>
        <row r="76">
          <cell r="D76">
            <v>3184</v>
          </cell>
        </row>
        <row r="77">
          <cell r="D77">
            <v>1841</v>
          </cell>
        </row>
        <row r="78">
          <cell r="D78">
            <v>1372</v>
          </cell>
        </row>
        <row r="79">
          <cell r="D79">
            <v>744</v>
          </cell>
        </row>
        <row r="80">
          <cell r="D80">
            <v>2048</v>
          </cell>
        </row>
        <row r="81">
          <cell r="D81">
            <v>2028</v>
          </cell>
        </row>
        <row r="82">
          <cell r="D82">
            <v>2764</v>
          </cell>
        </row>
        <row r="83">
          <cell r="D83">
            <v>0</v>
          </cell>
        </row>
        <row r="84">
          <cell r="D84">
            <v>2198</v>
          </cell>
        </row>
        <row r="85">
          <cell r="D85">
            <v>1413</v>
          </cell>
        </row>
        <row r="86">
          <cell r="D86">
            <v>5183</v>
          </cell>
        </row>
        <row r="87">
          <cell r="D87">
            <v>1561</v>
          </cell>
        </row>
        <row r="88">
          <cell r="D88">
            <v>3218</v>
          </cell>
        </row>
        <row r="89">
          <cell r="D89">
            <v>11834</v>
          </cell>
        </row>
        <row r="90">
          <cell r="D90">
            <v>5601</v>
          </cell>
        </row>
        <row r="91">
          <cell r="D91">
            <v>661</v>
          </cell>
        </row>
        <row r="92">
          <cell r="D92">
            <v>2391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815</v>
          </cell>
        </row>
        <row r="98">
          <cell r="D98">
            <v>612</v>
          </cell>
        </row>
        <row r="99">
          <cell r="D99">
            <v>1177</v>
          </cell>
        </row>
        <row r="100">
          <cell r="D100">
            <v>1911</v>
          </cell>
        </row>
        <row r="101">
          <cell r="D101">
            <v>0</v>
          </cell>
        </row>
        <row r="102">
          <cell r="D102">
            <v>810</v>
          </cell>
        </row>
        <row r="103">
          <cell r="D103">
            <v>238</v>
          </cell>
        </row>
        <row r="104">
          <cell r="D104">
            <v>508</v>
          </cell>
        </row>
        <row r="105">
          <cell r="D105">
            <v>630</v>
          </cell>
        </row>
        <row r="106">
          <cell r="D106">
            <v>1443</v>
          </cell>
        </row>
        <row r="107">
          <cell r="D107">
            <v>344</v>
          </cell>
          <cell r="G107">
            <v>8606</v>
          </cell>
        </row>
        <row r="108">
          <cell r="D108">
            <v>162</v>
          </cell>
          <cell r="G108">
            <v>2892</v>
          </cell>
        </row>
        <row r="109">
          <cell r="D109">
            <v>0</v>
          </cell>
          <cell r="G109">
            <v>4184</v>
          </cell>
        </row>
        <row r="110">
          <cell r="D110">
            <v>806</v>
          </cell>
          <cell r="G110">
            <v>3981</v>
          </cell>
        </row>
        <row r="111">
          <cell r="D111">
            <v>1677</v>
          </cell>
          <cell r="G111">
            <v>2730</v>
          </cell>
        </row>
        <row r="112">
          <cell r="D112">
            <v>2240</v>
          </cell>
          <cell r="G112">
            <v>3209</v>
          </cell>
        </row>
        <row r="113">
          <cell r="D113">
            <v>1142</v>
          </cell>
          <cell r="G113">
            <v>3029</v>
          </cell>
        </row>
        <row r="114">
          <cell r="D114">
            <v>2397</v>
          </cell>
          <cell r="G114">
            <v>4619</v>
          </cell>
        </row>
        <row r="115">
          <cell r="D115">
            <v>2795</v>
          </cell>
        </row>
        <row r="116">
          <cell r="D116">
            <v>1848</v>
          </cell>
        </row>
        <row r="117">
          <cell r="D117">
            <v>8183</v>
          </cell>
        </row>
        <row r="118">
          <cell r="D118">
            <v>4811</v>
          </cell>
          <cell r="G118">
            <v>13211</v>
          </cell>
        </row>
        <row r="119">
          <cell r="D119">
            <v>2989</v>
          </cell>
          <cell r="G119">
            <v>5889</v>
          </cell>
        </row>
        <row r="120">
          <cell r="D120">
            <v>4504</v>
          </cell>
          <cell r="G120">
            <v>6690</v>
          </cell>
        </row>
        <row r="121">
          <cell r="D121">
            <v>1194</v>
          </cell>
          <cell r="G121">
            <v>8406</v>
          </cell>
        </row>
        <row r="122">
          <cell r="D122">
            <v>5742</v>
          </cell>
          <cell r="G122">
            <v>390</v>
          </cell>
        </row>
        <row r="123">
          <cell r="D123">
            <v>1974</v>
          </cell>
          <cell r="G123">
            <v>6248</v>
          </cell>
        </row>
        <row r="124">
          <cell r="D124">
            <v>2947</v>
          </cell>
          <cell r="G124">
            <v>8819</v>
          </cell>
        </row>
        <row r="125">
          <cell r="D125">
            <v>1439</v>
          </cell>
        </row>
        <row r="126">
          <cell r="D126">
            <v>693</v>
          </cell>
        </row>
        <row r="127">
          <cell r="D127">
            <v>2434</v>
          </cell>
        </row>
        <row r="128">
          <cell r="D128">
            <v>6229</v>
          </cell>
          <cell r="G128">
            <v>512</v>
          </cell>
        </row>
        <row r="129">
          <cell r="D129">
            <v>4865</v>
          </cell>
          <cell r="G129">
            <v>1741</v>
          </cell>
        </row>
        <row r="130">
          <cell r="D130">
            <v>20562</v>
          </cell>
          <cell r="G130">
            <v>4460</v>
          </cell>
        </row>
        <row r="131">
          <cell r="G131">
            <v>5425</v>
          </cell>
        </row>
        <row r="132">
          <cell r="G132">
            <v>2185</v>
          </cell>
        </row>
        <row r="133">
          <cell r="G133">
            <v>2151</v>
          </cell>
        </row>
        <row r="134">
          <cell r="G134">
            <v>2157</v>
          </cell>
        </row>
        <row r="135">
          <cell r="G135">
            <v>1931</v>
          </cell>
        </row>
        <row r="139">
          <cell r="D139">
            <v>819</v>
          </cell>
          <cell r="G139">
            <v>1343</v>
          </cell>
        </row>
        <row r="140">
          <cell r="D140">
            <v>291</v>
          </cell>
          <cell r="G140">
            <v>10858</v>
          </cell>
        </row>
        <row r="141">
          <cell r="D141">
            <v>658</v>
          </cell>
          <cell r="G141">
            <v>9341</v>
          </cell>
        </row>
        <row r="142">
          <cell r="D142">
            <v>187</v>
          </cell>
        </row>
        <row r="143">
          <cell r="D143">
            <v>21542</v>
          </cell>
        </row>
        <row r="148">
          <cell r="D148">
            <v>343685</v>
          </cell>
        </row>
      </sheetData>
      <sheetData sheetId="1">
        <row r="11">
          <cell r="H11">
            <v>26485</v>
          </cell>
        </row>
        <row r="20">
          <cell r="H20">
            <v>2002</v>
          </cell>
        </row>
        <row r="21">
          <cell r="H21">
            <v>1404</v>
          </cell>
        </row>
        <row r="22">
          <cell r="H22">
            <v>3064</v>
          </cell>
        </row>
        <row r="23">
          <cell r="H23">
            <v>980</v>
          </cell>
        </row>
        <row r="24">
          <cell r="H24">
            <v>1295</v>
          </cell>
        </row>
        <row r="25">
          <cell r="H25">
            <v>5139</v>
          </cell>
        </row>
        <row r="26">
          <cell r="H26">
            <v>2044</v>
          </cell>
        </row>
        <row r="27">
          <cell r="H27">
            <v>897</v>
          </cell>
        </row>
        <row r="28">
          <cell r="H28">
            <v>1556</v>
          </cell>
        </row>
        <row r="29">
          <cell r="H29">
            <v>923</v>
          </cell>
        </row>
        <row r="30">
          <cell r="H30">
            <v>1850</v>
          </cell>
        </row>
        <row r="31">
          <cell r="H31">
            <v>3337</v>
          </cell>
        </row>
        <row r="32">
          <cell r="H32">
            <v>1269</v>
          </cell>
        </row>
        <row r="33">
          <cell r="H33">
            <v>1393</v>
          </cell>
        </row>
        <row r="34">
          <cell r="H34">
            <v>1519</v>
          </cell>
        </row>
        <row r="35">
          <cell r="H35">
            <v>1483</v>
          </cell>
        </row>
        <row r="36">
          <cell r="H36">
            <v>2670</v>
          </cell>
        </row>
        <row r="37">
          <cell r="H37">
            <v>2714</v>
          </cell>
        </row>
        <row r="38">
          <cell r="H38">
            <v>1613</v>
          </cell>
        </row>
        <row r="39">
          <cell r="H39">
            <v>3980</v>
          </cell>
        </row>
        <row r="40">
          <cell r="H40">
            <v>2220</v>
          </cell>
        </row>
        <row r="41">
          <cell r="H41">
            <v>0</v>
          </cell>
        </row>
        <row r="42">
          <cell r="H42">
            <v>2598</v>
          </cell>
        </row>
        <row r="43">
          <cell r="H43">
            <v>3967</v>
          </cell>
        </row>
        <row r="44">
          <cell r="H44">
            <v>4387</v>
          </cell>
        </row>
        <row r="45">
          <cell r="H45">
            <v>4093</v>
          </cell>
        </row>
        <row r="46">
          <cell r="H46">
            <v>976</v>
          </cell>
        </row>
        <row r="47">
          <cell r="H47">
            <v>2019</v>
          </cell>
        </row>
        <row r="48">
          <cell r="H48">
            <v>585</v>
          </cell>
        </row>
        <row r="49">
          <cell r="H49">
            <v>4500</v>
          </cell>
        </row>
        <row r="50">
          <cell r="H50">
            <v>1553</v>
          </cell>
        </row>
        <row r="51">
          <cell r="H51">
            <v>416</v>
          </cell>
        </row>
        <row r="52">
          <cell r="H52">
            <v>1141</v>
          </cell>
        </row>
        <row r="53">
          <cell r="H53">
            <v>260</v>
          </cell>
        </row>
        <row r="54">
          <cell r="H54">
            <v>4052</v>
          </cell>
        </row>
        <row r="55">
          <cell r="H55">
            <v>414</v>
          </cell>
        </row>
        <row r="56">
          <cell r="H56">
            <v>43986</v>
          </cell>
        </row>
        <row r="63">
          <cell r="H63">
            <v>2296</v>
          </cell>
        </row>
        <row r="64">
          <cell r="H64">
            <v>794</v>
          </cell>
        </row>
        <row r="65">
          <cell r="H65">
            <v>4622</v>
          </cell>
        </row>
        <row r="66">
          <cell r="H66">
            <v>874</v>
          </cell>
        </row>
        <row r="67">
          <cell r="H67">
            <v>997</v>
          </cell>
        </row>
        <row r="68">
          <cell r="H68">
            <v>3583</v>
          </cell>
        </row>
        <row r="69">
          <cell r="H69">
            <v>6619</v>
          </cell>
        </row>
        <row r="70">
          <cell r="H70">
            <v>2034</v>
          </cell>
        </row>
        <row r="71">
          <cell r="H71">
            <v>2004</v>
          </cell>
        </row>
        <row r="72">
          <cell r="H72">
            <v>1665</v>
          </cell>
        </row>
        <row r="73">
          <cell r="H73">
            <v>3878</v>
          </cell>
        </row>
        <row r="74">
          <cell r="H74">
            <v>2518</v>
          </cell>
        </row>
        <row r="75">
          <cell r="H75">
            <v>2991</v>
          </cell>
        </row>
        <row r="76">
          <cell r="H76">
            <v>1463</v>
          </cell>
        </row>
        <row r="77">
          <cell r="H77">
            <v>1352</v>
          </cell>
        </row>
        <row r="78">
          <cell r="H78">
            <v>635</v>
          </cell>
        </row>
        <row r="79">
          <cell r="H79">
            <v>1963</v>
          </cell>
        </row>
        <row r="80">
          <cell r="H80">
            <v>1954</v>
          </cell>
        </row>
        <row r="81">
          <cell r="H81">
            <v>2577</v>
          </cell>
        </row>
        <row r="82">
          <cell r="H82">
            <v>0</v>
          </cell>
        </row>
        <row r="83">
          <cell r="H83">
            <v>2026</v>
          </cell>
        </row>
        <row r="84">
          <cell r="H84">
            <v>1532</v>
          </cell>
        </row>
        <row r="85">
          <cell r="H85">
            <v>4805</v>
          </cell>
        </row>
        <row r="86">
          <cell r="H86">
            <v>1200</v>
          </cell>
        </row>
        <row r="87">
          <cell r="H87">
            <v>2001</v>
          </cell>
        </row>
        <row r="88">
          <cell r="H88">
            <v>10351</v>
          </cell>
        </row>
        <row r="89">
          <cell r="H89">
            <v>3763</v>
          </cell>
        </row>
        <row r="90">
          <cell r="H90">
            <v>445</v>
          </cell>
        </row>
        <row r="91">
          <cell r="H91">
            <v>1796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720</v>
          </cell>
        </row>
        <row r="97">
          <cell r="H97">
            <v>412</v>
          </cell>
        </row>
        <row r="98">
          <cell r="H98">
            <v>1059</v>
          </cell>
        </row>
        <row r="99">
          <cell r="H99">
            <v>1383</v>
          </cell>
        </row>
        <row r="100">
          <cell r="H100">
            <v>0</v>
          </cell>
        </row>
        <row r="101">
          <cell r="H101">
            <v>641</v>
          </cell>
        </row>
        <row r="102">
          <cell r="H102">
            <v>168</v>
          </cell>
        </row>
        <row r="103">
          <cell r="H103">
            <v>423</v>
          </cell>
        </row>
        <row r="104">
          <cell r="H104">
            <v>345</v>
          </cell>
        </row>
        <row r="105">
          <cell r="H105">
            <v>1301</v>
          </cell>
        </row>
        <row r="106">
          <cell r="H106">
            <v>359</v>
          </cell>
        </row>
        <row r="107">
          <cell r="H107">
            <v>33</v>
          </cell>
        </row>
        <row r="108">
          <cell r="H108">
            <v>0</v>
          </cell>
        </row>
        <row r="109">
          <cell r="H109">
            <v>761</v>
          </cell>
        </row>
        <row r="110">
          <cell r="H110">
            <v>1508</v>
          </cell>
        </row>
        <row r="111">
          <cell r="H111">
            <v>2089</v>
          </cell>
        </row>
        <row r="112">
          <cell r="H112">
            <v>1097</v>
          </cell>
        </row>
        <row r="113">
          <cell r="H113">
            <v>2346</v>
          </cell>
        </row>
        <row r="114">
          <cell r="H114">
            <v>2967</v>
          </cell>
        </row>
        <row r="115">
          <cell r="H115">
            <v>1070</v>
          </cell>
        </row>
        <row r="116">
          <cell r="H116">
            <v>7081</v>
          </cell>
        </row>
        <row r="117">
          <cell r="H117">
            <v>4610</v>
          </cell>
        </row>
        <row r="118">
          <cell r="H118">
            <v>2581</v>
          </cell>
        </row>
        <row r="119">
          <cell r="H119">
            <v>1191</v>
          </cell>
        </row>
        <row r="120">
          <cell r="H120">
            <v>3479</v>
          </cell>
        </row>
        <row r="121">
          <cell r="H121">
            <v>2604</v>
          </cell>
        </row>
        <row r="122">
          <cell r="H122">
            <v>2122</v>
          </cell>
        </row>
        <row r="123">
          <cell r="H123">
            <v>2322</v>
          </cell>
        </row>
        <row r="124">
          <cell r="H124">
            <v>1250</v>
          </cell>
        </row>
        <row r="125">
          <cell r="H125">
            <v>614</v>
          </cell>
        </row>
        <row r="126">
          <cell r="H126">
            <v>1982</v>
          </cell>
        </row>
        <row r="127">
          <cell r="H127">
            <v>5492</v>
          </cell>
        </row>
        <row r="128">
          <cell r="H128">
            <v>3280</v>
          </cell>
        </row>
        <row r="129">
          <cell r="H129">
            <v>15588</v>
          </cell>
        </row>
        <row r="138">
          <cell r="H138">
            <v>141</v>
          </cell>
        </row>
        <row r="139">
          <cell r="H139">
            <v>726</v>
          </cell>
        </row>
        <row r="140">
          <cell r="H140">
            <v>81</v>
          </cell>
        </row>
        <row r="141">
          <cell r="H141">
            <v>684</v>
          </cell>
        </row>
        <row r="142">
          <cell r="H142">
            <v>16722</v>
          </cell>
        </row>
        <row r="147">
          <cell r="D147">
            <v>4622</v>
          </cell>
          <cell r="E147">
            <v>37629</v>
          </cell>
          <cell r="F147">
            <v>256071</v>
          </cell>
          <cell r="G147">
            <v>627</v>
          </cell>
        </row>
        <row r="150">
          <cell r="C150">
            <v>6435</v>
          </cell>
          <cell r="E150">
            <v>1249</v>
          </cell>
          <cell r="G150">
            <v>12629</v>
          </cell>
        </row>
        <row r="151">
          <cell r="C151">
            <v>1677</v>
          </cell>
          <cell r="E151">
            <v>644</v>
          </cell>
          <cell r="G151">
            <v>1695</v>
          </cell>
        </row>
        <row r="152">
          <cell r="C152">
            <v>3195</v>
          </cell>
          <cell r="E152">
            <v>3327</v>
          </cell>
          <cell r="G152">
            <v>38</v>
          </cell>
        </row>
        <row r="153">
          <cell r="C153">
            <v>3612</v>
          </cell>
          <cell r="E153">
            <v>3175</v>
          </cell>
          <cell r="G153">
            <v>9368</v>
          </cell>
        </row>
        <row r="154">
          <cell r="C154">
            <v>1984</v>
          </cell>
          <cell r="E154">
            <v>1512</v>
          </cell>
          <cell r="G154">
            <v>10853</v>
          </cell>
        </row>
        <row r="155">
          <cell r="C155">
            <v>2389</v>
          </cell>
          <cell r="E155">
            <v>1915</v>
          </cell>
          <cell r="G155">
            <v>9403</v>
          </cell>
        </row>
        <row r="156">
          <cell r="C156">
            <v>2003</v>
          </cell>
          <cell r="E156">
            <v>2171</v>
          </cell>
        </row>
        <row r="157">
          <cell r="C157">
            <v>5190</v>
          </cell>
          <cell r="E157">
            <v>1595</v>
          </cell>
        </row>
        <row r="161">
          <cell r="C161">
            <v>1243</v>
          </cell>
        </row>
        <row r="162">
          <cell r="C162">
            <v>1</v>
          </cell>
        </row>
        <row r="163">
          <cell r="C163">
            <v>15478</v>
          </cell>
        </row>
        <row r="171">
          <cell r="H171">
            <v>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88839</v>
          </cell>
        </row>
        <row r="20">
          <cell r="D20">
            <v>5534</v>
          </cell>
        </row>
        <row r="21">
          <cell r="D21">
            <v>5872</v>
          </cell>
        </row>
        <row r="22">
          <cell r="D22">
            <v>9008</v>
          </cell>
        </row>
        <row r="23">
          <cell r="D23">
            <v>5020</v>
          </cell>
        </row>
        <row r="24">
          <cell r="D24">
            <v>4154</v>
          </cell>
        </row>
        <row r="25">
          <cell r="D25">
            <v>17036</v>
          </cell>
        </row>
        <row r="26">
          <cell r="D26">
            <v>14078</v>
          </cell>
        </row>
        <row r="27">
          <cell r="D27">
            <v>6805</v>
          </cell>
        </row>
        <row r="28">
          <cell r="D28">
            <v>7717</v>
          </cell>
        </row>
        <row r="29">
          <cell r="D29">
            <v>3046</v>
          </cell>
        </row>
        <row r="30">
          <cell r="D30">
            <v>4695</v>
          </cell>
        </row>
        <row r="31">
          <cell r="D31">
            <v>9672</v>
          </cell>
        </row>
        <row r="32">
          <cell r="D32">
            <v>3880</v>
          </cell>
        </row>
        <row r="33">
          <cell r="D33">
            <v>3221</v>
          </cell>
        </row>
        <row r="34">
          <cell r="D34">
            <v>2887</v>
          </cell>
        </row>
        <row r="35">
          <cell r="D35">
            <v>6639</v>
          </cell>
        </row>
        <row r="36">
          <cell r="D36">
            <v>25994</v>
          </cell>
        </row>
        <row r="37">
          <cell r="D37">
            <v>19897</v>
          </cell>
        </row>
        <row r="38">
          <cell r="D38">
            <v>18600</v>
          </cell>
        </row>
        <row r="39">
          <cell r="D39">
            <v>33462</v>
          </cell>
        </row>
        <row r="40">
          <cell r="D40">
            <v>14131</v>
          </cell>
        </row>
        <row r="41">
          <cell r="D41">
            <v>0</v>
          </cell>
        </row>
        <row r="42">
          <cell r="D42">
            <v>15256</v>
          </cell>
        </row>
        <row r="43">
          <cell r="D43">
            <v>19574</v>
          </cell>
        </row>
        <row r="44">
          <cell r="D44">
            <v>13624</v>
          </cell>
        </row>
        <row r="45">
          <cell r="D45">
            <v>2130</v>
          </cell>
        </row>
        <row r="46">
          <cell r="D46">
            <v>18105</v>
          </cell>
        </row>
        <row r="47">
          <cell r="D47">
            <v>1767</v>
          </cell>
        </row>
        <row r="48">
          <cell r="D48">
            <v>10863</v>
          </cell>
        </row>
        <row r="49">
          <cell r="D49">
            <v>15866</v>
          </cell>
        </row>
        <row r="50">
          <cell r="D50">
            <v>934</v>
          </cell>
        </row>
        <row r="51">
          <cell r="D51">
            <v>7795</v>
          </cell>
        </row>
        <row r="52">
          <cell r="D52">
            <v>504</v>
          </cell>
        </row>
        <row r="53">
          <cell r="D53">
            <v>4913</v>
          </cell>
        </row>
        <row r="54">
          <cell r="D54">
            <v>1397</v>
          </cell>
        </row>
        <row r="55">
          <cell r="D55">
            <v>19934</v>
          </cell>
        </row>
        <row r="56">
          <cell r="D56">
            <v>111568</v>
          </cell>
        </row>
        <row r="64">
          <cell r="D64">
            <v>21753</v>
          </cell>
        </row>
        <row r="65">
          <cell r="D65">
            <v>15403</v>
          </cell>
        </row>
        <row r="66">
          <cell r="D66">
            <v>26569</v>
          </cell>
        </row>
        <row r="67">
          <cell r="D67">
            <v>10574</v>
          </cell>
        </row>
        <row r="68">
          <cell r="D68">
            <v>6973</v>
          </cell>
        </row>
        <row r="69">
          <cell r="D69">
            <v>14194</v>
          </cell>
        </row>
        <row r="70">
          <cell r="D70">
            <v>26711</v>
          </cell>
        </row>
        <row r="71">
          <cell r="D71">
            <v>14040</v>
          </cell>
        </row>
        <row r="72">
          <cell r="D72">
            <v>9571</v>
          </cell>
        </row>
        <row r="73">
          <cell r="D73">
            <v>6673</v>
          </cell>
        </row>
        <row r="74">
          <cell r="D74">
            <v>25329</v>
          </cell>
        </row>
        <row r="75">
          <cell r="D75">
            <v>18481</v>
          </cell>
        </row>
        <row r="76">
          <cell r="D76">
            <v>16595</v>
          </cell>
        </row>
        <row r="77">
          <cell r="D77">
            <v>14289</v>
          </cell>
        </row>
        <row r="78">
          <cell r="D78">
            <v>11336</v>
          </cell>
        </row>
        <row r="79">
          <cell r="D79">
            <v>9959</v>
          </cell>
        </row>
        <row r="80">
          <cell r="D80">
            <v>15963</v>
          </cell>
        </row>
        <row r="81">
          <cell r="D81">
            <v>12109</v>
          </cell>
        </row>
        <row r="82">
          <cell r="D82">
            <v>21938</v>
          </cell>
        </row>
        <row r="83">
          <cell r="D83">
            <v>0</v>
          </cell>
        </row>
        <row r="84">
          <cell r="D84">
            <v>8371</v>
          </cell>
        </row>
        <row r="85">
          <cell r="D85">
            <v>5140</v>
          </cell>
        </row>
        <row r="86">
          <cell r="D86">
            <v>21939</v>
          </cell>
        </row>
        <row r="87">
          <cell r="D87">
            <v>8001</v>
          </cell>
        </row>
        <row r="88">
          <cell r="D88">
            <v>11620</v>
          </cell>
        </row>
        <row r="89">
          <cell r="D89">
            <v>54597</v>
          </cell>
        </row>
        <row r="90">
          <cell r="D90">
            <v>12728</v>
          </cell>
        </row>
        <row r="91">
          <cell r="D91">
            <v>2718</v>
          </cell>
        </row>
        <row r="92">
          <cell r="D92">
            <v>4985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3430</v>
          </cell>
        </row>
        <row r="98">
          <cell r="D98">
            <v>1532</v>
          </cell>
        </row>
        <row r="99">
          <cell r="D99">
            <v>3566</v>
          </cell>
        </row>
        <row r="100">
          <cell r="D100">
            <v>3887</v>
          </cell>
        </row>
        <row r="101">
          <cell r="D101">
            <v>0</v>
          </cell>
        </row>
        <row r="102">
          <cell r="D102">
            <v>5404</v>
          </cell>
        </row>
        <row r="103">
          <cell r="D103">
            <v>2282</v>
          </cell>
        </row>
        <row r="104">
          <cell r="D104">
            <v>3567</v>
          </cell>
        </row>
        <row r="105">
          <cell r="D105">
            <v>3682</v>
          </cell>
        </row>
        <row r="106">
          <cell r="D106">
            <v>5529</v>
          </cell>
        </row>
        <row r="107">
          <cell r="D107">
            <v>2848</v>
          </cell>
          <cell r="G107">
            <v>16289</v>
          </cell>
        </row>
        <row r="108">
          <cell r="D108">
            <v>711</v>
          </cell>
          <cell r="G108">
            <v>6442</v>
          </cell>
        </row>
        <row r="109">
          <cell r="D109">
            <v>0</v>
          </cell>
          <cell r="G109">
            <v>10850</v>
          </cell>
        </row>
        <row r="110">
          <cell r="D110">
            <v>3388</v>
          </cell>
          <cell r="G110">
            <v>13258</v>
          </cell>
        </row>
        <row r="111">
          <cell r="D111">
            <v>3197</v>
          </cell>
          <cell r="G111">
            <v>8140</v>
          </cell>
        </row>
        <row r="112">
          <cell r="D112">
            <v>7792</v>
          </cell>
          <cell r="G112">
            <v>9933</v>
          </cell>
        </row>
        <row r="113">
          <cell r="D113">
            <v>3601</v>
          </cell>
          <cell r="G113">
            <v>8578</v>
          </cell>
        </row>
        <row r="114">
          <cell r="D114">
            <v>7582</v>
          </cell>
          <cell r="G114">
            <v>15349</v>
          </cell>
        </row>
        <row r="115">
          <cell r="D115">
            <v>9173</v>
          </cell>
        </row>
        <row r="116">
          <cell r="D116">
            <v>3744</v>
          </cell>
        </row>
        <row r="117">
          <cell r="D117">
            <v>17874</v>
          </cell>
        </row>
        <row r="118">
          <cell r="D118">
            <v>15305</v>
          </cell>
          <cell r="G118">
            <v>25990</v>
          </cell>
        </row>
        <row r="119">
          <cell r="D119">
            <v>6208</v>
          </cell>
          <cell r="G119">
            <v>11230</v>
          </cell>
        </row>
        <row r="120">
          <cell r="D120">
            <v>11088</v>
          </cell>
          <cell r="G120">
            <v>19005</v>
          </cell>
        </row>
        <row r="121">
          <cell r="D121">
            <v>4322</v>
          </cell>
          <cell r="G121">
            <v>16828</v>
          </cell>
        </row>
        <row r="122">
          <cell r="D122">
            <v>10866</v>
          </cell>
          <cell r="G122">
            <v>612</v>
          </cell>
        </row>
        <row r="123">
          <cell r="D123">
            <v>4174</v>
          </cell>
          <cell r="G123">
            <v>14636</v>
          </cell>
        </row>
        <row r="124">
          <cell r="D124">
            <v>6153</v>
          </cell>
          <cell r="G124">
            <v>23267</v>
          </cell>
        </row>
        <row r="125">
          <cell r="D125">
            <v>3369</v>
          </cell>
        </row>
        <row r="126">
          <cell r="D126">
            <v>1639</v>
          </cell>
        </row>
        <row r="127">
          <cell r="D127">
            <v>6495</v>
          </cell>
        </row>
        <row r="128">
          <cell r="D128">
            <v>13655</v>
          </cell>
          <cell r="G128">
            <v>1064</v>
          </cell>
        </row>
        <row r="129">
          <cell r="D129">
            <v>10674</v>
          </cell>
          <cell r="G129">
            <v>2797</v>
          </cell>
        </row>
        <row r="130">
          <cell r="D130">
            <v>53397</v>
          </cell>
          <cell r="G130">
            <v>12451</v>
          </cell>
        </row>
        <row r="131">
          <cell r="G131">
            <v>13538</v>
          </cell>
        </row>
        <row r="132">
          <cell r="G132">
            <v>5971</v>
          </cell>
        </row>
        <row r="133">
          <cell r="G133">
            <v>4661</v>
          </cell>
        </row>
        <row r="134">
          <cell r="G134">
            <v>8058</v>
          </cell>
        </row>
        <row r="135">
          <cell r="G135">
            <v>4857</v>
          </cell>
        </row>
        <row r="139">
          <cell r="D139">
            <v>2295</v>
          </cell>
          <cell r="G139">
            <v>2986</v>
          </cell>
        </row>
        <row r="140">
          <cell r="D140">
            <v>340</v>
          </cell>
          <cell r="G140">
            <v>34290</v>
          </cell>
        </row>
        <row r="141">
          <cell r="D141">
            <v>1907</v>
          </cell>
          <cell r="G141">
            <v>18077</v>
          </cell>
        </row>
        <row r="142">
          <cell r="D142">
            <v>302</v>
          </cell>
        </row>
        <row r="143">
          <cell r="D143">
            <v>55353</v>
          </cell>
        </row>
        <row r="148">
          <cell r="D148">
            <v>1235864</v>
          </cell>
        </row>
      </sheetData>
      <sheetData sheetId="1">
        <row r="11">
          <cell r="H11">
            <v>82135</v>
          </cell>
        </row>
        <row r="20">
          <cell r="H20">
            <v>5274</v>
          </cell>
        </row>
        <row r="21">
          <cell r="H21">
            <v>6151</v>
          </cell>
        </row>
        <row r="22">
          <cell r="H22">
            <v>10506</v>
          </cell>
        </row>
        <row r="23">
          <cell r="H23">
            <v>3027</v>
          </cell>
        </row>
        <row r="24">
          <cell r="H24">
            <v>4304</v>
          </cell>
        </row>
        <row r="25">
          <cell r="H25">
            <v>13322</v>
          </cell>
        </row>
        <row r="26">
          <cell r="H26">
            <v>4519</v>
          </cell>
        </row>
        <row r="27">
          <cell r="H27">
            <v>2283</v>
          </cell>
        </row>
        <row r="28">
          <cell r="H28">
            <v>7816</v>
          </cell>
        </row>
        <row r="29">
          <cell r="H29">
            <v>3527</v>
          </cell>
        </row>
        <row r="30">
          <cell r="H30">
            <v>4361</v>
          </cell>
        </row>
        <row r="31">
          <cell r="H31">
            <v>10171</v>
          </cell>
        </row>
        <row r="32">
          <cell r="H32">
            <v>3802</v>
          </cell>
        </row>
        <row r="33">
          <cell r="H33">
            <v>3017</v>
          </cell>
        </row>
        <row r="34">
          <cell r="H34">
            <v>2775</v>
          </cell>
        </row>
        <row r="35">
          <cell r="H35">
            <v>6974</v>
          </cell>
        </row>
        <row r="36">
          <cell r="H36">
            <v>25422</v>
          </cell>
        </row>
        <row r="37">
          <cell r="H37">
            <v>20117</v>
          </cell>
        </row>
        <row r="38">
          <cell r="H38">
            <v>18453</v>
          </cell>
        </row>
        <row r="39">
          <cell r="H39">
            <v>30587</v>
          </cell>
        </row>
        <row r="40">
          <cell r="H40">
            <v>14437</v>
          </cell>
        </row>
        <row r="41">
          <cell r="H41">
            <v>0</v>
          </cell>
        </row>
        <row r="42">
          <cell r="H42">
            <v>15192</v>
          </cell>
        </row>
        <row r="43">
          <cell r="H43">
            <v>19639</v>
          </cell>
        </row>
        <row r="44">
          <cell r="H44">
            <v>14604</v>
          </cell>
        </row>
        <row r="45">
          <cell r="H45">
            <v>17117</v>
          </cell>
        </row>
        <row r="46">
          <cell r="H46">
            <v>2945</v>
          </cell>
        </row>
        <row r="47">
          <cell r="H47">
            <v>10425</v>
          </cell>
        </row>
        <row r="48">
          <cell r="H48">
            <v>1732</v>
          </cell>
        </row>
        <row r="49">
          <cell r="H49">
            <v>16308</v>
          </cell>
        </row>
        <row r="50">
          <cell r="H50">
            <v>8224</v>
          </cell>
        </row>
        <row r="51">
          <cell r="H51">
            <v>1345</v>
          </cell>
        </row>
        <row r="52">
          <cell r="H52">
            <v>4484</v>
          </cell>
        </row>
        <row r="53">
          <cell r="H53">
            <v>715</v>
          </cell>
        </row>
        <row r="54">
          <cell r="H54">
            <v>18586</v>
          </cell>
        </row>
        <row r="55">
          <cell r="H55">
            <v>2336</v>
          </cell>
        </row>
        <row r="56">
          <cell r="H56">
            <v>112272</v>
          </cell>
        </row>
        <row r="63">
          <cell r="H63">
            <v>21425</v>
          </cell>
        </row>
        <row r="64">
          <cell r="H64">
            <v>12969</v>
          </cell>
        </row>
        <row r="65">
          <cell r="H65">
            <v>25224</v>
          </cell>
        </row>
        <row r="66">
          <cell r="H66">
            <v>10526</v>
          </cell>
        </row>
        <row r="67">
          <cell r="H67">
            <v>7087</v>
          </cell>
        </row>
        <row r="68">
          <cell r="H68">
            <v>16064</v>
          </cell>
        </row>
        <row r="69">
          <cell r="H69">
            <v>26300</v>
          </cell>
        </row>
        <row r="70">
          <cell r="H70">
            <v>13945</v>
          </cell>
        </row>
        <row r="71">
          <cell r="H71">
            <v>9583</v>
          </cell>
        </row>
        <row r="72">
          <cell r="H72">
            <v>7507</v>
          </cell>
        </row>
        <row r="73">
          <cell r="H73">
            <v>22832</v>
          </cell>
        </row>
        <row r="74">
          <cell r="H74">
            <v>18315</v>
          </cell>
        </row>
        <row r="75">
          <cell r="H75">
            <v>16683</v>
          </cell>
        </row>
        <row r="76">
          <cell r="H76">
            <v>13374</v>
          </cell>
        </row>
        <row r="77">
          <cell r="H77">
            <v>11261</v>
          </cell>
        </row>
        <row r="78">
          <cell r="H78">
            <v>8900</v>
          </cell>
        </row>
        <row r="79">
          <cell r="H79">
            <v>15052</v>
          </cell>
        </row>
        <row r="80">
          <cell r="H80">
            <v>11648</v>
          </cell>
        </row>
        <row r="81">
          <cell r="H81">
            <v>19803</v>
          </cell>
        </row>
        <row r="82">
          <cell r="H82">
            <v>0</v>
          </cell>
        </row>
        <row r="83">
          <cell r="H83">
            <v>8135</v>
          </cell>
        </row>
        <row r="84">
          <cell r="H84">
            <v>4591</v>
          </cell>
        </row>
        <row r="85">
          <cell r="H85">
            <v>22426</v>
          </cell>
        </row>
        <row r="86">
          <cell r="H86">
            <v>7393</v>
          </cell>
        </row>
        <row r="87">
          <cell r="H87">
            <v>9096</v>
          </cell>
        </row>
        <row r="88">
          <cell r="H88">
            <v>48632</v>
          </cell>
        </row>
        <row r="89">
          <cell r="H89">
            <v>11030</v>
          </cell>
        </row>
        <row r="90">
          <cell r="H90">
            <v>2619</v>
          </cell>
        </row>
        <row r="91">
          <cell r="H91">
            <v>4397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3500</v>
          </cell>
        </row>
        <row r="97">
          <cell r="H97">
            <v>1445</v>
          </cell>
        </row>
        <row r="98">
          <cell r="H98">
            <v>3504</v>
          </cell>
        </row>
        <row r="99">
          <cell r="H99">
            <v>3638</v>
          </cell>
        </row>
        <row r="100">
          <cell r="H100">
            <v>0</v>
          </cell>
        </row>
        <row r="101">
          <cell r="H101">
            <v>5436</v>
          </cell>
        </row>
        <row r="102">
          <cell r="H102">
            <v>1922</v>
          </cell>
        </row>
        <row r="103">
          <cell r="H103">
            <v>3370</v>
          </cell>
        </row>
        <row r="104">
          <cell r="H104">
            <v>2601</v>
          </cell>
        </row>
        <row r="105">
          <cell r="H105">
            <v>5883</v>
          </cell>
        </row>
        <row r="106">
          <cell r="H106">
            <v>3115</v>
          </cell>
        </row>
        <row r="107">
          <cell r="H107">
            <v>651</v>
          </cell>
        </row>
        <row r="108">
          <cell r="H108">
            <v>0</v>
          </cell>
        </row>
        <row r="109">
          <cell r="H109">
            <v>3567</v>
          </cell>
        </row>
        <row r="110">
          <cell r="H110">
            <v>2953</v>
          </cell>
        </row>
        <row r="111">
          <cell r="H111">
            <v>7709</v>
          </cell>
        </row>
        <row r="112">
          <cell r="H112">
            <v>3584</v>
          </cell>
        </row>
        <row r="113">
          <cell r="H113">
            <v>7418</v>
          </cell>
        </row>
        <row r="114">
          <cell r="H114">
            <v>8338</v>
          </cell>
        </row>
        <row r="115">
          <cell r="H115">
            <v>2657</v>
          </cell>
        </row>
        <row r="116">
          <cell r="H116">
            <v>15250</v>
          </cell>
        </row>
        <row r="117">
          <cell r="H117">
            <v>13239</v>
          </cell>
        </row>
        <row r="118">
          <cell r="H118">
            <v>5447</v>
          </cell>
        </row>
        <row r="119">
          <cell r="H119">
            <v>4326</v>
          </cell>
        </row>
        <row r="120">
          <cell r="H120">
            <v>9764</v>
          </cell>
        </row>
        <row r="121">
          <cell r="H121">
            <v>7629</v>
          </cell>
        </row>
        <row r="122">
          <cell r="H122">
            <v>4946</v>
          </cell>
        </row>
        <row r="123">
          <cell r="H123">
            <v>4926</v>
          </cell>
        </row>
        <row r="124">
          <cell r="H124">
            <v>3101</v>
          </cell>
        </row>
        <row r="125">
          <cell r="H125">
            <v>1813</v>
          </cell>
        </row>
        <row r="126">
          <cell r="H126">
            <v>5803</v>
          </cell>
        </row>
        <row r="127">
          <cell r="H127">
            <v>12327</v>
          </cell>
        </row>
        <row r="128">
          <cell r="H128">
            <v>8034</v>
          </cell>
        </row>
        <row r="129">
          <cell r="H129">
            <v>46433</v>
          </cell>
        </row>
        <row r="138">
          <cell r="H138">
            <v>244</v>
          </cell>
        </row>
        <row r="139">
          <cell r="H139">
            <v>2046</v>
          </cell>
        </row>
        <row r="140">
          <cell r="H140">
            <v>231</v>
          </cell>
        </row>
        <row r="141">
          <cell r="H141">
            <v>2002</v>
          </cell>
        </row>
        <row r="142">
          <cell r="H142">
            <v>49277</v>
          </cell>
        </row>
        <row r="147">
          <cell r="D147">
            <v>9310</v>
          </cell>
          <cell r="E147">
            <v>248127</v>
          </cell>
          <cell r="F147">
            <v>913374</v>
          </cell>
          <cell r="G147">
            <v>7547</v>
          </cell>
        </row>
        <row r="150">
          <cell r="C150">
            <v>15158</v>
          </cell>
          <cell r="E150">
            <v>3287</v>
          </cell>
          <cell r="G150">
            <v>29781</v>
          </cell>
        </row>
        <row r="151">
          <cell r="C151">
            <v>4809</v>
          </cell>
          <cell r="E151">
            <v>1433</v>
          </cell>
          <cell r="G151">
            <v>4737</v>
          </cell>
        </row>
        <row r="152">
          <cell r="C152">
            <v>8463</v>
          </cell>
          <cell r="E152">
            <v>8035</v>
          </cell>
          <cell r="G152">
            <v>77</v>
          </cell>
        </row>
        <row r="153">
          <cell r="C153">
            <v>13139</v>
          </cell>
          <cell r="E153">
            <v>11461</v>
          </cell>
          <cell r="G153">
            <v>25146</v>
          </cell>
        </row>
        <row r="154">
          <cell r="C154">
            <v>8398</v>
          </cell>
          <cell r="E154">
            <v>4895</v>
          </cell>
          <cell r="G154">
            <v>27247</v>
          </cell>
        </row>
        <row r="155">
          <cell r="C155">
            <v>6391</v>
          </cell>
          <cell r="E155">
            <v>4034</v>
          </cell>
          <cell r="G155">
            <v>25284</v>
          </cell>
        </row>
        <row r="156">
          <cell r="C156">
            <v>7036</v>
          </cell>
          <cell r="E156">
            <v>8267</v>
          </cell>
        </row>
        <row r="157">
          <cell r="C157">
            <v>18741</v>
          </cell>
          <cell r="E157">
            <v>5021</v>
          </cell>
        </row>
        <row r="161">
          <cell r="C161">
            <v>2970</v>
          </cell>
        </row>
        <row r="162">
          <cell r="C162">
            <v>7004</v>
          </cell>
        </row>
        <row r="163">
          <cell r="C163">
            <v>39303</v>
          </cell>
        </row>
        <row r="171">
          <cell r="H171">
            <v>2502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90250</v>
          </cell>
        </row>
        <row r="20">
          <cell r="D20">
            <v>5503</v>
          </cell>
        </row>
        <row r="21">
          <cell r="D21">
            <v>5874</v>
          </cell>
        </row>
        <row r="22">
          <cell r="D22">
            <v>9039</v>
          </cell>
        </row>
        <row r="23">
          <cell r="D23">
            <v>5424</v>
          </cell>
        </row>
        <row r="24">
          <cell r="D24">
            <v>4190</v>
          </cell>
        </row>
        <row r="25">
          <cell r="D25">
            <v>16897</v>
          </cell>
        </row>
        <row r="26">
          <cell r="D26">
            <v>14256</v>
          </cell>
        </row>
        <row r="27">
          <cell r="D27">
            <v>6861</v>
          </cell>
        </row>
        <row r="28">
          <cell r="D28">
            <v>7929</v>
          </cell>
        </row>
        <row r="29">
          <cell r="D29">
            <v>3105</v>
          </cell>
        </row>
        <row r="30">
          <cell r="D30">
            <v>4747</v>
          </cell>
        </row>
        <row r="31">
          <cell r="D31">
            <v>9649</v>
          </cell>
        </row>
        <row r="32">
          <cell r="D32">
            <v>3865</v>
          </cell>
        </row>
        <row r="33">
          <cell r="D33">
            <v>3369</v>
          </cell>
        </row>
        <row r="34">
          <cell r="D34">
            <v>2806</v>
          </cell>
        </row>
        <row r="35">
          <cell r="D35">
            <v>6589</v>
          </cell>
        </row>
        <row r="36">
          <cell r="D36">
            <v>27302</v>
          </cell>
        </row>
        <row r="37">
          <cell r="D37">
            <v>21564</v>
          </cell>
        </row>
        <row r="38">
          <cell r="D38">
            <v>18473</v>
          </cell>
        </row>
        <row r="39">
          <cell r="D39">
            <v>35686</v>
          </cell>
        </row>
        <row r="40">
          <cell r="D40">
            <v>14470</v>
          </cell>
        </row>
        <row r="41">
          <cell r="D41">
            <v>0</v>
          </cell>
        </row>
        <row r="42">
          <cell r="D42">
            <v>15276</v>
          </cell>
        </row>
        <row r="43">
          <cell r="D43">
            <v>19398</v>
          </cell>
        </row>
        <row r="44">
          <cell r="D44">
            <v>14735</v>
          </cell>
        </row>
        <row r="45">
          <cell r="D45">
            <v>2160</v>
          </cell>
        </row>
        <row r="46">
          <cell r="D46">
            <v>17899</v>
          </cell>
        </row>
        <row r="47">
          <cell r="D47">
            <v>1524</v>
          </cell>
        </row>
        <row r="48">
          <cell r="D48">
            <v>11408</v>
          </cell>
        </row>
        <row r="49">
          <cell r="D49">
            <v>15467</v>
          </cell>
        </row>
        <row r="50">
          <cell r="D50">
            <v>942</v>
          </cell>
        </row>
        <row r="51">
          <cell r="D51">
            <v>7901</v>
          </cell>
        </row>
        <row r="52">
          <cell r="D52">
            <v>492</v>
          </cell>
        </row>
        <row r="53">
          <cell r="D53">
            <v>4999</v>
          </cell>
        </row>
        <row r="54">
          <cell r="D54">
            <v>1447</v>
          </cell>
        </row>
        <row r="55">
          <cell r="D55">
            <v>20188</v>
          </cell>
        </row>
        <row r="56">
          <cell r="D56">
            <v>112280</v>
          </cell>
        </row>
        <row r="64">
          <cell r="D64">
            <v>21674</v>
          </cell>
        </row>
        <row r="65">
          <cell r="D65">
            <v>15450</v>
          </cell>
        </row>
        <row r="66">
          <cell r="D66">
            <v>27321</v>
          </cell>
        </row>
        <row r="67">
          <cell r="D67">
            <v>10947</v>
          </cell>
        </row>
        <row r="68">
          <cell r="D68">
            <v>7064</v>
          </cell>
        </row>
        <row r="69">
          <cell r="D69">
            <v>14166</v>
          </cell>
        </row>
        <row r="70">
          <cell r="D70">
            <v>27072</v>
          </cell>
        </row>
        <row r="71">
          <cell r="D71">
            <v>13950</v>
          </cell>
        </row>
        <row r="72">
          <cell r="D72">
            <v>9603</v>
          </cell>
        </row>
        <row r="73">
          <cell r="D73">
            <v>6789</v>
          </cell>
        </row>
        <row r="74">
          <cell r="D74">
            <v>27042</v>
          </cell>
        </row>
        <row r="75">
          <cell r="D75">
            <v>18498</v>
          </cell>
        </row>
        <row r="76">
          <cell r="D76">
            <v>16858</v>
          </cell>
        </row>
        <row r="77">
          <cell r="D77">
            <v>14439</v>
          </cell>
        </row>
        <row r="78">
          <cell r="D78">
            <v>11552</v>
          </cell>
        </row>
        <row r="79">
          <cell r="D79">
            <v>9941</v>
          </cell>
        </row>
        <row r="80">
          <cell r="D80">
            <v>16195</v>
          </cell>
        </row>
        <row r="81">
          <cell r="D81">
            <v>12326</v>
          </cell>
        </row>
        <row r="82">
          <cell r="D82">
            <v>23126</v>
          </cell>
        </row>
        <row r="83">
          <cell r="D83">
            <v>0</v>
          </cell>
        </row>
        <row r="84">
          <cell r="D84">
            <v>8532</v>
          </cell>
        </row>
        <row r="85">
          <cell r="D85">
            <v>5266</v>
          </cell>
        </row>
        <row r="86">
          <cell r="D86">
            <v>22183</v>
          </cell>
        </row>
        <row r="87">
          <cell r="D87">
            <v>7952</v>
          </cell>
        </row>
        <row r="88">
          <cell r="D88">
            <v>11333</v>
          </cell>
        </row>
        <row r="89">
          <cell r="D89">
            <v>54511</v>
          </cell>
        </row>
        <row r="90">
          <cell r="D90">
            <v>12687</v>
          </cell>
        </row>
        <row r="91">
          <cell r="D91">
            <v>2724</v>
          </cell>
        </row>
        <row r="92">
          <cell r="D92">
            <v>4868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3451</v>
          </cell>
        </row>
        <row r="98">
          <cell r="D98">
            <v>1469</v>
          </cell>
        </row>
        <row r="99">
          <cell r="D99">
            <v>3531</v>
          </cell>
        </row>
        <row r="100">
          <cell r="D100">
            <v>3768</v>
          </cell>
        </row>
        <row r="101">
          <cell r="D101">
            <v>0</v>
          </cell>
        </row>
        <row r="102">
          <cell r="D102">
            <v>5458</v>
          </cell>
        </row>
        <row r="103">
          <cell r="D103">
            <v>2207</v>
          </cell>
        </row>
        <row r="104">
          <cell r="D104">
            <v>3623</v>
          </cell>
        </row>
        <row r="105">
          <cell r="D105">
            <v>3631</v>
          </cell>
        </row>
        <row r="106">
          <cell r="D106">
            <v>5419</v>
          </cell>
        </row>
        <row r="107">
          <cell r="D107">
            <v>2793</v>
          </cell>
          <cell r="G107">
            <v>17136</v>
          </cell>
        </row>
        <row r="108">
          <cell r="D108">
            <v>708</v>
          </cell>
          <cell r="G108">
            <v>6621</v>
          </cell>
        </row>
        <row r="109">
          <cell r="D109">
            <v>0</v>
          </cell>
          <cell r="G109">
            <v>10739</v>
          </cell>
        </row>
        <row r="110">
          <cell r="D110">
            <v>3387</v>
          </cell>
          <cell r="G110">
            <v>13385</v>
          </cell>
        </row>
        <row r="111">
          <cell r="D111">
            <v>3047</v>
          </cell>
          <cell r="G111">
            <v>8275</v>
          </cell>
        </row>
        <row r="112">
          <cell r="D112">
            <v>7752</v>
          </cell>
          <cell r="G112">
            <v>10121</v>
          </cell>
        </row>
        <row r="113">
          <cell r="D113">
            <v>3610</v>
          </cell>
          <cell r="G113">
            <v>8203</v>
          </cell>
        </row>
        <row r="114">
          <cell r="D114">
            <v>7367</v>
          </cell>
          <cell r="G114">
            <v>15770</v>
          </cell>
        </row>
        <row r="115">
          <cell r="D115">
            <v>9065</v>
          </cell>
        </row>
        <row r="116">
          <cell r="D116">
            <v>3588</v>
          </cell>
        </row>
        <row r="117">
          <cell r="D117">
            <v>18147</v>
          </cell>
        </row>
        <row r="118">
          <cell r="D118">
            <v>13945</v>
          </cell>
          <cell r="G118">
            <v>25862</v>
          </cell>
        </row>
        <row r="119">
          <cell r="D119">
            <v>6163</v>
          </cell>
          <cell r="G119">
            <v>11275</v>
          </cell>
        </row>
        <row r="120">
          <cell r="D120">
            <v>11238</v>
          </cell>
          <cell r="G120">
            <v>17978</v>
          </cell>
        </row>
        <row r="121">
          <cell r="D121">
            <v>4425</v>
          </cell>
          <cell r="G121">
            <v>16853</v>
          </cell>
        </row>
        <row r="122">
          <cell r="D122">
            <v>10750</v>
          </cell>
          <cell r="G122">
            <v>518</v>
          </cell>
        </row>
        <row r="123">
          <cell r="D123">
            <v>4055</v>
          </cell>
          <cell r="G123">
            <v>16335</v>
          </cell>
        </row>
        <row r="124">
          <cell r="D124">
            <v>6102</v>
          </cell>
          <cell r="G124">
            <v>23459</v>
          </cell>
        </row>
        <row r="125">
          <cell r="D125">
            <v>3336</v>
          </cell>
        </row>
        <row r="126">
          <cell r="D126">
            <v>1700</v>
          </cell>
        </row>
        <row r="127">
          <cell r="D127">
            <v>6524</v>
          </cell>
        </row>
        <row r="128">
          <cell r="D128">
            <v>13853</v>
          </cell>
          <cell r="G128">
            <v>897</v>
          </cell>
        </row>
        <row r="129">
          <cell r="D129">
            <v>10672</v>
          </cell>
          <cell r="G129">
            <v>3967</v>
          </cell>
        </row>
        <row r="130">
          <cell r="D130">
            <v>54733</v>
          </cell>
          <cell r="G130">
            <v>12683</v>
          </cell>
        </row>
        <row r="131">
          <cell r="G131">
            <v>13459</v>
          </cell>
        </row>
        <row r="132">
          <cell r="G132">
            <v>5996</v>
          </cell>
        </row>
        <row r="133">
          <cell r="G133">
            <v>4698</v>
          </cell>
        </row>
        <row r="134">
          <cell r="G134">
            <v>8166</v>
          </cell>
        </row>
        <row r="135">
          <cell r="G135">
            <v>4867</v>
          </cell>
        </row>
        <row r="139">
          <cell r="D139">
            <v>2393</v>
          </cell>
          <cell r="G139">
            <v>2884</v>
          </cell>
        </row>
        <row r="140">
          <cell r="D140">
            <v>406</v>
          </cell>
          <cell r="G140">
            <v>35260</v>
          </cell>
        </row>
        <row r="141">
          <cell r="D141">
            <v>1983</v>
          </cell>
          <cell r="G141">
            <v>17373</v>
          </cell>
        </row>
        <row r="142">
          <cell r="D142">
            <v>316</v>
          </cell>
        </row>
        <row r="143">
          <cell r="D143">
            <v>55517</v>
          </cell>
        </row>
        <row r="148">
          <cell r="D148">
            <v>1250202</v>
          </cell>
        </row>
      </sheetData>
      <sheetData sheetId="1">
        <row r="11">
          <cell r="H11">
            <v>82152</v>
          </cell>
        </row>
        <row r="20">
          <cell r="H20">
            <v>5322</v>
          </cell>
        </row>
        <row r="21">
          <cell r="H21">
            <v>6182</v>
          </cell>
        </row>
        <row r="22">
          <cell r="H22">
            <v>10613</v>
          </cell>
        </row>
        <row r="23">
          <cell r="H23">
            <v>3575</v>
          </cell>
        </row>
        <row r="24">
          <cell r="H24">
            <v>4372</v>
          </cell>
        </row>
        <row r="25">
          <cell r="H25">
            <v>13359</v>
          </cell>
        </row>
        <row r="26">
          <cell r="H26">
            <v>4588</v>
          </cell>
        </row>
        <row r="27">
          <cell r="H27">
            <v>2307</v>
          </cell>
        </row>
        <row r="28">
          <cell r="H28">
            <v>8000</v>
          </cell>
        </row>
        <row r="29">
          <cell r="H29">
            <v>3491</v>
          </cell>
        </row>
        <row r="30">
          <cell r="H30">
            <v>4597</v>
          </cell>
        </row>
        <row r="31">
          <cell r="H31">
            <v>10145</v>
          </cell>
        </row>
        <row r="32">
          <cell r="H32">
            <v>3946</v>
          </cell>
        </row>
        <row r="33">
          <cell r="H33">
            <v>3185</v>
          </cell>
        </row>
        <row r="34">
          <cell r="H34">
            <v>2839</v>
          </cell>
        </row>
        <row r="35">
          <cell r="H35">
            <v>6959</v>
          </cell>
        </row>
        <row r="36">
          <cell r="H36">
            <v>25921</v>
          </cell>
        </row>
        <row r="37">
          <cell r="H37">
            <v>19864</v>
          </cell>
        </row>
        <row r="38">
          <cell r="H38">
            <v>18612</v>
          </cell>
        </row>
        <row r="39">
          <cell r="H39">
            <v>30792</v>
          </cell>
        </row>
        <row r="40">
          <cell r="H40">
            <v>14416</v>
          </cell>
        </row>
        <row r="41">
          <cell r="H41">
            <v>0</v>
          </cell>
        </row>
        <row r="42">
          <cell r="H42">
            <v>15386</v>
          </cell>
        </row>
        <row r="43">
          <cell r="H43">
            <v>19634</v>
          </cell>
        </row>
        <row r="44">
          <cell r="H44">
            <v>14979</v>
          </cell>
        </row>
        <row r="45">
          <cell r="H45">
            <v>17395</v>
          </cell>
        </row>
        <row r="46">
          <cell r="H46">
            <v>2953</v>
          </cell>
        </row>
        <row r="47">
          <cell r="H47">
            <v>10765</v>
          </cell>
        </row>
        <row r="48">
          <cell r="H48">
            <v>1814</v>
          </cell>
        </row>
        <row r="49">
          <cell r="H49">
            <v>16622</v>
          </cell>
        </row>
        <row r="50">
          <cell r="H50">
            <v>8207</v>
          </cell>
        </row>
        <row r="51">
          <cell r="H51">
            <v>1379</v>
          </cell>
        </row>
        <row r="52">
          <cell r="H52">
            <v>4345</v>
          </cell>
        </row>
        <row r="53">
          <cell r="H53">
            <v>758</v>
          </cell>
        </row>
        <row r="54">
          <cell r="H54">
            <v>19175</v>
          </cell>
        </row>
        <row r="55">
          <cell r="H55">
            <v>2384</v>
          </cell>
        </row>
        <row r="56">
          <cell r="H56">
            <v>112224</v>
          </cell>
        </row>
        <row r="63">
          <cell r="H63">
            <v>21300</v>
          </cell>
        </row>
        <row r="64">
          <cell r="H64">
            <v>12849</v>
          </cell>
        </row>
        <row r="65">
          <cell r="H65">
            <v>26363</v>
          </cell>
        </row>
        <row r="66">
          <cell r="H66">
            <v>10370</v>
          </cell>
        </row>
        <row r="67">
          <cell r="H67">
            <v>7026</v>
          </cell>
        </row>
        <row r="68">
          <cell r="H68">
            <v>16232</v>
          </cell>
        </row>
        <row r="69">
          <cell r="H69">
            <v>26451</v>
          </cell>
        </row>
        <row r="70">
          <cell r="H70">
            <v>13674</v>
          </cell>
        </row>
        <row r="71">
          <cell r="H71">
            <v>9502</v>
          </cell>
        </row>
        <row r="72">
          <cell r="H72">
            <v>7768</v>
          </cell>
        </row>
        <row r="73">
          <cell r="H73">
            <v>24017</v>
          </cell>
        </row>
        <row r="74">
          <cell r="H74">
            <v>18684</v>
          </cell>
        </row>
        <row r="75">
          <cell r="H75">
            <v>16877</v>
          </cell>
        </row>
        <row r="76">
          <cell r="H76">
            <v>13334</v>
          </cell>
        </row>
        <row r="77">
          <cell r="H77">
            <v>11321</v>
          </cell>
        </row>
        <row r="78">
          <cell r="H78">
            <v>9002</v>
          </cell>
        </row>
        <row r="79">
          <cell r="H79">
            <v>15147</v>
          </cell>
        </row>
        <row r="80">
          <cell r="H80">
            <v>11878</v>
          </cell>
        </row>
        <row r="81">
          <cell r="H81">
            <v>19554</v>
          </cell>
        </row>
        <row r="82">
          <cell r="H82">
            <v>0</v>
          </cell>
        </row>
        <row r="83">
          <cell r="H83">
            <v>8124</v>
          </cell>
        </row>
        <row r="84">
          <cell r="H84">
            <v>4544</v>
          </cell>
        </row>
        <row r="85">
          <cell r="H85">
            <v>22188</v>
          </cell>
        </row>
        <row r="86">
          <cell r="H86">
            <v>7390</v>
          </cell>
        </row>
        <row r="87">
          <cell r="H87">
            <v>8648</v>
          </cell>
        </row>
        <row r="88">
          <cell r="H88">
            <v>48609</v>
          </cell>
        </row>
        <row r="89">
          <cell r="H89">
            <v>10705</v>
          </cell>
        </row>
        <row r="90">
          <cell r="H90">
            <v>2459</v>
          </cell>
        </row>
        <row r="91">
          <cell r="H91">
            <v>4493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3627</v>
          </cell>
        </row>
        <row r="97">
          <cell r="H97">
            <v>1420</v>
          </cell>
        </row>
        <row r="98">
          <cell r="H98">
            <v>3346</v>
          </cell>
        </row>
        <row r="99">
          <cell r="H99">
            <v>3530</v>
          </cell>
        </row>
        <row r="100">
          <cell r="H100">
            <v>0</v>
          </cell>
        </row>
        <row r="101">
          <cell r="H101">
            <v>5459</v>
          </cell>
        </row>
        <row r="102">
          <cell r="H102">
            <v>2002</v>
          </cell>
        </row>
        <row r="103">
          <cell r="H103">
            <v>3275</v>
          </cell>
        </row>
        <row r="104">
          <cell r="H104">
            <v>2738</v>
          </cell>
        </row>
        <row r="105">
          <cell r="H105">
            <v>5788</v>
          </cell>
        </row>
        <row r="106">
          <cell r="H106">
            <v>3129</v>
          </cell>
        </row>
        <row r="107">
          <cell r="H107">
            <v>675</v>
          </cell>
        </row>
        <row r="108">
          <cell r="H108">
            <v>0</v>
          </cell>
        </row>
        <row r="109">
          <cell r="H109">
            <v>3577</v>
          </cell>
        </row>
        <row r="110">
          <cell r="H110">
            <v>2920</v>
          </cell>
        </row>
        <row r="111">
          <cell r="H111">
            <v>7757</v>
          </cell>
        </row>
        <row r="112">
          <cell r="H112">
            <v>3643</v>
          </cell>
        </row>
        <row r="113">
          <cell r="H113">
            <v>7446</v>
          </cell>
        </row>
        <row r="114">
          <cell r="H114">
            <v>8219</v>
          </cell>
        </row>
        <row r="115">
          <cell r="H115">
            <v>2578</v>
          </cell>
        </row>
        <row r="116">
          <cell r="H116">
            <v>15599</v>
          </cell>
        </row>
        <row r="117">
          <cell r="H117">
            <v>13130</v>
          </cell>
        </row>
        <row r="118">
          <cell r="H118">
            <v>5508</v>
          </cell>
        </row>
        <row r="119">
          <cell r="H119">
            <v>4383</v>
          </cell>
        </row>
        <row r="120">
          <cell r="H120">
            <v>9916</v>
          </cell>
        </row>
        <row r="121">
          <cell r="H121">
            <v>7773</v>
          </cell>
        </row>
        <row r="122">
          <cell r="H122">
            <v>4821</v>
          </cell>
        </row>
        <row r="123">
          <cell r="H123">
            <v>4891</v>
          </cell>
        </row>
        <row r="124">
          <cell r="H124">
            <v>3143</v>
          </cell>
        </row>
        <row r="125">
          <cell r="H125">
            <v>1744</v>
          </cell>
        </row>
        <row r="126">
          <cell r="H126">
            <v>5734</v>
          </cell>
        </row>
        <row r="127">
          <cell r="H127">
            <v>12594</v>
          </cell>
        </row>
        <row r="128">
          <cell r="H128">
            <v>8405</v>
          </cell>
        </row>
        <row r="129">
          <cell r="H129">
            <v>46740</v>
          </cell>
        </row>
        <row r="138">
          <cell r="H138">
            <v>235</v>
          </cell>
        </row>
        <row r="139">
          <cell r="H139">
            <v>2131</v>
          </cell>
        </row>
        <row r="140">
          <cell r="H140">
            <v>294</v>
          </cell>
        </row>
        <row r="141">
          <cell r="H141">
            <v>2030</v>
          </cell>
        </row>
        <row r="142">
          <cell r="H142">
            <v>50029</v>
          </cell>
        </row>
        <row r="147">
          <cell r="D147">
            <v>8128</v>
          </cell>
          <cell r="E147">
            <v>251107</v>
          </cell>
          <cell r="F147">
            <v>918314</v>
          </cell>
          <cell r="G147">
            <v>7798</v>
          </cell>
        </row>
        <row r="150">
          <cell r="C150">
            <v>15148</v>
          </cell>
          <cell r="E150">
            <v>3236</v>
          </cell>
          <cell r="G150">
            <v>29502</v>
          </cell>
        </row>
        <row r="151">
          <cell r="C151">
            <v>4613</v>
          </cell>
          <cell r="E151">
            <v>1500</v>
          </cell>
          <cell r="G151">
            <v>4809</v>
          </cell>
        </row>
        <row r="152">
          <cell r="C152">
            <v>7939</v>
          </cell>
          <cell r="E152">
            <v>7647</v>
          </cell>
          <cell r="G152">
            <v>88</v>
          </cell>
        </row>
        <row r="153">
          <cell r="C153">
            <v>12905</v>
          </cell>
          <cell r="E153">
            <v>11305</v>
          </cell>
          <cell r="G153">
            <v>24552</v>
          </cell>
        </row>
        <row r="154">
          <cell r="C154">
            <v>8949</v>
          </cell>
          <cell r="E154">
            <v>4894</v>
          </cell>
          <cell r="G154">
            <v>28803</v>
          </cell>
        </row>
        <row r="155">
          <cell r="C155">
            <v>6415</v>
          </cell>
          <cell r="E155">
            <v>4434</v>
          </cell>
          <cell r="G155">
            <v>24470</v>
          </cell>
        </row>
        <row r="156">
          <cell r="C156">
            <v>7607</v>
          </cell>
          <cell r="E156">
            <v>8899</v>
          </cell>
        </row>
        <row r="157">
          <cell r="C157">
            <v>18576</v>
          </cell>
          <cell r="E157">
            <v>4825</v>
          </cell>
        </row>
        <row r="161">
          <cell r="C161">
            <v>2870</v>
          </cell>
        </row>
        <row r="162">
          <cell r="C162">
            <v>7310</v>
          </cell>
        </row>
        <row r="163">
          <cell r="C163">
            <v>39849</v>
          </cell>
        </row>
        <row r="171">
          <cell r="H171">
            <v>2644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88157</v>
          </cell>
        </row>
        <row r="20">
          <cell r="D20">
            <v>5540</v>
          </cell>
        </row>
        <row r="21">
          <cell r="D21">
            <v>5491</v>
          </cell>
        </row>
        <row r="22">
          <cell r="D22">
            <v>9032</v>
          </cell>
        </row>
        <row r="23">
          <cell r="D23">
            <v>5260</v>
          </cell>
        </row>
        <row r="24">
          <cell r="D24">
            <v>4170</v>
          </cell>
        </row>
        <row r="25">
          <cell r="D25">
            <v>16946</v>
          </cell>
        </row>
        <row r="26">
          <cell r="D26">
            <v>13469</v>
          </cell>
        </row>
        <row r="27">
          <cell r="D27">
            <v>6926</v>
          </cell>
        </row>
        <row r="28">
          <cell r="D28">
            <v>7548</v>
          </cell>
        </row>
        <row r="29">
          <cell r="D29">
            <v>3036</v>
          </cell>
        </row>
        <row r="30">
          <cell r="D30">
            <v>4855</v>
          </cell>
        </row>
        <row r="31">
          <cell r="D31">
            <v>9619</v>
          </cell>
        </row>
        <row r="32">
          <cell r="D32">
            <v>3827</v>
          </cell>
        </row>
        <row r="33">
          <cell r="D33">
            <v>3297</v>
          </cell>
        </row>
        <row r="34">
          <cell r="D34">
            <v>2763</v>
          </cell>
        </row>
        <row r="35">
          <cell r="D35">
            <v>5737</v>
          </cell>
        </row>
        <row r="36">
          <cell r="D36">
            <v>26631</v>
          </cell>
        </row>
        <row r="37">
          <cell r="D37">
            <v>21562</v>
          </cell>
        </row>
        <row r="38">
          <cell r="D38">
            <v>18463</v>
          </cell>
        </row>
        <row r="39">
          <cell r="D39">
            <v>32566</v>
          </cell>
        </row>
        <row r="40">
          <cell r="D40">
            <v>13910</v>
          </cell>
        </row>
        <row r="41">
          <cell r="D41">
            <v>0</v>
          </cell>
        </row>
        <row r="42">
          <cell r="D42">
            <v>15457</v>
          </cell>
        </row>
        <row r="43">
          <cell r="D43">
            <v>19907</v>
          </cell>
        </row>
        <row r="44">
          <cell r="D44">
            <v>14640</v>
          </cell>
        </row>
        <row r="45">
          <cell r="D45">
            <v>2000</v>
          </cell>
        </row>
        <row r="46">
          <cell r="D46">
            <v>18317</v>
          </cell>
        </row>
        <row r="47">
          <cell r="D47">
            <v>1418</v>
          </cell>
        </row>
        <row r="48">
          <cell r="D48">
            <v>11167</v>
          </cell>
        </row>
        <row r="49">
          <cell r="D49">
            <v>15393</v>
          </cell>
        </row>
        <row r="50">
          <cell r="D50">
            <v>960</v>
          </cell>
        </row>
        <row r="51">
          <cell r="D51">
            <v>7901</v>
          </cell>
        </row>
        <row r="52">
          <cell r="D52">
            <v>480</v>
          </cell>
        </row>
        <row r="53">
          <cell r="D53">
            <v>5169</v>
          </cell>
        </row>
        <row r="54">
          <cell r="D54">
            <v>1347</v>
          </cell>
        </row>
        <row r="55">
          <cell r="D55">
            <v>19917</v>
          </cell>
        </row>
        <row r="56">
          <cell r="D56">
            <v>109892</v>
          </cell>
        </row>
        <row r="64">
          <cell r="D64">
            <v>22125</v>
          </cell>
        </row>
        <row r="65">
          <cell r="D65">
            <v>15639</v>
          </cell>
        </row>
        <row r="66">
          <cell r="D66">
            <v>27380</v>
          </cell>
        </row>
        <row r="67">
          <cell r="D67">
            <v>10741</v>
          </cell>
        </row>
        <row r="68">
          <cell r="D68">
            <v>7251</v>
          </cell>
        </row>
        <row r="69">
          <cell r="D69">
            <v>14326</v>
          </cell>
        </row>
        <row r="70">
          <cell r="D70">
            <v>27000</v>
          </cell>
        </row>
        <row r="71">
          <cell r="D71">
            <v>14246</v>
          </cell>
        </row>
        <row r="72">
          <cell r="D72">
            <v>9623</v>
          </cell>
        </row>
        <row r="73">
          <cell r="D73">
            <v>6522</v>
          </cell>
        </row>
        <row r="74">
          <cell r="D74">
            <v>24939</v>
          </cell>
        </row>
        <row r="75">
          <cell r="D75">
            <v>18244</v>
          </cell>
        </row>
        <row r="76">
          <cell r="D76">
            <v>16342</v>
          </cell>
        </row>
        <row r="77">
          <cell r="D77">
            <v>14284</v>
          </cell>
        </row>
        <row r="78">
          <cell r="D78">
            <v>11333</v>
          </cell>
        </row>
        <row r="79">
          <cell r="D79">
            <v>10006</v>
          </cell>
        </row>
        <row r="80">
          <cell r="D80">
            <v>16115</v>
          </cell>
        </row>
        <row r="81">
          <cell r="D81">
            <v>12368</v>
          </cell>
        </row>
        <row r="82">
          <cell r="D82">
            <v>23168</v>
          </cell>
        </row>
        <row r="83">
          <cell r="D83">
            <v>0</v>
          </cell>
        </row>
        <row r="84">
          <cell r="D84">
            <v>8330</v>
          </cell>
        </row>
        <row r="85">
          <cell r="D85">
            <v>5190</v>
          </cell>
        </row>
        <row r="86">
          <cell r="D86">
            <v>21937</v>
          </cell>
        </row>
        <row r="87">
          <cell r="D87">
            <v>7651</v>
          </cell>
        </row>
        <row r="88">
          <cell r="D88">
            <v>11399</v>
          </cell>
        </row>
        <row r="89">
          <cell r="D89">
            <v>55511</v>
          </cell>
        </row>
        <row r="90">
          <cell r="D90">
            <v>13485</v>
          </cell>
        </row>
        <row r="91">
          <cell r="D91">
            <v>2754</v>
          </cell>
        </row>
        <row r="92">
          <cell r="D92">
            <v>4457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3448</v>
          </cell>
        </row>
        <row r="98">
          <cell r="D98">
            <v>1655</v>
          </cell>
        </row>
        <row r="99">
          <cell r="D99">
            <v>3543</v>
          </cell>
        </row>
        <row r="100">
          <cell r="D100">
            <v>3580</v>
          </cell>
        </row>
        <row r="101">
          <cell r="D101">
            <v>0</v>
          </cell>
        </row>
        <row r="102">
          <cell r="D102">
            <v>5261</v>
          </cell>
        </row>
        <row r="103">
          <cell r="D103">
            <v>2357</v>
          </cell>
        </row>
        <row r="104">
          <cell r="D104">
            <v>3598</v>
          </cell>
        </row>
        <row r="105">
          <cell r="D105">
            <v>3672</v>
          </cell>
        </row>
        <row r="106">
          <cell r="D106">
            <v>5438</v>
          </cell>
        </row>
        <row r="107">
          <cell r="D107">
            <v>2748</v>
          </cell>
          <cell r="G107">
            <v>16133</v>
          </cell>
        </row>
        <row r="108">
          <cell r="D108">
            <v>688</v>
          </cell>
          <cell r="G108">
            <v>6459</v>
          </cell>
        </row>
        <row r="109">
          <cell r="D109">
            <v>0</v>
          </cell>
          <cell r="G109">
            <v>10776</v>
          </cell>
        </row>
        <row r="110">
          <cell r="D110">
            <v>3470</v>
          </cell>
          <cell r="G110">
            <v>13494</v>
          </cell>
        </row>
        <row r="111">
          <cell r="D111">
            <v>3317</v>
          </cell>
          <cell r="G111">
            <v>8110</v>
          </cell>
        </row>
        <row r="112">
          <cell r="D112">
            <v>7724</v>
          </cell>
          <cell r="G112">
            <v>10184</v>
          </cell>
        </row>
        <row r="113">
          <cell r="D113">
            <v>3656</v>
          </cell>
          <cell r="G113">
            <v>8022</v>
          </cell>
        </row>
        <row r="114">
          <cell r="D114">
            <v>7209</v>
          </cell>
          <cell r="G114">
            <v>14979</v>
          </cell>
        </row>
        <row r="115">
          <cell r="D115">
            <v>8537</v>
          </cell>
        </row>
        <row r="116">
          <cell r="D116">
            <v>3380</v>
          </cell>
        </row>
        <row r="117">
          <cell r="D117">
            <v>17977</v>
          </cell>
        </row>
        <row r="118">
          <cell r="D118">
            <v>14077</v>
          </cell>
          <cell r="G118">
            <v>25432</v>
          </cell>
        </row>
        <row r="119">
          <cell r="D119">
            <v>5862</v>
          </cell>
          <cell r="G119">
            <v>10757</v>
          </cell>
        </row>
        <row r="120">
          <cell r="D120">
            <v>11095</v>
          </cell>
          <cell r="G120">
            <v>18551</v>
          </cell>
        </row>
        <row r="121">
          <cell r="D121">
            <v>4328</v>
          </cell>
          <cell r="G121">
            <v>15875</v>
          </cell>
        </row>
        <row r="122">
          <cell r="D122">
            <v>10605</v>
          </cell>
          <cell r="G122">
            <v>500</v>
          </cell>
        </row>
        <row r="123">
          <cell r="D123">
            <v>4080</v>
          </cell>
          <cell r="G123">
            <v>15574</v>
          </cell>
        </row>
        <row r="124">
          <cell r="D124">
            <v>5958</v>
          </cell>
          <cell r="G124">
            <v>23203</v>
          </cell>
        </row>
        <row r="125">
          <cell r="D125">
            <v>3283</v>
          </cell>
        </row>
        <row r="126">
          <cell r="D126">
            <v>1658</v>
          </cell>
        </row>
        <row r="127">
          <cell r="D127">
            <v>6516</v>
          </cell>
        </row>
        <row r="128">
          <cell r="D128">
            <v>13880</v>
          </cell>
          <cell r="G128">
            <v>1048</v>
          </cell>
        </row>
        <row r="129">
          <cell r="D129">
            <v>10064</v>
          </cell>
          <cell r="G129">
            <v>3809</v>
          </cell>
        </row>
        <row r="130">
          <cell r="D130">
            <v>54458</v>
          </cell>
          <cell r="G130">
            <v>12741</v>
          </cell>
        </row>
        <row r="131">
          <cell r="G131">
            <v>13468</v>
          </cell>
        </row>
        <row r="132">
          <cell r="G132">
            <v>6067</v>
          </cell>
        </row>
        <row r="133">
          <cell r="G133">
            <v>4630</v>
          </cell>
        </row>
        <row r="134">
          <cell r="G134">
            <v>7886</v>
          </cell>
        </row>
        <row r="135">
          <cell r="G135">
            <v>4809</v>
          </cell>
        </row>
        <row r="139">
          <cell r="D139">
            <v>2351</v>
          </cell>
          <cell r="G139">
            <v>2903</v>
          </cell>
        </row>
        <row r="140">
          <cell r="D140">
            <v>379</v>
          </cell>
          <cell r="G140">
            <v>34299</v>
          </cell>
        </row>
        <row r="141">
          <cell r="D141">
            <v>1965</v>
          </cell>
          <cell r="G141">
            <v>18373</v>
          </cell>
        </row>
        <row r="142">
          <cell r="D142">
            <v>300</v>
          </cell>
        </row>
        <row r="143">
          <cell r="D143">
            <v>55575</v>
          </cell>
        </row>
        <row r="148">
          <cell r="D148">
            <v>1236504</v>
          </cell>
        </row>
      </sheetData>
      <sheetData sheetId="1">
        <row r="11">
          <cell r="H11">
            <v>82167</v>
          </cell>
        </row>
        <row r="20">
          <cell r="H20">
            <v>5435</v>
          </cell>
        </row>
        <row r="21">
          <cell r="H21">
            <v>5932</v>
          </cell>
        </row>
        <row r="22">
          <cell r="H22">
            <v>10714</v>
          </cell>
        </row>
        <row r="23">
          <cell r="H23">
            <v>3687</v>
          </cell>
        </row>
        <row r="24">
          <cell r="H24">
            <v>4271</v>
          </cell>
        </row>
        <row r="25">
          <cell r="H25">
            <v>13096</v>
          </cell>
        </row>
        <row r="26">
          <cell r="H26">
            <v>4342</v>
          </cell>
        </row>
        <row r="27">
          <cell r="H27">
            <v>2273</v>
          </cell>
        </row>
        <row r="28">
          <cell r="H28">
            <v>7698</v>
          </cell>
        </row>
        <row r="29">
          <cell r="H29">
            <v>3559</v>
          </cell>
        </row>
        <row r="30">
          <cell r="H30">
            <v>4557</v>
          </cell>
        </row>
        <row r="31">
          <cell r="H31">
            <v>10088</v>
          </cell>
        </row>
        <row r="32">
          <cell r="H32">
            <v>3774</v>
          </cell>
        </row>
        <row r="33">
          <cell r="H33">
            <v>3129</v>
          </cell>
        </row>
        <row r="34">
          <cell r="H34">
            <v>2834</v>
          </cell>
        </row>
        <row r="35">
          <cell r="H35">
            <v>6893</v>
          </cell>
        </row>
        <row r="36">
          <cell r="H36">
            <v>25880</v>
          </cell>
        </row>
        <row r="37">
          <cell r="H37">
            <v>19823</v>
          </cell>
        </row>
        <row r="38">
          <cell r="H38">
            <v>18259</v>
          </cell>
        </row>
        <row r="39">
          <cell r="H39">
            <v>29908</v>
          </cell>
        </row>
        <row r="40">
          <cell r="H40">
            <v>13973</v>
          </cell>
        </row>
        <row r="41">
          <cell r="H41">
            <v>0</v>
          </cell>
        </row>
        <row r="42">
          <cell r="H42">
            <v>15322</v>
          </cell>
        </row>
        <row r="43">
          <cell r="H43">
            <v>19607</v>
          </cell>
        </row>
        <row r="44">
          <cell r="H44">
            <v>14776</v>
          </cell>
        </row>
        <row r="45">
          <cell r="H45">
            <v>17350</v>
          </cell>
        </row>
        <row r="46">
          <cell r="H46">
            <v>2975</v>
          </cell>
        </row>
        <row r="47">
          <cell r="H47">
            <v>10686</v>
          </cell>
        </row>
        <row r="48">
          <cell r="H48">
            <v>1810</v>
          </cell>
        </row>
        <row r="49">
          <cell r="H49">
            <v>16357</v>
          </cell>
        </row>
        <row r="50">
          <cell r="H50">
            <v>8237</v>
          </cell>
        </row>
        <row r="51">
          <cell r="H51">
            <v>1404</v>
          </cell>
        </row>
        <row r="52">
          <cell r="H52">
            <v>4470</v>
          </cell>
        </row>
        <row r="53">
          <cell r="H53">
            <v>702</v>
          </cell>
        </row>
        <row r="54">
          <cell r="H54">
            <v>18989</v>
          </cell>
        </row>
        <row r="55">
          <cell r="H55">
            <v>2435</v>
          </cell>
        </row>
        <row r="56">
          <cell r="H56">
            <v>111757</v>
          </cell>
        </row>
        <row r="63">
          <cell r="H63">
            <v>21445</v>
          </cell>
        </row>
        <row r="64">
          <cell r="H64">
            <v>12857</v>
          </cell>
        </row>
        <row r="65">
          <cell r="H65">
            <v>25739</v>
          </cell>
        </row>
        <row r="66">
          <cell r="H66">
            <v>10416</v>
          </cell>
        </row>
        <row r="67">
          <cell r="H67">
            <v>7014</v>
          </cell>
        </row>
        <row r="68">
          <cell r="H68">
            <v>16187</v>
          </cell>
        </row>
        <row r="69">
          <cell r="H69">
            <v>26791</v>
          </cell>
        </row>
        <row r="70">
          <cell r="H70">
            <v>13536</v>
          </cell>
        </row>
        <row r="71">
          <cell r="H71">
            <v>9530</v>
          </cell>
        </row>
        <row r="72">
          <cell r="H72">
            <v>7584</v>
          </cell>
        </row>
        <row r="73">
          <cell r="H73">
            <v>22511</v>
          </cell>
        </row>
        <row r="74">
          <cell r="H74">
            <v>18071</v>
          </cell>
        </row>
        <row r="75">
          <cell r="H75">
            <v>17185</v>
          </cell>
        </row>
        <row r="76">
          <cell r="H76">
            <v>13355</v>
          </cell>
        </row>
        <row r="77">
          <cell r="H77">
            <v>11130</v>
          </cell>
        </row>
        <row r="78">
          <cell r="H78">
            <v>8613</v>
          </cell>
        </row>
        <row r="79">
          <cell r="H79">
            <v>14714</v>
          </cell>
        </row>
        <row r="80">
          <cell r="H80">
            <v>12092</v>
          </cell>
        </row>
        <row r="81">
          <cell r="H81">
            <v>19676</v>
          </cell>
        </row>
        <row r="82">
          <cell r="H82">
            <v>0</v>
          </cell>
        </row>
        <row r="83">
          <cell r="H83">
            <v>8045</v>
          </cell>
        </row>
        <row r="84">
          <cell r="H84">
            <v>4553</v>
          </cell>
        </row>
        <row r="85">
          <cell r="H85">
            <v>21831</v>
          </cell>
        </row>
        <row r="86">
          <cell r="H86">
            <v>7294</v>
          </cell>
        </row>
        <row r="87">
          <cell r="H87">
            <v>8803</v>
          </cell>
        </row>
        <row r="88">
          <cell r="H88">
            <v>49433</v>
          </cell>
        </row>
        <row r="89">
          <cell r="H89">
            <v>11679</v>
          </cell>
        </row>
        <row r="90">
          <cell r="H90">
            <v>2376</v>
          </cell>
        </row>
        <row r="91">
          <cell r="H91">
            <v>4426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3582</v>
          </cell>
        </row>
        <row r="97">
          <cell r="H97">
            <v>1389</v>
          </cell>
        </row>
        <row r="98">
          <cell r="H98">
            <v>3331</v>
          </cell>
        </row>
        <row r="99">
          <cell r="H99">
            <v>3549</v>
          </cell>
        </row>
        <row r="100">
          <cell r="H100">
            <v>0</v>
          </cell>
        </row>
        <row r="101">
          <cell r="H101">
            <v>5433</v>
          </cell>
        </row>
        <row r="102">
          <cell r="H102">
            <v>2038</v>
          </cell>
        </row>
        <row r="103">
          <cell r="H103">
            <v>3257</v>
          </cell>
        </row>
        <row r="104">
          <cell r="H104">
            <v>2584</v>
          </cell>
        </row>
        <row r="105">
          <cell r="H105">
            <v>5843</v>
          </cell>
        </row>
        <row r="106">
          <cell r="H106">
            <v>3191</v>
          </cell>
        </row>
        <row r="107">
          <cell r="H107">
            <v>655</v>
          </cell>
        </row>
        <row r="108">
          <cell r="H108">
            <v>0</v>
          </cell>
        </row>
        <row r="109">
          <cell r="H109">
            <v>3489</v>
          </cell>
        </row>
        <row r="110">
          <cell r="H110">
            <v>2971</v>
          </cell>
        </row>
        <row r="111">
          <cell r="H111">
            <v>7848</v>
          </cell>
        </row>
        <row r="112">
          <cell r="H112">
            <v>3598</v>
          </cell>
        </row>
        <row r="113">
          <cell r="H113">
            <v>7376</v>
          </cell>
        </row>
        <row r="114">
          <cell r="H114">
            <v>8069</v>
          </cell>
        </row>
        <row r="115">
          <cell r="H115">
            <v>2419</v>
          </cell>
        </row>
        <row r="116">
          <cell r="H116">
            <v>15434</v>
          </cell>
        </row>
        <row r="117">
          <cell r="H117">
            <v>13272</v>
          </cell>
        </row>
        <row r="118">
          <cell r="H118">
            <v>5373</v>
          </cell>
        </row>
        <row r="119">
          <cell r="H119">
            <v>4360</v>
          </cell>
        </row>
        <row r="120">
          <cell r="H120">
            <v>9707</v>
          </cell>
        </row>
        <row r="121">
          <cell r="H121">
            <v>7676</v>
          </cell>
        </row>
        <row r="122">
          <cell r="H122">
            <v>4714</v>
          </cell>
        </row>
        <row r="123">
          <cell r="H123">
            <v>4790</v>
          </cell>
        </row>
        <row r="124">
          <cell r="H124">
            <v>3050</v>
          </cell>
        </row>
        <row r="125">
          <cell r="H125">
            <v>1763</v>
          </cell>
        </row>
        <row r="126">
          <cell r="H126">
            <v>5751</v>
          </cell>
        </row>
        <row r="127">
          <cell r="H127">
            <v>12389</v>
          </cell>
        </row>
        <row r="128">
          <cell r="H128">
            <v>8234</v>
          </cell>
        </row>
        <row r="129">
          <cell r="H129">
            <v>45925</v>
          </cell>
        </row>
        <row r="138">
          <cell r="H138">
            <v>252</v>
          </cell>
        </row>
        <row r="139">
          <cell r="H139">
            <v>2044</v>
          </cell>
        </row>
        <row r="140">
          <cell r="H140">
            <v>250</v>
          </cell>
        </row>
        <row r="141">
          <cell r="H141">
            <v>1975</v>
          </cell>
        </row>
        <row r="142">
          <cell r="H142">
            <v>49342</v>
          </cell>
        </row>
        <row r="147">
          <cell r="D147">
            <v>8358</v>
          </cell>
          <cell r="E147">
            <v>248856</v>
          </cell>
          <cell r="F147">
            <v>911751</v>
          </cell>
          <cell r="G147">
            <v>7801</v>
          </cell>
        </row>
        <row r="150">
          <cell r="C150">
            <v>15173</v>
          </cell>
          <cell r="E150">
            <v>3102</v>
          </cell>
          <cell r="G150">
            <v>29208</v>
          </cell>
        </row>
        <row r="151">
          <cell r="C151">
            <v>4611</v>
          </cell>
          <cell r="E151">
            <v>1494</v>
          </cell>
          <cell r="G151">
            <v>4539</v>
          </cell>
        </row>
        <row r="152">
          <cell r="C152">
            <v>8211</v>
          </cell>
          <cell r="E152">
            <v>8043</v>
          </cell>
          <cell r="G152">
            <v>74</v>
          </cell>
        </row>
        <row r="153">
          <cell r="C153">
            <v>13017</v>
          </cell>
          <cell r="E153">
            <v>11287</v>
          </cell>
          <cell r="G153">
            <v>24486</v>
          </cell>
        </row>
        <row r="154">
          <cell r="C154">
            <v>8983</v>
          </cell>
          <cell r="E154">
            <v>4959</v>
          </cell>
          <cell r="G154">
            <v>27306</v>
          </cell>
        </row>
        <row r="155">
          <cell r="C155">
            <v>5955</v>
          </cell>
          <cell r="E155">
            <v>4070</v>
          </cell>
          <cell r="G155">
            <v>26144</v>
          </cell>
        </row>
        <row r="156">
          <cell r="C156">
            <v>7754</v>
          </cell>
          <cell r="E156">
            <v>8205</v>
          </cell>
        </row>
        <row r="157">
          <cell r="C157">
            <v>18463</v>
          </cell>
          <cell r="E157">
            <v>4765</v>
          </cell>
        </row>
        <row r="161">
          <cell r="C161">
            <v>2831</v>
          </cell>
        </row>
        <row r="162">
          <cell r="C162">
            <v>7207</v>
          </cell>
        </row>
        <row r="163">
          <cell r="C163">
            <v>39304</v>
          </cell>
        </row>
        <row r="171">
          <cell r="H171">
            <v>2563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88116</v>
          </cell>
        </row>
        <row r="20">
          <cell r="D20">
            <v>5379</v>
          </cell>
        </row>
        <row r="21">
          <cell r="D21">
            <v>5603</v>
          </cell>
        </row>
        <row r="22">
          <cell r="D22">
            <v>8948</v>
          </cell>
        </row>
        <row r="23">
          <cell r="D23">
            <v>5149</v>
          </cell>
        </row>
        <row r="24">
          <cell r="D24">
            <v>4127</v>
          </cell>
        </row>
        <row r="25">
          <cell r="D25">
            <v>16778</v>
          </cell>
        </row>
        <row r="26">
          <cell r="D26">
            <v>13729</v>
          </cell>
        </row>
        <row r="27">
          <cell r="D27">
            <v>6893</v>
          </cell>
        </row>
        <row r="28">
          <cell r="D28">
            <v>7747</v>
          </cell>
        </row>
        <row r="29">
          <cell r="D29">
            <v>2935</v>
          </cell>
        </row>
        <row r="30">
          <cell r="D30">
            <v>4713</v>
          </cell>
        </row>
        <row r="31">
          <cell r="D31">
            <v>9336</v>
          </cell>
        </row>
        <row r="32">
          <cell r="D32">
            <v>3661</v>
          </cell>
        </row>
        <row r="33">
          <cell r="D33">
            <v>3297</v>
          </cell>
        </row>
        <row r="34">
          <cell r="D34">
            <v>2795</v>
          </cell>
        </row>
        <row r="35">
          <cell r="D35">
            <v>6650</v>
          </cell>
        </row>
        <row r="36">
          <cell r="D36">
            <v>26297</v>
          </cell>
        </row>
        <row r="37">
          <cell r="D37">
            <v>21204</v>
          </cell>
        </row>
        <row r="38">
          <cell r="D38">
            <v>18186</v>
          </cell>
        </row>
        <row r="39">
          <cell r="D39">
            <v>34740</v>
          </cell>
        </row>
        <row r="40">
          <cell r="D40">
            <v>13997</v>
          </cell>
        </row>
        <row r="41">
          <cell r="D41">
            <v>0</v>
          </cell>
        </row>
        <row r="42">
          <cell r="D42">
            <v>14888</v>
          </cell>
        </row>
        <row r="43">
          <cell r="D43">
            <v>19063</v>
          </cell>
        </row>
        <row r="44">
          <cell r="D44">
            <v>15691</v>
          </cell>
        </row>
        <row r="45">
          <cell r="D45">
            <v>2008</v>
          </cell>
        </row>
        <row r="46">
          <cell r="D46">
            <v>18113</v>
          </cell>
        </row>
        <row r="47">
          <cell r="D47">
            <v>1482</v>
          </cell>
        </row>
        <row r="48">
          <cell r="D48">
            <v>11233</v>
          </cell>
        </row>
        <row r="49">
          <cell r="D49">
            <v>15300</v>
          </cell>
        </row>
        <row r="50">
          <cell r="D50">
            <v>970</v>
          </cell>
        </row>
        <row r="51">
          <cell r="D51">
            <v>7792</v>
          </cell>
        </row>
        <row r="52">
          <cell r="D52">
            <v>446</v>
          </cell>
        </row>
        <row r="53">
          <cell r="D53">
            <v>5043</v>
          </cell>
        </row>
        <row r="54">
          <cell r="D54">
            <v>1353</v>
          </cell>
        </row>
        <row r="55">
          <cell r="D55">
            <v>19233</v>
          </cell>
        </row>
        <row r="56">
          <cell r="D56">
            <v>110774</v>
          </cell>
        </row>
        <row r="64">
          <cell r="D64">
            <v>21050</v>
          </cell>
        </row>
        <row r="65">
          <cell r="D65">
            <v>15120</v>
          </cell>
        </row>
        <row r="66">
          <cell r="D66">
            <v>26802</v>
          </cell>
        </row>
        <row r="67">
          <cell r="D67">
            <v>10484</v>
          </cell>
        </row>
        <row r="68">
          <cell r="D68">
            <v>6954</v>
          </cell>
        </row>
        <row r="69">
          <cell r="D69">
            <v>13766</v>
          </cell>
        </row>
        <row r="70">
          <cell r="D70">
            <v>25872</v>
          </cell>
        </row>
        <row r="71">
          <cell r="D71">
            <v>13910</v>
          </cell>
        </row>
        <row r="72">
          <cell r="D72">
            <v>9440</v>
          </cell>
        </row>
        <row r="73">
          <cell r="D73">
            <v>6376</v>
          </cell>
        </row>
        <row r="74">
          <cell r="D74">
            <v>23762</v>
          </cell>
        </row>
        <row r="75">
          <cell r="D75">
            <v>18333</v>
          </cell>
        </row>
        <row r="76">
          <cell r="D76">
            <v>17039</v>
          </cell>
        </row>
        <row r="77">
          <cell r="D77">
            <v>14446</v>
          </cell>
        </row>
        <row r="78">
          <cell r="D78">
            <v>10071</v>
          </cell>
        </row>
        <row r="79">
          <cell r="D79">
            <v>9757</v>
          </cell>
        </row>
        <row r="80">
          <cell r="D80">
            <v>15678</v>
          </cell>
        </row>
        <row r="81">
          <cell r="D81">
            <v>11853</v>
          </cell>
        </row>
        <row r="82">
          <cell r="D82">
            <v>23226</v>
          </cell>
        </row>
        <row r="83">
          <cell r="D83">
            <v>0</v>
          </cell>
        </row>
        <row r="84">
          <cell r="D84">
            <v>8418</v>
          </cell>
        </row>
        <row r="85">
          <cell r="D85">
            <v>5073</v>
          </cell>
        </row>
        <row r="86">
          <cell r="D86">
            <v>21931</v>
          </cell>
        </row>
        <row r="87">
          <cell r="D87">
            <v>7645</v>
          </cell>
        </row>
        <row r="88">
          <cell r="D88">
            <v>10891</v>
          </cell>
        </row>
        <row r="89">
          <cell r="D89">
            <v>52688</v>
          </cell>
        </row>
        <row r="90">
          <cell r="D90">
            <v>11876</v>
          </cell>
        </row>
        <row r="91">
          <cell r="D91">
            <v>2604</v>
          </cell>
        </row>
        <row r="92">
          <cell r="D92">
            <v>4359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3493</v>
          </cell>
        </row>
        <row r="98">
          <cell r="D98">
            <v>1548</v>
          </cell>
        </row>
        <row r="99">
          <cell r="D99">
            <v>3466</v>
          </cell>
        </row>
        <row r="100">
          <cell r="D100">
            <v>3629</v>
          </cell>
        </row>
        <row r="101">
          <cell r="D101">
            <v>0</v>
          </cell>
        </row>
        <row r="102">
          <cell r="D102">
            <v>5238</v>
          </cell>
        </row>
        <row r="103">
          <cell r="D103">
            <v>2219</v>
          </cell>
        </row>
        <row r="104">
          <cell r="D104">
            <v>3551</v>
          </cell>
        </row>
        <row r="105">
          <cell r="D105">
            <v>3555</v>
          </cell>
        </row>
        <row r="106">
          <cell r="D106">
            <v>5558</v>
          </cell>
        </row>
        <row r="107">
          <cell r="D107">
            <v>2830</v>
          </cell>
          <cell r="G107">
            <v>16888</v>
          </cell>
        </row>
        <row r="108">
          <cell r="D108">
            <v>722</v>
          </cell>
          <cell r="G108">
            <v>6604</v>
          </cell>
        </row>
        <row r="109">
          <cell r="D109">
            <v>0</v>
          </cell>
          <cell r="G109">
            <v>10511</v>
          </cell>
        </row>
        <row r="110">
          <cell r="D110">
            <v>3442</v>
          </cell>
          <cell r="G110">
            <v>13276</v>
          </cell>
        </row>
        <row r="111">
          <cell r="D111">
            <v>3346</v>
          </cell>
          <cell r="G111">
            <v>8170</v>
          </cell>
        </row>
        <row r="112">
          <cell r="D112">
            <v>7618</v>
          </cell>
          <cell r="G112">
            <v>9885</v>
          </cell>
        </row>
        <row r="113">
          <cell r="D113">
            <v>3397</v>
          </cell>
          <cell r="G113">
            <v>7882</v>
          </cell>
        </row>
        <row r="114">
          <cell r="D114">
            <v>7276</v>
          </cell>
          <cell r="G114">
            <v>14900</v>
          </cell>
        </row>
        <row r="115">
          <cell r="D115">
            <v>8641</v>
          </cell>
        </row>
        <row r="116">
          <cell r="D116">
            <v>3464</v>
          </cell>
        </row>
        <row r="117">
          <cell r="D117">
            <v>18253</v>
          </cell>
        </row>
        <row r="118">
          <cell r="D118">
            <v>14016</v>
          </cell>
          <cell r="G118">
            <v>25044</v>
          </cell>
        </row>
        <row r="119">
          <cell r="D119">
            <v>5883</v>
          </cell>
          <cell r="G119">
            <v>10536</v>
          </cell>
        </row>
        <row r="120">
          <cell r="D120">
            <v>11220</v>
          </cell>
          <cell r="G120">
            <v>18228</v>
          </cell>
        </row>
        <row r="121">
          <cell r="D121">
            <v>4204</v>
          </cell>
          <cell r="G121">
            <v>16659</v>
          </cell>
        </row>
        <row r="122">
          <cell r="D122">
            <v>10376</v>
          </cell>
          <cell r="G122">
            <v>503</v>
          </cell>
        </row>
        <row r="123">
          <cell r="D123">
            <v>3931</v>
          </cell>
          <cell r="G123">
            <v>16301</v>
          </cell>
        </row>
        <row r="124">
          <cell r="D124">
            <v>6116</v>
          </cell>
          <cell r="G124">
            <v>23503</v>
          </cell>
        </row>
        <row r="125">
          <cell r="D125">
            <v>3352</v>
          </cell>
        </row>
        <row r="126">
          <cell r="D126">
            <v>1626</v>
          </cell>
        </row>
        <row r="127">
          <cell r="D127">
            <v>6565</v>
          </cell>
        </row>
        <row r="128">
          <cell r="D128">
            <v>13722</v>
          </cell>
          <cell r="G128">
            <v>940</v>
          </cell>
        </row>
        <row r="129">
          <cell r="D129">
            <v>9754</v>
          </cell>
          <cell r="G129">
            <v>3753</v>
          </cell>
        </row>
        <row r="130">
          <cell r="D130">
            <v>54640</v>
          </cell>
          <cell r="G130">
            <v>12477</v>
          </cell>
        </row>
        <row r="131">
          <cell r="G131">
            <v>13400</v>
          </cell>
        </row>
        <row r="132">
          <cell r="G132">
            <v>6107</v>
          </cell>
        </row>
        <row r="133">
          <cell r="G133">
            <v>4837</v>
          </cell>
        </row>
        <row r="134">
          <cell r="G134">
            <v>8314</v>
          </cell>
        </row>
        <row r="135">
          <cell r="G135">
            <v>4812</v>
          </cell>
        </row>
        <row r="139">
          <cell r="D139">
            <v>2315</v>
          </cell>
          <cell r="G139">
            <v>2818</v>
          </cell>
        </row>
        <row r="140">
          <cell r="D140">
            <v>345</v>
          </cell>
          <cell r="G140">
            <v>34657</v>
          </cell>
        </row>
        <row r="141">
          <cell r="D141">
            <v>2006</v>
          </cell>
          <cell r="G141">
            <v>17827</v>
          </cell>
        </row>
        <row r="142">
          <cell r="D142">
            <v>251</v>
          </cell>
        </row>
        <row r="143">
          <cell r="D143">
            <v>55302</v>
          </cell>
        </row>
        <row r="148">
          <cell r="D148">
            <v>1224062</v>
          </cell>
        </row>
      </sheetData>
      <sheetData sheetId="1">
        <row r="11">
          <cell r="H11">
            <v>81360</v>
          </cell>
        </row>
        <row r="20">
          <cell r="H20">
            <v>5173</v>
          </cell>
        </row>
        <row r="21">
          <cell r="H21">
            <v>5923</v>
          </cell>
        </row>
        <row r="22">
          <cell r="H22">
            <v>10528</v>
          </cell>
        </row>
        <row r="23">
          <cell r="H23">
            <v>3453</v>
          </cell>
        </row>
        <row r="24">
          <cell r="H24">
            <v>4349</v>
          </cell>
        </row>
        <row r="25">
          <cell r="H25">
            <v>13354</v>
          </cell>
        </row>
        <row r="26">
          <cell r="H26">
            <v>4296</v>
          </cell>
        </row>
        <row r="27">
          <cell r="H27">
            <v>2221</v>
          </cell>
        </row>
        <row r="28">
          <cell r="H28">
            <v>8030</v>
          </cell>
        </row>
        <row r="29">
          <cell r="H29">
            <v>3573</v>
          </cell>
        </row>
        <row r="30">
          <cell r="H30">
            <v>4429</v>
          </cell>
        </row>
        <row r="31">
          <cell r="H31">
            <v>10073</v>
          </cell>
        </row>
        <row r="32">
          <cell r="H32">
            <v>3753</v>
          </cell>
        </row>
        <row r="33">
          <cell r="H33">
            <v>3144</v>
          </cell>
        </row>
        <row r="34">
          <cell r="H34">
            <v>2751</v>
          </cell>
        </row>
        <row r="35">
          <cell r="H35">
            <v>6917</v>
          </cell>
        </row>
        <row r="36">
          <cell r="H36">
            <v>25755</v>
          </cell>
        </row>
        <row r="37">
          <cell r="H37">
            <v>19159</v>
          </cell>
        </row>
        <row r="38">
          <cell r="H38">
            <v>17752</v>
          </cell>
        </row>
        <row r="39">
          <cell r="H39">
            <v>29012</v>
          </cell>
        </row>
        <row r="40">
          <cell r="H40">
            <v>14052</v>
          </cell>
        </row>
        <row r="41">
          <cell r="H41">
            <v>0</v>
          </cell>
        </row>
        <row r="42">
          <cell r="H42">
            <v>14693</v>
          </cell>
        </row>
        <row r="43">
          <cell r="H43">
            <v>19318</v>
          </cell>
        </row>
        <row r="44">
          <cell r="H44">
            <v>14545</v>
          </cell>
        </row>
        <row r="45">
          <cell r="H45">
            <v>17141</v>
          </cell>
        </row>
        <row r="46">
          <cell r="H46">
            <v>3049</v>
          </cell>
        </row>
        <row r="47">
          <cell r="H47">
            <v>10495</v>
          </cell>
        </row>
        <row r="48">
          <cell r="H48">
            <v>1894</v>
          </cell>
        </row>
        <row r="49">
          <cell r="H49">
            <v>16490</v>
          </cell>
        </row>
        <row r="50">
          <cell r="H50">
            <v>8163</v>
          </cell>
        </row>
        <row r="51">
          <cell r="H51">
            <v>1392</v>
          </cell>
        </row>
        <row r="52">
          <cell r="H52">
            <v>4262</v>
          </cell>
        </row>
        <row r="53">
          <cell r="H53">
            <v>705</v>
          </cell>
        </row>
        <row r="54">
          <cell r="H54">
            <v>18679</v>
          </cell>
        </row>
        <row r="55">
          <cell r="H55">
            <v>2244</v>
          </cell>
        </row>
        <row r="56">
          <cell r="H56">
            <v>111088</v>
          </cell>
        </row>
        <row r="63">
          <cell r="H63">
            <v>20827</v>
          </cell>
        </row>
        <row r="64">
          <cell r="H64">
            <v>13240</v>
          </cell>
        </row>
        <row r="65">
          <cell r="H65">
            <v>24275</v>
          </cell>
        </row>
        <row r="66">
          <cell r="H66">
            <v>10775</v>
          </cell>
        </row>
        <row r="67">
          <cell r="H67">
            <v>6996</v>
          </cell>
        </row>
        <row r="68">
          <cell r="H68">
            <v>15842</v>
          </cell>
        </row>
        <row r="69">
          <cell r="H69">
            <v>25744</v>
          </cell>
        </row>
        <row r="70">
          <cell r="H70">
            <v>13531</v>
          </cell>
        </row>
        <row r="71">
          <cell r="H71">
            <v>9232</v>
          </cell>
        </row>
        <row r="72">
          <cell r="H72">
            <v>7510</v>
          </cell>
        </row>
        <row r="73">
          <cell r="H73">
            <v>22145</v>
          </cell>
        </row>
        <row r="74">
          <cell r="H74">
            <v>18404</v>
          </cell>
        </row>
        <row r="75">
          <cell r="H75">
            <v>17025</v>
          </cell>
        </row>
        <row r="76">
          <cell r="H76">
            <v>13264</v>
          </cell>
        </row>
        <row r="77">
          <cell r="H77">
            <v>10973</v>
          </cell>
        </row>
        <row r="78">
          <cell r="H78">
            <v>8892</v>
          </cell>
        </row>
        <row r="79">
          <cell r="H79">
            <v>14578</v>
          </cell>
        </row>
        <row r="80">
          <cell r="H80">
            <v>12213</v>
          </cell>
        </row>
        <row r="81">
          <cell r="H81">
            <v>19442</v>
          </cell>
        </row>
        <row r="82">
          <cell r="H82">
            <v>0</v>
          </cell>
        </row>
        <row r="83">
          <cell r="H83">
            <v>8480</v>
          </cell>
        </row>
        <row r="84">
          <cell r="H84">
            <v>4590</v>
          </cell>
        </row>
        <row r="85">
          <cell r="H85">
            <v>21908</v>
          </cell>
        </row>
        <row r="86">
          <cell r="H86">
            <v>7303</v>
          </cell>
        </row>
        <row r="87">
          <cell r="H87">
            <v>8754</v>
          </cell>
        </row>
        <row r="88">
          <cell r="H88">
            <v>47517</v>
          </cell>
        </row>
        <row r="89">
          <cell r="H89">
            <v>10042</v>
          </cell>
        </row>
        <row r="90">
          <cell r="H90">
            <v>2381</v>
          </cell>
        </row>
        <row r="91">
          <cell r="H91">
            <v>4292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3699</v>
          </cell>
        </row>
        <row r="97">
          <cell r="H97">
            <v>1396</v>
          </cell>
        </row>
        <row r="98">
          <cell r="H98">
            <v>3346</v>
          </cell>
        </row>
        <row r="99">
          <cell r="H99">
            <v>3536</v>
          </cell>
        </row>
        <row r="100">
          <cell r="H100">
            <v>0</v>
          </cell>
        </row>
        <row r="101">
          <cell r="H101">
            <v>5405</v>
          </cell>
        </row>
        <row r="102">
          <cell r="H102">
            <v>2077</v>
          </cell>
        </row>
        <row r="103">
          <cell r="H103">
            <v>3409</v>
          </cell>
        </row>
        <row r="104">
          <cell r="H104">
            <v>2636</v>
          </cell>
        </row>
        <row r="105">
          <cell r="H105">
            <v>5780</v>
          </cell>
        </row>
        <row r="106">
          <cell r="H106">
            <v>3381</v>
          </cell>
        </row>
        <row r="107">
          <cell r="H107">
            <v>753</v>
          </cell>
        </row>
        <row r="108">
          <cell r="H108">
            <v>0</v>
          </cell>
        </row>
        <row r="109">
          <cell r="H109">
            <v>3690</v>
          </cell>
        </row>
        <row r="110">
          <cell r="H110">
            <v>3088</v>
          </cell>
        </row>
        <row r="111">
          <cell r="H111">
            <v>7701</v>
          </cell>
        </row>
        <row r="112">
          <cell r="H112">
            <v>3348</v>
          </cell>
        </row>
        <row r="113">
          <cell r="H113">
            <v>7378</v>
          </cell>
        </row>
        <row r="114">
          <cell r="H114">
            <v>7805</v>
          </cell>
        </row>
        <row r="115">
          <cell r="H115">
            <v>2399</v>
          </cell>
        </row>
        <row r="116">
          <cell r="H116">
            <v>15411</v>
          </cell>
        </row>
        <row r="117">
          <cell r="H117">
            <v>13251</v>
          </cell>
        </row>
        <row r="118">
          <cell r="H118">
            <v>5319</v>
          </cell>
        </row>
        <row r="119">
          <cell r="H119">
            <v>4375</v>
          </cell>
        </row>
        <row r="120">
          <cell r="H120">
            <v>9560</v>
          </cell>
        </row>
        <row r="121">
          <cell r="H121">
            <v>7527</v>
          </cell>
        </row>
        <row r="122">
          <cell r="H122">
            <v>4665</v>
          </cell>
        </row>
        <row r="123">
          <cell r="H123">
            <v>4815</v>
          </cell>
        </row>
        <row r="124">
          <cell r="H124">
            <v>3039</v>
          </cell>
        </row>
        <row r="125">
          <cell r="H125">
            <v>1785</v>
          </cell>
        </row>
        <row r="126">
          <cell r="H126">
            <v>5716</v>
          </cell>
        </row>
        <row r="127">
          <cell r="H127">
            <v>12355</v>
          </cell>
        </row>
        <row r="128">
          <cell r="H128">
            <v>8187</v>
          </cell>
        </row>
        <row r="129">
          <cell r="H129">
            <v>45930</v>
          </cell>
        </row>
        <row r="138">
          <cell r="H138">
            <v>229</v>
          </cell>
        </row>
        <row r="139">
          <cell r="H139">
            <v>2020</v>
          </cell>
        </row>
        <row r="140">
          <cell r="H140">
            <v>242</v>
          </cell>
        </row>
        <row r="141">
          <cell r="H141">
            <v>2258</v>
          </cell>
        </row>
        <row r="142">
          <cell r="H142">
            <v>47627</v>
          </cell>
        </row>
        <row r="147">
          <cell r="D147">
            <v>8214</v>
          </cell>
          <cell r="E147">
            <v>245657</v>
          </cell>
          <cell r="F147">
            <v>901266</v>
          </cell>
          <cell r="G147">
            <v>7707</v>
          </cell>
        </row>
        <row r="150">
          <cell r="C150">
            <v>16158</v>
          </cell>
          <cell r="E150">
            <v>3239</v>
          </cell>
          <cell r="G150">
            <v>29499</v>
          </cell>
        </row>
        <row r="151">
          <cell r="C151">
            <v>4536</v>
          </cell>
          <cell r="E151">
            <v>1465</v>
          </cell>
          <cell r="G151">
            <v>4895</v>
          </cell>
        </row>
        <row r="152">
          <cell r="C152">
            <v>7890</v>
          </cell>
          <cell r="E152">
            <v>8246</v>
          </cell>
          <cell r="G152">
            <v>80</v>
          </cell>
        </row>
        <row r="153">
          <cell r="C153">
            <v>12744</v>
          </cell>
          <cell r="E153">
            <v>10650</v>
          </cell>
          <cell r="G153">
            <v>23868</v>
          </cell>
        </row>
        <row r="154">
          <cell r="C154">
            <v>8618</v>
          </cell>
          <cell r="E154">
            <v>4887</v>
          </cell>
          <cell r="G154">
            <v>27089</v>
          </cell>
        </row>
        <row r="155">
          <cell r="C155">
            <v>5847</v>
          </cell>
          <cell r="E155">
            <v>4195</v>
          </cell>
          <cell r="G155">
            <v>25657</v>
          </cell>
        </row>
        <row r="156">
          <cell r="C156">
            <v>7388</v>
          </cell>
          <cell r="E156">
            <v>8423</v>
          </cell>
        </row>
        <row r="157">
          <cell r="C157">
            <v>18179</v>
          </cell>
          <cell r="E157">
            <v>4825</v>
          </cell>
        </row>
        <row r="161">
          <cell r="C161">
            <v>3846</v>
          </cell>
        </row>
        <row r="162">
          <cell r="C162">
            <v>6730</v>
          </cell>
        </row>
        <row r="163">
          <cell r="C163">
            <v>37051</v>
          </cell>
        </row>
        <row r="171">
          <cell r="H171">
            <v>2487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87770</v>
          </cell>
        </row>
        <row r="20">
          <cell r="D20">
            <v>5532</v>
          </cell>
        </row>
        <row r="21">
          <cell r="D21">
            <v>5298</v>
          </cell>
        </row>
        <row r="22">
          <cell r="D22">
            <v>8853</v>
          </cell>
        </row>
        <row r="23">
          <cell r="D23">
            <v>5482</v>
          </cell>
        </row>
        <row r="24">
          <cell r="D24">
            <v>4149</v>
          </cell>
        </row>
        <row r="25">
          <cell r="D25">
            <v>16894</v>
          </cell>
        </row>
        <row r="26">
          <cell r="D26">
            <v>13293</v>
          </cell>
        </row>
        <row r="27">
          <cell r="D27">
            <v>5770</v>
          </cell>
        </row>
        <row r="28">
          <cell r="D28">
            <v>8152</v>
          </cell>
        </row>
        <row r="29">
          <cell r="D29">
            <v>2953</v>
          </cell>
        </row>
        <row r="30">
          <cell r="D30">
            <v>4719</v>
          </cell>
        </row>
        <row r="31">
          <cell r="D31">
            <v>10114</v>
          </cell>
        </row>
        <row r="32">
          <cell r="D32">
            <v>3898</v>
          </cell>
        </row>
        <row r="33">
          <cell r="D33">
            <v>3470</v>
          </cell>
        </row>
        <row r="34">
          <cell r="D34">
            <v>2832</v>
          </cell>
        </row>
        <row r="35">
          <cell r="D35">
            <v>6714</v>
          </cell>
        </row>
        <row r="36">
          <cell r="D36">
            <v>27280</v>
          </cell>
        </row>
        <row r="37">
          <cell r="D37">
            <v>23601</v>
          </cell>
        </row>
        <row r="38">
          <cell r="D38">
            <v>18600</v>
          </cell>
        </row>
        <row r="39">
          <cell r="D39">
            <v>34256</v>
          </cell>
        </row>
        <row r="40">
          <cell r="D40">
            <v>13460</v>
          </cell>
        </row>
        <row r="41">
          <cell r="D41">
            <v>0</v>
          </cell>
        </row>
        <row r="42">
          <cell r="D42">
            <v>15371</v>
          </cell>
        </row>
        <row r="43">
          <cell r="D43">
            <v>20043</v>
          </cell>
        </row>
        <row r="44">
          <cell r="D44">
            <v>14676</v>
          </cell>
        </row>
        <row r="45">
          <cell r="D45">
            <v>2122</v>
          </cell>
        </row>
        <row r="46">
          <cell r="D46">
            <v>18021</v>
          </cell>
        </row>
        <row r="47">
          <cell r="D47">
            <v>1454</v>
          </cell>
        </row>
        <row r="48">
          <cell r="D48">
            <v>10844</v>
          </cell>
        </row>
        <row r="49">
          <cell r="D49">
            <v>15278</v>
          </cell>
        </row>
        <row r="50">
          <cell r="D50">
            <v>1005</v>
          </cell>
        </row>
        <row r="51">
          <cell r="D51">
            <v>8027</v>
          </cell>
        </row>
        <row r="52">
          <cell r="D52">
            <v>441</v>
          </cell>
        </row>
        <row r="53">
          <cell r="D53">
            <v>4972</v>
          </cell>
        </row>
        <row r="54">
          <cell r="D54">
            <v>1368</v>
          </cell>
        </row>
        <row r="55">
          <cell r="D55">
            <v>19214</v>
          </cell>
        </row>
        <row r="56">
          <cell r="D56">
            <v>111066</v>
          </cell>
        </row>
        <row r="64">
          <cell r="D64">
            <v>22199</v>
          </cell>
        </row>
        <row r="65">
          <cell r="D65">
            <v>15290</v>
          </cell>
        </row>
        <row r="66">
          <cell r="D66">
            <v>28329</v>
          </cell>
        </row>
        <row r="67">
          <cell r="D67">
            <v>10733</v>
          </cell>
        </row>
        <row r="68">
          <cell r="D68">
            <v>7116</v>
          </cell>
        </row>
        <row r="69">
          <cell r="D69">
            <v>14046</v>
          </cell>
        </row>
        <row r="70">
          <cell r="D70">
            <v>28427</v>
          </cell>
        </row>
        <row r="71">
          <cell r="D71">
            <v>14484</v>
          </cell>
        </row>
        <row r="72">
          <cell r="D72">
            <v>9999</v>
          </cell>
        </row>
        <row r="73">
          <cell r="D73">
            <v>6856</v>
          </cell>
        </row>
        <row r="74">
          <cell r="D74">
            <v>25813</v>
          </cell>
        </row>
        <row r="75">
          <cell r="D75">
            <v>19004</v>
          </cell>
        </row>
        <row r="76">
          <cell r="D76">
            <v>17658</v>
          </cell>
        </row>
        <row r="77">
          <cell r="D77">
            <v>14347</v>
          </cell>
        </row>
        <row r="78">
          <cell r="D78">
            <v>11446</v>
          </cell>
        </row>
        <row r="79">
          <cell r="D79">
            <v>9773</v>
          </cell>
        </row>
        <row r="80">
          <cell r="D80">
            <v>15912</v>
          </cell>
        </row>
        <row r="81">
          <cell r="D81">
            <v>12220</v>
          </cell>
        </row>
        <row r="82">
          <cell r="D82">
            <v>23519</v>
          </cell>
        </row>
        <row r="83">
          <cell r="D83">
            <v>0</v>
          </cell>
        </row>
        <row r="84">
          <cell r="D84">
            <v>8850</v>
          </cell>
        </row>
        <row r="85">
          <cell r="D85">
            <v>5241</v>
          </cell>
        </row>
        <row r="86">
          <cell r="D86">
            <v>22583</v>
          </cell>
        </row>
        <row r="87">
          <cell r="D87">
            <v>7810</v>
          </cell>
        </row>
        <row r="88">
          <cell r="D88">
            <v>11386</v>
          </cell>
        </row>
        <row r="89">
          <cell r="D89">
            <v>54917</v>
          </cell>
        </row>
        <row r="90">
          <cell r="D90">
            <v>12551</v>
          </cell>
        </row>
        <row r="91">
          <cell r="D91">
            <v>2628</v>
          </cell>
        </row>
        <row r="92">
          <cell r="D92">
            <v>4929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3613</v>
          </cell>
        </row>
        <row r="98">
          <cell r="D98">
            <v>1538</v>
          </cell>
        </row>
        <row r="99">
          <cell r="D99">
            <v>3360</v>
          </cell>
        </row>
        <row r="100">
          <cell r="D100">
            <v>3878</v>
          </cell>
        </row>
        <row r="101">
          <cell r="D101">
            <v>0</v>
          </cell>
        </row>
        <row r="102">
          <cell r="D102">
            <v>5520</v>
          </cell>
        </row>
        <row r="103">
          <cell r="D103">
            <v>2266</v>
          </cell>
        </row>
        <row r="104">
          <cell r="D104">
            <v>3497</v>
          </cell>
        </row>
        <row r="105">
          <cell r="D105">
            <v>3692</v>
          </cell>
        </row>
        <row r="106">
          <cell r="D106">
            <v>5516</v>
          </cell>
        </row>
        <row r="107">
          <cell r="D107">
            <v>2849</v>
          </cell>
          <cell r="G107">
            <v>17872</v>
          </cell>
        </row>
        <row r="108">
          <cell r="D108">
            <v>688</v>
          </cell>
          <cell r="G108">
            <v>6432</v>
          </cell>
        </row>
        <row r="109">
          <cell r="D109">
            <v>0</v>
          </cell>
          <cell r="G109">
            <v>9967</v>
          </cell>
        </row>
        <row r="110">
          <cell r="D110">
            <v>3693</v>
          </cell>
          <cell r="G110">
            <v>12976</v>
          </cell>
        </row>
        <row r="111">
          <cell r="D111">
            <v>3342</v>
          </cell>
          <cell r="G111">
            <v>7860</v>
          </cell>
        </row>
        <row r="112">
          <cell r="D112">
            <v>7199</v>
          </cell>
          <cell r="G112">
            <v>9650</v>
          </cell>
        </row>
        <row r="113">
          <cell r="D113">
            <v>3487</v>
          </cell>
          <cell r="G113">
            <v>7919</v>
          </cell>
        </row>
        <row r="114">
          <cell r="D114">
            <v>7145</v>
          </cell>
          <cell r="G114">
            <v>15094</v>
          </cell>
        </row>
        <row r="115">
          <cell r="D115">
            <v>9504</v>
          </cell>
        </row>
        <row r="116">
          <cell r="D116">
            <v>3793</v>
          </cell>
        </row>
        <row r="117">
          <cell r="D117">
            <v>18892</v>
          </cell>
        </row>
        <row r="118">
          <cell r="D118">
            <v>13817</v>
          </cell>
          <cell r="G118">
            <v>28436</v>
          </cell>
        </row>
        <row r="119">
          <cell r="D119">
            <v>5883</v>
          </cell>
          <cell r="G119">
            <v>10249</v>
          </cell>
        </row>
        <row r="120">
          <cell r="D120">
            <v>10870</v>
          </cell>
          <cell r="G120">
            <v>18386</v>
          </cell>
        </row>
        <row r="121">
          <cell r="D121">
            <v>4304</v>
          </cell>
          <cell r="G121">
            <v>16690</v>
          </cell>
        </row>
        <row r="122">
          <cell r="D122">
            <v>10443</v>
          </cell>
          <cell r="G122">
            <v>582</v>
          </cell>
        </row>
        <row r="123">
          <cell r="D123">
            <v>4000</v>
          </cell>
          <cell r="G123">
            <v>13970</v>
          </cell>
        </row>
        <row r="124">
          <cell r="D124">
            <v>6109</v>
          </cell>
          <cell r="G124">
            <v>22753</v>
          </cell>
        </row>
        <row r="125">
          <cell r="D125">
            <v>3169</v>
          </cell>
        </row>
        <row r="126">
          <cell r="D126">
            <v>1623</v>
          </cell>
        </row>
        <row r="127">
          <cell r="D127">
            <v>6545</v>
          </cell>
        </row>
        <row r="128">
          <cell r="D128">
            <v>13639</v>
          </cell>
          <cell r="G128">
            <v>995</v>
          </cell>
        </row>
        <row r="129">
          <cell r="D129">
            <v>10028</v>
          </cell>
          <cell r="G129">
            <v>3945</v>
          </cell>
        </row>
        <row r="130">
          <cell r="D130">
            <v>54069</v>
          </cell>
          <cell r="G130">
            <v>12398</v>
          </cell>
        </row>
        <row r="131">
          <cell r="G131">
            <v>13669</v>
          </cell>
        </row>
        <row r="132">
          <cell r="G132">
            <v>5899</v>
          </cell>
        </row>
        <row r="133">
          <cell r="G133">
            <v>4641</v>
          </cell>
        </row>
        <row r="134">
          <cell r="G134">
            <v>7858</v>
          </cell>
        </row>
        <row r="135">
          <cell r="G135">
            <v>4664</v>
          </cell>
        </row>
        <row r="139">
          <cell r="D139">
            <v>2235</v>
          </cell>
          <cell r="G139">
            <v>2931</v>
          </cell>
        </row>
        <row r="140">
          <cell r="D140">
            <v>356</v>
          </cell>
          <cell r="G140">
            <v>34378</v>
          </cell>
        </row>
        <row r="141">
          <cell r="D141">
            <v>1942</v>
          </cell>
          <cell r="G141">
            <v>17975</v>
          </cell>
        </row>
        <row r="142">
          <cell r="D142">
            <v>273</v>
          </cell>
        </row>
        <row r="143">
          <cell r="D143">
            <v>55284</v>
          </cell>
        </row>
        <row r="148">
          <cell r="D148">
            <v>1248103</v>
          </cell>
        </row>
      </sheetData>
      <sheetData sheetId="1">
        <row r="11">
          <cell r="H11">
            <v>83908</v>
          </cell>
        </row>
        <row r="20">
          <cell r="H20">
            <v>5495</v>
          </cell>
        </row>
        <row r="21">
          <cell r="H21">
            <v>6070</v>
          </cell>
        </row>
        <row r="22">
          <cell r="H22">
            <v>10815</v>
          </cell>
        </row>
        <row r="23">
          <cell r="H23">
            <v>3638</v>
          </cell>
        </row>
        <row r="24">
          <cell r="H24">
            <v>4404</v>
          </cell>
        </row>
        <row r="25">
          <cell r="H25">
            <v>13403</v>
          </cell>
        </row>
        <row r="26">
          <cell r="H26">
            <v>3849</v>
          </cell>
        </row>
        <row r="27">
          <cell r="H27">
            <v>2177</v>
          </cell>
        </row>
        <row r="28">
          <cell r="H28">
            <v>8215</v>
          </cell>
        </row>
        <row r="29">
          <cell r="H29">
            <v>3631</v>
          </cell>
        </row>
        <row r="30">
          <cell r="H30">
            <v>4545</v>
          </cell>
        </row>
        <row r="31">
          <cell r="H31">
            <v>10563</v>
          </cell>
        </row>
        <row r="32">
          <cell r="H32">
            <v>3938</v>
          </cell>
        </row>
        <row r="33">
          <cell r="H33">
            <v>3346</v>
          </cell>
        </row>
        <row r="34">
          <cell r="H34">
            <v>2830</v>
          </cell>
        </row>
        <row r="35">
          <cell r="H35">
            <v>6960</v>
          </cell>
        </row>
        <row r="36">
          <cell r="H36">
            <v>24934</v>
          </cell>
        </row>
        <row r="37">
          <cell r="H37">
            <v>19654</v>
          </cell>
        </row>
        <row r="38">
          <cell r="H38">
            <v>17627</v>
          </cell>
        </row>
        <row r="39">
          <cell r="H39">
            <v>29104</v>
          </cell>
        </row>
        <row r="40">
          <cell r="H40">
            <v>13332</v>
          </cell>
        </row>
        <row r="41">
          <cell r="H41">
            <v>0</v>
          </cell>
        </row>
        <row r="42">
          <cell r="H42">
            <v>15071</v>
          </cell>
        </row>
        <row r="43">
          <cell r="H43">
            <v>19583</v>
          </cell>
        </row>
        <row r="44">
          <cell r="H44">
            <v>14786</v>
          </cell>
        </row>
        <row r="45">
          <cell r="H45">
            <v>16976</v>
          </cell>
        </row>
        <row r="46">
          <cell r="H46">
            <v>3002</v>
          </cell>
        </row>
        <row r="47">
          <cell r="H47">
            <v>10684</v>
          </cell>
        </row>
        <row r="48">
          <cell r="H48">
            <v>1793</v>
          </cell>
        </row>
        <row r="49">
          <cell r="H49">
            <v>16857</v>
          </cell>
        </row>
        <row r="50">
          <cell r="H50">
            <v>8551</v>
          </cell>
        </row>
        <row r="51">
          <cell r="H51">
            <v>1449</v>
          </cell>
        </row>
        <row r="52">
          <cell r="H52">
            <v>4455</v>
          </cell>
        </row>
        <row r="53">
          <cell r="H53">
            <v>697</v>
          </cell>
        </row>
        <row r="54">
          <cell r="H54">
            <v>19086</v>
          </cell>
        </row>
        <row r="55">
          <cell r="H55">
            <v>2292</v>
          </cell>
        </row>
        <row r="56">
          <cell r="H56">
            <v>114578</v>
          </cell>
        </row>
        <row r="63">
          <cell r="H63">
            <v>20788</v>
          </cell>
        </row>
        <row r="64">
          <cell r="H64">
            <v>12048</v>
          </cell>
        </row>
        <row r="65">
          <cell r="H65">
            <v>26225</v>
          </cell>
        </row>
        <row r="66">
          <cell r="H66">
            <v>9701</v>
          </cell>
        </row>
        <row r="67">
          <cell r="H67">
            <v>6404</v>
          </cell>
        </row>
        <row r="68">
          <cell r="H68">
            <v>15705</v>
          </cell>
        </row>
        <row r="69">
          <cell r="H69">
            <v>26892</v>
          </cell>
        </row>
        <row r="70">
          <cell r="H70">
            <v>13070</v>
          </cell>
        </row>
        <row r="71">
          <cell r="H71">
            <v>9400</v>
          </cell>
        </row>
        <row r="72">
          <cell r="H72">
            <v>7435</v>
          </cell>
        </row>
        <row r="73">
          <cell r="H73">
            <v>23117</v>
          </cell>
        </row>
        <row r="74">
          <cell r="H74">
            <v>18220</v>
          </cell>
        </row>
        <row r="75">
          <cell r="H75">
            <v>18074</v>
          </cell>
        </row>
        <row r="76">
          <cell r="H76">
            <v>12767</v>
          </cell>
        </row>
        <row r="77">
          <cell r="H77">
            <v>11066</v>
          </cell>
        </row>
        <row r="78">
          <cell r="H78">
            <v>8275</v>
          </cell>
        </row>
        <row r="79">
          <cell r="H79">
            <v>14736</v>
          </cell>
        </row>
        <row r="80">
          <cell r="H80">
            <v>11261</v>
          </cell>
        </row>
        <row r="81">
          <cell r="H81">
            <v>19590</v>
          </cell>
        </row>
        <row r="82">
          <cell r="H82">
            <v>0</v>
          </cell>
        </row>
        <row r="83">
          <cell r="H83">
            <v>8429</v>
          </cell>
        </row>
        <row r="84">
          <cell r="H84">
            <v>4627</v>
          </cell>
        </row>
        <row r="85">
          <cell r="H85">
            <v>22854</v>
          </cell>
        </row>
        <row r="86">
          <cell r="H86">
            <v>7106</v>
          </cell>
        </row>
        <row r="87">
          <cell r="H87">
            <v>8001</v>
          </cell>
        </row>
        <row r="88">
          <cell r="H88">
            <v>47905</v>
          </cell>
        </row>
        <row r="89">
          <cell r="H89">
            <v>10142</v>
          </cell>
        </row>
        <row r="90">
          <cell r="H90">
            <v>2294</v>
          </cell>
        </row>
        <row r="91">
          <cell r="H91">
            <v>4479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3601</v>
          </cell>
        </row>
        <row r="97">
          <cell r="H97">
            <v>1307</v>
          </cell>
        </row>
        <row r="98">
          <cell r="H98">
            <v>3369</v>
          </cell>
        </row>
        <row r="99">
          <cell r="H99">
            <v>3596</v>
          </cell>
        </row>
        <row r="100">
          <cell r="H100">
            <v>0</v>
          </cell>
        </row>
        <row r="101">
          <cell r="H101">
            <v>5677</v>
          </cell>
        </row>
        <row r="102">
          <cell r="H102">
            <v>2018</v>
          </cell>
        </row>
        <row r="103">
          <cell r="H103">
            <v>3181</v>
          </cell>
        </row>
        <row r="104">
          <cell r="H104">
            <v>2615</v>
          </cell>
        </row>
        <row r="105">
          <cell r="H105">
            <v>6042</v>
          </cell>
        </row>
        <row r="106">
          <cell r="H106">
            <v>3327</v>
          </cell>
        </row>
        <row r="107">
          <cell r="H107">
            <v>610</v>
          </cell>
        </row>
        <row r="108">
          <cell r="H108">
            <v>0</v>
          </cell>
        </row>
        <row r="109">
          <cell r="H109">
            <v>3711</v>
          </cell>
        </row>
        <row r="110">
          <cell r="H110">
            <v>2945</v>
          </cell>
        </row>
        <row r="111">
          <cell r="H111">
            <v>7447</v>
          </cell>
        </row>
        <row r="112">
          <cell r="H112">
            <v>3525</v>
          </cell>
        </row>
        <row r="113">
          <cell r="H113">
            <v>7297</v>
          </cell>
        </row>
        <row r="114">
          <cell r="H114">
            <v>8353</v>
          </cell>
        </row>
        <row r="115">
          <cell r="H115">
            <v>2572</v>
          </cell>
        </row>
        <row r="116">
          <cell r="H116">
            <v>16083</v>
          </cell>
        </row>
        <row r="117">
          <cell r="H117">
            <v>13230</v>
          </cell>
        </row>
        <row r="118">
          <cell r="H118">
            <v>5519</v>
          </cell>
        </row>
        <row r="119">
          <cell r="H119">
            <v>4225</v>
          </cell>
        </row>
        <row r="120">
          <cell r="H120">
            <v>9951</v>
          </cell>
        </row>
        <row r="121">
          <cell r="H121">
            <v>7694</v>
          </cell>
        </row>
        <row r="122">
          <cell r="H122">
            <v>4885</v>
          </cell>
        </row>
        <row r="123">
          <cell r="H123">
            <v>4835</v>
          </cell>
        </row>
        <row r="124">
          <cell r="H124">
            <v>2983</v>
          </cell>
        </row>
        <row r="125">
          <cell r="H125">
            <v>1708</v>
          </cell>
        </row>
        <row r="126">
          <cell r="H126">
            <v>5796</v>
          </cell>
        </row>
        <row r="127">
          <cell r="H127">
            <v>12621</v>
          </cell>
        </row>
        <row r="128">
          <cell r="H128">
            <v>8271</v>
          </cell>
        </row>
        <row r="129">
          <cell r="H129">
            <v>46873</v>
          </cell>
        </row>
        <row r="138">
          <cell r="H138">
            <v>237</v>
          </cell>
        </row>
        <row r="139">
          <cell r="H139">
            <v>2034</v>
          </cell>
        </row>
        <row r="140">
          <cell r="H140">
            <v>263</v>
          </cell>
        </row>
        <row r="141">
          <cell r="H141">
            <v>2008</v>
          </cell>
        </row>
        <row r="142">
          <cell r="H142">
            <v>50333</v>
          </cell>
        </row>
        <row r="147">
          <cell r="D147">
            <v>8492</v>
          </cell>
          <cell r="E147">
            <v>240843</v>
          </cell>
          <cell r="F147">
            <v>921245</v>
          </cell>
          <cell r="G147">
            <v>7442</v>
          </cell>
        </row>
        <row r="150">
          <cell r="C150">
            <v>16196</v>
          </cell>
          <cell r="E150">
            <v>3215</v>
          </cell>
          <cell r="G150">
            <v>31300</v>
          </cell>
        </row>
        <row r="151">
          <cell r="C151">
            <v>4484</v>
          </cell>
          <cell r="E151">
            <v>1525</v>
          </cell>
          <cell r="G151">
            <v>5198</v>
          </cell>
        </row>
        <row r="152">
          <cell r="C152">
            <v>8505</v>
          </cell>
          <cell r="E152">
            <v>8686</v>
          </cell>
          <cell r="G152">
            <v>1096</v>
          </cell>
        </row>
        <row r="153">
          <cell r="C153">
            <v>13712</v>
          </cell>
          <cell r="E153">
            <v>10922</v>
          </cell>
          <cell r="G153">
            <v>24496</v>
          </cell>
        </row>
        <row r="154">
          <cell r="C154">
            <v>8901</v>
          </cell>
          <cell r="E154">
            <v>4425</v>
          </cell>
          <cell r="G154">
            <v>28364</v>
          </cell>
        </row>
        <row r="155">
          <cell r="C155">
            <v>6102</v>
          </cell>
          <cell r="E155">
            <v>4674</v>
          </cell>
          <cell r="G155">
            <v>24124</v>
          </cell>
        </row>
        <row r="156">
          <cell r="C156">
            <v>7253</v>
          </cell>
          <cell r="E156">
            <v>8732</v>
          </cell>
        </row>
        <row r="157">
          <cell r="C157">
            <v>18755</v>
          </cell>
          <cell r="E157">
            <v>4694</v>
          </cell>
        </row>
        <row r="161">
          <cell r="C161">
            <v>3234</v>
          </cell>
        </row>
        <row r="162">
          <cell r="C162">
            <v>7203</v>
          </cell>
        </row>
        <row r="163">
          <cell r="C163">
            <v>39896</v>
          </cell>
        </row>
        <row r="171">
          <cell r="H171">
            <v>2326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66145</v>
          </cell>
        </row>
        <row r="20">
          <cell r="D20">
            <v>4279</v>
          </cell>
        </row>
        <row r="21">
          <cell r="D21">
            <v>3746</v>
          </cell>
        </row>
        <row r="22">
          <cell r="D22">
            <v>6541</v>
          </cell>
        </row>
        <row r="23">
          <cell r="D23">
            <v>3451</v>
          </cell>
        </row>
        <row r="24">
          <cell r="D24">
            <v>3181</v>
          </cell>
        </row>
        <row r="25">
          <cell r="D25">
            <v>12300</v>
          </cell>
        </row>
        <row r="26">
          <cell r="D26">
            <v>9952</v>
          </cell>
        </row>
        <row r="27">
          <cell r="D27">
            <v>4800</v>
          </cell>
        </row>
        <row r="28">
          <cell r="D28">
            <v>4652</v>
          </cell>
        </row>
        <row r="29">
          <cell r="D29">
            <v>2205</v>
          </cell>
        </row>
        <row r="30">
          <cell r="D30">
            <v>4085</v>
          </cell>
        </row>
        <row r="31">
          <cell r="D31">
            <v>6947</v>
          </cell>
        </row>
        <row r="32">
          <cell r="D32">
            <v>2561</v>
          </cell>
        </row>
        <row r="33">
          <cell r="D33">
            <v>2554</v>
          </cell>
        </row>
        <row r="34">
          <cell r="D34">
            <v>2339</v>
          </cell>
        </row>
        <row r="35">
          <cell r="D35">
            <v>4491</v>
          </cell>
        </row>
        <row r="36">
          <cell r="D36">
            <v>15223</v>
          </cell>
        </row>
        <row r="37">
          <cell r="D37">
            <v>13253</v>
          </cell>
        </row>
        <row r="38">
          <cell r="D38">
            <v>7387</v>
          </cell>
        </row>
        <row r="39">
          <cell r="D39">
            <v>14969</v>
          </cell>
        </row>
        <row r="40">
          <cell r="D40">
            <v>7447</v>
          </cell>
        </row>
        <row r="41">
          <cell r="D41">
            <v>0</v>
          </cell>
        </row>
        <row r="42">
          <cell r="D42">
            <v>8215</v>
          </cell>
        </row>
        <row r="43">
          <cell r="D43">
            <v>12193</v>
          </cell>
        </row>
        <row r="44">
          <cell r="D44">
            <v>10870</v>
          </cell>
        </row>
        <row r="45">
          <cell r="D45">
            <v>1803</v>
          </cell>
        </row>
        <row r="46">
          <cell r="D46">
            <v>11513</v>
          </cell>
        </row>
        <row r="47">
          <cell r="D47">
            <v>1291</v>
          </cell>
        </row>
        <row r="48">
          <cell r="D48">
            <v>6491</v>
          </cell>
        </row>
        <row r="49">
          <cell r="D49">
            <v>10080</v>
          </cell>
        </row>
        <row r="50">
          <cell r="D50">
            <v>875</v>
          </cell>
        </row>
        <row r="51">
          <cell r="D51">
            <v>5339</v>
          </cell>
        </row>
        <row r="52">
          <cell r="D52">
            <v>416</v>
          </cell>
        </row>
        <row r="53">
          <cell r="D53">
            <v>3327</v>
          </cell>
        </row>
        <row r="54">
          <cell r="D54">
            <v>866</v>
          </cell>
        </row>
        <row r="55">
          <cell r="D55">
            <v>12005</v>
          </cell>
        </row>
        <row r="56">
          <cell r="D56">
            <v>85142</v>
          </cell>
        </row>
        <row r="64">
          <cell r="D64">
            <v>12566</v>
          </cell>
        </row>
        <row r="65">
          <cell r="D65">
            <v>6705</v>
          </cell>
        </row>
        <row r="66">
          <cell r="D66">
            <v>15214</v>
          </cell>
        </row>
        <row r="67">
          <cell r="D67">
            <v>4443</v>
          </cell>
        </row>
        <row r="68">
          <cell r="D68">
            <v>4255</v>
          </cell>
        </row>
        <row r="69">
          <cell r="D69">
            <v>8445</v>
          </cell>
        </row>
        <row r="70">
          <cell r="D70">
            <v>20104</v>
          </cell>
        </row>
        <row r="71">
          <cell r="D71">
            <v>8752</v>
          </cell>
        </row>
        <row r="72">
          <cell r="D72">
            <v>6775</v>
          </cell>
        </row>
        <row r="73">
          <cell r="D73">
            <v>4653</v>
          </cell>
        </row>
        <row r="74">
          <cell r="D74">
            <v>16099</v>
          </cell>
        </row>
        <row r="75">
          <cell r="D75">
            <v>10695</v>
          </cell>
        </row>
        <row r="76">
          <cell r="D76">
            <v>10030</v>
          </cell>
        </row>
        <row r="77">
          <cell r="D77">
            <v>7453</v>
          </cell>
        </row>
        <row r="78">
          <cell r="D78">
            <v>5316</v>
          </cell>
        </row>
        <row r="79">
          <cell r="D79">
            <v>3219</v>
          </cell>
        </row>
        <row r="80">
          <cell r="D80">
            <v>7524</v>
          </cell>
        </row>
        <row r="81">
          <cell r="D81">
            <v>4992</v>
          </cell>
        </row>
        <row r="82">
          <cell r="D82">
            <v>7727</v>
          </cell>
        </row>
        <row r="83">
          <cell r="D83">
            <v>0</v>
          </cell>
        </row>
        <row r="84">
          <cell r="D84">
            <v>5026</v>
          </cell>
        </row>
        <row r="85">
          <cell r="D85">
            <v>3878</v>
          </cell>
        </row>
        <row r="86">
          <cell r="D86">
            <v>15078</v>
          </cell>
        </row>
        <row r="87">
          <cell r="D87">
            <v>4783</v>
          </cell>
        </row>
        <row r="88">
          <cell r="D88">
            <v>9182</v>
          </cell>
        </row>
        <row r="89">
          <cell r="D89">
            <v>35391</v>
          </cell>
        </row>
        <row r="90">
          <cell r="D90">
            <v>17698</v>
          </cell>
        </row>
        <row r="91">
          <cell r="D91">
            <v>2156</v>
          </cell>
        </row>
        <row r="92">
          <cell r="D92">
            <v>4097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2602</v>
          </cell>
        </row>
        <row r="98">
          <cell r="D98">
            <v>1431</v>
          </cell>
        </row>
        <row r="99">
          <cell r="D99">
            <v>3250</v>
          </cell>
        </row>
        <row r="100">
          <cell r="D100">
            <v>4465</v>
          </cell>
        </row>
        <row r="101">
          <cell r="D101">
            <v>0</v>
          </cell>
        </row>
        <row r="102">
          <cell r="D102">
            <v>4137</v>
          </cell>
        </row>
        <row r="103">
          <cell r="D103">
            <v>1219</v>
          </cell>
        </row>
        <row r="104">
          <cell r="D104">
            <v>1647</v>
          </cell>
        </row>
        <row r="105">
          <cell r="D105">
            <v>2305</v>
          </cell>
        </row>
        <row r="106">
          <cell r="D106">
            <v>3969</v>
          </cell>
        </row>
        <row r="107">
          <cell r="D107">
            <v>1410</v>
          </cell>
          <cell r="G107">
            <v>15720</v>
          </cell>
        </row>
        <row r="108">
          <cell r="D108">
            <v>404</v>
          </cell>
          <cell r="G108">
            <v>4770</v>
          </cell>
        </row>
        <row r="109">
          <cell r="D109">
            <v>0</v>
          </cell>
          <cell r="G109">
            <v>7732</v>
          </cell>
        </row>
        <row r="110">
          <cell r="D110">
            <v>1850</v>
          </cell>
          <cell r="G110">
            <v>9125</v>
          </cell>
        </row>
        <row r="111">
          <cell r="D111">
            <v>2711</v>
          </cell>
          <cell r="G111">
            <v>5948</v>
          </cell>
        </row>
        <row r="112">
          <cell r="D112">
            <v>4447</v>
          </cell>
          <cell r="G112">
            <v>6978</v>
          </cell>
        </row>
        <row r="113">
          <cell r="D113">
            <v>2627</v>
          </cell>
          <cell r="G113">
            <v>5932</v>
          </cell>
        </row>
        <row r="114">
          <cell r="D114">
            <v>5611</v>
          </cell>
          <cell r="G114">
            <v>9940</v>
          </cell>
        </row>
        <row r="115">
          <cell r="D115">
            <v>8414</v>
          </cell>
        </row>
        <row r="116">
          <cell r="D116">
            <v>3748</v>
          </cell>
        </row>
        <row r="117">
          <cell r="D117">
            <v>16054</v>
          </cell>
        </row>
        <row r="118">
          <cell r="D118">
            <v>10032</v>
          </cell>
          <cell r="G118">
            <v>24086</v>
          </cell>
        </row>
        <row r="119">
          <cell r="D119">
            <v>4964</v>
          </cell>
          <cell r="G119">
            <v>8922</v>
          </cell>
        </row>
        <row r="120">
          <cell r="D120">
            <v>8114</v>
          </cell>
          <cell r="G120">
            <v>11854</v>
          </cell>
        </row>
        <row r="121">
          <cell r="D121">
            <v>2945</v>
          </cell>
          <cell r="G121">
            <v>12989</v>
          </cell>
        </row>
        <row r="122">
          <cell r="D122">
            <v>7831</v>
          </cell>
          <cell r="G122">
            <v>515</v>
          </cell>
        </row>
        <row r="123">
          <cell r="D123">
            <v>3677</v>
          </cell>
          <cell r="G123">
            <v>10229</v>
          </cell>
        </row>
        <row r="124">
          <cell r="D124">
            <v>5302</v>
          </cell>
          <cell r="G124">
            <v>16547</v>
          </cell>
        </row>
        <row r="125">
          <cell r="D125">
            <v>2723</v>
          </cell>
        </row>
        <row r="126">
          <cell r="D126">
            <v>1371</v>
          </cell>
        </row>
        <row r="127">
          <cell r="D127">
            <v>5163</v>
          </cell>
        </row>
        <row r="128">
          <cell r="D128">
            <v>10886</v>
          </cell>
          <cell r="G128">
            <v>892</v>
          </cell>
        </row>
        <row r="129">
          <cell r="D129">
            <v>6922</v>
          </cell>
          <cell r="G129">
            <v>2946</v>
          </cell>
        </row>
        <row r="130">
          <cell r="D130">
            <v>41928</v>
          </cell>
          <cell r="G130">
            <v>11254</v>
          </cell>
        </row>
        <row r="131">
          <cell r="G131">
            <v>10288</v>
          </cell>
        </row>
        <row r="132">
          <cell r="G132">
            <v>4251</v>
          </cell>
        </row>
        <row r="133">
          <cell r="G133">
            <v>3808</v>
          </cell>
        </row>
        <row r="134">
          <cell r="G134">
            <v>4606</v>
          </cell>
        </row>
        <row r="135">
          <cell r="G135">
            <v>3883</v>
          </cell>
        </row>
        <row r="139">
          <cell r="D139">
            <v>1698</v>
          </cell>
          <cell r="G139">
            <v>2250</v>
          </cell>
        </row>
        <row r="140">
          <cell r="D140">
            <v>330</v>
          </cell>
          <cell r="G140">
            <v>28973</v>
          </cell>
        </row>
        <row r="141">
          <cell r="D141">
            <v>1508</v>
          </cell>
          <cell r="G141">
            <v>11815</v>
          </cell>
        </row>
        <row r="142">
          <cell r="D142">
            <v>274</v>
          </cell>
        </row>
        <row r="143">
          <cell r="D143">
            <v>43038</v>
          </cell>
        </row>
        <row r="148">
          <cell r="D148">
            <v>833241</v>
          </cell>
        </row>
      </sheetData>
      <sheetData sheetId="1">
        <row r="11">
          <cell r="H11">
            <v>59580</v>
          </cell>
        </row>
        <row r="20">
          <cell r="H20">
            <v>4182</v>
          </cell>
        </row>
        <row r="21">
          <cell r="H21">
            <v>4256</v>
          </cell>
        </row>
        <row r="22">
          <cell r="H22">
            <v>7462</v>
          </cell>
        </row>
        <row r="23">
          <cell r="H23">
            <v>2357</v>
          </cell>
        </row>
        <row r="24">
          <cell r="H24">
            <v>3224</v>
          </cell>
        </row>
        <row r="25">
          <cell r="H25">
            <v>10234</v>
          </cell>
        </row>
        <row r="26">
          <cell r="H26">
            <v>3711</v>
          </cell>
        </row>
        <row r="27">
          <cell r="H27">
            <v>1546</v>
          </cell>
        </row>
        <row r="28">
          <cell r="H28">
            <v>5227</v>
          </cell>
        </row>
        <row r="29">
          <cell r="H29">
            <v>2492</v>
          </cell>
        </row>
        <row r="30">
          <cell r="H30">
            <v>3761</v>
          </cell>
        </row>
        <row r="31">
          <cell r="H31">
            <v>6941</v>
          </cell>
        </row>
        <row r="32">
          <cell r="H32">
            <v>2694</v>
          </cell>
        </row>
        <row r="33">
          <cell r="H33">
            <v>2504</v>
          </cell>
        </row>
        <row r="34">
          <cell r="H34">
            <v>2266</v>
          </cell>
        </row>
        <row r="35">
          <cell r="H35">
            <v>4527</v>
          </cell>
        </row>
        <row r="36">
          <cell r="H36">
            <v>13004</v>
          </cell>
        </row>
        <row r="37">
          <cell r="H37">
            <v>10014</v>
          </cell>
        </row>
        <row r="38">
          <cell r="H38">
            <v>7165</v>
          </cell>
        </row>
        <row r="39">
          <cell r="H39">
            <v>14675</v>
          </cell>
        </row>
        <row r="40">
          <cell r="H40">
            <v>7077</v>
          </cell>
        </row>
        <row r="41">
          <cell r="H41">
            <v>0</v>
          </cell>
        </row>
        <row r="42">
          <cell r="H42">
            <v>7982</v>
          </cell>
        </row>
        <row r="43">
          <cell r="H43">
            <v>12344</v>
          </cell>
        </row>
        <row r="44">
          <cell r="H44">
            <v>10662</v>
          </cell>
        </row>
        <row r="45">
          <cell r="H45">
            <v>10807</v>
          </cell>
        </row>
        <row r="46">
          <cell r="H46">
            <v>2254</v>
          </cell>
        </row>
        <row r="47">
          <cell r="H47">
            <v>6433</v>
          </cell>
        </row>
        <row r="48">
          <cell r="H48">
            <v>1272</v>
          </cell>
        </row>
        <row r="49">
          <cell r="H49">
            <v>10064</v>
          </cell>
        </row>
        <row r="50">
          <cell r="H50">
            <v>5479</v>
          </cell>
        </row>
        <row r="51">
          <cell r="H51">
            <v>1058</v>
          </cell>
        </row>
        <row r="52">
          <cell r="H52">
            <v>2883</v>
          </cell>
        </row>
        <row r="53">
          <cell r="H53">
            <v>588</v>
          </cell>
        </row>
        <row r="54">
          <cell r="H54">
            <v>11043</v>
          </cell>
        </row>
        <row r="55">
          <cell r="H55">
            <v>1459</v>
          </cell>
        </row>
        <row r="56">
          <cell r="H56">
            <v>80091</v>
          </cell>
        </row>
        <row r="63">
          <cell r="H63">
            <v>11979</v>
          </cell>
        </row>
        <row r="64">
          <cell r="H64">
            <v>5205</v>
          </cell>
        </row>
        <row r="65">
          <cell r="H65">
            <v>14774</v>
          </cell>
        </row>
        <row r="66">
          <cell r="H66">
            <v>3994</v>
          </cell>
        </row>
        <row r="67">
          <cell r="H67">
            <v>3095</v>
          </cell>
        </row>
        <row r="68">
          <cell r="H68">
            <v>9661</v>
          </cell>
        </row>
        <row r="69">
          <cell r="H69">
            <v>19471</v>
          </cell>
        </row>
        <row r="70">
          <cell r="H70">
            <v>8049</v>
          </cell>
        </row>
        <row r="71">
          <cell r="H71">
            <v>6275</v>
          </cell>
        </row>
        <row r="72">
          <cell r="H72">
            <v>5019</v>
          </cell>
        </row>
        <row r="73">
          <cell r="H73">
            <v>14193</v>
          </cell>
        </row>
        <row r="74">
          <cell r="H74">
            <v>9643</v>
          </cell>
        </row>
        <row r="75">
          <cell r="H75">
            <v>9988</v>
          </cell>
        </row>
        <row r="76">
          <cell r="H76">
            <v>6364</v>
          </cell>
        </row>
        <row r="77">
          <cell r="H77">
            <v>4836</v>
          </cell>
        </row>
        <row r="78">
          <cell r="H78">
            <v>2301</v>
          </cell>
        </row>
        <row r="79">
          <cell r="H79">
            <v>6552</v>
          </cell>
        </row>
        <row r="80">
          <cell r="H80">
            <v>4413</v>
          </cell>
        </row>
        <row r="81">
          <cell r="H81">
            <v>6780</v>
          </cell>
        </row>
        <row r="82">
          <cell r="H82">
            <v>0</v>
          </cell>
        </row>
        <row r="83">
          <cell r="H83">
            <v>4719</v>
          </cell>
        </row>
        <row r="84">
          <cell r="H84">
            <v>3522</v>
          </cell>
        </row>
        <row r="85">
          <cell r="H85">
            <v>14487</v>
          </cell>
        </row>
        <row r="86">
          <cell r="H86">
            <v>4149</v>
          </cell>
        </row>
        <row r="87">
          <cell r="H87">
            <v>6718</v>
          </cell>
        </row>
        <row r="88">
          <cell r="H88">
            <v>31387</v>
          </cell>
        </row>
        <row r="89">
          <cell r="H89">
            <v>12023</v>
          </cell>
        </row>
        <row r="90">
          <cell r="H90">
            <v>1646</v>
          </cell>
        </row>
        <row r="91">
          <cell r="H91">
            <v>3417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2677</v>
          </cell>
        </row>
        <row r="97">
          <cell r="H97">
            <v>1365</v>
          </cell>
        </row>
        <row r="98">
          <cell r="H98">
            <v>2923</v>
          </cell>
        </row>
        <row r="99">
          <cell r="H99">
            <v>3840</v>
          </cell>
        </row>
        <row r="100">
          <cell r="H100">
            <v>0</v>
          </cell>
        </row>
        <row r="101">
          <cell r="H101">
            <v>3743</v>
          </cell>
        </row>
        <row r="102">
          <cell r="H102">
            <v>988</v>
          </cell>
        </row>
        <row r="103">
          <cell r="H103">
            <v>1347</v>
          </cell>
        </row>
        <row r="104">
          <cell r="H104">
            <v>1480</v>
          </cell>
        </row>
        <row r="105">
          <cell r="H105">
            <v>3969</v>
          </cell>
        </row>
        <row r="106">
          <cell r="H106">
            <v>1616</v>
          </cell>
        </row>
        <row r="107">
          <cell r="H107">
            <v>258</v>
          </cell>
        </row>
        <row r="108">
          <cell r="H108">
            <v>0</v>
          </cell>
        </row>
        <row r="109">
          <cell r="H109">
            <v>1945</v>
          </cell>
        </row>
        <row r="110">
          <cell r="H110">
            <v>2560</v>
          </cell>
        </row>
        <row r="111">
          <cell r="H111">
            <v>4593</v>
          </cell>
        </row>
        <row r="112">
          <cell r="H112">
            <v>2739</v>
          </cell>
        </row>
        <row r="113">
          <cell r="H113">
            <v>5369</v>
          </cell>
        </row>
        <row r="114">
          <cell r="H114">
            <v>7353</v>
          </cell>
        </row>
        <row r="115">
          <cell r="H115">
            <v>2344</v>
          </cell>
        </row>
        <row r="116">
          <cell r="H116">
            <v>13395</v>
          </cell>
        </row>
        <row r="117">
          <cell r="H117">
            <v>9693</v>
          </cell>
        </row>
        <row r="118">
          <cell r="H118">
            <v>4595</v>
          </cell>
        </row>
        <row r="119">
          <cell r="H119">
            <v>3162</v>
          </cell>
        </row>
        <row r="120">
          <cell r="H120">
            <v>6778</v>
          </cell>
        </row>
        <row r="121">
          <cell r="H121">
            <v>4844</v>
          </cell>
        </row>
        <row r="122">
          <cell r="H122">
            <v>4125</v>
          </cell>
        </row>
        <row r="123">
          <cell r="H123">
            <v>4093</v>
          </cell>
        </row>
        <row r="124">
          <cell r="H124">
            <v>2484</v>
          </cell>
        </row>
        <row r="125">
          <cell r="H125">
            <v>1370</v>
          </cell>
        </row>
        <row r="126">
          <cell r="H126">
            <v>4687</v>
          </cell>
        </row>
        <row r="127">
          <cell r="H127">
            <v>10315</v>
          </cell>
        </row>
        <row r="128">
          <cell r="H128">
            <v>6699</v>
          </cell>
        </row>
        <row r="129">
          <cell r="H129">
            <v>35607</v>
          </cell>
        </row>
        <row r="138">
          <cell r="H138">
            <v>151</v>
          </cell>
        </row>
        <row r="139">
          <cell r="H139">
            <v>1416</v>
          </cell>
        </row>
        <row r="140">
          <cell r="H140">
            <v>146</v>
          </cell>
        </row>
        <row r="141">
          <cell r="H141">
            <v>1520</v>
          </cell>
        </row>
        <row r="142">
          <cell r="H142">
            <v>37408</v>
          </cell>
        </row>
        <row r="147">
          <cell r="D147">
            <v>7305</v>
          </cell>
          <cell r="E147">
            <v>127734</v>
          </cell>
          <cell r="F147">
            <v>624221</v>
          </cell>
          <cell r="G147">
            <v>3158</v>
          </cell>
        </row>
        <row r="150">
          <cell r="C150">
            <v>12389</v>
          </cell>
          <cell r="E150">
            <v>2624</v>
          </cell>
          <cell r="G150">
            <v>22650</v>
          </cell>
        </row>
        <row r="151">
          <cell r="C151">
            <v>3419</v>
          </cell>
          <cell r="E151">
            <v>1139</v>
          </cell>
          <cell r="G151">
            <v>3006</v>
          </cell>
        </row>
        <row r="152">
          <cell r="C152">
            <v>5806</v>
          </cell>
          <cell r="E152">
            <v>6996</v>
          </cell>
          <cell r="G152">
            <v>82</v>
          </cell>
        </row>
        <row r="153">
          <cell r="C153">
            <v>10010</v>
          </cell>
          <cell r="E153">
            <v>8446</v>
          </cell>
          <cell r="G153">
            <v>16461</v>
          </cell>
        </row>
        <row r="154">
          <cell r="C154">
            <v>5549</v>
          </cell>
          <cell r="E154">
            <v>3371</v>
          </cell>
          <cell r="G154">
            <v>19220</v>
          </cell>
        </row>
        <row r="155">
          <cell r="C155">
            <v>4864</v>
          </cell>
          <cell r="E155">
            <v>3464</v>
          </cell>
          <cell r="G155">
            <v>18672</v>
          </cell>
        </row>
        <row r="156">
          <cell r="C156">
            <v>5075</v>
          </cell>
          <cell r="E156">
            <v>5735</v>
          </cell>
        </row>
        <row r="157">
          <cell r="C157">
            <v>12468</v>
          </cell>
          <cell r="E157">
            <v>3832</v>
          </cell>
        </row>
        <row r="161">
          <cell r="C161">
            <v>2082</v>
          </cell>
        </row>
        <row r="162">
          <cell r="C162">
            <v>4946</v>
          </cell>
        </row>
        <row r="163">
          <cell r="C163">
            <v>30380</v>
          </cell>
        </row>
        <row r="171">
          <cell r="H171">
            <v>492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32494</v>
          </cell>
        </row>
        <row r="20">
          <cell r="D20">
            <v>2599</v>
          </cell>
        </row>
        <row r="21">
          <cell r="D21">
            <v>1395</v>
          </cell>
        </row>
        <row r="22">
          <cell r="D22">
            <v>3170</v>
          </cell>
        </row>
        <row r="23">
          <cell r="D23">
            <v>2278</v>
          </cell>
        </row>
        <row r="24">
          <cell r="D24">
            <v>1528</v>
          </cell>
        </row>
        <row r="25">
          <cell r="D25">
            <v>5753</v>
          </cell>
        </row>
        <row r="26">
          <cell r="D26">
            <v>5802</v>
          </cell>
        </row>
        <row r="27">
          <cell r="D27">
            <v>2786</v>
          </cell>
        </row>
        <row r="28">
          <cell r="D28">
            <v>1533</v>
          </cell>
        </row>
        <row r="29">
          <cell r="D29">
            <v>837</v>
          </cell>
        </row>
        <row r="30">
          <cell r="D30">
            <v>2494</v>
          </cell>
        </row>
        <row r="31">
          <cell r="D31">
            <v>3144</v>
          </cell>
        </row>
        <row r="32">
          <cell r="D32">
            <v>1260</v>
          </cell>
        </row>
        <row r="33">
          <cell r="D33">
            <v>1374</v>
          </cell>
        </row>
        <row r="34">
          <cell r="D34">
            <v>1521</v>
          </cell>
        </row>
        <row r="35">
          <cell r="D35">
            <v>1216</v>
          </cell>
        </row>
        <row r="36">
          <cell r="D36">
            <v>2856</v>
          </cell>
        </row>
        <row r="37">
          <cell r="D37">
            <v>2715</v>
          </cell>
        </row>
        <row r="38">
          <cell r="D38">
            <v>1584</v>
          </cell>
        </row>
        <row r="39">
          <cell r="D39">
            <v>4180</v>
          </cell>
        </row>
        <row r="40">
          <cell r="D40">
            <v>2398</v>
          </cell>
        </row>
        <row r="41">
          <cell r="D41">
            <v>0</v>
          </cell>
        </row>
        <row r="42">
          <cell r="D42">
            <v>2706</v>
          </cell>
        </row>
        <row r="43">
          <cell r="D43">
            <v>3971</v>
          </cell>
        </row>
        <row r="44">
          <cell r="D44">
            <v>4967</v>
          </cell>
        </row>
        <row r="45">
          <cell r="D45">
            <v>1020</v>
          </cell>
        </row>
        <row r="46">
          <cell r="D46">
            <v>4741</v>
          </cell>
        </row>
        <row r="47">
          <cell r="D47">
            <v>821</v>
          </cell>
        </row>
        <row r="48">
          <cell r="D48">
            <v>2180</v>
          </cell>
        </row>
        <row r="49">
          <cell r="D49">
            <v>4796</v>
          </cell>
        </row>
        <row r="50">
          <cell r="D50">
            <v>413</v>
          </cell>
        </row>
        <row r="51">
          <cell r="D51">
            <v>1746</v>
          </cell>
        </row>
        <row r="52">
          <cell r="D52">
            <v>257</v>
          </cell>
        </row>
        <row r="53">
          <cell r="D53">
            <v>1359</v>
          </cell>
        </row>
        <row r="54">
          <cell r="D54">
            <v>589</v>
          </cell>
        </row>
        <row r="55">
          <cell r="D55">
            <v>5098</v>
          </cell>
        </row>
        <row r="56">
          <cell r="D56">
            <v>47731</v>
          </cell>
        </row>
        <row r="64">
          <cell r="D64">
            <v>2512</v>
          </cell>
        </row>
        <row r="65">
          <cell r="D65">
            <v>915</v>
          </cell>
        </row>
        <row r="66">
          <cell r="D66">
            <v>4848</v>
          </cell>
        </row>
        <row r="67">
          <cell r="D67">
            <v>1047</v>
          </cell>
        </row>
        <row r="68">
          <cell r="D68">
            <v>1367</v>
          </cell>
        </row>
        <row r="69">
          <cell r="D69">
            <v>2761</v>
          </cell>
        </row>
        <row r="70">
          <cell r="D70">
            <v>6210</v>
          </cell>
        </row>
        <row r="71">
          <cell r="D71">
            <v>2234</v>
          </cell>
        </row>
        <row r="72">
          <cell r="D72">
            <v>1894</v>
          </cell>
        </row>
        <row r="73">
          <cell r="D73">
            <v>1462</v>
          </cell>
        </row>
        <row r="74">
          <cell r="D74">
            <v>4430</v>
          </cell>
        </row>
        <row r="75">
          <cell r="D75">
            <v>2426</v>
          </cell>
        </row>
        <row r="76">
          <cell r="D76">
            <v>2869</v>
          </cell>
        </row>
        <row r="77">
          <cell r="D77">
            <v>1998</v>
          </cell>
        </row>
        <row r="78">
          <cell r="D78">
            <v>1319</v>
          </cell>
        </row>
        <row r="79">
          <cell r="D79">
            <v>745</v>
          </cell>
        </row>
        <row r="80">
          <cell r="D80">
            <v>1552</v>
          </cell>
        </row>
        <row r="81">
          <cell r="D81">
            <v>1740</v>
          </cell>
        </row>
        <row r="82">
          <cell r="D82">
            <v>2349</v>
          </cell>
        </row>
        <row r="83">
          <cell r="D83">
            <v>0</v>
          </cell>
        </row>
        <row r="84">
          <cell r="D84">
            <v>1895</v>
          </cell>
        </row>
        <row r="85">
          <cell r="D85">
            <v>1361</v>
          </cell>
        </row>
        <row r="86">
          <cell r="D86">
            <v>5330</v>
          </cell>
        </row>
        <row r="87">
          <cell r="D87">
            <v>1541</v>
          </cell>
        </row>
        <row r="88">
          <cell r="D88">
            <v>3468</v>
          </cell>
        </row>
        <row r="89">
          <cell r="D89">
            <v>12311</v>
          </cell>
        </row>
        <row r="90">
          <cell r="D90">
            <v>5191</v>
          </cell>
        </row>
        <row r="91">
          <cell r="D91">
            <v>562</v>
          </cell>
        </row>
        <row r="92">
          <cell r="D92">
            <v>2516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788</v>
          </cell>
        </row>
        <row r="98">
          <cell r="D98">
            <v>552</v>
          </cell>
        </row>
        <row r="99">
          <cell r="D99">
            <v>1121</v>
          </cell>
        </row>
        <row r="100">
          <cell r="D100">
            <v>1938</v>
          </cell>
        </row>
        <row r="101">
          <cell r="D101">
            <v>0</v>
          </cell>
        </row>
        <row r="102">
          <cell r="D102">
            <v>927</v>
          </cell>
        </row>
        <row r="103">
          <cell r="D103">
            <v>286</v>
          </cell>
        </row>
        <row r="104">
          <cell r="D104">
            <v>603</v>
          </cell>
        </row>
        <row r="105">
          <cell r="D105">
            <v>619</v>
          </cell>
        </row>
        <row r="106">
          <cell r="D106">
            <v>1389</v>
          </cell>
        </row>
        <row r="107">
          <cell r="D107">
            <v>402</v>
          </cell>
          <cell r="G107">
            <v>8169</v>
          </cell>
        </row>
        <row r="108">
          <cell r="D108">
            <v>131</v>
          </cell>
          <cell r="G108">
            <v>2893</v>
          </cell>
        </row>
        <row r="109">
          <cell r="D109">
            <v>0</v>
          </cell>
          <cell r="G109">
            <v>4076</v>
          </cell>
        </row>
        <row r="110">
          <cell r="D110">
            <v>917</v>
          </cell>
          <cell r="G110">
            <v>4078</v>
          </cell>
        </row>
        <row r="111">
          <cell r="D111">
            <v>1675</v>
          </cell>
          <cell r="G111">
            <v>2536</v>
          </cell>
        </row>
        <row r="112">
          <cell r="D112">
            <v>2232</v>
          </cell>
          <cell r="G112">
            <v>3095</v>
          </cell>
        </row>
        <row r="113">
          <cell r="D113">
            <v>1165</v>
          </cell>
          <cell r="G113">
            <v>3000</v>
          </cell>
        </row>
        <row r="114">
          <cell r="D114">
            <v>2337</v>
          </cell>
          <cell r="G114">
            <v>4647</v>
          </cell>
        </row>
        <row r="115">
          <cell r="D115">
            <v>2853</v>
          </cell>
        </row>
        <row r="116">
          <cell r="D116">
            <v>1676</v>
          </cell>
        </row>
        <row r="117">
          <cell r="D117">
            <v>8141</v>
          </cell>
        </row>
        <row r="118">
          <cell r="D118">
            <v>4541</v>
          </cell>
          <cell r="G118">
            <v>13144</v>
          </cell>
        </row>
        <row r="119">
          <cell r="D119">
            <v>2816</v>
          </cell>
          <cell r="G119">
            <v>5486</v>
          </cell>
        </row>
        <row r="120">
          <cell r="D120">
            <v>4523</v>
          </cell>
          <cell r="G120">
            <v>6251</v>
          </cell>
        </row>
        <row r="121">
          <cell r="D121">
            <v>1099</v>
          </cell>
          <cell r="G121">
            <v>8079</v>
          </cell>
        </row>
        <row r="122">
          <cell r="D122">
            <v>5742</v>
          </cell>
          <cell r="G122">
            <v>397</v>
          </cell>
        </row>
        <row r="123">
          <cell r="D123">
            <v>1916</v>
          </cell>
          <cell r="G123">
            <v>5662</v>
          </cell>
        </row>
        <row r="124">
          <cell r="D124">
            <v>2773</v>
          </cell>
          <cell r="G124">
            <v>8712</v>
          </cell>
        </row>
        <row r="125">
          <cell r="D125">
            <v>1447</v>
          </cell>
        </row>
        <row r="126">
          <cell r="D126">
            <v>697</v>
          </cell>
        </row>
        <row r="127">
          <cell r="D127">
            <v>2494</v>
          </cell>
        </row>
        <row r="128">
          <cell r="D128">
            <v>6209</v>
          </cell>
          <cell r="G128">
            <v>496</v>
          </cell>
        </row>
        <row r="129">
          <cell r="D129">
            <v>4555</v>
          </cell>
          <cell r="G129">
            <v>1750</v>
          </cell>
        </row>
        <row r="130">
          <cell r="D130">
            <v>20212</v>
          </cell>
          <cell r="G130">
            <v>4463</v>
          </cell>
        </row>
        <row r="131">
          <cell r="G131">
            <v>5442</v>
          </cell>
        </row>
        <row r="132">
          <cell r="G132">
            <v>1983</v>
          </cell>
        </row>
        <row r="133">
          <cell r="G133">
            <v>2076</v>
          </cell>
        </row>
        <row r="134">
          <cell r="G134">
            <v>2190</v>
          </cell>
        </row>
        <row r="135">
          <cell r="G135">
            <v>1812</v>
          </cell>
        </row>
        <row r="139">
          <cell r="D139">
            <v>890</v>
          </cell>
          <cell r="G139">
            <v>1197</v>
          </cell>
        </row>
        <row r="140">
          <cell r="D140">
            <v>258</v>
          </cell>
          <cell r="G140">
            <v>10656</v>
          </cell>
        </row>
        <row r="141">
          <cell r="D141">
            <v>667</v>
          </cell>
          <cell r="G141">
            <v>9274</v>
          </cell>
        </row>
        <row r="142">
          <cell r="D142">
            <v>248</v>
          </cell>
        </row>
        <row r="143">
          <cell r="D143">
            <v>21127</v>
          </cell>
        </row>
        <row r="148">
          <cell r="D148">
            <v>336968</v>
          </cell>
        </row>
      </sheetData>
      <sheetData sheetId="1">
        <row r="11">
          <cell r="H11">
            <v>26264</v>
          </cell>
        </row>
        <row r="20">
          <cell r="H20">
            <v>2071</v>
          </cell>
        </row>
        <row r="21">
          <cell r="H21">
            <v>1439</v>
          </cell>
        </row>
        <row r="22">
          <cell r="H22">
            <v>3007</v>
          </cell>
        </row>
        <row r="23">
          <cell r="H23">
            <v>897</v>
          </cell>
        </row>
        <row r="24">
          <cell r="H24">
            <v>1374</v>
          </cell>
        </row>
        <row r="25">
          <cell r="H25">
            <v>4929</v>
          </cell>
        </row>
        <row r="26">
          <cell r="H26">
            <v>1922</v>
          </cell>
        </row>
        <row r="27">
          <cell r="H27">
            <v>834</v>
          </cell>
        </row>
        <row r="28">
          <cell r="H28">
            <v>1566</v>
          </cell>
        </row>
        <row r="29">
          <cell r="H29">
            <v>913</v>
          </cell>
        </row>
        <row r="30">
          <cell r="H30">
            <v>2064</v>
          </cell>
        </row>
        <row r="31">
          <cell r="H31">
            <v>3257</v>
          </cell>
        </row>
        <row r="32">
          <cell r="H32">
            <v>1297</v>
          </cell>
        </row>
        <row r="33">
          <cell r="H33">
            <v>1462</v>
          </cell>
        </row>
        <row r="34">
          <cell r="H34">
            <v>1235</v>
          </cell>
        </row>
        <row r="35">
          <cell r="H35">
            <v>1535</v>
          </cell>
        </row>
        <row r="36">
          <cell r="H36">
            <v>2743</v>
          </cell>
        </row>
        <row r="37">
          <cell r="H37">
            <v>2727</v>
          </cell>
        </row>
        <row r="38">
          <cell r="H38">
            <v>1606</v>
          </cell>
        </row>
        <row r="39">
          <cell r="H39">
            <v>3879</v>
          </cell>
        </row>
        <row r="40">
          <cell r="H40">
            <v>2059</v>
          </cell>
        </row>
        <row r="41">
          <cell r="H41">
            <v>0</v>
          </cell>
        </row>
        <row r="42">
          <cell r="H42">
            <v>2658</v>
          </cell>
        </row>
        <row r="43">
          <cell r="H43">
            <v>4144</v>
          </cell>
        </row>
        <row r="44">
          <cell r="H44">
            <v>4534</v>
          </cell>
        </row>
        <row r="45">
          <cell r="H45">
            <v>4074</v>
          </cell>
        </row>
        <row r="46">
          <cell r="H46">
            <v>900</v>
          </cell>
        </row>
        <row r="47">
          <cell r="H47">
            <v>2082</v>
          </cell>
        </row>
        <row r="48">
          <cell r="H48">
            <v>629</v>
          </cell>
        </row>
        <row r="49">
          <cell r="H49">
            <v>4210</v>
          </cell>
        </row>
        <row r="50">
          <cell r="H50">
            <v>1644</v>
          </cell>
        </row>
        <row r="51">
          <cell r="H51">
            <v>367</v>
          </cell>
        </row>
        <row r="52">
          <cell r="H52">
            <v>1121</v>
          </cell>
        </row>
        <row r="53">
          <cell r="H53">
            <v>245</v>
          </cell>
        </row>
        <row r="54">
          <cell r="H54">
            <v>4031</v>
          </cell>
        </row>
        <row r="55">
          <cell r="H55">
            <v>422</v>
          </cell>
        </row>
        <row r="56">
          <cell r="H56">
            <v>42610</v>
          </cell>
        </row>
        <row r="63">
          <cell r="H63">
            <v>2398</v>
          </cell>
        </row>
        <row r="64">
          <cell r="H64">
            <v>859</v>
          </cell>
        </row>
        <row r="65">
          <cell r="H65">
            <v>4405</v>
          </cell>
        </row>
        <row r="66">
          <cell r="H66">
            <v>834</v>
          </cell>
        </row>
        <row r="67">
          <cell r="H67">
            <v>929</v>
          </cell>
        </row>
        <row r="68">
          <cell r="H68">
            <v>3597</v>
          </cell>
        </row>
        <row r="69">
          <cell r="H69">
            <v>6605</v>
          </cell>
        </row>
        <row r="70">
          <cell r="H70">
            <v>2063</v>
          </cell>
        </row>
        <row r="71">
          <cell r="H71">
            <v>2202</v>
          </cell>
        </row>
        <row r="72">
          <cell r="H72">
            <v>1755</v>
          </cell>
        </row>
        <row r="73">
          <cell r="H73">
            <v>3959</v>
          </cell>
        </row>
        <row r="74">
          <cell r="H74">
            <v>2542</v>
          </cell>
        </row>
        <row r="75">
          <cell r="H75">
            <v>2744</v>
          </cell>
        </row>
        <row r="76">
          <cell r="H76">
            <v>1557</v>
          </cell>
        </row>
        <row r="77">
          <cell r="H77">
            <v>1225</v>
          </cell>
        </row>
        <row r="78">
          <cell r="H78">
            <v>630</v>
          </cell>
        </row>
        <row r="79">
          <cell r="H79">
            <v>1615</v>
          </cell>
        </row>
        <row r="80">
          <cell r="H80">
            <v>1807</v>
          </cell>
        </row>
        <row r="81">
          <cell r="H81">
            <v>2117</v>
          </cell>
        </row>
        <row r="82">
          <cell r="H82">
            <v>0</v>
          </cell>
        </row>
        <row r="83">
          <cell r="H83">
            <v>2021</v>
          </cell>
        </row>
        <row r="84">
          <cell r="H84">
            <v>1476</v>
          </cell>
        </row>
        <row r="85">
          <cell r="H85">
            <v>5042</v>
          </cell>
        </row>
        <row r="86">
          <cell r="H86">
            <v>1326</v>
          </cell>
        </row>
        <row r="87">
          <cell r="H87">
            <v>2144</v>
          </cell>
        </row>
        <row r="88">
          <cell r="H88">
            <v>10285</v>
          </cell>
        </row>
        <row r="89">
          <cell r="H89">
            <v>3716</v>
          </cell>
        </row>
        <row r="90">
          <cell r="H90">
            <v>508</v>
          </cell>
        </row>
        <row r="91">
          <cell r="H91">
            <v>1899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702</v>
          </cell>
        </row>
        <row r="97">
          <cell r="H97">
            <v>428</v>
          </cell>
        </row>
        <row r="98">
          <cell r="H98">
            <v>949</v>
          </cell>
        </row>
        <row r="99">
          <cell r="H99">
            <v>1388</v>
          </cell>
        </row>
        <row r="100">
          <cell r="H100">
            <v>0</v>
          </cell>
        </row>
        <row r="101">
          <cell r="H101">
            <v>648</v>
          </cell>
        </row>
        <row r="102">
          <cell r="H102">
            <v>158</v>
          </cell>
        </row>
        <row r="103">
          <cell r="H103">
            <v>444</v>
          </cell>
        </row>
        <row r="104">
          <cell r="H104">
            <v>325</v>
          </cell>
        </row>
        <row r="105">
          <cell r="H105">
            <v>1397</v>
          </cell>
        </row>
        <row r="106">
          <cell r="H106">
            <v>358</v>
          </cell>
        </row>
        <row r="107">
          <cell r="H107">
            <v>58</v>
          </cell>
        </row>
        <row r="108">
          <cell r="H108">
            <v>0</v>
          </cell>
        </row>
        <row r="109">
          <cell r="H109">
            <v>812</v>
          </cell>
        </row>
        <row r="110">
          <cell r="H110">
            <v>1611</v>
          </cell>
        </row>
        <row r="111">
          <cell r="H111">
            <v>2285</v>
          </cell>
        </row>
        <row r="112">
          <cell r="H112">
            <v>1214</v>
          </cell>
        </row>
        <row r="113">
          <cell r="H113">
            <v>2270</v>
          </cell>
        </row>
        <row r="114">
          <cell r="H114">
            <v>3041</v>
          </cell>
        </row>
        <row r="115">
          <cell r="H115">
            <v>1073</v>
          </cell>
        </row>
        <row r="116">
          <cell r="H116">
            <v>6936</v>
          </cell>
        </row>
        <row r="117">
          <cell r="H117">
            <v>4377</v>
          </cell>
        </row>
        <row r="118">
          <cell r="H118">
            <v>2447</v>
          </cell>
        </row>
        <row r="119">
          <cell r="H119">
            <v>1156</v>
          </cell>
        </row>
        <row r="120">
          <cell r="H120">
            <v>3400</v>
          </cell>
        </row>
        <row r="121">
          <cell r="H121">
            <v>2601</v>
          </cell>
        </row>
        <row r="122">
          <cell r="H122">
            <v>2106</v>
          </cell>
        </row>
        <row r="123">
          <cell r="H123">
            <v>2286</v>
          </cell>
        </row>
        <row r="124">
          <cell r="H124">
            <v>1274</v>
          </cell>
        </row>
        <row r="125">
          <cell r="H125">
            <v>593</v>
          </cell>
        </row>
        <row r="126">
          <cell r="H126">
            <v>2015</v>
          </cell>
        </row>
        <row r="127">
          <cell r="H127">
            <v>5538</v>
          </cell>
        </row>
        <row r="128">
          <cell r="H128">
            <v>3234</v>
          </cell>
        </row>
        <row r="129">
          <cell r="H129">
            <v>14909</v>
          </cell>
        </row>
        <row r="138">
          <cell r="H138">
            <v>124</v>
          </cell>
        </row>
        <row r="139">
          <cell r="H139">
            <v>685</v>
          </cell>
        </row>
        <row r="140">
          <cell r="H140">
            <v>87</v>
          </cell>
        </row>
        <row r="141">
          <cell r="H141">
            <v>616</v>
          </cell>
        </row>
        <row r="142">
          <cell r="H142">
            <v>16618</v>
          </cell>
        </row>
        <row r="147">
          <cell r="D147">
            <v>3877</v>
          </cell>
          <cell r="E147">
            <v>36783</v>
          </cell>
          <cell r="F147">
            <v>254305</v>
          </cell>
          <cell r="G147">
            <v>721</v>
          </cell>
        </row>
        <row r="150">
          <cell r="C150">
            <v>6366</v>
          </cell>
          <cell r="E150">
            <v>1198</v>
          </cell>
          <cell r="G150">
            <v>12628</v>
          </cell>
        </row>
        <row r="151">
          <cell r="C151">
            <v>1641</v>
          </cell>
          <cell r="E151">
            <v>551</v>
          </cell>
          <cell r="G151">
            <v>1351</v>
          </cell>
        </row>
        <row r="152">
          <cell r="C152">
            <v>2918</v>
          </cell>
          <cell r="E152">
            <v>3075</v>
          </cell>
          <cell r="G152">
            <v>58</v>
          </cell>
        </row>
        <row r="153">
          <cell r="C153">
            <v>3544</v>
          </cell>
          <cell r="E153">
            <v>3515</v>
          </cell>
          <cell r="G153">
            <v>8924</v>
          </cell>
        </row>
        <row r="154">
          <cell r="C154">
            <v>1988</v>
          </cell>
          <cell r="E154">
            <v>1249</v>
          </cell>
          <cell r="G154">
            <v>9884</v>
          </cell>
        </row>
        <row r="155">
          <cell r="C155">
            <v>2555</v>
          </cell>
          <cell r="E155">
            <v>1675</v>
          </cell>
          <cell r="G155">
            <v>9765</v>
          </cell>
        </row>
        <row r="156">
          <cell r="C156">
            <v>2122</v>
          </cell>
          <cell r="E156">
            <v>2117</v>
          </cell>
        </row>
        <row r="157">
          <cell r="C157">
            <v>5130</v>
          </cell>
          <cell r="E157">
            <v>1529</v>
          </cell>
        </row>
        <row r="161">
          <cell r="C161">
            <v>1150</v>
          </cell>
        </row>
        <row r="162">
          <cell r="C162">
            <v>1</v>
          </cell>
        </row>
        <row r="163">
          <cell r="C163">
            <v>15467</v>
          </cell>
        </row>
        <row r="171">
          <cell r="H171">
            <v>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89361</v>
          </cell>
        </row>
        <row r="20">
          <cell r="D20">
            <v>5607</v>
          </cell>
        </row>
        <row r="21">
          <cell r="D21">
            <v>5721</v>
          </cell>
        </row>
        <row r="22">
          <cell r="D22">
            <v>9012</v>
          </cell>
        </row>
        <row r="23">
          <cell r="D23">
            <v>5851</v>
          </cell>
        </row>
        <row r="24">
          <cell r="D24">
            <v>4340</v>
          </cell>
        </row>
        <row r="25">
          <cell r="D25">
            <v>16889</v>
          </cell>
        </row>
        <row r="26">
          <cell r="D26">
            <v>14026</v>
          </cell>
        </row>
        <row r="27">
          <cell r="D27">
            <v>6686</v>
          </cell>
        </row>
        <row r="28">
          <cell r="D28">
            <v>7757</v>
          </cell>
        </row>
        <row r="29">
          <cell r="D29">
            <v>3008</v>
          </cell>
        </row>
        <row r="30">
          <cell r="D30">
            <v>4989</v>
          </cell>
        </row>
        <row r="31">
          <cell r="D31">
            <v>9802</v>
          </cell>
        </row>
        <row r="32">
          <cell r="D32">
            <v>3896</v>
          </cell>
        </row>
        <row r="33">
          <cell r="D33">
            <v>3349</v>
          </cell>
        </row>
        <row r="34">
          <cell r="D34">
            <v>2953</v>
          </cell>
        </row>
        <row r="35">
          <cell r="D35">
            <v>6426</v>
          </cell>
        </row>
        <row r="36">
          <cell r="D36">
            <v>26135</v>
          </cell>
        </row>
        <row r="37">
          <cell r="D37">
            <v>22095</v>
          </cell>
        </row>
        <row r="38">
          <cell r="D38">
            <v>18642</v>
          </cell>
        </row>
        <row r="39">
          <cell r="D39">
            <v>35149</v>
          </cell>
        </row>
        <row r="40">
          <cell r="D40">
            <v>14106</v>
          </cell>
        </row>
        <row r="41">
          <cell r="D41">
            <v>0</v>
          </cell>
        </row>
        <row r="42">
          <cell r="D42">
            <v>15579</v>
          </cell>
        </row>
        <row r="43">
          <cell r="D43">
            <v>20150</v>
          </cell>
        </row>
        <row r="44">
          <cell r="D44">
            <v>14527</v>
          </cell>
        </row>
        <row r="45">
          <cell r="D45">
            <v>1970</v>
          </cell>
        </row>
        <row r="46">
          <cell r="D46">
            <v>18352</v>
          </cell>
        </row>
        <row r="47">
          <cell r="D47">
            <v>1514</v>
          </cell>
        </row>
        <row r="48">
          <cell r="D48">
            <v>11329</v>
          </cell>
        </row>
        <row r="49">
          <cell r="D49">
            <v>15556</v>
          </cell>
        </row>
        <row r="50">
          <cell r="D50">
            <v>945</v>
          </cell>
        </row>
        <row r="51">
          <cell r="D51">
            <v>7995</v>
          </cell>
        </row>
        <row r="52">
          <cell r="D52">
            <v>469</v>
          </cell>
        </row>
        <row r="53">
          <cell r="D53">
            <v>4958</v>
          </cell>
        </row>
        <row r="54">
          <cell r="D54">
            <v>2271</v>
          </cell>
        </row>
        <row r="55">
          <cell r="D55">
            <v>19183</v>
          </cell>
        </row>
        <row r="56">
          <cell r="D56">
            <v>110908</v>
          </cell>
        </row>
        <row r="64">
          <cell r="D64">
            <v>21787</v>
          </cell>
        </row>
        <row r="65">
          <cell r="D65">
            <v>15401</v>
          </cell>
        </row>
        <row r="66">
          <cell r="D66">
            <v>27293</v>
          </cell>
        </row>
        <row r="67">
          <cell r="D67">
            <v>10659</v>
          </cell>
        </row>
        <row r="68">
          <cell r="D68">
            <v>7043</v>
          </cell>
        </row>
        <row r="69">
          <cell r="D69">
            <v>14415</v>
          </cell>
        </row>
        <row r="70">
          <cell r="D70">
            <v>27326</v>
          </cell>
        </row>
        <row r="71">
          <cell r="D71">
            <v>14175</v>
          </cell>
        </row>
        <row r="72">
          <cell r="D72">
            <v>9755</v>
          </cell>
        </row>
        <row r="73">
          <cell r="D73">
            <v>6406</v>
          </cell>
        </row>
        <row r="74">
          <cell r="D74">
            <v>25164</v>
          </cell>
        </row>
        <row r="75">
          <cell r="D75">
            <v>18462</v>
          </cell>
        </row>
        <row r="76">
          <cell r="D76">
            <v>16853</v>
          </cell>
        </row>
        <row r="77">
          <cell r="D77">
            <v>14362</v>
          </cell>
        </row>
        <row r="78">
          <cell r="D78">
            <v>11728</v>
          </cell>
        </row>
        <row r="79">
          <cell r="D79">
            <v>10063</v>
          </cell>
        </row>
        <row r="80">
          <cell r="D80">
            <v>16148</v>
          </cell>
        </row>
        <row r="81">
          <cell r="D81">
            <v>12407</v>
          </cell>
        </row>
        <row r="82">
          <cell r="D82">
            <v>23633</v>
          </cell>
        </row>
        <row r="83">
          <cell r="D83">
            <v>0</v>
          </cell>
        </row>
        <row r="84">
          <cell r="D84">
            <v>8617</v>
          </cell>
        </row>
        <row r="85">
          <cell r="D85">
            <v>5202</v>
          </cell>
        </row>
        <row r="86">
          <cell r="D86">
            <v>21785</v>
          </cell>
        </row>
        <row r="87">
          <cell r="D87">
            <v>7926</v>
          </cell>
        </row>
        <row r="88">
          <cell r="D88">
            <v>11599</v>
          </cell>
        </row>
        <row r="89">
          <cell r="D89">
            <v>54202</v>
          </cell>
        </row>
        <row r="90">
          <cell r="D90">
            <v>12667</v>
          </cell>
        </row>
        <row r="91">
          <cell r="D91">
            <v>2756</v>
          </cell>
        </row>
        <row r="92">
          <cell r="D92">
            <v>4851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3426</v>
          </cell>
        </row>
        <row r="98">
          <cell r="D98">
            <v>1541</v>
          </cell>
        </row>
        <row r="99">
          <cell r="D99">
            <v>3642</v>
          </cell>
        </row>
        <row r="100">
          <cell r="D100">
            <v>3860</v>
          </cell>
        </row>
        <row r="101">
          <cell r="D101">
            <v>0</v>
          </cell>
        </row>
        <row r="102">
          <cell r="D102">
            <v>5533</v>
          </cell>
        </row>
        <row r="103">
          <cell r="D103">
            <v>2372</v>
          </cell>
        </row>
        <row r="104">
          <cell r="D104">
            <v>3836</v>
          </cell>
        </row>
        <row r="105">
          <cell r="D105">
            <v>3784</v>
          </cell>
        </row>
        <row r="106">
          <cell r="D106">
            <v>5936</v>
          </cell>
        </row>
        <row r="107">
          <cell r="D107">
            <v>2826</v>
          </cell>
          <cell r="G107">
            <v>17548</v>
          </cell>
        </row>
        <row r="108">
          <cell r="D108">
            <v>769</v>
          </cell>
          <cell r="G108">
            <v>6331</v>
          </cell>
        </row>
        <row r="109">
          <cell r="D109">
            <v>0</v>
          </cell>
          <cell r="G109">
            <v>10728</v>
          </cell>
        </row>
        <row r="110">
          <cell r="D110">
            <v>3717</v>
          </cell>
          <cell r="G110">
            <v>13224</v>
          </cell>
        </row>
        <row r="111">
          <cell r="D111">
            <v>3273</v>
          </cell>
          <cell r="G111">
            <v>8160</v>
          </cell>
        </row>
        <row r="112">
          <cell r="D112">
            <v>7671</v>
          </cell>
          <cell r="G112">
            <v>9950</v>
          </cell>
        </row>
        <row r="113">
          <cell r="D113">
            <v>3717</v>
          </cell>
          <cell r="G113">
            <v>8247</v>
          </cell>
        </row>
        <row r="114">
          <cell r="D114">
            <v>7626</v>
          </cell>
          <cell r="G114">
            <v>15173</v>
          </cell>
        </row>
        <row r="115">
          <cell r="D115">
            <v>9598</v>
          </cell>
        </row>
        <row r="116">
          <cell r="D116">
            <v>3649</v>
          </cell>
        </row>
        <row r="117">
          <cell r="D117">
            <v>18455</v>
          </cell>
        </row>
        <row r="118">
          <cell r="D118">
            <v>14216</v>
          </cell>
          <cell r="G118">
            <v>25711</v>
          </cell>
        </row>
        <row r="119">
          <cell r="D119">
            <v>6072</v>
          </cell>
          <cell r="G119">
            <v>11766</v>
          </cell>
        </row>
        <row r="120">
          <cell r="D120">
            <v>11397</v>
          </cell>
          <cell r="G120">
            <v>18565</v>
          </cell>
        </row>
        <row r="121">
          <cell r="D121">
            <v>4535</v>
          </cell>
          <cell r="G121">
            <v>16794</v>
          </cell>
        </row>
        <row r="122">
          <cell r="D122">
            <v>11025</v>
          </cell>
          <cell r="G122">
            <v>563</v>
          </cell>
        </row>
        <row r="123">
          <cell r="D123">
            <v>4113</v>
          </cell>
          <cell r="G123">
            <v>14511</v>
          </cell>
        </row>
        <row r="124">
          <cell r="D124">
            <v>6264</v>
          </cell>
          <cell r="G124">
            <v>22998</v>
          </cell>
        </row>
        <row r="125">
          <cell r="D125">
            <v>3342</v>
          </cell>
        </row>
        <row r="126">
          <cell r="D126">
            <v>1633</v>
          </cell>
        </row>
        <row r="127">
          <cell r="D127">
            <v>6806</v>
          </cell>
        </row>
        <row r="128">
          <cell r="D128">
            <v>13694</v>
          </cell>
          <cell r="G128">
            <v>1031</v>
          </cell>
        </row>
        <row r="129">
          <cell r="D129">
            <v>10015</v>
          </cell>
          <cell r="G129">
            <v>4312</v>
          </cell>
        </row>
        <row r="130">
          <cell r="D130">
            <v>55104</v>
          </cell>
          <cell r="G130">
            <v>13167</v>
          </cell>
        </row>
        <row r="131">
          <cell r="G131">
            <v>13166</v>
          </cell>
        </row>
        <row r="132">
          <cell r="G132">
            <v>5931</v>
          </cell>
        </row>
        <row r="133">
          <cell r="G133">
            <v>4673</v>
          </cell>
        </row>
        <row r="134">
          <cell r="G134">
            <v>8008</v>
          </cell>
        </row>
        <row r="135">
          <cell r="G135">
            <v>4816</v>
          </cell>
        </row>
        <row r="139">
          <cell r="D139">
            <v>2385</v>
          </cell>
          <cell r="G139">
            <v>2859</v>
          </cell>
        </row>
        <row r="140">
          <cell r="D140">
            <v>364</v>
          </cell>
          <cell r="G140">
            <v>34995</v>
          </cell>
        </row>
        <row r="141">
          <cell r="D141">
            <v>1940</v>
          </cell>
          <cell r="G141">
            <v>17858</v>
          </cell>
        </row>
        <row r="142">
          <cell r="D142">
            <v>270</v>
          </cell>
        </row>
        <row r="143">
          <cell r="D143">
            <v>55712</v>
          </cell>
        </row>
        <row r="148">
          <cell r="D148">
            <v>1250706</v>
          </cell>
        </row>
      </sheetData>
      <sheetData sheetId="1">
        <row r="11">
          <cell r="H11">
            <v>82997</v>
          </cell>
        </row>
        <row r="20">
          <cell r="H20">
            <v>5411</v>
          </cell>
        </row>
        <row r="21">
          <cell r="H21">
            <v>6234</v>
          </cell>
        </row>
        <row r="22">
          <cell r="H22">
            <v>10451</v>
          </cell>
        </row>
        <row r="23">
          <cell r="H23">
            <v>3312</v>
          </cell>
        </row>
        <row r="24">
          <cell r="H24">
            <v>4404</v>
          </cell>
        </row>
        <row r="25">
          <cell r="H25">
            <v>13462</v>
          </cell>
        </row>
        <row r="26">
          <cell r="H26">
            <v>4590</v>
          </cell>
        </row>
        <row r="27">
          <cell r="H27">
            <v>2496</v>
          </cell>
        </row>
        <row r="28">
          <cell r="H28">
            <v>7840</v>
          </cell>
        </row>
        <row r="29">
          <cell r="H29">
            <v>3529</v>
          </cell>
        </row>
        <row r="30">
          <cell r="H30">
            <v>4684</v>
          </cell>
        </row>
        <row r="31">
          <cell r="H31">
            <v>10577</v>
          </cell>
        </row>
        <row r="32">
          <cell r="H32">
            <v>3840</v>
          </cell>
        </row>
        <row r="33">
          <cell r="H33">
            <v>3048</v>
          </cell>
        </row>
        <row r="34">
          <cell r="H34">
            <v>2786</v>
          </cell>
        </row>
        <row r="35">
          <cell r="H35">
            <v>7111</v>
          </cell>
        </row>
        <row r="36">
          <cell r="H36">
            <v>25191</v>
          </cell>
        </row>
        <row r="37">
          <cell r="H37">
            <v>20324</v>
          </cell>
        </row>
        <row r="38">
          <cell r="H38">
            <v>18508</v>
          </cell>
        </row>
        <row r="39">
          <cell r="H39">
            <v>30342</v>
          </cell>
        </row>
        <row r="40">
          <cell r="H40">
            <v>14032</v>
          </cell>
        </row>
        <row r="41">
          <cell r="H41">
            <v>0</v>
          </cell>
        </row>
        <row r="42">
          <cell r="H42">
            <v>15510</v>
          </cell>
        </row>
        <row r="43">
          <cell r="H43">
            <v>19722</v>
          </cell>
        </row>
        <row r="44">
          <cell r="H44">
            <v>14764</v>
          </cell>
        </row>
        <row r="45">
          <cell r="H45">
            <v>17290</v>
          </cell>
        </row>
        <row r="46">
          <cell r="H46">
            <v>2970</v>
          </cell>
        </row>
        <row r="47">
          <cell r="H47">
            <v>10626</v>
          </cell>
        </row>
        <row r="48">
          <cell r="H48">
            <v>1747</v>
          </cell>
        </row>
        <row r="49">
          <cell r="H49">
            <v>16384</v>
          </cell>
        </row>
        <row r="50">
          <cell r="H50">
            <v>8243</v>
          </cell>
        </row>
        <row r="51">
          <cell r="H51">
            <v>1372</v>
          </cell>
        </row>
        <row r="52">
          <cell r="H52">
            <v>4803</v>
          </cell>
        </row>
        <row r="53">
          <cell r="H53">
            <v>729</v>
          </cell>
        </row>
        <row r="54">
          <cell r="H54">
            <v>18562</v>
          </cell>
        </row>
        <row r="55">
          <cell r="H55">
            <v>2345</v>
          </cell>
        </row>
        <row r="56">
          <cell r="H56">
            <v>112401</v>
          </cell>
        </row>
        <row r="63">
          <cell r="H63">
            <v>21539</v>
          </cell>
        </row>
        <row r="64">
          <cell r="H64">
            <v>12854</v>
          </cell>
        </row>
        <row r="65">
          <cell r="H65">
            <v>26153</v>
          </cell>
        </row>
        <row r="66">
          <cell r="H66">
            <v>10443</v>
          </cell>
        </row>
        <row r="67">
          <cell r="H67">
            <v>7030</v>
          </cell>
        </row>
        <row r="68">
          <cell r="H68">
            <v>16287</v>
          </cell>
        </row>
        <row r="69">
          <cell r="H69">
            <v>26675</v>
          </cell>
        </row>
        <row r="70">
          <cell r="H70">
            <v>13723</v>
          </cell>
        </row>
        <row r="71">
          <cell r="H71">
            <v>9848</v>
          </cell>
        </row>
        <row r="72">
          <cell r="H72">
            <v>7769</v>
          </cell>
        </row>
        <row r="73">
          <cell r="H73">
            <v>23075</v>
          </cell>
        </row>
        <row r="74">
          <cell r="H74">
            <v>18239</v>
          </cell>
        </row>
        <row r="75">
          <cell r="H75">
            <v>16921</v>
          </cell>
        </row>
        <row r="76">
          <cell r="H76">
            <v>13650</v>
          </cell>
        </row>
        <row r="77">
          <cell r="H77">
            <v>11394</v>
          </cell>
        </row>
        <row r="78">
          <cell r="H78">
            <v>8923</v>
          </cell>
        </row>
        <row r="79">
          <cell r="H79">
            <v>15126</v>
          </cell>
        </row>
        <row r="80">
          <cell r="H80">
            <v>12376</v>
          </cell>
        </row>
        <row r="81">
          <cell r="H81">
            <v>20232</v>
          </cell>
        </row>
        <row r="82">
          <cell r="H82">
            <v>0</v>
          </cell>
        </row>
        <row r="83">
          <cell r="H83">
            <v>8283</v>
          </cell>
        </row>
        <row r="84">
          <cell r="H84">
            <v>4550</v>
          </cell>
        </row>
        <row r="85">
          <cell r="H85">
            <v>22529</v>
          </cell>
        </row>
        <row r="86">
          <cell r="H86">
            <v>7505</v>
          </cell>
        </row>
        <row r="87">
          <cell r="H87">
            <v>8930</v>
          </cell>
        </row>
        <row r="88">
          <cell r="H88">
            <v>49014</v>
          </cell>
        </row>
        <row r="89">
          <cell r="H89">
            <v>11100</v>
          </cell>
        </row>
        <row r="90">
          <cell r="H90">
            <v>2433</v>
          </cell>
        </row>
        <row r="91">
          <cell r="H91">
            <v>4524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3498</v>
          </cell>
        </row>
        <row r="97">
          <cell r="H97">
            <v>1503</v>
          </cell>
        </row>
        <row r="98">
          <cell r="H98">
            <v>3498</v>
          </cell>
        </row>
        <row r="99">
          <cell r="H99">
            <v>3711</v>
          </cell>
        </row>
        <row r="100">
          <cell r="H100">
            <v>0</v>
          </cell>
        </row>
        <row r="101">
          <cell r="H101">
            <v>5486</v>
          </cell>
        </row>
        <row r="102">
          <cell r="H102">
            <v>1898</v>
          </cell>
        </row>
        <row r="103">
          <cell r="H103">
            <v>3626</v>
          </cell>
        </row>
        <row r="104">
          <cell r="H104">
            <v>2644</v>
          </cell>
        </row>
        <row r="105">
          <cell r="H105">
            <v>6456</v>
          </cell>
        </row>
        <row r="106">
          <cell r="H106">
            <v>3165</v>
          </cell>
        </row>
        <row r="107">
          <cell r="H107">
            <v>620</v>
          </cell>
        </row>
        <row r="108">
          <cell r="H108">
            <v>0</v>
          </cell>
        </row>
        <row r="109">
          <cell r="H109">
            <v>3720</v>
          </cell>
        </row>
        <row r="110">
          <cell r="H110">
            <v>2880</v>
          </cell>
        </row>
        <row r="111">
          <cell r="H111">
            <v>7754</v>
          </cell>
        </row>
        <row r="112">
          <cell r="H112">
            <v>3603</v>
          </cell>
        </row>
        <row r="113">
          <cell r="H113">
            <v>7526</v>
          </cell>
        </row>
        <row r="114">
          <cell r="H114">
            <v>8622</v>
          </cell>
        </row>
        <row r="115">
          <cell r="H115">
            <v>2762</v>
          </cell>
        </row>
        <row r="116">
          <cell r="H116">
            <v>15967</v>
          </cell>
        </row>
        <row r="117">
          <cell r="H117">
            <v>13237</v>
          </cell>
        </row>
        <row r="118">
          <cell r="H118">
            <v>5421</v>
          </cell>
        </row>
        <row r="119">
          <cell r="H119">
            <v>4461</v>
          </cell>
        </row>
        <row r="120">
          <cell r="H120">
            <v>9991</v>
          </cell>
        </row>
        <row r="121">
          <cell r="H121">
            <v>7730</v>
          </cell>
        </row>
        <row r="122">
          <cell r="H122">
            <v>4863</v>
          </cell>
        </row>
        <row r="123">
          <cell r="H123">
            <v>4945</v>
          </cell>
        </row>
        <row r="124">
          <cell r="H124">
            <v>3169</v>
          </cell>
        </row>
        <row r="125">
          <cell r="H125">
            <v>1858</v>
          </cell>
        </row>
        <row r="126">
          <cell r="H126">
            <v>5844</v>
          </cell>
        </row>
        <row r="127">
          <cell r="H127">
            <v>12417</v>
          </cell>
        </row>
        <row r="128">
          <cell r="H128">
            <v>8011</v>
          </cell>
        </row>
        <row r="129">
          <cell r="H129">
            <v>47026</v>
          </cell>
        </row>
        <row r="138">
          <cell r="H138">
            <v>255</v>
          </cell>
        </row>
        <row r="139">
          <cell r="H139">
            <v>2154</v>
          </cell>
        </row>
        <row r="140">
          <cell r="H140">
            <v>263</v>
          </cell>
        </row>
        <row r="141">
          <cell r="H141">
            <v>2042</v>
          </cell>
        </row>
        <row r="142">
          <cell r="H142">
            <v>51010</v>
          </cell>
        </row>
        <row r="147">
          <cell r="D147">
            <v>9823</v>
          </cell>
          <cell r="E147">
            <v>244005</v>
          </cell>
          <cell r="F147">
            <v>929648</v>
          </cell>
          <cell r="G147">
            <v>7783</v>
          </cell>
        </row>
        <row r="150">
          <cell r="C150">
            <v>16200</v>
          </cell>
          <cell r="E150">
            <v>3351</v>
          </cell>
          <cell r="G150">
            <v>31063</v>
          </cell>
        </row>
        <row r="151">
          <cell r="C151">
            <v>4633</v>
          </cell>
          <cell r="E151">
            <v>1558</v>
          </cell>
          <cell r="G151">
            <v>5137</v>
          </cell>
        </row>
        <row r="152">
          <cell r="C152">
            <v>8331</v>
          </cell>
          <cell r="E152">
            <v>8264</v>
          </cell>
          <cell r="G152">
            <v>146</v>
          </cell>
        </row>
        <row r="153">
          <cell r="C153">
            <v>13495</v>
          </cell>
          <cell r="E153">
            <v>11197</v>
          </cell>
          <cell r="G153">
            <v>24056</v>
          </cell>
        </row>
        <row r="154">
          <cell r="C154">
            <v>8563</v>
          </cell>
          <cell r="E154">
            <v>4889</v>
          </cell>
          <cell r="G154">
            <v>27966</v>
          </cell>
        </row>
        <row r="155">
          <cell r="C155">
            <v>6028</v>
          </cell>
          <cell r="E155">
            <v>4210</v>
          </cell>
          <cell r="G155">
            <v>24033</v>
          </cell>
        </row>
        <row r="156">
          <cell r="C156">
            <v>7307</v>
          </cell>
          <cell r="E156">
            <v>8653</v>
          </cell>
        </row>
        <row r="157">
          <cell r="C157">
            <v>18440</v>
          </cell>
          <cell r="E157">
            <v>4904</v>
          </cell>
        </row>
        <row r="161">
          <cell r="C161">
            <v>3091</v>
          </cell>
        </row>
        <row r="162">
          <cell r="C162">
            <v>7721</v>
          </cell>
        </row>
        <row r="163">
          <cell r="C163">
            <v>40198</v>
          </cell>
        </row>
        <row r="171">
          <cell r="H171">
            <v>2481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89925</v>
          </cell>
        </row>
        <row r="20">
          <cell r="D20">
            <v>5882</v>
          </cell>
        </row>
        <row r="21">
          <cell r="D21">
            <v>5847</v>
          </cell>
        </row>
        <row r="22">
          <cell r="D22">
            <v>9330</v>
          </cell>
        </row>
        <row r="23">
          <cell r="D23">
            <v>5355</v>
          </cell>
        </row>
        <row r="24">
          <cell r="D24">
            <v>4245</v>
          </cell>
        </row>
        <row r="25">
          <cell r="D25">
            <v>17602</v>
          </cell>
        </row>
        <row r="26">
          <cell r="D26">
            <v>13662</v>
          </cell>
        </row>
        <row r="27">
          <cell r="D27">
            <v>7295</v>
          </cell>
        </row>
        <row r="28">
          <cell r="D28">
            <v>8331</v>
          </cell>
        </row>
        <row r="29">
          <cell r="D29">
            <v>3000</v>
          </cell>
        </row>
        <row r="30">
          <cell r="D30">
            <v>5011</v>
          </cell>
        </row>
        <row r="31">
          <cell r="D31">
            <v>10219</v>
          </cell>
        </row>
        <row r="32">
          <cell r="D32">
            <v>4144</v>
          </cell>
        </row>
        <row r="33">
          <cell r="D33">
            <v>3488</v>
          </cell>
        </row>
        <row r="34">
          <cell r="D34">
            <v>2939</v>
          </cell>
        </row>
        <row r="35">
          <cell r="D35">
            <v>5731</v>
          </cell>
        </row>
        <row r="36">
          <cell r="D36">
            <v>27260</v>
          </cell>
        </row>
        <row r="37">
          <cell r="D37">
            <v>22074</v>
          </cell>
        </row>
        <row r="38">
          <cell r="D38">
            <v>18738</v>
          </cell>
        </row>
        <row r="39">
          <cell r="D39">
            <v>35893</v>
          </cell>
        </row>
        <row r="40">
          <cell r="D40">
            <v>14114</v>
          </cell>
        </row>
        <row r="41">
          <cell r="D41">
            <v>0</v>
          </cell>
        </row>
        <row r="42">
          <cell r="D42">
            <v>15871</v>
          </cell>
        </row>
        <row r="43">
          <cell r="D43">
            <v>20200</v>
          </cell>
        </row>
        <row r="44">
          <cell r="D44">
            <v>14077</v>
          </cell>
        </row>
        <row r="45">
          <cell r="D45">
            <v>2161</v>
          </cell>
        </row>
        <row r="46">
          <cell r="D46">
            <v>18486</v>
          </cell>
        </row>
        <row r="47">
          <cell r="D47">
            <v>1418</v>
          </cell>
        </row>
        <row r="48">
          <cell r="D48">
            <v>11504</v>
          </cell>
        </row>
        <row r="49">
          <cell r="D49">
            <v>15780</v>
          </cell>
        </row>
        <row r="50">
          <cell r="D50">
            <v>929</v>
          </cell>
        </row>
        <row r="51">
          <cell r="D51">
            <v>8131</v>
          </cell>
        </row>
        <row r="52">
          <cell r="D52">
            <v>508</v>
          </cell>
        </row>
        <row r="53">
          <cell r="D53">
            <v>5079</v>
          </cell>
        </row>
        <row r="54">
          <cell r="D54">
            <v>1455</v>
          </cell>
        </row>
        <row r="55">
          <cell r="D55">
            <v>20587</v>
          </cell>
        </row>
        <row r="56">
          <cell r="D56">
            <v>113130</v>
          </cell>
        </row>
        <row r="64">
          <cell r="D64">
            <v>22748</v>
          </cell>
        </row>
        <row r="65">
          <cell r="D65">
            <v>15982</v>
          </cell>
        </row>
        <row r="66">
          <cell r="D66">
            <v>28678</v>
          </cell>
        </row>
        <row r="67">
          <cell r="D67">
            <v>10924</v>
          </cell>
        </row>
        <row r="68">
          <cell r="D68">
            <v>7408</v>
          </cell>
        </row>
        <row r="69">
          <cell r="D69">
            <v>14299</v>
          </cell>
        </row>
        <row r="70">
          <cell r="D70">
            <v>27735</v>
          </cell>
        </row>
        <row r="71">
          <cell r="D71">
            <v>14139</v>
          </cell>
        </row>
        <row r="72">
          <cell r="D72">
            <v>9868</v>
          </cell>
        </row>
        <row r="73">
          <cell r="D73">
            <v>6856</v>
          </cell>
        </row>
        <row r="74">
          <cell r="D74">
            <v>26765</v>
          </cell>
        </row>
        <row r="75">
          <cell r="D75">
            <v>19200</v>
          </cell>
        </row>
        <row r="76">
          <cell r="D76">
            <v>17332</v>
          </cell>
        </row>
        <row r="77">
          <cell r="D77">
            <v>14759</v>
          </cell>
        </row>
        <row r="78">
          <cell r="D78">
            <v>11694</v>
          </cell>
        </row>
        <row r="79">
          <cell r="D79">
            <v>10496</v>
          </cell>
        </row>
        <row r="80">
          <cell r="D80">
            <v>16439</v>
          </cell>
        </row>
        <row r="81">
          <cell r="D81">
            <v>12277</v>
          </cell>
        </row>
        <row r="82">
          <cell r="D82">
            <v>23938</v>
          </cell>
        </row>
        <row r="83">
          <cell r="D83">
            <v>0</v>
          </cell>
        </row>
        <row r="84">
          <cell r="D84">
            <v>8643</v>
          </cell>
        </row>
        <row r="85">
          <cell r="D85">
            <v>5367</v>
          </cell>
        </row>
        <row r="86">
          <cell r="D86">
            <v>22940</v>
          </cell>
        </row>
        <row r="87">
          <cell r="D87">
            <v>8089</v>
          </cell>
        </row>
        <row r="88">
          <cell r="D88">
            <v>11901</v>
          </cell>
        </row>
        <row r="89">
          <cell r="D89">
            <v>56609</v>
          </cell>
        </row>
        <row r="90">
          <cell r="D90">
            <v>13037</v>
          </cell>
        </row>
        <row r="91">
          <cell r="D91">
            <v>2687</v>
          </cell>
        </row>
        <row r="92">
          <cell r="D92">
            <v>4892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3538</v>
          </cell>
        </row>
        <row r="98">
          <cell r="D98">
            <v>1717</v>
          </cell>
        </row>
        <row r="99">
          <cell r="D99">
            <v>3682</v>
          </cell>
        </row>
        <row r="100">
          <cell r="D100">
            <v>3969</v>
          </cell>
        </row>
        <row r="101">
          <cell r="D101">
            <v>0</v>
          </cell>
        </row>
        <row r="102">
          <cell r="D102">
            <v>5575</v>
          </cell>
        </row>
        <row r="103">
          <cell r="D103">
            <v>2314</v>
          </cell>
        </row>
        <row r="104">
          <cell r="D104">
            <v>3726</v>
          </cell>
        </row>
        <row r="105">
          <cell r="D105">
            <v>3695</v>
          </cell>
        </row>
        <row r="106">
          <cell r="D106">
            <v>5976</v>
          </cell>
        </row>
        <row r="107">
          <cell r="D107">
            <v>2838</v>
          </cell>
          <cell r="G107">
            <v>17739</v>
          </cell>
        </row>
        <row r="108">
          <cell r="D108">
            <v>759</v>
          </cell>
          <cell r="G108">
            <v>6720</v>
          </cell>
        </row>
        <row r="109">
          <cell r="D109">
            <v>0</v>
          </cell>
          <cell r="G109">
            <v>10846</v>
          </cell>
        </row>
        <row r="110">
          <cell r="D110">
            <v>3611</v>
          </cell>
          <cell r="G110">
            <v>13502</v>
          </cell>
        </row>
        <row r="111">
          <cell r="D111">
            <v>3343</v>
          </cell>
          <cell r="G111">
            <v>7849</v>
          </cell>
        </row>
        <row r="112">
          <cell r="D112">
            <v>7603</v>
          </cell>
          <cell r="G112">
            <v>10034</v>
          </cell>
        </row>
        <row r="113">
          <cell r="D113">
            <v>3699</v>
          </cell>
          <cell r="G113">
            <v>8140</v>
          </cell>
        </row>
        <row r="114">
          <cell r="D114">
            <v>7532</v>
          </cell>
          <cell r="G114">
            <v>15095</v>
          </cell>
        </row>
        <row r="115">
          <cell r="D115">
            <v>9825</v>
          </cell>
        </row>
        <row r="116">
          <cell r="D116">
            <v>3865</v>
          </cell>
        </row>
        <row r="117">
          <cell r="D117">
            <v>18973</v>
          </cell>
        </row>
        <row r="118">
          <cell r="D118">
            <v>13630</v>
          </cell>
          <cell r="G118">
            <v>25662</v>
          </cell>
        </row>
        <row r="119">
          <cell r="D119">
            <v>6266</v>
          </cell>
          <cell r="G119">
            <v>11738</v>
          </cell>
        </row>
        <row r="120">
          <cell r="D120">
            <v>11455</v>
          </cell>
          <cell r="G120">
            <v>18595</v>
          </cell>
        </row>
        <row r="121">
          <cell r="D121">
            <v>4439</v>
          </cell>
          <cell r="G121">
            <v>17089</v>
          </cell>
        </row>
        <row r="122">
          <cell r="D122">
            <v>10928</v>
          </cell>
          <cell r="G122">
            <v>484</v>
          </cell>
        </row>
        <row r="123">
          <cell r="D123">
            <v>4218</v>
          </cell>
          <cell r="G123">
            <v>15673</v>
          </cell>
        </row>
        <row r="124">
          <cell r="D124">
            <v>6414</v>
          </cell>
          <cell r="G124">
            <v>23889</v>
          </cell>
        </row>
        <row r="125">
          <cell r="D125">
            <v>3449</v>
          </cell>
        </row>
        <row r="126">
          <cell r="D126">
            <v>1757</v>
          </cell>
        </row>
        <row r="127">
          <cell r="D127">
            <v>7033</v>
          </cell>
        </row>
        <row r="128">
          <cell r="D128">
            <v>14076</v>
          </cell>
          <cell r="G128">
            <v>1125</v>
          </cell>
        </row>
        <row r="129">
          <cell r="D129">
            <v>10705</v>
          </cell>
          <cell r="G129">
            <v>4255</v>
          </cell>
        </row>
        <row r="130">
          <cell r="D130">
            <v>56618</v>
          </cell>
          <cell r="G130">
            <v>13274</v>
          </cell>
        </row>
        <row r="131">
          <cell r="G131">
            <v>13540</v>
          </cell>
        </row>
        <row r="132">
          <cell r="G132">
            <v>6155</v>
          </cell>
        </row>
        <row r="133">
          <cell r="G133">
            <v>4837</v>
          </cell>
        </row>
        <row r="134">
          <cell r="G134">
            <v>8397</v>
          </cell>
        </row>
        <row r="135">
          <cell r="G135">
            <v>5035</v>
          </cell>
        </row>
        <row r="139">
          <cell r="D139">
            <v>2372</v>
          </cell>
          <cell r="G139">
            <v>2954</v>
          </cell>
        </row>
        <row r="140">
          <cell r="D140">
            <v>382</v>
          </cell>
          <cell r="G140">
            <v>36018</v>
          </cell>
        </row>
        <row r="141">
          <cell r="D141">
            <v>1984</v>
          </cell>
          <cell r="G141">
            <v>18636</v>
          </cell>
        </row>
        <row r="142">
          <cell r="D142">
            <v>251</v>
          </cell>
        </row>
        <row r="143">
          <cell r="D143">
            <v>57608</v>
          </cell>
        </row>
        <row r="148">
          <cell r="D148">
            <v>1276983</v>
          </cell>
        </row>
      </sheetData>
      <sheetData sheetId="1">
        <row r="11">
          <cell r="H11">
            <v>84338</v>
          </cell>
        </row>
        <row r="20">
          <cell r="H20">
            <v>5685</v>
          </cell>
        </row>
        <row r="21">
          <cell r="H21">
            <v>6218</v>
          </cell>
        </row>
        <row r="22">
          <cell r="H22">
            <v>11033</v>
          </cell>
        </row>
        <row r="23">
          <cell r="H23">
            <v>3094</v>
          </cell>
        </row>
        <row r="24">
          <cell r="H24">
            <v>4422</v>
          </cell>
        </row>
        <row r="25">
          <cell r="H25">
            <v>13572</v>
          </cell>
        </row>
        <row r="26">
          <cell r="H26">
            <v>3833</v>
          </cell>
        </row>
        <row r="27">
          <cell r="H27">
            <v>2539</v>
          </cell>
        </row>
        <row r="28">
          <cell r="H28">
            <v>8295</v>
          </cell>
        </row>
        <row r="29">
          <cell r="H29">
            <v>3640</v>
          </cell>
        </row>
        <row r="30">
          <cell r="H30">
            <v>4735</v>
          </cell>
        </row>
        <row r="31">
          <cell r="H31">
            <v>10842</v>
          </cell>
        </row>
        <row r="32">
          <cell r="H32">
            <v>4016</v>
          </cell>
        </row>
        <row r="33">
          <cell r="H33">
            <v>3216</v>
          </cell>
        </row>
        <row r="34">
          <cell r="H34">
            <v>3059</v>
          </cell>
        </row>
        <row r="35">
          <cell r="H35">
            <v>7020</v>
          </cell>
        </row>
        <row r="36">
          <cell r="H36">
            <v>26665</v>
          </cell>
        </row>
        <row r="37">
          <cell r="H37">
            <v>19597</v>
          </cell>
        </row>
        <row r="38">
          <cell r="H38">
            <v>19149</v>
          </cell>
        </row>
        <row r="39">
          <cell r="H39">
            <v>30255</v>
          </cell>
        </row>
        <row r="40">
          <cell r="H40">
            <v>14317</v>
          </cell>
        </row>
        <row r="41">
          <cell r="H41">
            <v>0</v>
          </cell>
        </row>
        <row r="42">
          <cell r="H42">
            <v>15577</v>
          </cell>
        </row>
        <row r="43">
          <cell r="H43">
            <v>19910</v>
          </cell>
        </row>
        <row r="44">
          <cell r="H44">
            <v>14620</v>
          </cell>
        </row>
        <row r="45">
          <cell r="H45">
            <v>17632</v>
          </cell>
        </row>
        <row r="46">
          <cell r="H46">
            <v>3130</v>
          </cell>
        </row>
        <row r="47">
          <cell r="H47">
            <v>10662</v>
          </cell>
        </row>
        <row r="48">
          <cell r="H48">
            <v>1706</v>
          </cell>
        </row>
        <row r="49">
          <cell r="H49">
            <v>16776</v>
          </cell>
        </row>
        <row r="50">
          <cell r="H50">
            <v>8272</v>
          </cell>
        </row>
        <row r="51">
          <cell r="H51">
            <v>1424</v>
          </cell>
        </row>
        <row r="52">
          <cell r="H52">
            <v>4531</v>
          </cell>
        </row>
        <row r="53">
          <cell r="H53">
            <v>719</v>
          </cell>
        </row>
        <row r="54">
          <cell r="H54">
            <v>19219</v>
          </cell>
        </row>
        <row r="55">
          <cell r="H55">
            <v>2345</v>
          </cell>
        </row>
        <row r="56">
          <cell r="H56">
            <v>113107</v>
          </cell>
        </row>
        <row r="63">
          <cell r="H63">
            <v>22540</v>
          </cell>
        </row>
        <row r="64">
          <cell r="H64">
            <v>13248</v>
          </cell>
        </row>
        <row r="65">
          <cell r="H65">
            <v>26811</v>
          </cell>
        </row>
        <row r="66">
          <cell r="H66">
            <v>10873</v>
          </cell>
        </row>
        <row r="67">
          <cell r="H67">
            <v>7438</v>
          </cell>
        </row>
        <row r="68">
          <cell r="H68">
            <v>16148</v>
          </cell>
        </row>
        <row r="69">
          <cell r="H69">
            <v>26892</v>
          </cell>
        </row>
        <row r="70">
          <cell r="H70">
            <v>14346</v>
          </cell>
        </row>
        <row r="71">
          <cell r="H71">
            <v>10180</v>
          </cell>
        </row>
        <row r="72">
          <cell r="H72">
            <v>8106</v>
          </cell>
        </row>
        <row r="73">
          <cell r="H73">
            <v>24597</v>
          </cell>
        </row>
        <row r="74">
          <cell r="H74">
            <v>19131</v>
          </cell>
        </row>
        <row r="75">
          <cell r="H75">
            <v>17412</v>
          </cell>
        </row>
        <row r="76">
          <cell r="H76">
            <v>13623</v>
          </cell>
        </row>
        <row r="77">
          <cell r="H77">
            <v>11832</v>
          </cell>
        </row>
        <row r="78">
          <cell r="H78">
            <v>9369</v>
          </cell>
        </row>
        <row r="79">
          <cell r="H79">
            <v>15232</v>
          </cell>
        </row>
        <row r="80">
          <cell r="H80">
            <v>12669</v>
          </cell>
        </row>
        <row r="81">
          <cell r="H81">
            <v>20559</v>
          </cell>
        </row>
        <row r="82">
          <cell r="H82">
            <v>0</v>
          </cell>
        </row>
        <row r="83">
          <cell r="H83">
            <v>8574</v>
          </cell>
        </row>
        <row r="84">
          <cell r="H84">
            <v>4948</v>
          </cell>
        </row>
        <row r="85">
          <cell r="H85">
            <v>23544</v>
          </cell>
        </row>
        <row r="86">
          <cell r="H86">
            <v>8069</v>
          </cell>
        </row>
        <row r="87">
          <cell r="H87">
            <v>10041</v>
          </cell>
        </row>
        <row r="88">
          <cell r="H88">
            <v>48524</v>
          </cell>
        </row>
        <row r="89">
          <cell r="H89">
            <v>11596</v>
          </cell>
        </row>
        <row r="90">
          <cell r="H90">
            <v>2526</v>
          </cell>
        </row>
        <row r="91">
          <cell r="H91">
            <v>4705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3746</v>
          </cell>
        </row>
        <row r="97">
          <cell r="H97">
            <v>1748</v>
          </cell>
        </row>
        <row r="98">
          <cell r="H98">
            <v>3480</v>
          </cell>
        </row>
        <row r="99">
          <cell r="H99">
            <v>3747</v>
          </cell>
        </row>
        <row r="100">
          <cell r="H100">
            <v>0</v>
          </cell>
        </row>
        <row r="101">
          <cell r="H101">
            <v>5759</v>
          </cell>
        </row>
        <row r="102">
          <cell r="H102">
            <v>1952</v>
          </cell>
        </row>
        <row r="103">
          <cell r="H103">
            <v>3463</v>
          </cell>
        </row>
        <row r="104">
          <cell r="H104">
            <v>2594</v>
          </cell>
        </row>
        <row r="105">
          <cell r="H105">
            <v>6433</v>
          </cell>
        </row>
        <row r="106">
          <cell r="H106">
            <v>3268</v>
          </cell>
        </row>
        <row r="107">
          <cell r="H107">
            <v>664</v>
          </cell>
        </row>
        <row r="108">
          <cell r="H108">
            <v>0</v>
          </cell>
        </row>
        <row r="109">
          <cell r="H109">
            <v>3710</v>
          </cell>
        </row>
        <row r="110">
          <cell r="H110">
            <v>3133</v>
          </cell>
        </row>
        <row r="111">
          <cell r="H111">
            <v>7865</v>
          </cell>
        </row>
        <row r="112">
          <cell r="H112">
            <v>3539</v>
          </cell>
        </row>
        <row r="113">
          <cell r="H113">
            <v>7684</v>
          </cell>
        </row>
        <row r="114">
          <cell r="H114">
            <v>8816</v>
          </cell>
        </row>
        <row r="115">
          <cell r="H115">
            <v>2718</v>
          </cell>
        </row>
        <row r="116">
          <cell r="H116">
            <v>16454</v>
          </cell>
        </row>
        <row r="117">
          <cell r="H117">
            <v>13411</v>
          </cell>
        </row>
        <row r="118">
          <cell r="H118">
            <v>5512</v>
          </cell>
        </row>
        <row r="119">
          <cell r="H119">
            <v>4538</v>
          </cell>
        </row>
        <row r="120">
          <cell r="H120">
            <v>10172</v>
          </cell>
        </row>
        <row r="121">
          <cell r="H121">
            <v>7832</v>
          </cell>
        </row>
        <row r="122">
          <cell r="H122">
            <v>5024</v>
          </cell>
        </row>
        <row r="123">
          <cell r="H123">
            <v>4952</v>
          </cell>
        </row>
        <row r="124">
          <cell r="H124">
            <v>3223</v>
          </cell>
        </row>
        <row r="125">
          <cell r="H125">
            <v>1852</v>
          </cell>
        </row>
        <row r="126">
          <cell r="H126">
            <v>6120</v>
          </cell>
        </row>
        <row r="127">
          <cell r="H127">
            <v>12781</v>
          </cell>
        </row>
        <row r="128">
          <cell r="H128">
            <v>8144</v>
          </cell>
        </row>
        <row r="129">
          <cell r="H129">
            <v>47856</v>
          </cell>
        </row>
        <row r="138">
          <cell r="H138">
            <v>227</v>
          </cell>
        </row>
        <row r="139">
          <cell r="H139">
            <v>2071</v>
          </cell>
        </row>
        <row r="140">
          <cell r="H140">
            <v>249</v>
          </cell>
        </row>
        <row r="141">
          <cell r="H141">
            <v>2037</v>
          </cell>
        </row>
        <row r="142">
          <cell r="H142">
            <v>51272</v>
          </cell>
        </row>
        <row r="147">
          <cell r="D147">
            <v>9014</v>
          </cell>
          <cell r="E147">
            <v>251020</v>
          </cell>
          <cell r="F147">
            <v>947131</v>
          </cell>
          <cell r="G147">
            <v>8142</v>
          </cell>
        </row>
        <row r="150">
          <cell r="C150">
            <v>16848</v>
          </cell>
          <cell r="E150">
            <v>3366</v>
          </cell>
          <cell r="G150">
            <v>29865</v>
          </cell>
        </row>
        <row r="151">
          <cell r="C151">
            <v>4943</v>
          </cell>
          <cell r="E151">
            <v>1661</v>
          </cell>
          <cell r="G151">
            <v>4833</v>
          </cell>
        </row>
        <row r="152">
          <cell r="C152">
            <v>8809</v>
          </cell>
          <cell r="E152">
            <v>8674</v>
          </cell>
          <cell r="G152">
            <v>119</v>
          </cell>
        </row>
        <row r="153">
          <cell r="C153">
            <v>13392</v>
          </cell>
          <cell r="E153">
            <v>11202</v>
          </cell>
          <cell r="G153">
            <v>24424</v>
          </cell>
        </row>
        <row r="154">
          <cell r="C154">
            <v>8868</v>
          </cell>
          <cell r="E154">
            <v>4598</v>
          </cell>
          <cell r="G154">
            <v>28926</v>
          </cell>
        </row>
        <row r="155">
          <cell r="C155">
            <v>5820</v>
          </cell>
          <cell r="E155">
            <v>4439</v>
          </cell>
          <cell r="G155">
            <v>24940</v>
          </cell>
        </row>
        <row r="156">
          <cell r="C156">
            <v>6937</v>
          </cell>
          <cell r="E156">
            <v>8797</v>
          </cell>
        </row>
        <row r="157">
          <cell r="C157">
            <v>18721</v>
          </cell>
          <cell r="E157">
            <v>5119</v>
          </cell>
        </row>
        <row r="161">
          <cell r="C161">
            <v>2962</v>
          </cell>
        </row>
        <row r="162">
          <cell r="C162">
            <v>7159</v>
          </cell>
        </row>
        <row r="163">
          <cell r="C163">
            <v>41151</v>
          </cell>
        </row>
        <row r="171">
          <cell r="H171">
            <v>2639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90314</v>
          </cell>
        </row>
        <row r="20">
          <cell r="D20">
            <v>5651</v>
          </cell>
        </row>
        <row r="21">
          <cell r="D21">
            <v>5811</v>
          </cell>
        </row>
        <row r="22">
          <cell r="D22">
            <v>9236</v>
          </cell>
        </row>
        <row r="23">
          <cell r="D23">
            <v>4859</v>
          </cell>
        </row>
        <row r="24">
          <cell r="D24">
            <v>4325</v>
          </cell>
        </row>
        <row r="25">
          <cell r="D25">
            <v>17372</v>
          </cell>
        </row>
        <row r="26">
          <cell r="D26">
            <v>13023</v>
          </cell>
        </row>
        <row r="27">
          <cell r="D27">
            <v>6850</v>
          </cell>
        </row>
        <row r="28">
          <cell r="D28">
            <v>7776</v>
          </cell>
        </row>
        <row r="29">
          <cell r="D29">
            <v>3025</v>
          </cell>
        </row>
        <row r="30">
          <cell r="D30">
            <v>5008</v>
          </cell>
        </row>
        <row r="31">
          <cell r="D31">
            <v>9968</v>
          </cell>
        </row>
        <row r="32">
          <cell r="D32">
            <v>3726</v>
          </cell>
        </row>
        <row r="33">
          <cell r="D33">
            <v>3440</v>
          </cell>
        </row>
        <row r="34">
          <cell r="D34">
            <v>2917</v>
          </cell>
        </row>
        <row r="35">
          <cell r="D35">
            <v>5615</v>
          </cell>
        </row>
        <row r="36">
          <cell r="D36">
            <v>26906</v>
          </cell>
        </row>
        <row r="37">
          <cell r="D37">
            <v>21919</v>
          </cell>
        </row>
        <row r="38">
          <cell r="D38">
            <v>18530</v>
          </cell>
        </row>
        <row r="39">
          <cell r="D39">
            <v>35381</v>
          </cell>
        </row>
        <row r="40">
          <cell r="D40">
            <v>14182</v>
          </cell>
        </row>
        <row r="41">
          <cell r="D41">
            <v>0</v>
          </cell>
        </row>
        <row r="42">
          <cell r="D42">
            <v>15603</v>
          </cell>
        </row>
        <row r="43">
          <cell r="D43">
            <v>19398</v>
          </cell>
        </row>
        <row r="44">
          <cell r="D44">
            <v>14402</v>
          </cell>
        </row>
        <row r="45">
          <cell r="D45">
            <v>2085</v>
          </cell>
        </row>
        <row r="46">
          <cell r="D46">
            <v>18271</v>
          </cell>
        </row>
        <row r="47">
          <cell r="D47">
            <v>1535</v>
          </cell>
        </row>
        <row r="48">
          <cell r="D48">
            <v>11292</v>
          </cell>
        </row>
        <row r="49">
          <cell r="D49">
            <v>15820</v>
          </cell>
        </row>
        <row r="50">
          <cell r="D50">
            <v>881</v>
          </cell>
        </row>
        <row r="51">
          <cell r="D51">
            <v>8350</v>
          </cell>
        </row>
        <row r="52">
          <cell r="D52">
            <v>468</v>
          </cell>
        </row>
        <row r="53">
          <cell r="D53">
            <v>5154</v>
          </cell>
        </row>
        <row r="54">
          <cell r="D54">
            <v>1357</v>
          </cell>
        </row>
        <row r="55">
          <cell r="D55">
            <v>20190</v>
          </cell>
        </row>
        <row r="56">
          <cell r="D56">
            <v>113922</v>
          </cell>
        </row>
        <row r="64">
          <cell r="D64">
            <v>22672</v>
          </cell>
        </row>
        <row r="65">
          <cell r="D65">
            <v>15556</v>
          </cell>
        </row>
        <row r="66">
          <cell r="D66">
            <v>28441</v>
          </cell>
        </row>
        <row r="67">
          <cell r="D67">
            <v>10712</v>
          </cell>
        </row>
        <row r="68">
          <cell r="D68">
            <v>7260</v>
          </cell>
        </row>
        <row r="69">
          <cell r="D69">
            <v>14307</v>
          </cell>
        </row>
        <row r="70">
          <cell r="D70">
            <v>28100</v>
          </cell>
        </row>
        <row r="71">
          <cell r="D71">
            <v>14916</v>
          </cell>
        </row>
        <row r="72">
          <cell r="D72">
            <v>10006</v>
          </cell>
        </row>
        <row r="73">
          <cell r="D73">
            <v>6830</v>
          </cell>
        </row>
        <row r="74">
          <cell r="D74">
            <v>25142</v>
          </cell>
        </row>
        <row r="75">
          <cell r="D75">
            <v>18547</v>
          </cell>
        </row>
        <row r="76">
          <cell r="D76">
            <v>17548</v>
          </cell>
        </row>
        <row r="77">
          <cell r="D77">
            <v>14657</v>
          </cell>
        </row>
        <row r="78">
          <cell r="D78">
            <v>11644</v>
          </cell>
        </row>
        <row r="79">
          <cell r="D79">
            <v>10090</v>
          </cell>
        </row>
        <row r="80">
          <cell r="D80">
            <v>16259</v>
          </cell>
        </row>
        <row r="81">
          <cell r="D81">
            <v>12465</v>
          </cell>
        </row>
        <row r="82">
          <cell r="D82">
            <v>23341</v>
          </cell>
        </row>
        <row r="83">
          <cell r="D83">
            <v>0</v>
          </cell>
        </row>
        <row r="84">
          <cell r="D84">
            <v>8773</v>
          </cell>
        </row>
        <row r="85">
          <cell r="D85">
            <v>5250</v>
          </cell>
        </row>
        <row r="86">
          <cell r="D86">
            <v>22812</v>
          </cell>
        </row>
        <row r="87">
          <cell r="D87">
            <v>8112</v>
          </cell>
        </row>
        <row r="88">
          <cell r="D88">
            <v>11991</v>
          </cell>
        </row>
        <row r="89">
          <cell r="D89">
            <v>57357</v>
          </cell>
        </row>
        <row r="90">
          <cell r="D90">
            <v>14256</v>
          </cell>
        </row>
        <row r="91">
          <cell r="D91">
            <v>2802</v>
          </cell>
        </row>
        <row r="92">
          <cell r="D92">
            <v>4867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3671</v>
          </cell>
        </row>
        <row r="98">
          <cell r="D98">
            <v>1623</v>
          </cell>
        </row>
        <row r="99">
          <cell r="D99">
            <v>3696</v>
          </cell>
        </row>
        <row r="100">
          <cell r="D100">
            <v>3842</v>
          </cell>
        </row>
        <row r="101">
          <cell r="D101">
            <v>0</v>
          </cell>
        </row>
        <row r="102">
          <cell r="D102">
            <v>5596</v>
          </cell>
        </row>
        <row r="103">
          <cell r="D103">
            <v>2445</v>
          </cell>
        </row>
        <row r="104">
          <cell r="D104">
            <v>3828</v>
          </cell>
        </row>
        <row r="105">
          <cell r="D105">
            <v>3531</v>
          </cell>
        </row>
        <row r="106">
          <cell r="D106">
            <v>6263</v>
          </cell>
        </row>
        <row r="107">
          <cell r="D107">
            <v>2999</v>
          </cell>
          <cell r="G107">
            <v>17452</v>
          </cell>
        </row>
        <row r="108">
          <cell r="D108">
            <v>800</v>
          </cell>
          <cell r="G108">
            <v>6857</v>
          </cell>
        </row>
        <row r="109">
          <cell r="D109">
            <v>0</v>
          </cell>
          <cell r="G109">
            <v>10916</v>
          </cell>
        </row>
        <row r="110">
          <cell r="D110">
            <v>3488</v>
          </cell>
          <cell r="G110">
            <v>13759</v>
          </cell>
        </row>
        <row r="111">
          <cell r="D111">
            <v>3377</v>
          </cell>
          <cell r="G111">
            <v>8386</v>
          </cell>
        </row>
        <row r="112">
          <cell r="D112">
            <v>7831</v>
          </cell>
          <cell r="G112">
            <v>10052</v>
          </cell>
        </row>
        <row r="113">
          <cell r="D113">
            <v>3701</v>
          </cell>
          <cell r="G113">
            <v>8063</v>
          </cell>
        </row>
        <row r="114">
          <cell r="D114">
            <v>7565</v>
          </cell>
          <cell r="G114">
            <v>14829</v>
          </cell>
        </row>
        <row r="115">
          <cell r="D115">
            <v>9509</v>
          </cell>
        </row>
        <row r="116">
          <cell r="D116">
            <v>3754</v>
          </cell>
        </row>
        <row r="117">
          <cell r="D117">
            <v>19410</v>
          </cell>
        </row>
        <row r="118">
          <cell r="D118">
            <v>14024</v>
          </cell>
          <cell r="G118">
            <v>25920</v>
          </cell>
        </row>
        <row r="119">
          <cell r="D119">
            <v>6047</v>
          </cell>
          <cell r="G119">
            <v>12217</v>
          </cell>
        </row>
        <row r="120">
          <cell r="D120">
            <v>11410</v>
          </cell>
          <cell r="G120">
            <v>18773</v>
          </cell>
        </row>
        <row r="121">
          <cell r="D121">
            <v>4623</v>
          </cell>
          <cell r="G121">
            <v>17094</v>
          </cell>
        </row>
        <row r="122">
          <cell r="D122">
            <v>10851</v>
          </cell>
          <cell r="G122">
            <v>558</v>
          </cell>
        </row>
        <row r="123">
          <cell r="D123">
            <v>4031</v>
          </cell>
          <cell r="G123">
            <v>15432</v>
          </cell>
        </row>
        <row r="124">
          <cell r="D124">
            <v>6444</v>
          </cell>
          <cell r="G124">
            <v>23928</v>
          </cell>
        </row>
        <row r="125">
          <cell r="D125">
            <v>3318</v>
          </cell>
        </row>
        <row r="126">
          <cell r="D126">
            <v>1718</v>
          </cell>
        </row>
        <row r="127">
          <cell r="D127">
            <v>6996</v>
          </cell>
        </row>
        <row r="128">
          <cell r="D128">
            <v>14165</v>
          </cell>
          <cell r="G128">
            <v>1189</v>
          </cell>
        </row>
        <row r="129">
          <cell r="D129">
            <v>9890</v>
          </cell>
          <cell r="G129">
            <v>4066</v>
          </cell>
        </row>
        <row r="130">
          <cell r="D130">
            <v>56438</v>
          </cell>
          <cell r="G130">
            <v>13329</v>
          </cell>
        </row>
        <row r="131">
          <cell r="G131">
            <v>13469</v>
          </cell>
        </row>
        <row r="132">
          <cell r="G132">
            <v>6154</v>
          </cell>
        </row>
        <row r="133">
          <cell r="G133">
            <v>4900</v>
          </cell>
        </row>
        <row r="134">
          <cell r="G134">
            <v>8283</v>
          </cell>
        </row>
        <row r="135">
          <cell r="G135">
            <v>5048</v>
          </cell>
        </row>
        <row r="139">
          <cell r="D139">
            <v>2446</v>
          </cell>
          <cell r="G139">
            <v>2867</v>
          </cell>
        </row>
        <row r="140">
          <cell r="D140">
            <v>362</v>
          </cell>
          <cell r="G140">
            <v>36357</v>
          </cell>
        </row>
        <row r="141">
          <cell r="D141">
            <v>2055</v>
          </cell>
          <cell r="G141">
            <v>18373</v>
          </cell>
        </row>
        <row r="142">
          <cell r="D142">
            <v>294</v>
          </cell>
        </row>
        <row r="143">
          <cell r="D143">
            <v>57597</v>
          </cell>
        </row>
        <row r="148">
          <cell r="D148">
            <v>1273440</v>
          </cell>
        </row>
      </sheetData>
      <sheetData sheetId="1">
        <row r="11">
          <cell r="H11">
            <v>83777</v>
          </cell>
        </row>
        <row r="20">
          <cell r="H20">
            <v>5645</v>
          </cell>
        </row>
        <row r="21">
          <cell r="H21">
            <v>6078</v>
          </cell>
        </row>
        <row r="22">
          <cell r="H22">
            <v>10811</v>
          </cell>
        </row>
        <row r="23">
          <cell r="H23">
            <v>3298</v>
          </cell>
        </row>
        <row r="24">
          <cell r="H24">
            <v>4435</v>
          </cell>
        </row>
        <row r="25">
          <cell r="H25">
            <v>13577</v>
          </cell>
        </row>
        <row r="26">
          <cell r="H26">
            <v>4081</v>
          </cell>
        </row>
        <row r="27">
          <cell r="H27">
            <v>2454</v>
          </cell>
        </row>
        <row r="28">
          <cell r="H28">
            <v>8056</v>
          </cell>
        </row>
        <row r="29">
          <cell r="H29">
            <v>3704</v>
          </cell>
        </row>
        <row r="30">
          <cell r="H30">
            <v>4750</v>
          </cell>
        </row>
        <row r="31">
          <cell r="H31">
            <v>10503</v>
          </cell>
        </row>
        <row r="32">
          <cell r="H32">
            <v>3915</v>
          </cell>
        </row>
        <row r="33">
          <cell r="H33">
            <v>3195</v>
          </cell>
        </row>
        <row r="34">
          <cell r="H34">
            <v>2914</v>
          </cell>
        </row>
        <row r="35">
          <cell r="H35">
            <v>7118</v>
          </cell>
        </row>
        <row r="36">
          <cell r="H36">
            <v>25957</v>
          </cell>
        </row>
        <row r="37">
          <cell r="H37">
            <v>19851</v>
          </cell>
        </row>
        <row r="38">
          <cell r="H38">
            <v>18704</v>
          </cell>
        </row>
        <row r="39">
          <cell r="H39">
            <v>29786</v>
          </cell>
        </row>
        <row r="40">
          <cell r="H40">
            <v>14356</v>
          </cell>
        </row>
        <row r="41">
          <cell r="H41">
            <v>0</v>
          </cell>
        </row>
        <row r="42">
          <cell r="H42">
            <v>15636</v>
          </cell>
        </row>
        <row r="43">
          <cell r="H43">
            <v>19887</v>
          </cell>
        </row>
        <row r="44">
          <cell r="H44">
            <v>14695</v>
          </cell>
        </row>
        <row r="45">
          <cell r="H45">
            <v>17336</v>
          </cell>
        </row>
        <row r="46">
          <cell r="H46">
            <v>3220</v>
          </cell>
        </row>
        <row r="47">
          <cell r="H47">
            <v>10520</v>
          </cell>
        </row>
        <row r="48">
          <cell r="H48">
            <v>1860</v>
          </cell>
        </row>
        <row r="49">
          <cell r="H49">
            <v>16435</v>
          </cell>
        </row>
        <row r="50">
          <cell r="H50">
            <v>8589</v>
          </cell>
        </row>
        <row r="51">
          <cell r="H51">
            <v>1673</v>
          </cell>
        </row>
        <row r="52">
          <cell r="H52">
            <v>5045</v>
          </cell>
        </row>
        <row r="53">
          <cell r="H53">
            <v>852</v>
          </cell>
        </row>
        <row r="54">
          <cell r="H54">
            <v>18930</v>
          </cell>
        </row>
        <row r="55">
          <cell r="H55">
            <v>2381</v>
          </cell>
        </row>
        <row r="56">
          <cell r="H56">
            <v>112024</v>
          </cell>
        </row>
        <row r="63">
          <cell r="H63">
            <v>22093</v>
          </cell>
        </row>
        <row r="64">
          <cell r="H64">
            <v>13100</v>
          </cell>
        </row>
        <row r="65">
          <cell r="H65">
            <v>26419</v>
          </cell>
        </row>
        <row r="66">
          <cell r="H66">
            <v>10826</v>
          </cell>
        </row>
        <row r="67">
          <cell r="H67">
            <v>7337</v>
          </cell>
        </row>
        <row r="68">
          <cell r="H68">
            <v>15987</v>
          </cell>
        </row>
        <row r="69">
          <cell r="H69">
            <v>27390</v>
          </cell>
        </row>
        <row r="70">
          <cell r="H70">
            <v>14101</v>
          </cell>
        </row>
        <row r="71">
          <cell r="H71">
            <v>10003</v>
          </cell>
        </row>
        <row r="72">
          <cell r="H72">
            <v>7851</v>
          </cell>
        </row>
        <row r="73">
          <cell r="H73">
            <v>22861</v>
          </cell>
        </row>
        <row r="74">
          <cell r="H74">
            <v>18407</v>
          </cell>
        </row>
        <row r="75">
          <cell r="H75">
            <v>17625</v>
          </cell>
        </row>
        <row r="76">
          <cell r="H76">
            <v>13774</v>
          </cell>
        </row>
        <row r="77">
          <cell r="H77">
            <v>11484</v>
          </cell>
        </row>
        <row r="78">
          <cell r="H78">
            <v>9164</v>
          </cell>
        </row>
        <row r="79">
          <cell r="H79">
            <v>15283</v>
          </cell>
        </row>
        <row r="80">
          <cell r="H80">
            <v>12743</v>
          </cell>
        </row>
        <row r="81">
          <cell r="H81">
            <v>19827</v>
          </cell>
        </row>
        <row r="82">
          <cell r="H82">
            <v>0</v>
          </cell>
        </row>
        <row r="83">
          <cell r="H83">
            <v>8704</v>
          </cell>
        </row>
        <row r="84">
          <cell r="H84">
            <v>4995</v>
          </cell>
        </row>
        <row r="85">
          <cell r="H85">
            <v>23281</v>
          </cell>
        </row>
        <row r="86">
          <cell r="H86">
            <v>8047</v>
          </cell>
        </row>
        <row r="87">
          <cell r="H87">
            <v>9923</v>
          </cell>
        </row>
        <row r="88">
          <cell r="H88">
            <v>51217</v>
          </cell>
        </row>
        <row r="89">
          <cell r="H89">
            <v>12378</v>
          </cell>
        </row>
        <row r="90">
          <cell r="H90">
            <v>2492</v>
          </cell>
        </row>
        <row r="91">
          <cell r="H91">
            <v>4563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3830</v>
          </cell>
        </row>
        <row r="97">
          <cell r="H97">
            <v>1659</v>
          </cell>
        </row>
        <row r="98">
          <cell r="H98">
            <v>3506</v>
          </cell>
        </row>
        <row r="99">
          <cell r="H99">
            <v>3985</v>
          </cell>
        </row>
        <row r="100">
          <cell r="H100">
            <v>0</v>
          </cell>
        </row>
        <row r="101">
          <cell r="H101">
            <v>5830</v>
          </cell>
        </row>
        <row r="102">
          <cell r="H102">
            <v>2172</v>
          </cell>
        </row>
        <row r="103">
          <cell r="H103">
            <v>3538</v>
          </cell>
        </row>
        <row r="104">
          <cell r="H104">
            <v>2602</v>
          </cell>
        </row>
        <row r="105">
          <cell r="H105">
            <v>6408</v>
          </cell>
        </row>
        <row r="106">
          <cell r="H106">
            <v>3557</v>
          </cell>
        </row>
        <row r="107">
          <cell r="H107">
            <v>737</v>
          </cell>
        </row>
        <row r="108">
          <cell r="H108">
            <v>0</v>
          </cell>
        </row>
        <row r="109">
          <cell r="H109">
            <v>3822</v>
          </cell>
        </row>
        <row r="110">
          <cell r="H110">
            <v>3137</v>
          </cell>
        </row>
        <row r="111">
          <cell r="H111">
            <v>7766</v>
          </cell>
        </row>
        <row r="112">
          <cell r="H112">
            <v>3724</v>
          </cell>
        </row>
        <row r="113">
          <cell r="H113">
            <v>7617</v>
          </cell>
        </row>
        <row r="114">
          <cell r="H114">
            <v>8570</v>
          </cell>
        </row>
        <row r="115">
          <cell r="H115">
            <v>2656</v>
          </cell>
        </row>
        <row r="116">
          <cell r="H116">
            <v>16391</v>
          </cell>
        </row>
        <row r="117">
          <cell r="H117">
            <v>13562</v>
          </cell>
        </row>
        <row r="118">
          <cell r="H118">
            <v>5534</v>
          </cell>
        </row>
        <row r="119">
          <cell r="H119">
            <v>4333</v>
          </cell>
        </row>
        <row r="120">
          <cell r="H120">
            <v>9947</v>
          </cell>
        </row>
        <row r="121">
          <cell r="H121">
            <v>7900</v>
          </cell>
        </row>
        <row r="122">
          <cell r="H122">
            <v>4944</v>
          </cell>
        </row>
        <row r="123">
          <cell r="H123">
            <v>4986</v>
          </cell>
        </row>
        <row r="124">
          <cell r="H124">
            <v>3135</v>
          </cell>
        </row>
        <row r="125">
          <cell r="H125">
            <v>1854</v>
          </cell>
        </row>
        <row r="126">
          <cell r="H126">
            <v>6094</v>
          </cell>
        </row>
        <row r="127">
          <cell r="H127">
            <v>12783</v>
          </cell>
        </row>
        <row r="128">
          <cell r="H128">
            <v>8098</v>
          </cell>
        </row>
        <row r="129">
          <cell r="H129">
            <v>48233</v>
          </cell>
        </row>
        <row r="138">
          <cell r="H138">
            <v>250</v>
          </cell>
        </row>
        <row r="139">
          <cell r="H139">
            <v>2173</v>
          </cell>
        </row>
        <row r="140">
          <cell r="H140">
            <v>248</v>
          </cell>
        </row>
        <row r="141">
          <cell r="H141">
            <v>2015</v>
          </cell>
        </row>
        <row r="142">
          <cell r="H142">
            <v>50877</v>
          </cell>
        </row>
        <row r="147">
          <cell r="D147">
            <v>9329</v>
          </cell>
          <cell r="E147">
            <v>250914</v>
          </cell>
          <cell r="F147">
            <v>942299</v>
          </cell>
          <cell r="G147">
            <v>8023</v>
          </cell>
        </row>
        <row r="150">
          <cell r="C150">
            <v>16071</v>
          </cell>
          <cell r="E150">
            <v>3316</v>
          </cell>
          <cell r="G150">
            <v>29989</v>
          </cell>
        </row>
        <row r="151">
          <cell r="C151">
            <v>4669</v>
          </cell>
          <cell r="E151">
            <v>1661</v>
          </cell>
          <cell r="G151">
            <v>4777</v>
          </cell>
        </row>
        <row r="152">
          <cell r="C152">
            <v>8549</v>
          </cell>
          <cell r="E152">
            <v>9210</v>
          </cell>
          <cell r="G152">
            <v>113</v>
          </cell>
        </row>
        <row r="153">
          <cell r="C153">
            <v>13566</v>
          </cell>
          <cell r="E153">
            <v>10800</v>
          </cell>
          <cell r="G153">
            <v>24294</v>
          </cell>
        </row>
        <row r="154">
          <cell r="C154">
            <v>9118</v>
          </cell>
          <cell r="E154">
            <v>5097</v>
          </cell>
          <cell r="G154">
            <v>28837</v>
          </cell>
        </row>
        <row r="155">
          <cell r="C155">
            <v>5667</v>
          </cell>
          <cell r="E155">
            <v>4376</v>
          </cell>
          <cell r="G155">
            <v>24014</v>
          </cell>
        </row>
        <row r="156">
          <cell r="C156">
            <v>7092</v>
          </cell>
          <cell r="E156">
            <v>8719</v>
          </cell>
        </row>
        <row r="157">
          <cell r="C157">
            <v>19045</v>
          </cell>
          <cell r="E157">
            <v>5054</v>
          </cell>
        </row>
        <row r="161">
          <cell r="C161">
            <v>2954</v>
          </cell>
        </row>
        <row r="162">
          <cell r="C162">
            <v>7282</v>
          </cell>
        </row>
        <row r="163">
          <cell r="C163">
            <v>40641</v>
          </cell>
        </row>
        <row r="171">
          <cell r="H171">
            <v>2608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88431</v>
          </cell>
        </row>
        <row r="20">
          <cell r="D20">
            <v>5879</v>
          </cell>
        </row>
        <row r="21">
          <cell r="D21">
            <v>5730</v>
          </cell>
        </row>
        <row r="22">
          <cell r="D22">
            <v>9313</v>
          </cell>
        </row>
        <row r="23">
          <cell r="D23">
            <v>4945</v>
          </cell>
        </row>
        <row r="24">
          <cell r="D24">
            <v>4329</v>
          </cell>
        </row>
        <row r="25">
          <cell r="D25">
            <v>17438</v>
          </cell>
        </row>
        <row r="26">
          <cell r="D26">
            <v>14099</v>
          </cell>
        </row>
        <row r="27">
          <cell r="D27">
            <v>6989</v>
          </cell>
        </row>
        <row r="28">
          <cell r="D28">
            <v>8015</v>
          </cell>
        </row>
        <row r="29">
          <cell r="D29">
            <v>3069</v>
          </cell>
        </row>
        <row r="30">
          <cell r="D30">
            <v>4819</v>
          </cell>
        </row>
        <row r="31">
          <cell r="D31">
            <v>9940</v>
          </cell>
        </row>
        <row r="32">
          <cell r="D32">
            <v>4007</v>
          </cell>
        </row>
        <row r="33">
          <cell r="D33">
            <v>3490</v>
          </cell>
        </row>
        <row r="34">
          <cell r="D34">
            <v>2824</v>
          </cell>
        </row>
        <row r="35">
          <cell r="D35">
            <v>6517</v>
          </cell>
        </row>
        <row r="36">
          <cell r="D36">
            <v>27494</v>
          </cell>
        </row>
        <row r="37">
          <cell r="D37">
            <v>22192</v>
          </cell>
        </row>
        <row r="38">
          <cell r="D38">
            <v>18408</v>
          </cell>
        </row>
        <row r="39">
          <cell r="D39">
            <v>33867</v>
          </cell>
        </row>
        <row r="40">
          <cell r="D40">
            <v>14532</v>
          </cell>
        </row>
        <row r="41">
          <cell r="D41">
            <v>0</v>
          </cell>
        </row>
        <row r="42">
          <cell r="D42">
            <v>15751</v>
          </cell>
        </row>
        <row r="43">
          <cell r="D43">
            <v>20254</v>
          </cell>
        </row>
        <row r="44">
          <cell r="D44">
            <v>15197</v>
          </cell>
        </row>
        <row r="45">
          <cell r="D45">
            <v>1921</v>
          </cell>
        </row>
        <row r="46">
          <cell r="D46">
            <v>18538</v>
          </cell>
        </row>
        <row r="47">
          <cell r="D47">
            <v>1505</v>
          </cell>
        </row>
        <row r="48">
          <cell r="D48">
            <v>11403</v>
          </cell>
        </row>
        <row r="49">
          <cell r="D49">
            <v>15522</v>
          </cell>
        </row>
        <row r="50">
          <cell r="D50">
            <v>899</v>
          </cell>
        </row>
        <row r="51">
          <cell r="D51">
            <v>8029</v>
          </cell>
        </row>
        <row r="52">
          <cell r="D52">
            <v>452</v>
          </cell>
        </row>
        <row r="53">
          <cell r="D53">
            <v>5103</v>
          </cell>
        </row>
        <row r="54">
          <cell r="D54">
            <v>1511</v>
          </cell>
        </row>
        <row r="55">
          <cell r="D55">
            <v>20098</v>
          </cell>
        </row>
        <row r="56">
          <cell r="D56">
            <v>112117</v>
          </cell>
        </row>
        <row r="64">
          <cell r="D64">
            <v>22656</v>
          </cell>
        </row>
        <row r="65">
          <cell r="D65">
            <v>15605</v>
          </cell>
        </row>
        <row r="66">
          <cell r="D66">
            <v>28276</v>
          </cell>
        </row>
        <row r="67">
          <cell r="D67">
            <v>10834</v>
          </cell>
        </row>
        <row r="68">
          <cell r="D68">
            <v>7259</v>
          </cell>
        </row>
        <row r="69">
          <cell r="D69">
            <v>14048</v>
          </cell>
        </row>
        <row r="70">
          <cell r="D70">
            <v>28446</v>
          </cell>
        </row>
        <row r="71">
          <cell r="D71">
            <v>14772</v>
          </cell>
        </row>
        <row r="72">
          <cell r="D72">
            <v>10159</v>
          </cell>
        </row>
        <row r="73">
          <cell r="D73">
            <v>6700</v>
          </cell>
        </row>
        <row r="74">
          <cell r="D74">
            <v>25868</v>
          </cell>
        </row>
        <row r="75">
          <cell r="D75">
            <v>18806</v>
          </cell>
        </row>
        <row r="76">
          <cell r="D76">
            <v>17650</v>
          </cell>
        </row>
        <row r="77">
          <cell r="D77">
            <v>14976</v>
          </cell>
        </row>
        <row r="78">
          <cell r="D78">
            <v>11951</v>
          </cell>
        </row>
        <row r="79">
          <cell r="D79">
            <v>10240</v>
          </cell>
        </row>
        <row r="80">
          <cell r="D80">
            <v>16183</v>
          </cell>
        </row>
        <row r="81">
          <cell r="D81">
            <v>12276</v>
          </cell>
        </row>
        <row r="82">
          <cell r="D82">
            <v>23713</v>
          </cell>
        </row>
        <row r="83">
          <cell r="D83">
            <v>0</v>
          </cell>
        </row>
        <row r="84">
          <cell r="D84">
            <v>8801</v>
          </cell>
        </row>
        <row r="85">
          <cell r="D85">
            <v>5563</v>
          </cell>
        </row>
        <row r="86">
          <cell r="D86">
            <v>22818</v>
          </cell>
        </row>
        <row r="87">
          <cell r="D87">
            <v>8028</v>
          </cell>
        </row>
        <row r="88">
          <cell r="D88">
            <v>12085</v>
          </cell>
        </row>
        <row r="89">
          <cell r="D89">
            <v>56905</v>
          </cell>
        </row>
        <row r="90">
          <cell r="D90">
            <v>13216</v>
          </cell>
        </row>
        <row r="91">
          <cell r="D91">
            <v>2715</v>
          </cell>
        </row>
        <row r="92">
          <cell r="D92">
            <v>4861</v>
          </cell>
        </row>
        <row r="93">
          <cell r="D93">
            <v>0</v>
          </cell>
        </row>
        <row r="94">
          <cell r="D94">
            <v>5</v>
          </cell>
        </row>
        <row r="95">
          <cell r="D95">
            <v>91</v>
          </cell>
        </row>
        <row r="96">
          <cell r="D96">
            <v>21</v>
          </cell>
        </row>
        <row r="97">
          <cell r="D97">
            <v>3580</v>
          </cell>
        </row>
        <row r="98">
          <cell r="D98">
            <v>1582</v>
          </cell>
        </row>
        <row r="99">
          <cell r="D99">
            <v>3822</v>
          </cell>
        </row>
        <row r="100">
          <cell r="D100">
            <v>4077</v>
          </cell>
        </row>
        <row r="101">
          <cell r="D101">
            <v>0</v>
          </cell>
        </row>
        <row r="102">
          <cell r="D102">
            <v>5614</v>
          </cell>
        </row>
        <row r="103">
          <cell r="D103">
            <v>2300</v>
          </cell>
        </row>
        <row r="104">
          <cell r="D104">
            <v>3639</v>
          </cell>
        </row>
        <row r="105">
          <cell r="D105">
            <v>3785</v>
          </cell>
        </row>
        <row r="106">
          <cell r="D106">
            <v>6104</v>
          </cell>
        </row>
        <row r="107">
          <cell r="D107">
            <v>2936</v>
          </cell>
          <cell r="G107">
            <v>16280</v>
          </cell>
        </row>
        <row r="108">
          <cell r="D108">
            <v>784</v>
          </cell>
          <cell r="G108">
            <v>6653</v>
          </cell>
        </row>
        <row r="109">
          <cell r="D109">
            <v>0</v>
          </cell>
          <cell r="G109">
            <v>10680</v>
          </cell>
        </row>
        <row r="110">
          <cell r="D110">
            <v>3526</v>
          </cell>
          <cell r="G110">
            <v>13549</v>
          </cell>
        </row>
        <row r="111">
          <cell r="D111">
            <v>3487</v>
          </cell>
          <cell r="G111">
            <v>8126</v>
          </cell>
        </row>
        <row r="112">
          <cell r="D112">
            <v>7593</v>
          </cell>
          <cell r="G112">
            <v>10155</v>
          </cell>
        </row>
        <row r="113">
          <cell r="D113">
            <v>3771</v>
          </cell>
          <cell r="G113">
            <v>7863</v>
          </cell>
        </row>
        <row r="114">
          <cell r="D114">
            <v>7808</v>
          </cell>
          <cell r="G114">
            <v>15125</v>
          </cell>
        </row>
        <row r="115">
          <cell r="D115">
            <v>9539</v>
          </cell>
        </row>
        <row r="116">
          <cell r="D116">
            <v>3780</v>
          </cell>
        </row>
        <row r="117">
          <cell r="D117">
            <v>19197</v>
          </cell>
        </row>
        <row r="118">
          <cell r="D118">
            <v>13857</v>
          </cell>
          <cell r="G118">
            <v>24614</v>
          </cell>
        </row>
        <row r="119">
          <cell r="D119">
            <v>5987</v>
          </cell>
          <cell r="G119">
            <v>12128</v>
          </cell>
        </row>
        <row r="120">
          <cell r="D120">
            <v>11314</v>
          </cell>
          <cell r="G120">
            <v>18579</v>
          </cell>
        </row>
        <row r="121">
          <cell r="D121">
            <v>4451</v>
          </cell>
          <cell r="G121">
            <v>17292</v>
          </cell>
        </row>
        <row r="122">
          <cell r="D122">
            <v>10814</v>
          </cell>
          <cell r="G122">
            <v>588</v>
          </cell>
        </row>
        <row r="123">
          <cell r="D123">
            <v>4083</v>
          </cell>
          <cell r="G123">
            <v>15193</v>
          </cell>
        </row>
        <row r="124">
          <cell r="D124">
            <v>6375</v>
          </cell>
          <cell r="G124">
            <v>23723</v>
          </cell>
        </row>
        <row r="125">
          <cell r="D125">
            <v>3425</v>
          </cell>
        </row>
        <row r="126">
          <cell r="D126">
            <v>1668</v>
          </cell>
        </row>
        <row r="127">
          <cell r="D127">
            <v>6996</v>
          </cell>
        </row>
        <row r="128">
          <cell r="D128">
            <v>14392</v>
          </cell>
          <cell r="G128">
            <v>1051</v>
          </cell>
        </row>
        <row r="129">
          <cell r="D129">
            <v>10162</v>
          </cell>
          <cell r="G129">
            <v>4007</v>
          </cell>
        </row>
        <row r="130">
          <cell r="D130">
            <v>56283</v>
          </cell>
          <cell r="G130">
            <v>13350</v>
          </cell>
        </row>
        <row r="131">
          <cell r="G131">
            <v>13459</v>
          </cell>
        </row>
        <row r="132">
          <cell r="G132">
            <v>6102</v>
          </cell>
        </row>
        <row r="133">
          <cell r="G133">
            <v>4870</v>
          </cell>
        </row>
        <row r="134">
          <cell r="G134">
            <v>8401</v>
          </cell>
        </row>
        <row r="135">
          <cell r="G135">
            <v>5043</v>
          </cell>
        </row>
        <row r="139">
          <cell r="D139">
            <v>2352</v>
          </cell>
          <cell r="G139">
            <v>2872</v>
          </cell>
        </row>
        <row r="140">
          <cell r="D140">
            <v>366</v>
          </cell>
          <cell r="G140">
            <v>35843</v>
          </cell>
        </row>
        <row r="141">
          <cell r="D141">
            <v>1969</v>
          </cell>
          <cell r="G141">
            <v>18152</v>
          </cell>
        </row>
        <row r="142">
          <cell r="D142">
            <v>260</v>
          </cell>
        </row>
        <row r="143">
          <cell r="D143">
            <v>56867</v>
          </cell>
        </row>
        <row r="148">
          <cell r="D148">
            <v>1271690</v>
          </cell>
        </row>
      </sheetData>
      <sheetData sheetId="1">
        <row r="11">
          <cell r="H11">
            <v>83486</v>
          </cell>
        </row>
        <row r="20">
          <cell r="H20">
            <v>5592</v>
          </cell>
        </row>
        <row r="21">
          <cell r="H21">
            <v>6258</v>
          </cell>
        </row>
        <row r="22">
          <cell r="H22">
            <v>10740</v>
          </cell>
        </row>
        <row r="23">
          <cell r="H23">
            <v>3320</v>
          </cell>
        </row>
        <row r="24">
          <cell r="H24">
            <v>4449</v>
          </cell>
        </row>
        <row r="25">
          <cell r="H25">
            <v>13779</v>
          </cell>
        </row>
        <row r="26">
          <cell r="H26">
            <v>4615</v>
          </cell>
        </row>
        <row r="27">
          <cell r="H27">
            <v>2421</v>
          </cell>
        </row>
        <row r="28">
          <cell r="H28">
            <v>8097</v>
          </cell>
        </row>
        <row r="29">
          <cell r="H29">
            <v>3704</v>
          </cell>
        </row>
        <row r="30">
          <cell r="H30">
            <v>4649</v>
          </cell>
        </row>
        <row r="31">
          <cell r="H31">
            <v>10654</v>
          </cell>
        </row>
        <row r="32">
          <cell r="H32">
            <v>4020</v>
          </cell>
        </row>
        <row r="33">
          <cell r="H33">
            <v>3257</v>
          </cell>
        </row>
        <row r="34">
          <cell r="H34">
            <v>2877</v>
          </cell>
        </row>
        <row r="35">
          <cell r="H35">
            <v>7080</v>
          </cell>
        </row>
        <row r="36">
          <cell r="H36">
            <v>26125</v>
          </cell>
        </row>
        <row r="37">
          <cell r="H37">
            <v>19939</v>
          </cell>
        </row>
        <row r="38">
          <cell r="H38">
            <v>18613</v>
          </cell>
        </row>
        <row r="39">
          <cell r="H39">
            <v>30224</v>
          </cell>
        </row>
        <row r="40">
          <cell r="H40">
            <v>14408</v>
          </cell>
        </row>
        <row r="41">
          <cell r="H41">
            <v>0</v>
          </cell>
        </row>
        <row r="42">
          <cell r="H42">
            <v>15771</v>
          </cell>
        </row>
        <row r="43">
          <cell r="H43">
            <v>20305</v>
          </cell>
        </row>
        <row r="44">
          <cell r="H44">
            <v>15235</v>
          </cell>
        </row>
        <row r="45">
          <cell r="H45">
            <v>16528</v>
          </cell>
        </row>
        <row r="46">
          <cell r="H46">
            <v>3182</v>
          </cell>
        </row>
        <row r="47">
          <cell r="H47">
            <v>10852</v>
          </cell>
        </row>
        <row r="48">
          <cell r="H48">
            <v>1774</v>
          </cell>
        </row>
        <row r="49">
          <cell r="H49">
            <v>16903</v>
          </cell>
        </row>
        <row r="50">
          <cell r="H50">
            <v>8632</v>
          </cell>
        </row>
        <row r="51">
          <cell r="H51">
            <v>1415</v>
          </cell>
        </row>
        <row r="52">
          <cell r="H52">
            <v>4974</v>
          </cell>
        </row>
        <row r="53">
          <cell r="H53">
            <v>768</v>
          </cell>
        </row>
        <row r="54">
          <cell r="H54">
            <v>18998</v>
          </cell>
        </row>
        <row r="55">
          <cell r="H55">
            <v>2315</v>
          </cell>
        </row>
        <row r="56">
          <cell r="H56">
            <v>112555</v>
          </cell>
        </row>
        <row r="63">
          <cell r="H63">
            <v>21644</v>
          </cell>
        </row>
        <row r="64">
          <cell r="H64">
            <v>12821</v>
          </cell>
        </row>
        <row r="65">
          <cell r="H65">
            <v>26423</v>
          </cell>
        </row>
        <row r="66">
          <cell r="H66">
            <v>10594</v>
          </cell>
        </row>
        <row r="67">
          <cell r="H67">
            <v>6944</v>
          </cell>
        </row>
        <row r="68">
          <cell r="H68">
            <v>16421</v>
          </cell>
        </row>
        <row r="69">
          <cell r="H69">
            <v>27087</v>
          </cell>
        </row>
        <row r="70">
          <cell r="H70">
            <v>13949</v>
          </cell>
        </row>
        <row r="71">
          <cell r="H71">
            <v>10076</v>
          </cell>
        </row>
        <row r="72">
          <cell r="H72">
            <v>7924</v>
          </cell>
        </row>
        <row r="73">
          <cell r="H73">
            <v>23370</v>
          </cell>
        </row>
        <row r="74">
          <cell r="H74">
            <v>18596</v>
          </cell>
        </row>
        <row r="75">
          <cell r="H75">
            <v>17602</v>
          </cell>
        </row>
        <row r="76">
          <cell r="H76">
            <v>13841</v>
          </cell>
        </row>
        <row r="77">
          <cell r="H77">
            <v>11682</v>
          </cell>
        </row>
        <row r="78">
          <cell r="H78">
            <v>8953</v>
          </cell>
        </row>
        <row r="79">
          <cell r="H79">
            <v>14795</v>
          </cell>
        </row>
        <row r="80">
          <cell r="H80">
            <v>12286</v>
          </cell>
        </row>
        <row r="81">
          <cell r="H81">
            <v>19677</v>
          </cell>
        </row>
        <row r="82">
          <cell r="H82">
            <v>0</v>
          </cell>
        </row>
        <row r="83">
          <cell r="H83">
            <v>8719</v>
          </cell>
        </row>
        <row r="84">
          <cell r="H84">
            <v>4858</v>
          </cell>
        </row>
        <row r="85">
          <cell r="H85">
            <v>23313</v>
          </cell>
        </row>
        <row r="86">
          <cell r="H86">
            <v>7886</v>
          </cell>
        </row>
        <row r="87">
          <cell r="H87">
            <v>9353</v>
          </cell>
        </row>
        <row r="88">
          <cell r="H88">
            <v>50395</v>
          </cell>
        </row>
        <row r="89">
          <cell r="H89">
            <v>11496</v>
          </cell>
        </row>
        <row r="90">
          <cell r="H90">
            <v>2394</v>
          </cell>
        </row>
        <row r="91">
          <cell r="H91">
            <v>4628</v>
          </cell>
        </row>
        <row r="92">
          <cell r="H92">
            <v>0</v>
          </cell>
        </row>
        <row r="93">
          <cell r="H93">
            <v>0</v>
          </cell>
        </row>
        <row r="94">
          <cell r="H94">
            <v>0</v>
          </cell>
        </row>
        <row r="95">
          <cell r="H95">
            <v>0</v>
          </cell>
        </row>
        <row r="96">
          <cell r="H96">
            <v>3670</v>
          </cell>
        </row>
        <row r="97">
          <cell r="H97">
            <v>1482</v>
          </cell>
        </row>
        <row r="98">
          <cell r="H98">
            <v>3597</v>
          </cell>
        </row>
        <row r="99">
          <cell r="H99">
            <v>3942</v>
          </cell>
        </row>
        <row r="100">
          <cell r="H100">
            <v>0</v>
          </cell>
        </row>
        <row r="101">
          <cell r="H101">
            <v>5685</v>
          </cell>
        </row>
        <row r="102">
          <cell r="H102">
            <v>2034</v>
          </cell>
        </row>
        <row r="103">
          <cell r="H103">
            <v>3440</v>
          </cell>
        </row>
        <row r="104">
          <cell r="H104">
            <v>2680</v>
          </cell>
        </row>
        <row r="105">
          <cell r="H105">
            <v>6343</v>
          </cell>
        </row>
        <row r="106">
          <cell r="H106">
            <v>3382</v>
          </cell>
        </row>
        <row r="107">
          <cell r="H107">
            <v>708</v>
          </cell>
        </row>
        <row r="108">
          <cell r="H108">
            <v>0</v>
          </cell>
        </row>
        <row r="109">
          <cell r="H109">
            <v>3724</v>
          </cell>
        </row>
        <row r="110">
          <cell r="H110">
            <v>3009</v>
          </cell>
        </row>
        <row r="111">
          <cell r="H111">
            <v>7901</v>
          </cell>
        </row>
        <row r="112">
          <cell r="H112">
            <v>3758</v>
          </cell>
        </row>
        <row r="113">
          <cell r="H113">
            <v>7832</v>
          </cell>
        </row>
        <row r="114">
          <cell r="H114">
            <v>8784</v>
          </cell>
        </row>
        <row r="115">
          <cell r="H115">
            <v>2710</v>
          </cell>
        </row>
        <row r="116">
          <cell r="H116">
            <v>16388</v>
          </cell>
        </row>
        <row r="117">
          <cell r="H117">
            <v>13551</v>
          </cell>
        </row>
        <row r="118">
          <cell r="H118">
            <v>5469</v>
          </cell>
        </row>
        <row r="119">
          <cell r="H119">
            <v>4470</v>
          </cell>
        </row>
        <row r="120">
          <cell r="H120">
            <v>10103</v>
          </cell>
        </row>
        <row r="121">
          <cell r="H121">
            <v>8019</v>
          </cell>
        </row>
        <row r="122">
          <cell r="H122">
            <v>4921</v>
          </cell>
        </row>
        <row r="123">
          <cell r="H123">
            <v>5086</v>
          </cell>
        </row>
        <row r="124">
          <cell r="H124">
            <v>3180</v>
          </cell>
        </row>
        <row r="125">
          <cell r="H125">
            <v>1827</v>
          </cell>
        </row>
        <row r="126">
          <cell r="H126">
            <v>6102</v>
          </cell>
        </row>
        <row r="127">
          <cell r="H127">
            <v>13054</v>
          </cell>
        </row>
        <row r="128">
          <cell r="H128">
            <v>8389</v>
          </cell>
        </row>
        <row r="129">
          <cell r="H129">
            <v>47698</v>
          </cell>
        </row>
        <row r="138">
          <cell r="H138">
            <v>261</v>
          </cell>
        </row>
        <row r="139">
          <cell r="H139">
            <v>2125</v>
          </cell>
        </row>
        <row r="140">
          <cell r="H140">
            <v>260</v>
          </cell>
        </row>
        <row r="141">
          <cell r="H141">
            <v>2028</v>
          </cell>
        </row>
        <row r="142">
          <cell r="H142">
            <v>50293</v>
          </cell>
        </row>
        <row r="147">
          <cell r="D147">
            <v>8634</v>
          </cell>
          <cell r="E147">
            <v>251113</v>
          </cell>
          <cell r="F147">
            <v>939569</v>
          </cell>
          <cell r="G147">
            <v>8066</v>
          </cell>
        </row>
        <row r="150">
          <cell r="C150">
            <v>16044</v>
          </cell>
          <cell r="E150">
            <v>3260</v>
          </cell>
          <cell r="G150">
            <v>32277</v>
          </cell>
        </row>
        <row r="151">
          <cell r="C151">
            <v>5168</v>
          </cell>
          <cell r="E151">
            <v>1617</v>
          </cell>
          <cell r="G151">
            <v>4799</v>
          </cell>
        </row>
        <row r="152">
          <cell r="C152">
            <v>7808</v>
          </cell>
          <cell r="E152">
            <v>8582</v>
          </cell>
          <cell r="G152">
            <v>128</v>
          </cell>
        </row>
        <row r="153">
          <cell r="C153">
            <v>13472</v>
          </cell>
          <cell r="E153">
            <v>10795</v>
          </cell>
          <cell r="G153">
            <v>24424</v>
          </cell>
        </row>
        <row r="154">
          <cell r="C154">
            <v>9412</v>
          </cell>
          <cell r="E154">
            <v>5366</v>
          </cell>
          <cell r="G154">
            <v>28333</v>
          </cell>
        </row>
        <row r="155">
          <cell r="C155">
            <v>5850</v>
          </cell>
          <cell r="E155">
            <v>4337</v>
          </cell>
          <cell r="G155">
            <v>22594</v>
          </cell>
        </row>
        <row r="156">
          <cell r="C156">
            <v>6878</v>
          </cell>
          <cell r="E156">
            <v>8643</v>
          </cell>
        </row>
        <row r="157">
          <cell r="C157">
            <v>18854</v>
          </cell>
          <cell r="E157">
            <v>5098</v>
          </cell>
        </row>
        <row r="161">
          <cell r="C161">
            <v>2854</v>
          </cell>
        </row>
        <row r="162">
          <cell r="C162">
            <v>7364</v>
          </cell>
        </row>
        <row r="163">
          <cell r="C163">
            <v>40075</v>
          </cell>
        </row>
        <row r="171">
          <cell r="H171">
            <v>2660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88818</v>
          </cell>
        </row>
        <row r="20">
          <cell r="D20">
            <v>5702</v>
          </cell>
        </row>
        <row r="21">
          <cell r="D21">
            <v>5648</v>
          </cell>
        </row>
        <row r="22">
          <cell r="D22">
            <v>9069</v>
          </cell>
        </row>
        <row r="23">
          <cell r="D23">
            <v>4988</v>
          </cell>
        </row>
        <row r="24">
          <cell r="D24">
            <v>4151</v>
          </cell>
        </row>
        <row r="25">
          <cell r="D25">
            <v>17248</v>
          </cell>
        </row>
        <row r="26">
          <cell r="D26">
            <v>13353</v>
          </cell>
        </row>
        <row r="27">
          <cell r="D27">
            <v>6790</v>
          </cell>
        </row>
        <row r="28">
          <cell r="D28">
            <v>8478</v>
          </cell>
        </row>
        <row r="29">
          <cell r="D29">
            <v>3026</v>
          </cell>
        </row>
        <row r="30">
          <cell r="D30">
            <v>4915</v>
          </cell>
        </row>
        <row r="31">
          <cell r="D31">
            <v>10468</v>
          </cell>
        </row>
        <row r="32">
          <cell r="D32">
            <v>4074</v>
          </cell>
        </row>
        <row r="33">
          <cell r="D33">
            <v>3598</v>
          </cell>
        </row>
        <row r="34">
          <cell r="D34">
            <v>2825</v>
          </cell>
        </row>
        <row r="35">
          <cell r="D35">
            <v>6653</v>
          </cell>
        </row>
        <row r="36">
          <cell r="D36">
            <v>28463</v>
          </cell>
        </row>
        <row r="37">
          <cell r="D37">
            <v>24563</v>
          </cell>
        </row>
        <row r="38">
          <cell r="D38">
            <v>18974</v>
          </cell>
        </row>
        <row r="39">
          <cell r="D39">
            <v>35770</v>
          </cell>
        </row>
        <row r="40">
          <cell r="D40">
            <v>14079</v>
          </cell>
        </row>
        <row r="41">
          <cell r="D41">
            <v>0</v>
          </cell>
        </row>
        <row r="42">
          <cell r="D42">
            <v>16387</v>
          </cell>
        </row>
        <row r="43">
          <cell r="D43">
            <v>20675</v>
          </cell>
        </row>
        <row r="44">
          <cell r="D44">
            <v>15318</v>
          </cell>
        </row>
        <row r="45">
          <cell r="D45">
            <v>2037</v>
          </cell>
        </row>
        <row r="46">
          <cell r="D46">
            <v>18880</v>
          </cell>
        </row>
        <row r="47">
          <cell r="D47">
            <v>1413</v>
          </cell>
        </row>
        <row r="48">
          <cell r="D48">
            <v>11499</v>
          </cell>
        </row>
        <row r="49">
          <cell r="D49">
            <v>15838</v>
          </cell>
        </row>
        <row r="50">
          <cell r="D50">
            <v>942</v>
          </cell>
        </row>
        <row r="51">
          <cell r="D51">
            <v>8008</v>
          </cell>
        </row>
        <row r="52">
          <cell r="D52">
            <v>436</v>
          </cell>
        </row>
        <row r="53">
          <cell r="D53">
            <v>4849</v>
          </cell>
        </row>
        <row r="54">
          <cell r="D54">
            <v>1326</v>
          </cell>
        </row>
        <row r="55">
          <cell r="D55">
            <v>19590</v>
          </cell>
        </row>
        <row r="56">
          <cell r="D56">
            <v>118706</v>
          </cell>
        </row>
        <row r="64">
          <cell r="D64">
            <v>23174</v>
          </cell>
        </row>
        <row r="65">
          <cell r="D65">
            <v>15485</v>
          </cell>
        </row>
        <row r="66">
          <cell r="D66">
            <v>29217</v>
          </cell>
        </row>
        <row r="67">
          <cell r="D67">
            <v>10987</v>
          </cell>
        </row>
        <row r="68">
          <cell r="D68">
            <v>7188</v>
          </cell>
        </row>
        <row r="69">
          <cell r="D69">
            <v>14543</v>
          </cell>
        </row>
        <row r="70">
          <cell r="D70">
            <v>29795</v>
          </cell>
        </row>
        <row r="71">
          <cell r="D71">
            <v>15154</v>
          </cell>
        </row>
        <row r="72">
          <cell r="D72">
            <v>10538</v>
          </cell>
        </row>
        <row r="73">
          <cell r="D73">
            <v>7018</v>
          </cell>
        </row>
        <row r="74">
          <cell r="D74">
            <v>26952</v>
          </cell>
        </row>
        <row r="75">
          <cell r="D75">
            <v>19385</v>
          </cell>
        </row>
        <row r="76">
          <cell r="D76">
            <v>18152</v>
          </cell>
        </row>
        <row r="77">
          <cell r="D77">
            <v>15249</v>
          </cell>
        </row>
        <row r="78">
          <cell r="D78">
            <v>11630</v>
          </cell>
        </row>
        <row r="79">
          <cell r="D79">
            <v>10071</v>
          </cell>
        </row>
        <row r="80">
          <cell r="D80">
            <v>16267</v>
          </cell>
        </row>
        <row r="81">
          <cell r="D81">
            <v>12241</v>
          </cell>
        </row>
        <row r="82">
          <cell r="D82">
            <v>24301</v>
          </cell>
        </row>
        <row r="83">
          <cell r="D83">
            <v>0</v>
          </cell>
        </row>
        <row r="84">
          <cell r="D84">
            <v>9100</v>
          </cell>
        </row>
        <row r="85">
          <cell r="D85">
            <v>5125</v>
          </cell>
        </row>
        <row r="86">
          <cell r="D86">
            <v>21722</v>
          </cell>
        </row>
        <row r="87">
          <cell r="D87">
            <v>7801</v>
          </cell>
        </row>
        <row r="88">
          <cell r="D88">
            <v>11248</v>
          </cell>
        </row>
        <row r="89">
          <cell r="D89">
            <v>33047</v>
          </cell>
        </row>
        <row r="90">
          <cell r="D90">
            <v>13547</v>
          </cell>
        </row>
        <row r="91">
          <cell r="D91">
            <v>2806</v>
          </cell>
        </row>
        <row r="92">
          <cell r="D92">
            <v>5192</v>
          </cell>
        </row>
        <row r="93">
          <cell r="D93">
            <v>11964</v>
          </cell>
        </row>
        <row r="94">
          <cell r="D94">
            <v>14171</v>
          </cell>
        </row>
        <row r="95">
          <cell r="D95">
            <v>5366</v>
          </cell>
        </row>
        <row r="96">
          <cell r="D96">
            <v>1733</v>
          </cell>
        </row>
        <row r="97">
          <cell r="D97">
            <v>3746</v>
          </cell>
        </row>
        <row r="98">
          <cell r="D98">
            <v>1579</v>
          </cell>
        </row>
        <row r="99">
          <cell r="D99">
            <v>3768</v>
          </cell>
        </row>
        <row r="100">
          <cell r="D100">
            <v>4428</v>
          </cell>
        </row>
        <row r="101">
          <cell r="D101">
            <v>0</v>
          </cell>
        </row>
        <row r="102">
          <cell r="D102">
            <v>5996</v>
          </cell>
        </row>
        <row r="103">
          <cell r="D103">
            <v>2365</v>
          </cell>
        </row>
        <row r="104">
          <cell r="D104">
            <v>3600</v>
          </cell>
        </row>
        <row r="105">
          <cell r="D105">
            <v>3765</v>
          </cell>
        </row>
        <row r="106">
          <cell r="D106">
            <v>6244</v>
          </cell>
        </row>
        <row r="107">
          <cell r="D107">
            <v>2882</v>
          </cell>
          <cell r="G107">
            <v>17400</v>
          </cell>
        </row>
        <row r="108">
          <cell r="D108">
            <v>787</v>
          </cell>
          <cell r="G108">
            <v>6433</v>
          </cell>
        </row>
        <row r="109">
          <cell r="D109">
            <v>0</v>
          </cell>
          <cell r="G109">
            <v>10564</v>
          </cell>
        </row>
        <row r="110">
          <cell r="D110">
            <v>3481</v>
          </cell>
          <cell r="G110">
            <v>13238</v>
          </cell>
        </row>
        <row r="111">
          <cell r="D111">
            <v>3349</v>
          </cell>
          <cell r="G111">
            <v>8176</v>
          </cell>
        </row>
        <row r="112">
          <cell r="D112">
            <v>7362</v>
          </cell>
          <cell r="G112">
            <v>9586</v>
          </cell>
        </row>
        <row r="113">
          <cell r="D113">
            <v>3767</v>
          </cell>
          <cell r="G113">
            <v>8006</v>
          </cell>
        </row>
        <row r="114">
          <cell r="D114">
            <v>7604</v>
          </cell>
          <cell r="G114">
            <v>15415</v>
          </cell>
        </row>
        <row r="115">
          <cell r="D115">
            <v>10413</v>
          </cell>
        </row>
        <row r="116">
          <cell r="D116">
            <v>3894</v>
          </cell>
        </row>
        <row r="117">
          <cell r="D117">
            <v>20706</v>
          </cell>
        </row>
        <row r="118">
          <cell r="D118">
            <v>13924</v>
          </cell>
          <cell r="G118">
            <v>29658</v>
          </cell>
        </row>
        <row r="119">
          <cell r="D119">
            <v>5974</v>
          </cell>
          <cell r="G119">
            <v>12914</v>
          </cell>
        </row>
        <row r="120">
          <cell r="D120">
            <v>11254</v>
          </cell>
          <cell r="G120">
            <v>19418</v>
          </cell>
        </row>
        <row r="121">
          <cell r="D121">
            <v>4387</v>
          </cell>
          <cell r="G121">
            <v>17848</v>
          </cell>
        </row>
        <row r="122">
          <cell r="D122">
            <v>10420</v>
          </cell>
          <cell r="G122">
            <v>541</v>
          </cell>
        </row>
        <row r="123">
          <cell r="D123">
            <v>4204</v>
          </cell>
          <cell r="G123">
            <v>14825</v>
          </cell>
        </row>
        <row r="124">
          <cell r="D124">
            <v>6263</v>
          </cell>
          <cell r="G124">
            <v>23502</v>
          </cell>
        </row>
        <row r="125">
          <cell r="D125">
            <v>3306</v>
          </cell>
        </row>
        <row r="126">
          <cell r="D126">
            <v>1722</v>
          </cell>
        </row>
        <row r="127">
          <cell r="D127">
            <v>6829</v>
          </cell>
        </row>
        <row r="128">
          <cell r="D128">
            <v>14131</v>
          </cell>
          <cell r="G128">
            <v>1029</v>
          </cell>
        </row>
        <row r="129">
          <cell r="D129">
            <v>10217</v>
          </cell>
          <cell r="G129">
            <v>4109</v>
          </cell>
        </row>
        <row r="130">
          <cell r="D130">
            <v>55593</v>
          </cell>
          <cell r="G130">
            <v>13196</v>
          </cell>
        </row>
        <row r="131">
          <cell r="G131">
            <v>13135</v>
          </cell>
        </row>
        <row r="132">
          <cell r="G132">
            <v>6033</v>
          </cell>
        </row>
        <row r="133">
          <cell r="G133">
            <v>4711</v>
          </cell>
        </row>
        <row r="134">
          <cell r="G134">
            <v>8357</v>
          </cell>
        </row>
        <row r="135">
          <cell r="G135">
            <v>5023</v>
          </cell>
        </row>
        <row r="139">
          <cell r="D139">
            <v>2183</v>
          </cell>
          <cell r="G139">
            <v>3004</v>
          </cell>
        </row>
        <row r="140">
          <cell r="D140">
            <v>390</v>
          </cell>
          <cell r="G140">
            <v>35407</v>
          </cell>
        </row>
        <row r="141">
          <cell r="D141">
            <v>2017</v>
          </cell>
          <cell r="G141">
            <v>17583</v>
          </cell>
        </row>
        <row r="142">
          <cell r="D142">
            <v>258</v>
          </cell>
        </row>
        <row r="143">
          <cell r="D143">
            <v>55994</v>
          </cell>
        </row>
        <row r="148">
          <cell r="D148">
            <v>1300760</v>
          </cell>
        </row>
      </sheetData>
      <sheetData sheetId="1">
        <row r="11">
          <cell r="H11">
            <v>86451</v>
          </cell>
        </row>
        <row r="20">
          <cell r="H20">
            <v>5589</v>
          </cell>
        </row>
        <row r="21">
          <cell r="H21">
            <v>6218</v>
          </cell>
        </row>
        <row r="22">
          <cell r="H22">
            <v>11145</v>
          </cell>
        </row>
        <row r="23">
          <cell r="H23">
            <v>3311</v>
          </cell>
        </row>
        <row r="24">
          <cell r="H24">
            <v>4435</v>
          </cell>
        </row>
        <row r="25">
          <cell r="H25">
            <v>13652</v>
          </cell>
        </row>
        <row r="26">
          <cell r="H26">
            <v>3888</v>
          </cell>
        </row>
        <row r="27">
          <cell r="H27">
            <v>2414</v>
          </cell>
        </row>
        <row r="28">
          <cell r="H28">
            <v>8382</v>
          </cell>
        </row>
        <row r="29">
          <cell r="H29">
            <v>3799</v>
          </cell>
        </row>
        <row r="30">
          <cell r="H30">
            <v>4886</v>
          </cell>
        </row>
        <row r="31">
          <cell r="H31">
            <v>11014</v>
          </cell>
        </row>
        <row r="32">
          <cell r="H32">
            <v>4087</v>
          </cell>
        </row>
        <row r="33">
          <cell r="H33">
            <v>3310</v>
          </cell>
        </row>
        <row r="34">
          <cell r="H34">
            <v>2903</v>
          </cell>
        </row>
        <row r="35">
          <cell r="H35">
            <v>7181</v>
          </cell>
        </row>
        <row r="36">
          <cell r="H36">
            <v>25549</v>
          </cell>
        </row>
        <row r="37">
          <cell r="H37">
            <v>20331</v>
          </cell>
        </row>
        <row r="38">
          <cell r="H38">
            <v>18031</v>
          </cell>
        </row>
        <row r="39">
          <cell r="H39">
            <v>30133</v>
          </cell>
        </row>
        <row r="40">
          <cell r="H40">
            <v>13759</v>
          </cell>
        </row>
        <row r="41">
          <cell r="H41">
            <v>0</v>
          </cell>
        </row>
        <row r="42">
          <cell r="H42">
            <v>15870</v>
          </cell>
        </row>
        <row r="43">
          <cell r="H43">
            <v>20214</v>
          </cell>
        </row>
        <row r="44">
          <cell r="H44">
            <v>15239</v>
          </cell>
        </row>
        <row r="45">
          <cell r="H45">
            <v>17810</v>
          </cell>
        </row>
        <row r="46">
          <cell r="H46">
            <v>3100</v>
          </cell>
        </row>
        <row r="47">
          <cell r="H47">
            <v>10867</v>
          </cell>
        </row>
        <row r="48">
          <cell r="H48">
            <v>1793</v>
          </cell>
        </row>
        <row r="49">
          <cell r="H49">
            <v>17376</v>
          </cell>
        </row>
        <row r="50">
          <cell r="H50">
            <v>8541</v>
          </cell>
        </row>
        <row r="51">
          <cell r="H51">
            <v>1459</v>
          </cell>
        </row>
        <row r="52">
          <cell r="H52">
            <v>4633</v>
          </cell>
        </row>
        <row r="53">
          <cell r="H53">
            <v>719</v>
          </cell>
        </row>
        <row r="54">
          <cell r="H54">
            <v>19626</v>
          </cell>
        </row>
        <row r="55">
          <cell r="H55">
            <v>2302</v>
          </cell>
        </row>
        <row r="56">
          <cell r="H56">
            <v>117327</v>
          </cell>
        </row>
        <row r="63">
          <cell r="H63">
            <v>21200</v>
          </cell>
        </row>
        <row r="64">
          <cell r="H64">
            <v>12308</v>
          </cell>
        </row>
        <row r="65">
          <cell r="H65">
            <v>26765</v>
          </cell>
        </row>
        <row r="66">
          <cell r="H66">
            <v>10025</v>
          </cell>
        </row>
        <row r="67">
          <cell r="H67">
            <v>6495</v>
          </cell>
        </row>
        <row r="68">
          <cell r="H68">
            <v>16007</v>
          </cell>
        </row>
        <row r="69">
          <cell r="H69">
            <v>27838</v>
          </cell>
        </row>
        <row r="70">
          <cell r="H70">
            <v>13537</v>
          </cell>
        </row>
        <row r="71">
          <cell r="H71">
            <v>10096</v>
          </cell>
        </row>
        <row r="72">
          <cell r="H72">
            <v>7820</v>
          </cell>
        </row>
        <row r="73">
          <cell r="H73">
            <v>24008</v>
          </cell>
        </row>
        <row r="74">
          <cell r="H74">
            <v>18422</v>
          </cell>
        </row>
        <row r="75">
          <cell r="H75">
            <v>18284</v>
          </cell>
        </row>
        <row r="76">
          <cell r="H76">
            <v>13466</v>
          </cell>
        </row>
        <row r="77">
          <cell r="H77">
            <v>10555</v>
          </cell>
        </row>
        <row r="78">
          <cell r="H78">
            <v>8397</v>
          </cell>
        </row>
        <row r="79">
          <cell r="H79">
            <v>14644</v>
          </cell>
        </row>
        <row r="80">
          <cell r="H80">
            <v>11257</v>
          </cell>
        </row>
        <row r="81">
          <cell r="H81">
            <v>19462</v>
          </cell>
        </row>
        <row r="82">
          <cell r="H82">
            <v>0</v>
          </cell>
        </row>
        <row r="83">
          <cell r="H83">
            <v>8443</v>
          </cell>
        </row>
        <row r="84">
          <cell r="H84">
            <v>4557</v>
          </cell>
        </row>
        <row r="85">
          <cell r="H85">
            <v>17718</v>
          </cell>
        </row>
        <row r="86">
          <cell r="H86">
            <v>6794</v>
          </cell>
        </row>
        <row r="87">
          <cell r="H87">
            <v>7592</v>
          </cell>
        </row>
        <row r="88">
          <cell r="H88">
            <v>25252</v>
          </cell>
        </row>
        <row r="89">
          <cell r="H89">
            <v>11100</v>
          </cell>
        </row>
        <row r="90">
          <cell r="H90">
            <v>2339</v>
          </cell>
        </row>
        <row r="91">
          <cell r="H91">
            <v>4633</v>
          </cell>
        </row>
        <row r="92">
          <cell r="H92">
            <v>22236</v>
          </cell>
        </row>
        <row r="93">
          <cell r="H93">
            <v>9283</v>
          </cell>
        </row>
        <row r="94">
          <cell r="H94">
            <v>10665</v>
          </cell>
        </row>
        <row r="95">
          <cell r="H95">
            <v>4009</v>
          </cell>
        </row>
        <row r="96">
          <cell r="H96">
            <v>3836</v>
          </cell>
        </row>
        <row r="97">
          <cell r="H97">
            <v>1412</v>
          </cell>
        </row>
        <row r="98">
          <cell r="H98">
            <v>3713</v>
          </cell>
        </row>
        <row r="99">
          <cell r="H99">
            <v>4051</v>
          </cell>
        </row>
        <row r="100">
          <cell r="H100">
            <v>0</v>
          </cell>
        </row>
        <row r="101">
          <cell r="H101">
            <v>6023</v>
          </cell>
        </row>
        <row r="102">
          <cell r="H102">
            <v>2071</v>
          </cell>
        </row>
        <row r="103">
          <cell r="H103">
            <v>3087</v>
          </cell>
        </row>
        <row r="104">
          <cell r="H104">
            <v>2649</v>
          </cell>
        </row>
        <row r="105">
          <cell r="H105">
            <v>6502</v>
          </cell>
        </row>
        <row r="106">
          <cell r="H106">
            <v>3323</v>
          </cell>
        </row>
        <row r="107">
          <cell r="H107">
            <v>721</v>
          </cell>
        </row>
        <row r="108">
          <cell r="H108">
            <v>0</v>
          </cell>
        </row>
        <row r="109">
          <cell r="H109">
            <v>3608</v>
          </cell>
        </row>
        <row r="110">
          <cell r="H110">
            <v>3006</v>
          </cell>
        </row>
        <row r="111">
          <cell r="H111">
            <v>7689</v>
          </cell>
        </row>
        <row r="112">
          <cell r="H112">
            <v>3690</v>
          </cell>
        </row>
        <row r="113">
          <cell r="H113">
            <v>7775</v>
          </cell>
        </row>
        <row r="114">
          <cell r="H114">
            <v>8921</v>
          </cell>
        </row>
        <row r="115">
          <cell r="H115">
            <v>2755</v>
          </cell>
        </row>
        <row r="116">
          <cell r="H116">
            <v>17085</v>
          </cell>
        </row>
        <row r="117">
          <cell r="H117">
            <v>13454</v>
          </cell>
        </row>
        <row r="118">
          <cell r="H118">
            <v>5530</v>
          </cell>
        </row>
        <row r="119">
          <cell r="H119">
            <v>4473</v>
          </cell>
        </row>
        <row r="120">
          <cell r="H120">
            <v>10126</v>
          </cell>
        </row>
        <row r="121">
          <cell r="H121">
            <v>7747</v>
          </cell>
        </row>
        <row r="122">
          <cell r="H122">
            <v>5100</v>
          </cell>
        </row>
        <row r="123">
          <cell r="H123">
            <v>5013</v>
          </cell>
        </row>
        <row r="124">
          <cell r="H124">
            <v>3194</v>
          </cell>
        </row>
        <row r="125">
          <cell r="H125">
            <v>1780</v>
          </cell>
        </row>
        <row r="126">
          <cell r="H126">
            <v>6182</v>
          </cell>
        </row>
        <row r="127">
          <cell r="H127">
            <v>13082</v>
          </cell>
        </row>
        <row r="128">
          <cell r="H128">
            <v>8545</v>
          </cell>
        </row>
        <row r="129">
          <cell r="H129">
            <v>48956</v>
          </cell>
        </row>
        <row r="138">
          <cell r="H138">
            <v>250</v>
          </cell>
        </row>
        <row r="139">
          <cell r="H139">
            <v>2121</v>
          </cell>
        </row>
        <row r="140">
          <cell r="H140">
            <v>257</v>
          </cell>
        </row>
        <row r="141">
          <cell r="H141">
            <v>2018</v>
          </cell>
        </row>
        <row r="142">
          <cell r="H142">
            <v>51668</v>
          </cell>
        </row>
        <row r="147">
          <cell r="D147">
            <v>8875</v>
          </cell>
          <cell r="E147">
            <v>248444</v>
          </cell>
          <cell r="F147">
            <v>962525</v>
          </cell>
          <cell r="G147">
            <v>8215</v>
          </cell>
        </row>
        <row r="150">
          <cell r="C150">
            <v>16929</v>
          </cell>
          <cell r="E150">
            <v>3572</v>
          </cell>
          <cell r="G150">
            <v>32046</v>
          </cell>
        </row>
        <row r="151">
          <cell r="C151">
            <v>4993</v>
          </cell>
          <cell r="E151">
            <v>1552</v>
          </cell>
          <cell r="G151">
            <v>4932</v>
          </cell>
        </row>
        <row r="152">
          <cell r="C152">
            <v>8787</v>
          </cell>
          <cell r="E152">
            <v>9295</v>
          </cell>
          <cell r="G152">
            <v>128</v>
          </cell>
        </row>
        <row r="153">
          <cell r="C153">
            <v>13667</v>
          </cell>
          <cell r="E153">
            <v>11019</v>
          </cell>
          <cell r="G153">
            <v>25561</v>
          </cell>
        </row>
        <row r="154">
          <cell r="C154">
            <v>9338</v>
          </cell>
          <cell r="E154">
            <v>4939</v>
          </cell>
          <cell r="G154">
            <v>29934</v>
          </cell>
        </row>
        <row r="155">
          <cell r="C155">
            <v>5791</v>
          </cell>
          <cell r="E155">
            <v>4736</v>
          </cell>
          <cell r="G155">
            <v>24726</v>
          </cell>
        </row>
        <row r="156">
          <cell r="C156">
            <v>7429</v>
          </cell>
          <cell r="E156">
            <v>9172</v>
          </cell>
        </row>
        <row r="157">
          <cell r="C157">
            <v>19517</v>
          </cell>
          <cell r="E157">
            <v>4671</v>
          </cell>
        </row>
        <row r="161">
          <cell r="C161">
            <v>3179</v>
          </cell>
        </row>
        <row r="162">
          <cell r="C162">
            <v>6776</v>
          </cell>
        </row>
        <row r="163">
          <cell r="C163">
            <v>41713</v>
          </cell>
        </row>
        <row r="171">
          <cell r="H171">
            <v>2300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66886</v>
          </cell>
        </row>
        <row r="20">
          <cell r="D20">
            <v>4513</v>
          </cell>
        </row>
        <row r="21">
          <cell r="D21">
            <v>3877</v>
          </cell>
        </row>
        <row r="22">
          <cell r="D22">
            <v>6974</v>
          </cell>
        </row>
        <row r="23">
          <cell r="D23">
            <v>3902</v>
          </cell>
        </row>
        <row r="24">
          <cell r="D24">
            <v>3228</v>
          </cell>
        </row>
        <row r="25">
          <cell r="D25">
            <v>12836</v>
          </cell>
        </row>
        <row r="26">
          <cell r="D26">
            <v>9736</v>
          </cell>
        </row>
        <row r="27">
          <cell r="D27">
            <v>4956</v>
          </cell>
        </row>
        <row r="28">
          <cell r="D28">
            <v>4966</v>
          </cell>
        </row>
        <row r="29">
          <cell r="D29">
            <v>2230</v>
          </cell>
        </row>
        <row r="30">
          <cell r="D30">
            <v>4388</v>
          </cell>
        </row>
        <row r="31">
          <cell r="D31">
            <v>7398</v>
          </cell>
        </row>
        <row r="32">
          <cell r="D32">
            <v>2854</v>
          </cell>
        </row>
        <row r="33">
          <cell r="D33">
            <v>2625</v>
          </cell>
        </row>
        <row r="34">
          <cell r="D34">
            <v>2367</v>
          </cell>
        </row>
        <row r="35">
          <cell r="D35">
            <v>4755</v>
          </cell>
        </row>
        <row r="36">
          <cell r="D36">
            <v>16098</v>
          </cell>
        </row>
        <row r="37">
          <cell r="D37">
            <v>14511</v>
          </cell>
        </row>
        <row r="38">
          <cell r="D38">
            <v>7208</v>
          </cell>
        </row>
        <row r="39">
          <cell r="D39">
            <v>15312</v>
          </cell>
        </row>
        <row r="40">
          <cell r="D40">
            <v>7309</v>
          </cell>
        </row>
        <row r="41">
          <cell r="D41">
            <v>0</v>
          </cell>
        </row>
        <row r="42">
          <cell r="D42">
            <v>8323</v>
          </cell>
        </row>
        <row r="43">
          <cell r="D43">
            <v>13020</v>
          </cell>
        </row>
        <row r="44">
          <cell r="D44">
            <v>11070</v>
          </cell>
        </row>
        <row r="45">
          <cell r="D45">
            <v>1935</v>
          </cell>
        </row>
        <row r="46">
          <cell r="D46">
            <v>11798</v>
          </cell>
        </row>
        <row r="47">
          <cell r="D47">
            <v>1294</v>
          </cell>
        </row>
        <row r="48">
          <cell r="D48">
            <v>6379</v>
          </cell>
        </row>
        <row r="49">
          <cell r="D49">
            <v>10376</v>
          </cell>
        </row>
        <row r="50">
          <cell r="D50">
            <v>753</v>
          </cell>
        </row>
        <row r="51">
          <cell r="D51">
            <v>4896</v>
          </cell>
        </row>
        <row r="52">
          <cell r="D52">
            <v>372</v>
          </cell>
        </row>
        <row r="53">
          <cell r="D53">
            <v>3330</v>
          </cell>
        </row>
        <row r="54">
          <cell r="D54">
            <v>866</v>
          </cell>
        </row>
        <row r="55">
          <cell r="D55">
            <v>12309</v>
          </cell>
        </row>
        <row r="56">
          <cell r="D56">
            <v>89021</v>
          </cell>
        </row>
        <row r="64">
          <cell r="D64">
            <v>13216</v>
          </cell>
        </row>
        <row r="65">
          <cell r="D65">
            <v>6411</v>
          </cell>
        </row>
        <row r="66">
          <cell r="D66">
            <v>15400</v>
          </cell>
        </row>
        <row r="67">
          <cell r="D67">
            <v>4549</v>
          </cell>
        </row>
        <row r="68">
          <cell r="D68">
            <v>4327</v>
          </cell>
        </row>
        <row r="69">
          <cell r="D69">
            <v>8778</v>
          </cell>
        </row>
        <row r="70">
          <cell r="D70">
            <v>21950</v>
          </cell>
        </row>
        <row r="71">
          <cell r="D71">
            <v>9126</v>
          </cell>
        </row>
        <row r="72">
          <cell r="D72">
            <v>7353</v>
          </cell>
        </row>
        <row r="73">
          <cell r="D73">
            <v>4716</v>
          </cell>
        </row>
        <row r="74">
          <cell r="D74">
            <v>16939</v>
          </cell>
        </row>
        <row r="75">
          <cell r="D75">
            <v>11338</v>
          </cell>
        </row>
        <row r="76">
          <cell r="D76">
            <v>10687</v>
          </cell>
        </row>
        <row r="77">
          <cell r="D77">
            <v>7878</v>
          </cell>
        </row>
        <row r="78">
          <cell r="D78">
            <v>5389</v>
          </cell>
        </row>
        <row r="79">
          <cell r="D79">
            <v>3334</v>
          </cell>
        </row>
        <row r="80">
          <cell r="D80">
            <v>7526</v>
          </cell>
        </row>
        <row r="81">
          <cell r="D81">
            <v>4828</v>
          </cell>
        </row>
        <row r="82">
          <cell r="D82">
            <v>7186</v>
          </cell>
        </row>
        <row r="83">
          <cell r="D83">
            <v>0</v>
          </cell>
        </row>
        <row r="84">
          <cell r="D84">
            <v>5187</v>
          </cell>
        </row>
        <row r="85">
          <cell r="D85">
            <v>4029</v>
          </cell>
        </row>
        <row r="86">
          <cell r="D86">
            <v>13199</v>
          </cell>
        </row>
        <row r="87">
          <cell r="D87">
            <v>4609</v>
          </cell>
        </row>
        <row r="88">
          <cell r="D88">
            <v>8629</v>
          </cell>
        </row>
        <row r="89">
          <cell r="D89">
            <v>24605</v>
          </cell>
        </row>
        <row r="90">
          <cell r="D90">
            <v>17497</v>
          </cell>
        </row>
        <row r="91">
          <cell r="D91">
            <v>2079</v>
          </cell>
        </row>
        <row r="92">
          <cell r="D92">
            <v>4149</v>
          </cell>
        </row>
        <row r="93">
          <cell r="D93">
            <v>6184</v>
          </cell>
        </row>
        <row r="94">
          <cell r="D94">
            <v>8123</v>
          </cell>
        </row>
        <row r="95">
          <cell r="D95">
            <v>4780</v>
          </cell>
        </row>
        <row r="96">
          <cell r="D96">
            <v>1573</v>
          </cell>
        </row>
        <row r="97">
          <cell r="D97">
            <v>2882</v>
          </cell>
        </row>
        <row r="98">
          <cell r="D98">
            <v>1547</v>
          </cell>
        </row>
        <row r="99">
          <cell r="D99">
            <v>3516</v>
          </cell>
        </row>
        <row r="100">
          <cell r="D100">
            <v>4939</v>
          </cell>
        </row>
        <row r="101">
          <cell r="D101">
            <v>0</v>
          </cell>
        </row>
        <row r="102">
          <cell r="D102">
            <v>4354</v>
          </cell>
        </row>
        <row r="103">
          <cell r="D103">
            <v>1281</v>
          </cell>
        </row>
        <row r="104">
          <cell r="D104">
            <v>1810</v>
          </cell>
        </row>
        <row r="105">
          <cell r="D105">
            <v>2433</v>
          </cell>
        </row>
        <row r="106">
          <cell r="D106">
            <v>4296</v>
          </cell>
        </row>
        <row r="107">
          <cell r="D107">
            <v>1513</v>
          </cell>
          <cell r="G107">
            <v>15707</v>
          </cell>
        </row>
        <row r="108">
          <cell r="D108">
            <v>381</v>
          </cell>
          <cell r="G108">
            <v>4720</v>
          </cell>
        </row>
        <row r="109">
          <cell r="D109">
            <v>0</v>
          </cell>
          <cell r="G109">
            <v>7777</v>
          </cell>
        </row>
        <row r="110">
          <cell r="D110">
            <v>1819</v>
          </cell>
          <cell r="G110">
            <v>9485</v>
          </cell>
        </row>
        <row r="111">
          <cell r="D111">
            <v>2740</v>
          </cell>
          <cell r="G111">
            <v>5911</v>
          </cell>
        </row>
        <row r="112">
          <cell r="D112">
            <v>4540</v>
          </cell>
          <cell r="G112">
            <v>6990</v>
          </cell>
        </row>
        <row r="113">
          <cell r="D113">
            <v>2683</v>
          </cell>
          <cell r="G113">
            <v>6072</v>
          </cell>
        </row>
        <row r="114">
          <cell r="D114">
            <v>5562</v>
          </cell>
          <cell r="G114">
            <v>10224</v>
          </cell>
        </row>
        <row r="115">
          <cell r="D115">
            <v>8868</v>
          </cell>
        </row>
        <row r="116">
          <cell r="D116">
            <v>3921</v>
          </cell>
        </row>
        <row r="117">
          <cell r="D117">
            <v>16749</v>
          </cell>
        </row>
        <row r="118">
          <cell r="D118">
            <v>10247</v>
          </cell>
          <cell r="G118">
            <v>24857</v>
          </cell>
        </row>
        <row r="119">
          <cell r="D119">
            <v>4966</v>
          </cell>
          <cell r="G119">
            <v>10254</v>
          </cell>
        </row>
        <row r="120">
          <cell r="D120">
            <v>8343</v>
          </cell>
          <cell r="G120">
            <v>12116</v>
          </cell>
        </row>
        <row r="121">
          <cell r="D121">
            <v>3044</v>
          </cell>
          <cell r="G121">
            <v>13059</v>
          </cell>
        </row>
        <row r="122">
          <cell r="D122">
            <v>8204</v>
          </cell>
          <cell r="G122">
            <v>530</v>
          </cell>
        </row>
        <row r="123">
          <cell r="D123">
            <v>3605</v>
          </cell>
          <cell r="G123">
            <v>11094</v>
          </cell>
        </row>
        <row r="124">
          <cell r="D124">
            <v>5330</v>
          </cell>
          <cell r="G124">
            <v>17111</v>
          </cell>
        </row>
        <row r="125">
          <cell r="D125">
            <v>2664</v>
          </cell>
        </row>
        <row r="126">
          <cell r="D126">
            <v>1303</v>
          </cell>
        </row>
        <row r="127">
          <cell r="D127">
            <v>5303</v>
          </cell>
        </row>
        <row r="128">
          <cell r="D128">
            <v>11325</v>
          </cell>
          <cell r="G128">
            <v>945</v>
          </cell>
        </row>
        <row r="129">
          <cell r="D129">
            <v>7740</v>
          </cell>
          <cell r="G129">
            <v>3269</v>
          </cell>
        </row>
        <row r="130">
          <cell r="D130">
            <v>43326</v>
          </cell>
          <cell r="G130">
            <v>11736</v>
          </cell>
        </row>
        <row r="131">
          <cell r="G131">
            <v>10616</v>
          </cell>
        </row>
        <row r="132">
          <cell r="G132">
            <v>4411</v>
          </cell>
        </row>
        <row r="133">
          <cell r="G133">
            <v>3780</v>
          </cell>
        </row>
        <row r="134">
          <cell r="G134">
            <v>4578</v>
          </cell>
        </row>
        <row r="135">
          <cell r="G135">
            <v>3991</v>
          </cell>
        </row>
        <row r="139">
          <cell r="D139">
            <v>1744</v>
          </cell>
          <cell r="G139">
            <v>2352</v>
          </cell>
        </row>
        <row r="140">
          <cell r="D140">
            <v>294</v>
          </cell>
          <cell r="G140">
            <v>29051</v>
          </cell>
        </row>
        <row r="141">
          <cell r="D141">
            <v>1526</v>
          </cell>
          <cell r="G141">
            <v>12231</v>
          </cell>
        </row>
        <row r="142">
          <cell r="D142">
            <v>211</v>
          </cell>
        </row>
        <row r="143">
          <cell r="D143">
            <v>43634</v>
          </cell>
        </row>
        <row r="148">
          <cell r="D148">
            <v>864350</v>
          </cell>
        </row>
      </sheetData>
      <sheetData sheetId="1">
        <row r="11">
          <cell r="H11">
            <v>61055</v>
          </cell>
        </row>
        <row r="20">
          <cell r="H20">
            <v>4315</v>
          </cell>
        </row>
        <row r="21">
          <cell r="H21">
            <v>4268</v>
          </cell>
        </row>
        <row r="22">
          <cell r="H22">
            <v>7850</v>
          </cell>
        </row>
        <row r="23">
          <cell r="H23">
            <v>2392</v>
          </cell>
        </row>
        <row r="24">
          <cell r="H24">
            <v>3297</v>
          </cell>
        </row>
        <row r="25">
          <cell r="H25">
            <v>10745</v>
          </cell>
        </row>
        <row r="26">
          <cell r="H26">
            <v>3790</v>
          </cell>
        </row>
        <row r="27">
          <cell r="H27">
            <v>1685</v>
          </cell>
        </row>
        <row r="28">
          <cell r="H28">
            <v>5320</v>
          </cell>
        </row>
        <row r="29">
          <cell r="H29">
            <v>2577</v>
          </cell>
        </row>
        <row r="30">
          <cell r="H30">
            <v>3980</v>
          </cell>
        </row>
        <row r="31">
          <cell r="H31">
            <v>7136</v>
          </cell>
        </row>
        <row r="32">
          <cell r="H32">
            <v>2834</v>
          </cell>
        </row>
        <row r="33">
          <cell r="H33">
            <v>2562</v>
          </cell>
        </row>
        <row r="34">
          <cell r="H34">
            <v>2319</v>
          </cell>
        </row>
        <row r="35">
          <cell r="H35">
            <v>4560</v>
          </cell>
        </row>
        <row r="36">
          <cell r="H36">
            <v>13634</v>
          </cell>
        </row>
        <row r="37">
          <cell r="H37">
            <v>10410</v>
          </cell>
        </row>
        <row r="38">
          <cell r="H38">
            <v>7192</v>
          </cell>
        </row>
        <row r="39">
          <cell r="H39">
            <v>15100</v>
          </cell>
        </row>
        <row r="40">
          <cell r="H40">
            <v>6894</v>
          </cell>
        </row>
        <row r="41">
          <cell r="H41">
            <v>0</v>
          </cell>
        </row>
        <row r="42">
          <cell r="H42">
            <v>8307</v>
          </cell>
        </row>
        <row r="43">
          <cell r="H43">
            <v>12931</v>
          </cell>
        </row>
        <row r="44">
          <cell r="H44">
            <v>10985</v>
          </cell>
        </row>
        <row r="45">
          <cell r="H45">
            <v>11083</v>
          </cell>
        </row>
        <row r="46">
          <cell r="H46">
            <v>2292</v>
          </cell>
        </row>
        <row r="47">
          <cell r="H47">
            <v>6373</v>
          </cell>
        </row>
        <row r="48">
          <cell r="H48">
            <v>1228</v>
          </cell>
        </row>
        <row r="49">
          <cell r="H49">
            <v>10375</v>
          </cell>
        </row>
        <row r="50">
          <cell r="H50">
            <v>5078</v>
          </cell>
        </row>
        <row r="51">
          <cell r="H51">
            <v>1045</v>
          </cell>
        </row>
        <row r="52">
          <cell r="H52">
            <v>3000</v>
          </cell>
        </row>
        <row r="53">
          <cell r="H53">
            <v>506</v>
          </cell>
        </row>
        <row r="54">
          <cell r="H54">
            <v>11434</v>
          </cell>
        </row>
        <row r="55">
          <cell r="H55">
            <v>1348</v>
          </cell>
        </row>
        <row r="56">
          <cell r="H56">
            <v>83967</v>
          </cell>
        </row>
        <row r="63">
          <cell r="H63">
            <v>12389</v>
          </cell>
        </row>
        <row r="64">
          <cell r="H64">
            <v>5305</v>
          </cell>
        </row>
        <row r="65">
          <cell r="H65">
            <v>14769</v>
          </cell>
        </row>
        <row r="66">
          <cell r="H66">
            <v>4159</v>
          </cell>
        </row>
        <row r="67">
          <cell r="H67">
            <v>3176</v>
          </cell>
        </row>
        <row r="68">
          <cell r="H68">
            <v>9828</v>
          </cell>
        </row>
        <row r="69">
          <cell r="H69">
            <v>20026</v>
          </cell>
        </row>
        <row r="70">
          <cell r="H70">
            <v>8463</v>
          </cell>
        </row>
        <row r="71">
          <cell r="H71">
            <v>6763</v>
          </cell>
        </row>
        <row r="72">
          <cell r="H72">
            <v>4995</v>
          </cell>
        </row>
        <row r="73">
          <cell r="H73">
            <v>14670</v>
          </cell>
        </row>
        <row r="74">
          <cell r="H74">
            <v>10054</v>
          </cell>
        </row>
        <row r="75">
          <cell r="H75">
            <v>10410</v>
          </cell>
        </row>
        <row r="76">
          <cell r="H76">
            <v>6644</v>
          </cell>
        </row>
        <row r="77">
          <cell r="H77">
            <v>4882</v>
          </cell>
        </row>
        <row r="78">
          <cell r="H78">
            <v>2649</v>
          </cell>
        </row>
        <row r="79">
          <cell r="H79">
            <v>6705</v>
          </cell>
        </row>
        <row r="80">
          <cell r="H80">
            <v>4585</v>
          </cell>
        </row>
        <row r="81">
          <cell r="H81">
            <v>6247</v>
          </cell>
        </row>
        <row r="82">
          <cell r="H82">
            <v>0</v>
          </cell>
        </row>
        <row r="83">
          <cell r="H83">
            <v>4773</v>
          </cell>
        </row>
        <row r="84">
          <cell r="H84">
            <v>3356</v>
          </cell>
        </row>
        <row r="85">
          <cell r="H85">
            <v>11473</v>
          </cell>
        </row>
        <row r="86">
          <cell r="H86">
            <v>3919</v>
          </cell>
        </row>
        <row r="87">
          <cell r="H87">
            <v>6200</v>
          </cell>
        </row>
        <row r="88">
          <cell r="H88">
            <v>21519</v>
          </cell>
        </row>
        <row r="89">
          <cell r="H89">
            <v>12346</v>
          </cell>
        </row>
        <row r="90">
          <cell r="H90">
            <v>1595</v>
          </cell>
        </row>
        <row r="91">
          <cell r="H91">
            <v>3576</v>
          </cell>
        </row>
        <row r="92">
          <cell r="H92">
            <v>10784</v>
          </cell>
        </row>
        <row r="93">
          <cell r="H93">
            <v>3703</v>
          </cell>
        </row>
        <row r="94">
          <cell r="H94">
            <v>5839</v>
          </cell>
        </row>
        <row r="95">
          <cell r="H95">
            <v>2316</v>
          </cell>
        </row>
        <row r="96">
          <cell r="H96">
            <v>2768</v>
          </cell>
        </row>
        <row r="97">
          <cell r="H97">
            <v>1315</v>
          </cell>
        </row>
        <row r="98">
          <cell r="H98">
            <v>3081</v>
          </cell>
        </row>
        <row r="99">
          <cell r="H99">
            <v>4189</v>
          </cell>
        </row>
        <row r="100">
          <cell r="H100">
            <v>0</v>
          </cell>
        </row>
        <row r="101">
          <cell r="H101">
            <v>3787</v>
          </cell>
        </row>
        <row r="102">
          <cell r="H102">
            <v>942</v>
          </cell>
        </row>
        <row r="103">
          <cell r="H103">
            <v>1466</v>
          </cell>
        </row>
        <row r="104">
          <cell r="H104">
            <v>1539</v>
          </cell>
        </row>
        <row r="105">
          <cell r="H105">
            <v>4526</v>
          </cell>
        </row>
        <row r="106">
          <cell r="H106">
            <v>1652</v>
          </cell>
        </row>
        <row r="107">
          <cell r="H107">
            <v>261</v>
          </cell>
        </row>
        <row r="108">
          <cell r="H108">
            <v>0</v>
          </cell>
        </row>
        <row r="109">
          <cell r="H109">
            <v>1804</v>
          </cell>
        </row>
        <row r="110">
          <cell r="H110">
            <v>2483</v>
          </cell>
        </row>
        <row r="111">
          <cell r="H111">
            <v>4635</v>
          </cell>
        </row>
        <row r="112">
          <cell r="H112">
            <v>2808</v>
          </cell>
        </row>
        <row r="113">
          <cell r="H113">
            <v>5581</v>
          </cell>
        </row>
        <row r="114">
          <cell r="H114">
            <v>7930</v>
          </cell>
        </row>
        <row r="115">
          <cell r="H115">
            <v>2453</v>
          </cell>
        </row>
        <row r="116">
          <cell r="H116">
            <v>14370</v>
          </cell>
        </row>
        <row r="117">
          <cell r="H117">
            <v>9979</v>
          </cell>
        </row>
        <row r="118">
          <cell r="H118">
            <v>4675</v>
          </cell>
        </row>
        <row r="119">
          <cell r="H119">
            <v>3142</v>
          </cell>
        </row>
        <row r="120">
          <cell r="H120">
            <v>7417</v>
          </cell>
        </row>
        <row r="121">
          <cell r="H121">
            <v>5799</v>
          </cell>
        </row>
        <row r="122">
          <cell r="H122">
            <v>4172</v>
          </cell>
        </row>
        <row r="123">
          <cell r="H123">
            <v>4237</v>
          </cell>
        </row>
        <row r="124">
          <cell r="H124">
            <v>2498</v>
          </cell>
        </row>
        <row r="125">
          <cell r="H125">
            <v>1343</v>
          </cell>
        </row>
        <row r="126">
          <cell r="H126">
            <v>4865</v>
          </cell>
        </row>
        <row r="127">
          <cell r="H127">
            <v>10280</v>
          </cell>
        </row>
        <row r="128">
          <cell r="H128">
            <v>6592</v>
          </cell>
        </row>
        <row r="129">
          <cell r="H129">
            <v>36888</v>
          </cell>
        </row>
        <row r="138">
          <cell r="H138">
            <v>201</v>
          </cell>
        </row>
        <row r="139">
          <cell r="H139">
            <v>1502</v>
          </cell>
        </row>
        <row r="140">
          <cell r="H140">
            <v>140</v>
          </cell>
        </row>
        <row r="141">
          <cell r="H141">
            <v>1615</v>
          </cell>
        </row>
        <row r="142">
          <cell r="H142">
            <v>38851</v>
          </cell>
        </row>
        <row r="147">
          <cell r="D147">
            <v>7688</v>
          </cell>
          <cell r="E147">
            <v>132770</v>
          </cell>
          <cell r="F147">
            <v>649319</v>
          </cell>
          <cell r="G147">
            <v>3736</v>
          </cell>
        </row>
        <row r="150">
          <cell r="C150">
            <v>13058</v>
          </cell>
          <cell r="E150">
            <v>2622</v>
          </cell>
          <cell r="G150">
            <v>24008</v>
          </cell>
        </row>
        <row r="151">
          <cell r="C151">
            <v>3755</v>
          </cell>
          <cell r="E151">
            <v>1309</v>
          </cell>
          <cell r="G151">
            <v>2985</v>
          </cell>
        </row>
        <row r="152">
          <cell r="C152">
            <v>5980</v>
          </cell>
          <cell r="E152">
            <v>7608</v>
          </cell>
          <cell r="G152">
            <v>116</v>
          </cell>
        </row>
        <row r="153">
          <cell r="C153">
            <v>9338</v>
          </cell>
          <cell r="E153">
            <v>8040</v>
          </cell>
          <cell r="G153">
            <v>17416</v>
          </cell>
        </row>
        <row r="154">
          <cell r="C154">
            <v>6355</v>
          </cell>
          <cell r="E154">
            <v>3786</v>
          </cell>
          <cell r="G154">
            <v>20943</v>
          </cell>
        </row>
        <row r="155">
          <cell r="C155">
            <v>4758</v>
          </cell>
          <cell r="E155">
            <v>3786</v>
          </cell>
          <cell r="G155">
            <v>18499</v>
          </cell>
        </row>
        <row r="156">
          <cell r="C156">
            <v>5168</v>
          </cell>
          <cell r="E156">
            <v>5956</v>
          </cell>
        </row>
        <row r="157">
          <cell r="C157">
            <v>12643</v>
          </cell>
          <cell r="E157">
            <v>3781</v>
          </cell>
        </row>
        <row r="161">
          <cell r="C161">
            <v>2207</v>
          </cell>
        </row>
        <row r="162">
          <cell r="C162">
            <v>4334</v>
          </cell>
        </row>
        <row r="163">
          <cell r="C163">
            <v>32310</v>
          </cell>
        </row>
        <row r="171">
          <cell r="H171">
            <v>439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32320</v>
          </cell>
        </row>
        <row r="20">
          <cell r="D20">
            <v>2685</v>
          </cell>
        </row>
        <row r="21">
          <cell r="D21">
            <v>1373</v>
          </cell>
        </row>
        <row r="22">
          <cell r="D22">
            <v>3119</v>
          </cell>
        </row>
        <row r="23">
          <cell r="D23">
            <v>2281</v>
          </cell>
        </row>
        <row r="24">
          <cell r="D24">
            <v>1505</v>
          </cell>
        </row>
        <row r="25">
          <cell r="D25">
            <v>5851</v>
          </cell>
        </row>
        <row r="26">
          <cell r="D26">
            <v>5834</v>
          </cell>
        </row>
        <row r="27">
          <cell r="D27">
            <v>2686</v>
          </cell>
        </row>
        <row r="28">
          <cell r="D28">
            <v>1462</v>
          </cell>
        </row>
        <row r="29">
          <cell r="D29">
            <v>755</v>
          </cell>
        </row>
        <row r="30">
          <cell r="D30">
            <v>2203</v>
          </cell>
        </row>
        <row r="31">
          <cell r="D31">
            <v>3297</v>
          </cell>
        </row>
        <row r="32">
          <cell r="D32">
            <v>1135</v>
          </cell>
        </row>
        <row r="33">
          <cell r="D33">
            <v>1231</v>
          </cell>
        </row>
        <row r="34">
          <cell r="D34">
            <v>1383</v>
          </cell>
        </row>
        <row r="35">
          <cell r="D35">
            <v>1665</v>
          </cell>
        </row>
        <row r="36">
          <cell r="D36">
            <v>2840</v>
          </cell>
        </row>
        <row r="37">
          <cell r="D37">
            <v>2744</v>
          </cell>
        </row>
        <row r="38">
          <cell r="D38">
            <v>1425</v>
          </cell>
        </row>
        <row r="39">
          <cell r="D39">
            <v>3326</v>
          </cell>
        </row>
        <row r="40">
          <cell r="D40">
            <v>2436</v>
          </cell>
        </row>
        <row r="41">
          <cell r="D41">
            <v>0</v>
          </cell>
        </row>
        <row r="42">
          <cell r="D42">
            <v>2681</v>
          </cell>
        </row>
        <row r="43">
          <cell r="D43">
            <v>4055</v>
          </cell>
        </row>
        <row r="44">
          <cell r="D44">
            <v>4849</v>
          </cell>
        </row>
        <row r="45">
          <cell r="D45">
            <v>954</v>
          </cell>
        </row>
        <row r="46">
          <cell r="D46">
            <v>4684</v>
          </cell>
        </row>
        <row r="47">
          <cell r="D47">
            <v>806</v>
          </cell>
        </row>
        <row r="48">
          <cell r="D48">
            <v>2113</v>
          </cell>
        </row>
        <row r="49">
          <cell r="D49">
            <v>4932</v>
          </cell>
        </row>
        <row r="50">
          <cell r="D50">
            <v>342</v>
          </cell>
        </row>
        <row r="51">
          <cell r="D51">
            <v>1771</v>
          </cell>
        </row>
        <row r="52">
          <cell r="D52">
            <v>263</v>
          </cell>
        </row>
        <row r="53">
          <cell r="D53">
            <v>1384</v>
          </cell>
        </row>
        <row r="54">
          <cell r="D54">
            <v>515</v>
          </cell>
        </row>
        <row r="55">
          <cell r="D55">
            <v>5001</v>
          </cell>
        </row>
        <row r="56">
          <cell r="D56">
            <v>49224</v>
          </cell>
        </row>
        <row r="64">
          <cell r="D64">
            <v>2402</v>
          </cell>
        </row>
        <row r="65">
          <cell r="D65">
            <v>853</v>
          </cell>
        </row>
        <row r="66">
          <cell r="D66">
            <v>4888</v>
          </cell>
        </row>
        <row r="67">
          <cell r="D67">
            <v>1179</v>
          </cell>
        </row>
        <row r="68">
          <cell r="D68">
            <v>1511</v>
          </cell>
        </row>
        <row r="69">
          <cell r="D69">
            <v>2776</v>
          </cell>
        </row>
        <row r="70">
          <cell r="D70">
            <v>6503</v>
          </cell>
        </row>
        <row r="71">
          <cell r="D71">
            <v>2049</v>
          </cell>
        </row>
        <row r="72">
          <cell r="D72">
            <v>1898</v>
          </cell>
        </row>
        <row r="73">
          <cell r="D73">
            <v>1450</v>
          </cell>
        </row>
        <row r="74">
          <cell r="D74">
            <v>4426</v>
          </cell>
        </row>
        <row r="75">
          <cell r="D75">
            <v>2696</v>
          </cell>
        </row>
        <row r="76">
          <cell r="D76">
            <v>2941</v>
          </cell>
        </row>
        <row r="77">
          <cell r="D77">
            <v>2006</v>
          </cell>
        </row>
        <row r="78">
          <cell r="D78">
            <v>1522</v>
          </cell>
        </row>
        <row r="79">
          <cell r="D79">
            <v>726</v>
          </cell>
        </row>
        <row r="80">
          <cell r="D80">
            <v>1776</v>
          </cell>
        </row>
        <row r="81">
          <cell r="D81">
            <v>1630</v>
          </cell>
        </row>
        <row r="82">
          <cell r="D82">
            <v>2038</v>
          </cell>
        </row>
        <row r="83">
          <cell r="D83">
            <v>0</v>
          </cell>
        </row>
        <row r="84">
          <cell r="D84">
            <v>1808</v>
          </cell>
        </row>
        <row r="85">
          <cell r="D85">
            <v>1217</v>
          </cell>
        </row>
        <row r="86">
          <cell r="D86">
            <v>4247</v>
          </cell>
        </row>
        <row r="87">
          <cell r="D87">
            <v>1437</v>
          </cell>
        </row>
        <row r="88">
          <cell r="D88">
            <v>3047</v>
          </cell>
        </row>
        <row r="89">
          <cell r="D89">
            <v>9060</v>
          </cell>
        </row>
        <row r="90">
          <cell r="D90">
            <v>5204</v>
          </cell>
        </row>
        <row r="91">
          <cell r="D91">
            <v>509</v>
          </cell>
        </row>
        <row r="92">
          <cell r="D92">
            <v>2403</v>
          </cell>
        </row>
        <row r="93">
          <cell r="D93">
            <v>1264</v>
          </cell>
        </row>
        <row r="94">
          <cell r="D94">
            <v>1173</v>
          </cell>
        </row>
        <row r="95">
          <cell r="D95">
            <v>1298</v>
          </cell>
        </row>
        <row r="96">
          <cell r="D96">
            <v>663</v>
          </cell>
        </row>
        <row r="97">
          <cell r="D97">
            <v>816</v>
          </cell>
        </row>
        <row r="98">
          <cell r="D98">
            <v>665</v>
          </cell>
        </row>
        <row r="99">
          <cell r="D99">
            <v>1177</v>
          </cell>
        </row>
        <row r="100">
          <cell r="D100">
            <v>2001</v>
          </cell>
        </row>
        <row r="101">
          <cell r="D101">
            <v>0</v>
          </cell>
        </row>
        <row r="102">
          <cell r="D102">
            <v>983</v>
          </cell>
        </row>
        <row r="103">
          <cell r="D103">
            <v>276</v>
          </cell>
        </row>
        <row r="104">
          <cell r="D104">
            <v>546</v>
          </cell>
        </row>
        <row r="105">
          <cell r="D105">
            <v>604</v>
          </cell>
        </row>
        <row r="106">
          <cell r="D106">
            <v>1714</v>
          </cell>
        </row>
        <row r="107">
          <cell r="D107">
            <v>397</v>
          </cell>
          <cell r="G107">
            <v>7752</v>
          </cell>
        </row>
        <row r="108">
          <cell r="D108">
            <v>136</v>
          </cell>
          <cell r="G108">
            <v>2747</v>
          </cell>
        </row>
        <row r="109">
          <cell r="D109">
            <v>0</v>
          </cell>
          <cell r="G109">
            <v>4253</v>
          </cell>
        </row>
        <row r="110">
          <cell r="D110">
            <v>820</v>
          </cell>
          <cell r="G110">
            <v>4212</v>
          </cell>
        </row>
        <row r="111">
          <cell r="D111">
            <v>1514</v>
          </cell>
          <cell r="G111">
            <v>2592</v>
          </cell>
        </row>
        <row r="112">
          <cell r="D112">
            <v>2104</v>
          </cell>
          <cell r="G112">
            <v>3013</v>
          </cell>
        </row>
        <row r="113">
          <cell r="D113">
            <v>1207</v>
          </cell>
          <cell r="G113">
            <v>2839</v>
          </cell>
        </row>
        <row r="114">
          <cell r="D114">
            <v>2496</v>
          </cell>
          <cell r="G114">
            <v>4912</v>
          </cell>
        </row>
        <row r="115">
          <cell r="D115">
            <v>2704</v>
          </cell>
        </row>
        <row r="116">
          <cell r="D116">
            <v>1665</v>
          </cell>
        </row>
        <row r="117">
          <cell r="D117">
            <v>8381</v>
          </cell>
        </row>
        <row r="118">
          <cell r="D118">
            <v>4742</v>
          </cell>
          <cell r="G118">
            <v>13119</v>
          </cell>
        </row>
        <row r="119">
          <cell r="D119">
            <v>2697</v>
          </cell>
          <cell r="G119">
            <v>5732</v>
          </cell>
        </row>
        <row r="120">
          <cell r="D120">
            <v>4434</v>
          </cell>
          <cell r="G120">
            <v>6780</v>
          </cell>
        </row>
        <row r="121">
          <cell r="D121">
            <v>1113</v>
          </cell>
          <cell r="G121">
            <v>7599</v>
          </cell>
        </row>
        <row r="122">
          <cell r="D122">
            <v>5878</v>
          </cell>
          <cell r="G122">
            <v>420</v>
          </cell>
        </row>
        <row r="123">
          <cell r="D123">
            <v>2005</v>
          </cell>
          <cell r="G123">
            <v>6692</v>
          </cell>
        </row>
        <row r="124">
          <cell r="D124">
            <v>2824</v>
          </cell>
          <cell r="G124">
            <v>8882</v>
          </cell>
        </row>
        <row r="125">
          <cell r="D125">
            <v>1333</v>
          </cell>
        </row>
        <row r="126">
          <cell r="D126">
            <v>622</v>
          </cell>
        </row>
        <row r="127">
          <cell r="D127">
            <v>2608</v>
          </cell>
        </row>
        <row r="128">
          <cell r="D128">
            <v>6085</v>
          </cell>
          <cell r="G128">
            <v>543</v>
          </cell>
        </row>
        <row r="129">
          <cell r="D129">
            <v>4402</v>
          </cell>
          <cell r="G129">
            <v>1602</v>
          </cell>
        </row>
        <row r="130">
          <cell r="D130">
            <v>20892</v>
          </cell>
          <cell r="G130">
            <v>4649</v>
          </cell>
        </row>
        <row r="131">
          <cell r="G131">
            <v>5641</v>
          </cell>
        </row>
        <row r="132">
          <cell r="G132">
            <v>2077</v>
          </cell>
        </row>
        <row r="133">
          <cell r="G133">
            <v>2106</v>
          </cell>
        </row>
        <row r="134">
          <cell r="G134">
            <v>2236</v>
          </cell>
        </row>
        <row r="135">
          <cell r="G135">
            <v>2038</v>
          </cell>
        </row>
        <row r="139">
          <cell r="D139">
            <v>858</v>
          </cell>
          <cell r="G139">
            <v>1330</v>
          </cell>
        </row>
        <row r="140">
          <cell r="D140">
            <v>221</v>
          </cell>
          <cell r="G140">
            <v>11407</v>
          </cell>
        </row>
        <row r="141">
          <cell r="D141">
            <v>671</v>
          </cell>
          <cell r="G141">
            <v>9238</v>
          </cell>
        </row>
        <row r="142">
          <cell r="D142">
            <v>59</v>
          </cell>
        </row>
        <row r="143">
          <cell r="D143">
            <v>21975</v>
          </cell>
        </row>
        <row r="148">
          <cell r="D148">
            <v>338274</v>
          </cell>
        </row>
      </sheetData>
      <sheetData sheetId="1">
        <row r="11">
          <cell r="H11">
            <v>26768</v>
          </cell>
        </row>
        <row r="20">
          <cell r="H20">
            <v>2071</v>
          </cell>
        </row>
        <row r="21">
          <cell r="H21">
            <v>1394</v>
          </cell>
        </row>
        <row r="22">
          <cell r="H22">
            <v>3022</v>
          </cell>
        </row>
        <row r="23">
          <cell r="H23">
            <v>952</v>
          </cell>
        </row>
        <row r="24">
          <cell r="H24">
            <v>1345</v>
          </cell>
        </row>
        <row r="25">
          <cell r="H25">
            <v>4954</v>
          </cell>
        </row>
        <row r="26">
          <cell r="H26">
            <v>1965</v>
          </cell>
        </row>
        <row r="27">
          <cell r="H27">
            <v>875</v>
          </cell>
        </row>
        <row r="28">
          <cell r="H28">
            <v>1666</v>
          </cell>
        </row>
        <row r="29">
          <cell r="H29">
            <v>838</v>
          </cell>
        </row>
        <row r="30">
          <cell r="H30">
            <v>1855</v>
          </cell>
        </row>
        <row r="31">
          <cell r="H31">
            <v>3245</v>
          </cell>
        </row>
        <row r="32">
          <cell r="H32">
            <v>1223</v>
          </cell>
        </row>
        <row r="33">
          <cell r="H33">
            <v>1328</v>
          </cell>
        </row>
        <row r="34">
          <cell r="H34">
            <v>1218</v>
          </cell>
        </row>
        <row r="35">
          <cell r="H35">
            <v>1576</v>
          </cell>
        </row>
        <row r="36">
          <cell r="H36">
            <v>2473</v>
          </cell>
        </row>
        <row r="37">
          <cell r="H37">
            <v>2699</v>
          </cell>
        </row>
        <row r="38">
          <cell r="H38">
            <v>1604</v>
          </cell>
        </row>
        <row r="39">
          <cell r="H39">
            <v>3895</v>
          </cell>
        </row>
        <row r="40">
          <cell r="H40">
            <v>2090</v>
          </cell>
        </row>
        <row r="41">
          <cell r="H41">
            <v>0</v>
          </cell>
        </row>
        <row r="42">
          <cell r="H42">
            <v>2510</v>
          </cell>
        </row>
        <row r="43">
          <cell r="H43">
            <v>3953</v>
          </cell>
        </row>
        <row r="44">
          <cell r="H44">
            <v>4217</v>
          </cell>
        </row>
        <row r="45">
          <cell r="H45">
            <v>3907</v>
          </cell>
        </row>
        <row r="46">
          <cell r="H46">
            <v>958</v>
          </cell>
        </row>
        <row r="47">
          <cell r="H47">
            <v>2092</v>
          </cell>
        </row>
        <row r="48">
          <cell r="H48">
            <v>629</v>
          </cell>
        </row>
        <row r="49">
          <cell r="H49">
            <v>4231</v>
          </cell>
        </row>
        <row r="50">
          <cell r="H50">
            <v>1587</v>
          </cell>
        </row>
        <row r="51">
          <cell r="H51">
            <v>406</v>
          </cell>
        </row>
        <row r="52">
          <cell r="H52">
            <v>1080</v>
          </cell>
        </row>
        <row r="53">
          <cell r="H53">
            <v>279</v>
          </cell>
        </row>
        <row r="54">
          <cell r="H54">
            <v>3920</v>
          </cell>
        </row>
        <row r="55">
          <cell r="H55">
            <v>463</v>
          </cell>
        </row>
        <row r="56">
          <cell r="H56">
            <v>42554</v>
          </cell>
        </row>
        <row r="63">
          <cell r="H63">
            <v>2351</v>
          </cell>
        </row>
        <row r="64">
          <cell r="H64">
            <v>890</v>
          </cell>
        </row>
        <row r="65">
          <cell r="H65">
            <v>4526</v>
          </cell>
        </row>
        <row r="66">
          <cell r="H66">
            <v>962</v>
          </cell>
        </row>
        <row r="67">
          <cell r="H67">
            <v>988</v>
          </cell>
        </row>
        <row r="68">
          <cell r="H68">
            <v>3630</v>
          </cell>
        </row>
        <row r="69">
          <cell r="H69">
            <v>6688</v>
          </cell>
        </row>
        <row r="70">
          <cell r="H70">
            <v>2071</v>
          </cell>
        </row>
        <row r="71">
          <cell r="H71">
            <v>2113</v>
          </cell>
        </row>
        <row r="72">
          <cell r="H72">
            <v>1586</v>
          </cell>
        </row>
        <row r="73">
          <cell r="H73">
            <v>3860</v>
          </cell>
        </row>
        <row r="74">
          <cell r="H74">
            <v>2760</v>
          </cell>
        </row>
        <row r="75">
          <cell r="H75">
            <v>2971</v>
          </cell>
        </row>
        <row r="76">
          <cell r="H76">
            <v>1650</v>
          </cell>
        </row>
        <row r="77">
          <cell r="H77">
            <v>1408</v>
          </cell>
        </row>
        <row r="78">
          <cell r="H78">
            <v>614</v>
          </cell>
        </row>
        <row r="79">
          <cell r="H79">
            <v>1762</v>
          </cell>
        </row>
        <row r="80">
          <cell r="H80">
            <v>1812</v>
          </cell>
        </row>
        <row r="81">
          <cell r="H81">
            <v>2010</v>
          </cell>
        </row>
        <row r="82">
          <cell r="H82">
            <v>0</v>
          </cell>
        </row>
        <row r="83">
          <cell r="H83">
            <v>1936</v>
          </cell>
        </row>
        <row r="84">
          <cell r="H84">
            <v>1414</v>
          </cell>
        </row>
        <row r="85">
          <cell r="H85">
            <v>3863</v>
          </cell>
        </row>
        <row r="86">
          <cell r="H86">
            <v>1198</v>
          </cell>
        </row>
        <row r="87">
          <cell r="H87">
            <v>2193</v>
          </cell>
        </row>
        <row r="88">
          <cell r="H88">
            <v>7836</v>
          </cell>
        </row>
        <row r="89">
          <cell r="H89">
            <v>3762</v>
          </cell>
        </row>
        <row r="90">
          <cell r="H90">
            <v>470</v>
          </cell>
        </row>
        <row r="91">
          <cell r="H91">
            <v>1738</v>
          </cell>
        </row>
        <row r="92">
          <cell r="H92">
            <v>2970</v>
          </cell>
        </row>
        <row r="93">
          <cell r="H93">
            <v>453</v>
          </cell>
        </row>
        <row r="94">
          <cell r="H94">
            <v>1111</v>
          </cell>
        </row>
        <row r="95">
          <cell r="H95">
            <v>726</v>
          </cell>
        </row>
        <row r="96">
          <cell r="H96">
            <v>733</v>
          </cell>
        </row>
        <row r="97">
          <cell r="H97">
            <v>518</v>
          </cell>
        </row>
        <row r="98">
          <cell r="H98">
            <v>1066</v>
          </cell>
        </row>
        <row r="99">
          <cell r="H99">
            <v>1568</v>
          </cell>
        </row>
        <row r="100">
          <cell r="H100">
            <v>0</v>
          </cell>
        </row>
        <row r="101">
          <cell r="H101">
            <v>654</v>
          </cell>
        </row>
        <row r="102">
          <cell r="H102">
            <v>159</v>
          </cell>
        </row>
        <row r="103">
          <cell r="H103">
            <v>411</v>
          </cell>
        </row>
        <row r="104">
          <cell r="H104">
            <v>282</v>
          </cell>
        </row>
        <row r="105">
          <cell r="H105">
            <v>1663</v>
          </cell>
        </row>
        <row r="106">
          <cell r="H106">
            <v>376</v>
          </cell>
        </row>
        <row r="107">
          <cell r="H107">
            <v>44</v>
          </cell>
        </row>
        <row r="108">
          <cell r="H108">
            <v>0</v>
          </cell>
        </row>
        <row r="109">
          <cell r="H109">
            <v>661</v>
          </cell>
        </row>
        <row r="110">
          <cell r="H110">
            <v>1487</v>
          </cell>
        </row>
        <row r="111">
          <cell r="H111">
            <v>2173</v>
          </cell>
        </row>
        <row r="112">
          <cell r="H112">
            <v>1236</v>
          </cell>
        </row>
        <row r="113">
          <cell r="H113">
            <v>2322</v>
          </cell>
        </row>
        <row r="114">
          <cell r="H114">
            <v>3030</v>
          </cell>
        </row>
        <row r="115">
          <cell r="H115">
            <v>1062</v>
          </cell>
        </row>
        <row r="116">
          <cell r="H116">
            <v>7150</v>
          </cell>
        </row>
        <row r="117">
          <cell r="H117">
            <v>4711</v>
          </cell>
        </row>
        <row r="118">
          <cell r="H118">
            <v>2427</v>
          </cell>
        </row>
        <row r="119">
          <cell r="H119">
            <v>1111</v>
          </cell>
        </row>
        <row r="120">
          <cell r="H120">
            <v>3467</v>
          </cell>
        </row>
        <row r="121">
          <cell r="H121">
            <v>2609</v>
          </cell>
        </row>
        <row r="122">
          <cell r="H122">
            <v>2128</v>
          </cell>
        </row>
        <row r="123">
          <cell r="H123">
            <v>2285</v>
          </cell>
        </row>
        <row r="124">
          <cell r="H124">
            <v>1226</v>
          </cell>
        </row>
        <row r="125">
          <cell r="H125">
            <v>597</v>
          </cell>
        </row>
        <row r="126">
          <cell r="H126">
            <v>1952</v>
          </cell>
        </row>
        <row r="127">
          <cell r="H127">
            <v>5550</v>
          </cell>
        </row>
        <row r="128">
          <cell r="H128">
            <v>3307</v>
          </cell>
        </row>
        <row r="129">
          <cell r="H129">
            <v>15631</v>
          </cell>
        </row>
        <row r="138">
          <cell r="H138">
            <v>107</v>
          </cell>
        </row>
        <row r="139">
          <cell r="H139">
            <v>666</v>
          </cell>
        </row>
        <row r="140">
          <cell r="H140">
            <v>71</v>
          </cell>
        </row>
        <row r="141">
          <cell r="H141">
            <v>609</v>
          </cell>
        </row>
        <row r="142">
          <cell r="H142">
            <v>16783</v>
          </cell>
        </row>
        <row r="147">
          <cell r="D147">
            <v>4040</v>
          </cell>
          <cell r="E147">
            <v>37142</v>
          </cell>
          <cell r="F147">
            <v>256361</v>
          </cell>
          <cell r="G147">
            <v>745</v>
          </cell>
        </row>
        <row r="150">
          <cell r="C150">
            <v>6624</v>
          </cell>
          <cell r="E150">
            <v>1254</v>
          </cell>
          <cell r="G150">
            <v>12371</v>
          </cell>
        </row>
        <row r="151">
          <cell r="C151">
            <v>1841</v>
          </cell>
          <cell r="E151">
            <v>572</v>
          </cell>
          <cell r="G151">
            <v>1844</v>
          </cell>
        </row>
        <row r="152">
          <cell r="C152">
            <v>3092</v>
          </cell>
          <cell r="E152">
            <v>3312</v>
          </cell>
          <cell r="G152">
            <v>101</v>
          </cell>
        </row>
        <row r="153">
          <cell r="C153">
            <v>3475</v>
          </cell>
          <cell r="E153">
            <v>3439</v>
          </cell>
          <cell r="G153">
            <v>8771</v>
          </cell>
        </row>
        <row r="154">
          <cell r="C154">
            <v>1966</v>
          </cell>
          <cell r="E154">
            <v>1422</v>
          </cell>
          <cell r="G154">
            <v>11426</v>
          </cell>
        </row>
        <row r="155">
          <cell r="C155">
            <v>2487</v>
          </cell>
          <cell r="E155">
            <v>1878</v>
          </cell>
          <cell r="G155">
            <v>8041</v>
          </cell>
        </row>
        <row r="156">
          <cell r="C156">
            <v>1907</v>
          </cell>
          <cell r="E156">
            <v>2421</v>
          </cell>
        </row>
        <row r="157">
          <cell r="C157">
            <v>5376</v>
          </cell>
          <cell r="E157">
            <v>1333</v>
          </cell>
        </row>
        <row r="161">
          <cell r="C161">
            <v>1295</v>
          </cell>
        </row>
        <row r="162">
          <cell r="C162">
            <v>3</v>
          </cell>
        </row>
        <row r="163">
          <cell r="C163">
            <v>15485</v>
          </cell>
        </row>
        <row r="171">
          <cell r="H171">
            <v>0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60626</v>
          </cell>
        </row>
        <row r="23">
          <cell r="D23">
            <v>2746</v>
          </cell>
        </row>
        <row r="24">
          <cell r="D24">
            <v>5323</v>
          </cell>
          <cell r="G24">
            <v>8388</v>
          </cell>
        </row>
        <row r="25">
          <cell r="D25">
            <v>6332</v>
          </cell>
          <cell r="G25">
            <v>345</v>
          </cell>
        </row>
        <row r="26">
          <cell r="D26">
            <v>7257</v>
          </cell>
          <cell r="G26">
            <v>0</v>
          </cell>
        </row>
        <row r="27">
          <cell r="D27">
            <v>2232</v>
          </cell>
          <cell r="G27">
            <v>19771</v>
          </cell>
        </row>
        <row r="28">
          <cell r="D28">
            <v>9083</v>
          </cell>
          <cell r="G28">
            <v>226</v>
          </cell>
        </row>
        <row r="29">
          <cell r="D29">
            <v>16916</v>
          </cell>
          <cell r="G29">
            <v>0</v>
          </cell>
        </row>
        <row r="30">
          <cell r="D30">
            <v>9634</v>
          </cell>
          <cell r="G30">
            <v>0</v>
          </cell>
        </row>
        <row r="31">
          <cell r="D31">
            <v>2243</v>
          </cell>
          <cell r="G31">
            <v>18806</v>
          </cell>
        </row>
        <row r="32">
          <cell r="D32">
            <v>4348</v>
          </cell>
          <cell r="G32">
            <v>280</v>
          </cell>
        </row>
        <row r="33">
          <cell r="D33">
            <v>6053</v>
          </cell>
          <cell r="G33">
            <v>12644</v>
          </cell>
        </row>
        <row r="34">
          <cell r="D34">
            <v>8604</v>
          </cell>
          <cell r="G34">
            <v>166</v>
          </cell>
        </row>
        <row r="35">
          <cell r="D35">
            <v>6497</v>
          </cell>
        </row>
        <row r="36">
          <cell r="D36">
            <v>2267</v>
          </cell>
        </row>
        <row r="37">
          <cell r="D37">
            <v>5094</v>
          </cell>
        </row>
        <row r="38">
          <cell r="D38">
            <v>3535</v>
          </cell>
          <cell r="G38">
            <v>10818</v>
          </cell>
        </row>
        <row r="39">
          <cell r="D39">
            <v>4439</v>
          </cell>
          <cell r="G39">
            <v>599</v>
          </cell>
        </row>
        <row r="40">
          <cell r="D40">
            <v>7151</v>
          </cell>
          <cell r="G40">
            <v>959</v>
          </cell>
        </row>
        <row r="41">
          <cell r="D41">
            <v>4016</v>
          </cell>
          <cell r="G41">
            <v>19294</v>
          </cell>
        </row>
        <row r="42">
          <cell r="D42">
            <v>8170</v>
          </cell>
          <cell r="G42">
            <v>0</v>
          </cell>
        </row>
        <row r="43">
          <cell r="D43">
            <v>3748</v>
          </cell>
          <cell r="G43">
            <v>471</v>
          </cell>
        </row>
        <row r="44">
          <cell r="D44">
            <v>9747</v>
          </cell>
          <cell r="G44">
            <v>12549</v>
          </cell>
        </row>
        <row r="45">
          <cell r="D45">
            <v>7366</v>
          </cell>
        </row>
        <row r="46">
          <cell r="D46">
            <v>9624</v>
          </cell>
        </row>
        <row r="47">
          <cell r="D47">
            <v>2848</v>
          </cell>
        </row>
        <row r="48">
          <cell r="D48">
            <v>7572</v>
          </cell>
          <cell r="G48">
            <v>11191</v>
          </cell>
        </row>
        <row r="49">
          <cell r="D49">
            <v>8831</v>
          </cell>
          <cell r="G49">
            <v>144</v>
          </cell>
        </row>
        <row r="50">
          <cell r="D50">
            <v>3334</v>
          </cell>
          <cell r="G50">
            <v>192</v>
          </cell>
        </row>
        <row r="51">
          <cell r="D51">
            <v>5564</v>
          </cell>
          <cell r="G51">
            <v>360</v>
          </cell>
        </row>
        <row r="52">
          <cell r="D52">
            <v>1650</v>
          </cell>
          <cell r="G52">
            <v>32052</v>
          </cell>
        </row>
        <row r="53">
          <cell r="D53">
            <v>5406</v>
          </cell>
          <cell r="G53">
            <v>16854</v>
          </cell>
        </row>
        <row r="54">
          <cell r="D54">
            <v>6981</v>
          </cell>
          <cell r="G54">
            <v>0</v>
          </cell>
        </row>
        <row r="55">
          <cell r="D55">
            <v>3016</v>
          </cell>
        </row>
        <row r="56">
          <cell r="D56">
            <v>4901</v>
          </cell>
        </row>
        <row r="57">
          <cell r="D57">
            <v>3315</v>
          </cell>
        </row>
        <row r="58">
          <cell r="D58">
            <v>151</v>
          </cell>
        </row>
        <row r="59">
          <cell r="D59">
            <v>2531</v>
          </cell>
        </row>
        <row r="60">
          <cell r="D60">
            <v>5296</v>
          </cell>
        </row>
        <row r="61">
          <cell r="D61">
            <v>6083</v>
          </cell>
        </row>
        <row r="62">
          <cell r="D62">
            <v>1676</v>
          </cell>
        </row>
        <row r="63">
          <cell r="D63">
            <v>4058</v>
          </cell>
        </row>
        <row r="64">
          <cell r="D64">
            <v>10732</v>
          </cell>
        </row>
        <row r="65">
          <cell r="D65">
            <v>44690</v>
          </cell>
        </row>
        <row r="73">
          <cell r="D73">
            <v>60793</v>
          </cell>
        </row>
        <row r="81">
          <cell r="D81">
            <v>6313</v>
          </cell>
        </row>
        <row r="82">
          <cell r="D82">
            <v>9029</v>
          </cell>
        </row>
        <row r="83">
          <cell r="D83">
            <v>1170</v>
          </cell>
        </row>
        <row r="84">
          <cell r="D84">
            <v>1181</v>
          </cell>
        </row>
        <row r="85">
          <cell r="D85">
            <v>1367</v>
          </cell>
        </row>
        <row r="86">
          <cell r="D86">
            <v>2905</v>
          </cell>
        </row>
        <row r="87">
          <cell r="D87">
            <v>3760</v>
          </cell>
        </row>
        <row r="88">
          <cell r="D88">
            <v>4113</v>
          </cell>
        </row>
        <row r="89">
          <cell r="D89">
            <v>2473</v>
          </cell>
        </row>
        <row r="90">
          <cell r="D90">
            <v>9027</v>
          </cell>
        </row>
        <row r="91">
          <cell r="D91">
            <v>6998</v>
          </cell>
        </row>
        <row r="92">
          <cell r="D92">
            <v>4625</v>
          </cell>
        </row>
        <row r="93">
          <cell r="D93">
            <v>4521</v>
          </cell>
        </row>
        <row r="94">
          <cell r="D94">
            <v>5276</v>
          </cell>
        </row>
        <row r="95">
          <cell r="D95">
            <v>1326</v>
          </cell>
        </row>
        <row r="96">
          <cell r="D96">
            <v>466563</v>
          </cell>
        </row>
      </sheetData>
      <sheetData sheetId="1">
        <row r="11">
          <cell r="H11">
            <v>58718</v>
          </cell>
        </row>
        <row r="23">
          <cell r="H23">
            <v>4900</v>
          </cell>
        </row>
        <row r="24">
          <cell r="H24">
            <v>3452</v>
          </cell>
        </row>
        <row r="25">
          <cell r="H25">
            <v>9584</v>
          </cell>
        </row>
        <row r="26">
          <cell r="H26">
            <v>3940</v>
          </cell>
        </row>
        <row r="27">
          <cell r="H27">
            <v>2688</v>
          </cell>
        </row>
        <row r="28">
          <cell r="H28">
            <v>10517</v>
          </cell>
        </row>
        <row r="29">
          <cell r="H29">
            <v>16687</v>
          </cell>
        </row>
        <row r="30">
          <cell r="H30">
            <v>9353</v>
          </cell>
        </row>
        <row r="31">
          <cell r="H31">
            <v>2647</v>
          </cell>
        </row>
        <row r="32">
          <cell r="H32">
            <v>4036</v>
          </cell>
        </row>
        <row r="33">
          <cell r="H33">
            <v>6996</v>
          </cell>
        </row>
        <row r="34">
          <cell r="H34">
            <v>7941</v>
          </cell>
        </row>
        <row r="35">
          <cell r="H35">
            <v>6918</v>
          </cell>
        </row>
        <row r="36">
          <cell r="H36">
            <v>2230</v>
          </cell>
        </row>
        <row r="37">
          <cell r="H37">
            <v>4611</v>
          </cell>
        </row>
        <row r="38">
          <cell r="H38">
            <v>3423</v>
          </cell>
        </row>
        <row r="39">
          <cell r="H39">
            <v>4647</v>
          </cell>
        </row>
        <row r="40">
          <cell r="H40">
            <v>7032</v>
          </cell>
        </row>
        <row r="41">
          <cell r="H41">
            <v>4205</v>
          </cell>
        </row>
        <row r="42">
          <cell r="H42">
            <v>8196</v>
          </cell>
        </row>
        <row r="43">
          <cell r="H43">
            <v>3088</v>
          </cell>
        </row>
        <row r="44">
          <cell r="H44">
            <v>8963</v>
          </cell>
        </row>
        <row r="45">
          <cell r="H45">
            <v>6248</v>
          </cell>
        </row>
        <row r="46">
          <cell r="H46">
            <v>9972</v>
          </cell>
        </row>
        <row r="47">
          <cell r="H47">
            <v>2003</v>
          </cell>
        </row>
        <row r="48">
          <cell r="H48">
            <v>7568</v>
          </cell>
        </row>
        <row r="49">
          <cell r="H49">
            <v>9277</v>
          </cell>
        </row>
        <row r="50">
          <cell r="H50">
            <v>3003</v>
          </cell>
        </row>
        <row r="51">
          <cell r="H51">
            <v>5696</v>
          </cell>
        </row>
        <row r="52">
          <cell r="H52">
            <v>1969</v>
          </cell>
        </row>
        <row r="53">
          <cell r="H53">
            <v>5691</v>
          </cell>
        </row>
        <row r="54">
          <cell r="H54">
            <v>6909</v>
          </cell>
        </row>
        <row r="55">
          <cell r="H55">
            <v>3246</v>
          </cell>
        </row>
        <row r="56">
          <cell r="H56">
            <v>4323</v>
          </cell>
        </row>
        <row r="57">
          <cell r="H57">
            <v>3855</v>
          </cell>
        </row>
        <row r="58">
          <cell r="H58">
            <v>2762</v>
          </cell>
        </row>
        <row r="59">
          <cell r="H59">
            <v>1</v>
          </cell>
        </row>
        <row r="60">
          <cell r="H60">
            <v>4748</v>
          </cell>
        </row>
        <row r="61">
          <cell r="H61">
            <v>5770</v>
          </cell>
        </row>
        <row r="62">
          <cell r="H62">
            <v>2144</v>
          </cell>
        </row>
        <row r="63">
          <cell r="H63">
            <v>4476</v>
          </cell>
        </row>
        <row r="64">
          <cell r="H64">
            <v>9011</v>
          </cell>
        </row>
        <row r="65">
          <cell r="H65">
            <v>53530</v>
          </cell>
        </row>
        <row r="73">
          <cell r="H73">
            <v>63852</v>
          </cell>
        </row>
        <row r="81">
          <cell r="H81">
            <v>8017</v>
          </cell>
        </row>
        <row r="82">
          <cell r="H82">
            <v>8479</v>
          </cell>
        </row>
        <row r="83">
          <cell r="H83">
            <v>1950</v>
          </cell>
        </row>
        <row r="84">
          <cell r="H84">
            <v>1255</v>
          </cell>
        </row>
        <row r="85">
          <cell r="H85">
            <v>2235</v>
          </cell>
        </row>
        <row r="86">
          <cell r="H86">
            <v>2860</v>
          </cell>
        </row>
        <row r="87">
          <cell r="H87">
            <v>3784</v>
          </cell>
        </row>
        <row r="88">
          <cell r="H88">
            <v>4312</v>
          </cell>
        </row>
        <row r="89">
          <cell r="H89">
            <v>2373</v>
          </cell>
        </row>
        <row r="90">
          <cell r="H90">
            <v>8187</v>
          </cell>
        </row>
        <row r="91">
          <cell r="H91">
            <v>6353</v>
          </cell>
        </row>
        <row r="92">
          <cell r="H92">
            <v>4972</v>
          </cell>
        </row>
        <row r="93">
          <cell r="H93">
            <v>4553</v>
          </cell>
        </row>
        <row r="94">
          <cell r="H94">
            <v>4437</v>
          </cell>
        </row>
        <row r="95">
          <cell r="H95">
            <v>1392</v>
          </cell>
        </row>
        <row r="96">
          <cell r="D96">
            <v>380</v>
          </cell>
          <cell r="E96">
            <v>95828</v>
          </cell>
          <cell r="F96">
            <v>378370</v>
          </cell>
          <cell r="G96">
            <v>1407</v>
          </cell>
        </row>
        <row r="99">
          <cell r="C99">
            <v>9236</v>
          </cell>
          <cell r="F99">
            <v>18239</v>
          </cell>
        </row>
        <row r="100">
          <cell r="C100">
            <v>238</v>
          </cell>
          <cell r="F100">
            <v>469</v>
          </cell>
        </row>
        <row r="101">
          <cell r="C101">
            <v>0</v>
          </cell>
          <cell r="F101">
            <v>15842</v>
          </cell>
        </row>
        <row r="102">
          <cell r="C102">
            <v>3843</v>
          </cell>
          <cell r="F102">
            <v>1082</v>
          </cell>
        </row>
        <row r="103">
          <cell r="C103">
            <v>17264</v>
          </cell>
          <cell r="F103">
            <v>0</v>
          </cell>
        </row>
        <row r="104">
          <cell r="C104">
            <v>0</v>
          </cell>
          <cell r="F104">
            <v>16687</v>
          </cell>
        </row>
        <row r="105">
          <cell r="C105">
            <v>0</v>
          </cell>
          <cell r="F105">
            <v>1211</v>
          </cell>
        </row>
        <row r="106">
          <cell r="C106">
            <v>1991</v>
          </cell>
        </row>
        <row r="107">
          <cell r="C107">
            <v>17138</v>
          </cell>
        </row>
        <row r="108">
          <cell r="C108">
            <v>1208</v>
          </cell>
        </row>
        <row r="109">
          <cell r="C109">
            <v>7800</v>
          </cell>
        </row>
        <row r="113">
          <cell r="C113">
            <v>11628</v>
          </cell>
        </row>
        <row r="114">
          <cell r="C114">
            <v>67</v>
          </cell>
        </row>
        <row r="115">
          <cell r="C115">
            <v>19781</v>
          </cell>
        </row>
        <row r="116">
          <cell r="C116">
            <v>25834</v>
          </cell>
        </row>
        <row r="117">
          <cell r="C117">
            <v>6067</v>
          </cell>
        </row>
        <row r="118">
          <cell r="C118">
            <v>475</v>
          </cell>
        </row>
        <row r="119">
          <cell r="C119">
            <v>0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62704</v>
          </cell>
        </row>
        <row r="23">
          <cell r="D23">
            <v>2700</v>
          </cell>
        </row>
        <row r="24">
          <cell r="D24">
            <v>5488</v>
          </cell>
          <cell r="G24">
            <v>8532</v>
          </cell>
        </row>
        <row r="25">
          <cell r="D25">
            <v>6218</v>
          </cell>
          <cell r="G25">
            <v>332</v>
          </cell>
        </row>
        <row r="26">
          <cell r="D26">
            <v>7143</v>
          </cell>
          <cell r="G26">
            <v>0</v>
          </cell>
        </row>
        <row r="27">
          <cell r="D27">
            <v>2329</v>
          </cell>
          <cell r="G27">
            <v>22341</v>
          </cell>
        </row>
        <row r="28">
          <cell r="D28">
            <v>9575</v>
          </cell>
          <cell r="G28">
            <v>198</v>
          </cell>
        </row>
        <row r="29">
          <cell r="D29">
            <v>13529</v>
          </cell>
          <cell r="G29">
            <v>0</v>
          </cell>
        </row>
        <row r="30">
          <cell r="D30">
            <v>10014</v>
          </cell>
          <cell r="G30">
            <v>0</v>
          </cell>
        </row>
        <row r="31">
          <cell r="D31">
            <v>2238</v>
          </cell>
          <cell r="G31">
            <v>18367</v>
          </cell>
        </row>
        <row r="32">
          <cell r="D32">
            <v>4507</v>
          </cell>
          <cell r="G32">
            <v>219</v>
          </cell>
        </row>
        <row r="33">
          <cell r="D33">
            <v>6142</v>
          </cell>
          <cell r="G33">
            <v>12598</v>
          </cell>
        </row>
        <row r="34">
          <cell r="D34">
            <v>8742</v>
          </cell>
          <cell r="G34">
            <v>117</v>
          </cell>
        </row>
        <row r="35">
          <cell r="D35">
            <v>6482</v>
          </cell>
        </row>
        <row r="36">
          <cell r="D36">
            <v>2214</v>
          </cell>
        </row>
        <row r="37">
          <cell r="D37">
            <v>4911</v>
          </cell>
        </row>
        <row r="38">
          <cell r="D38">
            <v>3536</v>
          </cell>
          <cell r="G38">
            <v>10211</v>
          </cell>
        </row>
        <row r="39">
          <cell r="D39">
            <v>4553</v>
          </cell>
          <cell r="G39">
            <v>553</v>
          </cell>
        </row>
        <row r="40">
          <cell r="D40">
            <v>7385</v>
          </cell>
          <cell r="G40">
            <v>864</v>
          </cell>
        </row>
        <row r="41">
          <cell r="D41">
            <v>4189</v>
          </cell>
          <cell r="G41">
            <v>19438</v>
          </cell>
        </row>
        <row r="42">
          <cell r="D42">
            <v>8196</v>
          </cell>
          <cell r="G42">
            <v>0</v>
          </cell>
        </row>
        <row r="43">
          <cell r="D43">
            <v>3728</v>
          </cell>
          <cell r="G43">
            <v>460</v>
          </cell>
        </row>
        <row r="44">
          <cell r="D44">
            <v>9970</v>
          </cell>
          <cell r="G44">
            <v>12426</v>
          </cell>
        </row>
        <row r="45">
          <cell r="D45">
            <v>7840</v>
          </cell>
        </row>
        <row r="46">
          <cell r="D46">
            <v>9451</v>
          </cell>
        </row>
        <row r="47">
          <cell r="D47">
            <v>2920</v>
          </cell>
        </row>
        <row r="48">
          <cell r="D48">
            <v>7445</v>
          </cell>
          <cell r="G48">
            <v>11265</v>
          </cell>
        </row>
        <row r="49">
          <cell r="D49">
            <v>8933</v>
          </cell>
          <cell r="G49">
            <v>122</v>
          </cell>
        </row>
        <row r="50">
          <cell r="D50">
            <v>3301</v>
          </cell>
          <cell r="G50">
            <v>215</v>
          </cell>
        </row>
        <row r="51">
          <cell r="D51">
            <v>5731</v>
          </cell>
          <cell r="G51">
            <v>392</v>
          </cell>
        </row>
        <row r="52">
          <cell r="D52">
            <v>1708</v>
          </cell>
          <cell r="G52">
            <v>32011</v>
          </cell>
        </row>
        <row r="53">
          <cell r="D53">
            <v>5555</v>
          </cell>
          <cell r="G53">
            <v>16587</v>
          </cell>
        </row>
        <row r="54">
          <cell r="D54">
            <v>7273</v>
          </cell>
          <cell r="G54">
            <v>0</v>
          </cell>
        </row>
        <row r="55">
          <cell r="D55">
            <v>2899</v>
          </cell>
        </row>
        <row r="56">
          <cell r="D56">
            <v>5004</v>
          </cell>
        </row>
        <row r="57">
          <cell r="D57">
            <v>3111</v>
          </cell>
        </row>
        <row r="58">
          <cell r="D58">
            <v>162</v>
          </cell>
        </row>
        <row r="59">
          <cell r="D59">
            <v>2618</v>
          </cell>
        </row>
        <row r="60">
          <cell r="D60">
            <v>5263</v>
          </cell>
        </row>
        <row r="61">
          <cell r="D61">
            <v>6087</v>
          </cell>
        </row>
        <row r="62">
          <cell r="D62">
            <v>1684</v>
          </cell>
        </row>
        <row r="63">
          <cell r="D63">
            <v>4031</v>
          </cell>
        </row>
        <row r="64">
          <cell r="D64">
            <v>10722</v>
          </cell>
        </row>
        <row r="65">
          <cell r="D65">
            <v>43952</v>
          </cell>
        </row>
        <row r="73">
          <cell r="D73">
            <v>60592</v>
          </cell>
        </row>
        <row r="81">
          <cell r="D81">
            <v>6211</v>
          </cell>
        </row>
        <row r="82">
          <cell r="D82">
            <v>8962</v>
          </cell>
        </row>
        <row r="83">
          <cell r="D83">
            <v>1277</v>
          </cell>
        </row>
        <row r="84">
          <cell r="D84">
            <v>1244</v>
          </cell>
        </row>
        <row r="85">
          <cell r="D85">
            <v>1310</v>
          </cell>
        </row>
        <row r="86">
          <cell r="D86">
            <v>3008</v>
          </cell>
        </row>
        <row r="87">
          <cell r="D87">
            <v>3856</v>
          </cell>
        </row>
        <row r="88">
          <cell r="D88">
            <v>4172</v>
          </cell>
        </row>
        <row r="89">
          <cell r="D89">
            <v>2695</v>
          </cell>
        </row>
        <row r="90">
          <cell r="D90">
            <v>8797</v>
          </cell>
        </row>
        <row r="91">
          <cell r="D91">
            <v>6745</v>
          </cell>
        </row>
        <row r="92">
          <cell r="D92">
            <v>4618</v>
          </cell>
        </row>
        <row r="93">
          <cell r="D93">
            <v>4905</v>
          </cell>
        </row>
        <row r="94">
          <cell r="D94">
            <v>5018</v>
          </cell>
        </row>
        <row r="95">
          <cell r="D95">
            <v>1311</v>
          </cell>
        </row>
        <row r="96">
          <cell r="D96">
            <v>466904</v>
          </cell>
        </row>
      </sheetData>
      <sheetData sheetId="1">
        <row r="11">
          <cell r="H11">
            <v>59283</v>
          </cell>
        </row>
        <row r="23">
          <cell r="H23">
            <v>4975</v>
          </cell>
        </row>
        <row r="24">
          <cell r="H24">
            <v>3453</v>
          </cell>
        </row>
        <row r="25">
          <cell r="H25">
            <v>9577</v>
          </cell>
        </row>
        <row r="26">
          <cell r="H26">
            <v>3832</v>
          </cell>
        </row>
        <row r="27">
          <cell r="H27">
            <v>2691</v>
          </cell>
        </row>
        <row r="28">
          <cell r="H28">
            <v>10590</v>
          </cell>
        </row>
        <row r="29">
          <cell r="H29">
            <v>16990</v>
          </cell>
        </row>
        <row r="30">
          <cell r="H30">
            <v>9316</v>
          </cell>
        </row>
        <row r="31">
          <cell r="H31">
            <v>2665</v>
          </cell>
        </row>
        <row r="32">
          <cell r="H32">
            <v>4168</v>
          </cell>
        </row>
        <row r="33">
          <cell r="H33">
            <v>7009</v>
          </cell>
        </row>
        <row r="34">
          <cell r="H34">
            <v>7491</v>
          </cell>
        </row>
        <row r="35">
          <cell r="H35">
            <v>7116</v>
          </cell>
        </row>
        <row r="36">
          <cell r="H36">
            <v>2146</v>
          </cell>
        </row>
        <row r="37">
          <cell r="H37">
            <v>4584</v>
          </cell>
        </row>
        <row r="38">
          <cell r="H38">
            <v>3234</v>
          </cell>
        </row>
        <row r="39">
          <cell r="H39">
            <v>4535</v>
          </cell>
        </row>
        <row r="40">
          <cell r="H40">
            <v>7046</v>
          </cell>
        </row>
        <row r="41">
          <cell r="H41">
            <v>4022</v>
          </cell>
        </row>
        <row r="42">
          <cell r="H42">
            <v>8081</v>
          </cell>
        </row>
        <row r="43">
          <cell r="H43">
            <v>2888</v>
          </cell>
        </row>
        <row r="44">
          <cell r="H44">
            <v>9129</v>
          </cell>
        </row>
        <row r="45">
          <cell r="H45">
            <v>6244</v>
          </cell>
        </row>
        <row r="46">
          <cell r="H46">
            <v>9778</v>
          </cell>
        </row>
        <row r="47">
          <cell r="H47">
            <v>2060</v>
          </cell>
        </row>
        <row r="48">
          <cell r="H48">
            <v>7170</v>
          </cell>
        </row>
        <row r="49">
          <cell r="H49">
            <v>9316</v>
          </cell>
        </row>
        <row r="50">
          <cell r="H50">
            <v>3023</v>
          </cell>
        </row>
        <row r="51">
          <cell r="H51">
            <v>5638</v>
          </cell>
        </row>
        <row r="52">
          <cell r="H52">
            <v>1973</v>
          </cell>
        </row>
        <row r="53">
          <cell r="H53">
            <v>5728</v>
          </cell>
        </row>
        <row r="54">
          <cell r="H54">
            <v>7044</v>
          </cell>
        </row>
        <row r="55">
          <cell r="H55">
            <v>3238</v>
          </cell>
        </row>
        <row r="56">
          <cell r="H56">
            <v>4335</v>
          </cell>
        </row>
        <row r="57">
          <cell r="H57">
            <v>3702</v>
          </cell>
        </row>
        <row r="58">
          <cell r="H58">
            <v>2679</v>
          </cell>
        </row>
        <row r="59">
          <cell r="H59">
            <v>1</v>
          </cell>
        </row>
        <row r="60">
          <cell r="H60">
            <v>4662</v>
          </cell>
        </row>
        <row r="61">
          <cell r="H61">
            <v>5757</v>
          </cell>
        </row>
        <row r="62">
          <cell r="H62">
            <v>2272</v>
          </cell>
        </row>
        <row r="63">
          <cell r="H63">
            <v>4625</v>
          </cell>
        </row>
        <row r="64">
          <cell r="H64">
            <v>9141</v>
          </cell>
        </row>
        <row r="65">
          <cell r="H65">
            <v>53181</v>
          </cell>
        </row>
        <row r="73">
          <cell r="H73">
            <v>63006</v>
          </cell>
        </row>
        <row r="81">
          <cell r="H81">
            <v>8319</v>
          </cell>
        </row>
        <row r="82">
          <cell r="H82">
            <v>8466</v>
          </cell>
        </row>
        <row r="83">
          <cell r="H83">
            <v>1919</v>
          </cell>
        </row>
        <row r="84">
          <cell r="H84">
            <v>1116</v>
          </cell>
        </row>
        <row r="85">
          <cell r="H85">
            <v>2205</v>
          </cell>
        </row>
        <row r="86">
          <cell r="H86">
            <v>2768</v>
          </cell>
        </row>
        <row r="87">
          <cell r="H87">
            <v>3647</v>
          </cell>
        </row>
        <row r="88">
          <cell r="H88">
            <v>4074</v>
          </cell>
        </row>
        <row r="89">
          <cell r="H89">
            <v>2530</v>
          </cell>
        </row>
        <row r="90">
          <cell r="H90">
            <v>8165</v>
          </cell>
        </row>
        <row r="91">
          <cell r="H91">
            <v>6367</v>
          </cell>
        </row>
        <row r="92">
          <cell r="H92">
            <v>5102</v>
          </cell>
        </row>
        <row r="93">
          <cell r="H93">
            <v>4839</v>
          </cell>
        </row>
        <row r="94">
          <cell r="H94">
            <v>4403</v>
          </cell>
        </row>
        <row r="95">
          <cell r="H95">
            <v>1361</v>
          </cell>
        </row>
        <row r="96">
          <cell r="D96">
            <v>375</v>
          </cell>
          <cell r="E96">
            <v>96715</v>
          </cell>
          <cell r="F96">
            <v>376123</v>
          </cell>
          <cell r="G96">
            <v>1462</v>
          </cell>
        </row>
        <row r="99">
          <cell r="C99">
            <v>9321</v>
          </cell>
          <cell r="F99">
            <v>18136</v>
          </cell>
        </row>
        <row r="100">
          <cell r="C100">
            <v>247</v>
          </cell>
          <cell r="F100">
            <v>463</v>
          </cell>
        </row>
        <row r="101">
          <cell r="C101">
            <v>0</v>
          </cell>
          <cell r="F101">
            <v>15576</v>
          </cell>
        </row>
        <row r="102">
          <cell r="C102">
            <v>4029</v>
          </cell>
          <cell r="F102">
            <v>964</v>
          </cell>
        </row>
        <row r="103">
          <cell r="C103">
            <v>17461</v>
          </cell>
          <cell r="F103">
            <v>0</v>
          </cell>
        </row>
        <row r="104">
          <cell r="C104">
            <v>0</v>
          </cell>
          <cell r="F104">
            <v>16906</v>
          </cell>
        </row>
        <row r="105">
          <cell r="C105">
            <v>0</v>
          </cell>
          <cell r="F105">
            <v>1136</v>
          </cell>
        </row>
        <row r="106">
          <cell r="C106">
            <v>2027</v>
          </cell>
        </row>
        <row r="107">
          <cell r="C107">
            <v>17088</v>
          </cell>
        </row>
        <row r="108">
          <cell r="C108">
            <v>1202</v>
          </cell>
        </row>
        <row r="109">
          <cell r="C109">
            <v>7908</v>
          </cell>
        </row>
        <row r="113">
          <cell r="C113">
            <v>11866</v>
          </cell>
        </row>
        <row r="114">
          <cell r="C114">
            <v>61</v>
          </cell>
        </row>
        <row r="115">
          <cell r="C115">
            <v>19482</v>
          </cell>
        </row>
        <row r="116">
          <cell r="C116">
            <v>25349</v>
          </cell>
        </row>
        <row r="117">
          <cell r="C117">
            <v>5803</v>
          </cell>
        </row>
        <row r="118">
          <cell r="C118">
            <v>445</v>
          </cell>
        </row>
        <row r="119">
          <cell r="C119">
            <v>0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59670</v>
          </cell>
        </row>
        <row r="23">
          <cell r="D23">
            <v>2659</v>
          </cell>
        </row>
        <row r="24">
          <cell r="D24">
            <v>5348</v>
          </cell>
          <cell r="G24">
            <v>8086</v>
          </cell>
        </row>
        <row r="25">
          <cell r="D25">
            <v>6097</v>
          </cell>
          <cell r="G25">
            <v>340</v>
          </cell>
        </row>
        <row r="26">
          <cell r="D26">
            <v>6855</v>
          </cell>
          <cell r="G26">
            <v>0</v>
          </cell>
        </row>
        <row r="27">
          <cell r="D27">
            <v>2270</v>
          </cell>
          <cell r="G27">
            <v>21660</v>
          </cell>
        </row>
        <row r="28">
          <cell r="D28">
            <v>9044</v>
          </cell>
          <cell r="G28">
            <v>217</v>
          </cell>
        </row>
        <row r="29">
          <cell r="D29">
            <v>19698</v>
          </cell>
          <cell r="G29">
            <v>0</v>
          </cell>
        </row>
        <row r="30">
          <cell r="D30">
            <v>9873</v>
          </cell>
          <cell r="G30">
            <v>0</v>
          </cell>
        </row>
        <row r="31">
          <cell r="D31">
            <v>2378</v>
          </cell>
          <cell r="G31">
            <v>17527</v>
          </cell>
        </row>
        <row r="32">
          <cell r="D32">
            <v>4531</v>
          </cell>
          <cell r="G32">
            <v>257</v>
          </cell>
        </row>
        <row r="33">
          <cell r="D33">
            <v>6295</v>
          </cell>
          <cell r="G33">
            <v>11439</v>
          </cell>
        </row>
        <row r="34">
          <cell r="D34">
            <v>8701</v>
          </cell>
          <cell r="G34">
            <v>144</v>
          </cell>
        </row>
        <row r="35">
          <cell r="D35">
            <v>6443</v>
          </cell>
        </row>
        <row r="36">
          <cell r="D36">
            <v>2259</v>
          </cell>
        </row>
        <row r="37">
          <cell r="D37">
            <v>4786</v>
          </cell>
        </row>
        <row r="38">
          <cell r="D38">
            <v>3459</v>
          </cell>
          <cell r="G38">
            <v>9805</v>
          </cell>
        </row>
        <row r="39">
          <cell r="D39">
            <v>4441</v>
          </cell>
          <cell r="G39">
            <v>559</v>
          </cell>
        </row>
        <row r="40">
          <cell r="D40">
            <v>6996</v>
          </cell>
          <cell r="G40">
            <v>878</v>
          </cell>
        </row>
        <row r="41">
          <cell r="D41">
            <v>4506</v>
          </cell>
          <cell r="G41">
            <v>18927</v>
          </cell>
        </row>
        <row r="42">
          <cell r="D42">
            <v>8369</v>
          </cell>
          <cell r="G42">
            <v>0</v>
          </cell>
        </row>
        <row r="43">
          <cell r="D43">
            <v>3635</v>
          </cell>
          <cell r="G43">
            <v>460</v>
          </cell>
        </row>
        <row r="44">
          <cell r="D44">
            <v>10088</v>
          </cell>
          <cell r="G44">
            <v>12704</v>
          </cell>
        </row>
        <row r="45">
          <cell r="D45">
            <v>7848</v>
          </cell>
        </row>
        <row r="46">
          <cell r="D46">
            <v>9355</v>
          </cell>
        </row>
        <row r="47">
          <cell r="D47">
            <v>3067</v>
          </cell>
        </row>
        <row r="48">
          <cell r="D48">
            <v>7476</v>
          </cell>
          <cell r="G48">
            <v>11412</v>
          </cell>
        </row>
        <row r="49">
          <cell r="D49">
            <v>8932</v>
          </cell>
          <cell r="G49">
            <v>114</v>
          </cell>
        </row>
        <row r="50">
          <cell r="D50">
            <v>3358</v>
          </cell>
          <cell r="G50">
            <v>246</v>
          </cell>
        </row>
        <row r="51">
          <cell r="D51">
            <v>5576</v>
          </cell>
          <cell r="G51">
            <v>340</v>
          </cell>
        </row>
        <row r="52">
          <cell r="D52">
            <v>1688</v>
          </cell>
          <cell r="G52">
            <v>29636</v>
          </cell>
        </row>
        <row r="53">
          <cell r="D53">
            <v>5439</v>
          </cell>
          <cell r="G53">
            <v>16644</v>
          </cell>
        </row>
        <row r="54">
          <cell r="D54">
            <v>6884</v>
          </cell>
          <cell r="G54">
            <v>0</v>
          </cell>
        </row>
        <row r="55">
          <cell r="D55">
            <v>3018</v>
          </cell>
        </row>
        <row r="56">
          <cell r="D56">
            <v>4724</v>
          </cell>
        </row>
        <row r="57">
          <cell r="D57">
            <v>3202</v>
          </cell>
        </row>
        <row r="58">
          <cell r="D58">
            <v>171</v>
          </cell>
        </row>
        <row r="59">
          <cell r="D59">
            <v>2572</v>
          </cell>
        </row>
        <row r="60">
          <cell r="D60">
            <v>4816</v>
          </cell>
        </row>
        <row r="61">
          <cell r="D61">
            <v>5809</v>
          </cell>
        </row>
        <row r="62">
          <cell r="D62">
            <v>1903</v>
          </cell>
        </row>
        <row r="63">
          <cell r="D63">
            <v>4086</v>
          </cell>
        </row>
        <row r="64">
          <cell r="D64">
            <v>11593</v>
          </cell>
        </row>
        <row r="65">
          <cell r="D65">
            <v>43333</v>
          </cell>
        </row>
        <row r="73">
          <cell r="D73">
            <v>58392</v>
          </cell>
        </row>
        <row r="81">
          <cell r="D81">
            <v>6136</v>
          </cell>
        </row>
        <row r="82">
          <cell r="D82">
            <v>8602</v>
          </cell>
        </row>
        <row r="83">
          <cell r="D83">
            <v>1248</v>
          </cell>
        </row>
        <row r="84">
          <cell r="D84">
            <v>1474</v>
          </cell>
        </row>
        <row r="85">
          <cell r="D85">
            <v>1431</v>
          </cell>
        </row>
        <row r="86">
          <cell r="D86">
            <v>2884</v>
          </cell>
        </row>
        <row r="87">
          <cell r="D87">
            <v>3726</v>
          </cell>
        </row>
        <row r="88">
          <cell r="D88">
            <v>4177</v>
          </cell>
        </row>
        <row r="89">
          <cell r="D89">
            <v>2675</v>
          </cell>
        </row>
        <row r="90">
          <cell r="D90">
            <v>8789</v>
          </cell>
        </row>
        <row r="91">
          <cell r="D91">
            <v>7028</v>
          </cell>
        </row>
        <row r="92">
          <cell r="D92">
            <v>4754</v>
          </cell>
        </row>
        <row r="93">
          <cell r="D93">
            <v>4614</v>
          </cell>
        </row>
        <row r="94">
          <cell r="D94">
            <v>4868</v>
          </cell>
        </row>
        <row r="95">
          <cell r="D95">
            <v>1232</v>
          </cell>
        </row>
        <row r="96">
          <cell r="D96">
            <v>465281</v>
          </cell>
        </row>
      </sheetData>
      <sheetData sheetId="1">
        <row r="11">
          <cell r="H11">
            <v>57238</v>
          </cell>
        </row>
        <row r="23">
          <cell r="H23">
            <v>4879</v>
          </cell>
        </row>
        <row r="24">
          <cell r="H24">
            <v>3390</v>
          </cell>
        </row>
        <row r="25">
          <cell r="H25">
            <v>9339</v>
          </cell>
        </row>
        <row r="26">
          <cell r="H26">
            <v>3817</v>
          </cell>
        </row>
        <row r="27">
          <cell r="H27">
            <v>2729</v>
          </cell>
        </row>
        <row r="28">
          <cell r="H28">
            <v>10251</v>
          </cell>
        </row>
        <row r="29">
          <cell r="H29">
            <v>16954</v>
          </cell>
        </row>
        <row r="30">
          <cell r="H30">
            <v>9017</v>
          </cell>
        </row>
        <row r="31">
          <cell r="H31">
            <v>2763</v>
          </cell>
        </row>
        <row r="32">
          <cell r="H32">
            <v>4066</v>
          </cell>
        </row>
        <row r="33">
          <cell r="H33">
            <v>7199</v>
          </cell>
        </row>
        <row r="34">
          <cell r="H34">
            <v>7390</v>
          </cell>
        </row>
        <row r="35">
          <cell r="H35">
            <v>6830</v>
          </cell>
        </row>
        <row r="36">
          <cell r="H36">
            <v>2066</v>
          </cell>
        </row>
        <row r="37">
          <cell r="H37">
            <v>4423</v>
          </cell>
        </row>
        <row r="38">
          <cell r="H38">
            <v>3203</v>
          </cell>
        </row>
        <row r="39">
          <cell r="H39">
            <v>4570</v>
          </cell>
        </row>
        <row r="40">
          <cell r="H40">
            <v>6603</v>
          </cell>
        </row>
        <row r="41">
          <cell r="H41">
            <v>4652</v>
          </cell>
        </row>
        <row r="42">
          <cell r="H42">
            <v>8015</v>
          </cell>
        </row>
        <row r="43">
          <cell r="H43">
            <v>2831</v>
          </cell>
        </row>
        <row r="44">
          <cell r="H44">
            <v>9067</v>
          </cell>
        </row>
        <row r="45">
          <cell r="H45">
            <v>6238</v>
          </cell>
        </row>
        <row r="46">
          <cell r="H46">
            <v>9778</v>
          </cell>
        </row>
        <row r="47">
          <cell r="H47">
            <v>1876</v>
          </cell>
        </row>
        <row r="48">
          <cell r="H48">
            <v>7047</v>
          </cell>
        </row>
        <row r="49">
          <cell r="H49">
            <v>9162</v>
          </cell>
        </row>
        <row r="50">
          <cell r="H50">
            <v>2986</v>
          </cell>
        </row>
        <row r="51">
          <cell r="H51">
            <v>5536</v>
          </cell>
        </row>
        <row r="52">
          <cell r="H52">
            <v>1851</v>
          </cell>
        </row>
        <row r="53">
          <cell r="H53">
            <v>5422</v>
          </cell>
        </row>
        <row r="54">
          <cell r="H54">
            <v>6628</v>
          </cell>
        </row>
        <row r="55">
          <cell r="H55">
            <v>3345</v>
          </cell>
        </row>
        <row r="56">
          <cell r="H56">
            <v>4198</v>
          </cell>
        </row>
        <row r="57">
          <cell r="H57">
            <v>3658</v>
          </cell>
        </row>
        <row r="58">
          <cell r="H58">
            <v>2705</v>
          </cell>
        </row>
        <row r="59">
          <cell r="H59">
            <v>0</v>
          </cell>
        </row>
        <row r="60">
          <cell r="H60">
            <v>4666</v>
          </cell>
        </row>
        <row r="61">
          <cell r="H61">
            <v>5610</v>
          </cell>
        </row>
        <row r="62">
          <cell r="H62">
            <v>2330</v>
          </cell>
        </row>
        <row r="63">
          <cell r="H63">
            <v>4401</v>
          </cell>
        </row>
        <row r="64">
          <cell r="H64">
            <v>8573</v>
          </cell>
        </row>
        <row r="65">
          <cell r="H65">
            <v>51617</v>
          </cell>
        </row>
        <row r="73">
          <cell r="H73">
            <v>61404</v>
          </cell>
        </row>
        <row r="81">
          <cell r="H81">
            <v>7925</v>
          </cell>
        </row>
        <row r="82">
          <cell r="H82">
            <v>8036</v>
          </cell>
        </row>
        <row r="83">
          <cell r="H83">
            <v>1849</v>
          </cell>
        </row>
        <row r="84">
          <cell r="H84">
            <v>1295</v>
          </cell>
        </row>
        <row r="85">
          <cell r="H85">
            <v>2391</v>
          </cell>
        </row>
        <row r="86">
          <cell r="H86">
            <v>2734</v>
          </cell>
        </row>
        <row r="87">
          <cell r="H87">
            <v>3553</v>
          </cell>
        </row>
        <row r="88">
          <cell r="H88">
            <v>4161</v>
          </cell>
        </row>
        <row r="89">
          <cell r="H89">
            <v>2645</v>
          </cell>
        </row>
        <row r="90">
          <cell r="H90">
            <v>8230</v>
          </cell>
        </row>
        <row r="91">
          <cell r="H91">
            <v>6441</v>
          </cell>
        </row>
        <row r="92">
          <cell r="H92">
            <v>4683</v>
          </cell>
        </row>
        <row r="93">
          <cell r="H93">
            <v>4608</v>
          </cell>
        </row>
        <row r="94">
          <cell r="H94">
            <v>4392</v>
          </cell>
        </row>
        <row r="95">
          <cell r="H95">
            <v>1209</v>
          </cell>
        </row>
        <row r="96">
          <cell r="D96">
            <v>356</v>
          </cell>
          <cell r="E96">
            <v>95750</v>
          </cell>
          <cell r="F96">
            <v>366859</v>
          </cell>
          <cell r="G96">
            <v>1510</v>
          </cell>
        </row>
        <row r="99">
          <cell r="C99">
            <v>9180</v>
          </cell>
          <cell r="F99">
            <v>17708</v>
          </cell>
        </row>
        <row r="100">
          <cell r="C100">
            <v>224</v>
          </cell>
          <cell r="F100">
            <v>479</v>
          </cell>
        </row>
        <row r="101">
          <cell r="C101">
            <v>0</v>
          </cell>
          <cell r="F101">
            <v>14560</v>
          </cell>
        </row>
        <row r="102">
          <cell r="C102">
            <v>3913</v>
          </cell>
          <cell r="F102">
            <v>709</v>
          </cell>
        </row>
        <row r="103">
          <cell r="C103">
            <v>16796</v>
          </cell>
          <cell r="F103">
            <v>0</v>
          </cell>
        </row>
        <row r="104">
          <cell r="C104">
            <v>0</v>
          </cell>
          <cell r="F104">
            <v>16969</v>
          </cell>
        </row>
        <row r="105">
          <cell r="C105">
            <v>0</v>
          </cell>
          <cell r="F105">
            <v>1192</v>
          </cell>
        </row>
        <row r="106">
          <cell r="C106">
            <v>2136</v>
          </cell>
        </row>
        <row r="107">
          <cell r="C107">
            <v>16134</v>
          </cell>
        </row>
        <row r="108">
          <cell r="C108">
            <v>1222</v>
          </cell>
        </row>
        <row r="109">
          <cell r="C109">
            <v>7633</v>
          </cell>
        </row>
        <row r="113">
          <cell r="C113">
            <v>11018</v>
          </cell>
        </row>
        <row r="114">
          <cell r="C114">
            <v>57</v>
          </cell>
        </row>
        <row r="115">
          <cell r="C115">
            <v>19018</v>
          </cell>
        </row>
        <row r="116">
          <cell r="C116">
            <v>25377</v>
          </cell>
        </row>
        <row r="117">
          <cell r="C117">
            <v>5461</v>
          </cell>
        </row>
        <row r="118">
          <cell r="C118">
            <v>473</v>
          </cell>
        </row>
        <row r="119">
          <cell r="C119">
            <v>0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59579</v>
          </cell>
        </row>
        <row r="23">
          <cell r="D23">
            <v>2670</v>
          </cell>
        </row>
        <row r="24">
          <cell r="D24">
            <v>5153</v>
          </cell>
          <cell r="G24">
            <v>7930</v>
          </cell>
        </row>
        <row r="25">
          <cell r="D25">
            <v>5954</v>
          </cell>
          <cell r="G25">
            <v>336</v>
          </cell>
        </row>
        <row r="26">
          <cell r="D26">
            <v>6972</v>
          </cell>
          <cell r="G26">
            <v>0</v>
          </cell>
        </row>
        <row r="27">
          <cell r="D27">
            <v>2100</v>
          </cell>
          <cell r="G27">
            <v>21540</v>
          </cell>
        </row>
        <row r="28">
          <cell r="D28">
            <v>8601</v>
          </cell>
          <cell r="G28">
            <v>240</v>
          </cell>
        </row>
        <row r="29">
          <cell r="D29">
            <v>15093</v>
          </cell>
          <cell r="G29">
            <v>0</v>
          </cell>
        </row>
        <row r="30">
          <cell r="D30">
            <v>9698</v>
          </cell>
          <cell r="G30">
            <v>0</v>
          </cell>
        </row>
        <row r="31">
          <cell r="D31">
            <v>2168</v>
          </cell>
          <cell r="G31">
            <v>17621</v>
          </cell>
        </row>
        <row r="32">
          <cell r="D32">
            <v>4759</v>
          </cell>
          <cell r="G32">
            <v>279</v>
          </cell>
        </row>
        <row r="33">
          <cell r="D33">
            <v>6178</v>
          </cell>
          <cell r="G33">
            <v>11520</v>
          </cell>
        </row>
        <row r="34">
          <cell r="D34">
            <v>8475</v>
          </cell>
          <cell r="G34">
            <v>113</v>
          </cell>
        </row>
        <row r="35">
          <cell r="D35">
            <v>6388</v>
          </cell>
        </row>
        <row r="36">
          <cell r="D36">
            <v>2201</v>
          </cell>
        </row>
        <row r="37">
          <cell r="D37">
            <v>4938</v>
          </cell>
        </row>
        <row r="38">
          <cell r="D38">
            <v>3640</v>
          </cell>
          <cell r="G38">
            <v>10450</v>
          </cell>
        </row>
        <row r="39">
          <cell r="D39">
            <v>4461</v>
          </cell>
          <cell r="G39">
            <v>533</v>
          </cell>
        </row>
        <row r="40">
          <cell r="D40">
            <v>7316</v>
          </cell>
          <cell r="G40">
            <v>814</v>
          </cell>
        </row>
        <row r="41">
          <cell r="D41">
            <v>4200</v>
          </cell>
          <cell r="G41">
            <v>19576</v>
          </cell>
        </row>
        <row r="42">
          <cell r="D42">
            <v>8839</v>
          </cell>
          <cell r="G42">
            <v>0</v>
          </cell>
        </row>
        <row r="43">
          <cell r="D43">
            <v>3661</v>
          </cell>
          <cell r="G43">
            <v>499</v>
          </cell>
        </row>
        <row r="44">
          <cell r="D44">
            <v>10790</v>
          </cell>
          <cell r="G44">
            <v>12862</v>
          </cell>
        </row>
        <row r="45">
          <cell r="D45">
            <v>7572</v>
          </cell>
        </row>
        <row r="46">
          <cell r="D46">
            <v>9187</v>
          </cell>
        </row>
        <row r="47">
          <cell r="D47">
            <v>3008</v>
          </cell>
        </row>
        <row r="48">
          <cell r="D48">
            <v>7495</v>
          </cell>
          <cell r="G48">
            <v>11549</v>
          </cell>
        </row>
        <row r="49">
          <cell r="D49">
            <v>8725</v>
          </cell>
          <cell r="G49">
            <v>107</v>
          </cell>
        </row>
        <row r="50">
          <cell r="D50">
            <v>3343</v>
          </cell>
          <cell r="G50">
            <v>202</v>
          </cell>
        </row>
        <row r="51">
          <cell r="D51">
            <v>5839</v>
          </cell>
          <cell r="G51">
            <v>344</v>
          </cell>
        </row>
        <row r="52">
          <cell r="D52">
            <v>1790</v>
          </cell>
          <cell r="G52">
            <v>31313</v>
          </cell>
        </row>
        <row r="53">
          <cell r="D53">
            <v>5668</v>
          </cell>
          <cell r="G53">
            <v>16195</v>
          </cell>
        </row>
        <row r="54">
          <cell r="D54">
            <v>6893</v>
          </cell>
          <cell r="G54">
            <v>0</v>
          </cell>
        </row>
        <row r="55">
          <cell r="D55">
            <v>2982</v>
          </cell>
        </row>
        <row r="56">
          <cell r="D56">
            <v>5376</v>
          </cell>
        </row>
        <row r="57">
          <cell r="D57">
            <v>3144</v>
          </cell>
        </row>
        <row r="58">
          <cell r="D58">
            <v>182</v>
          </cell>
        </row>
        <row r="59">
          <cell r="D59">
            <v>2553</v>
          </cell>
        </row>
        <row r="60">
          <cell r="D60">
            <v>4862</v>
          </cell>
        </row>
        <row r="61">
          <cell r="D61">
            <v>6014</v>
          </cell>
        </row>
        <row r="62">
          <cell r="D62">
            <v>1705</v>
          </cell>
        </row>
        <row r="63">
          <cell r="D63">
            <v>3791</v>
          </cell>
        </row>
        <row r="64">
          <cell r="D64">
            <v>10504</v>
          </cell>
        </row>
        <row r="65">
          <cell r="D65">
            <v>44734</v>
          </cell>
        </row>
        <row r="73">
          <cell r="D73">
            <v>59710</v>
          </cell>
        </row>
        <row r="81">
          <cell r="D81">
            <v>6210</v>
          </cell>
        </row>
        <row r="82">
          <cell r="D82">
            <v>8540</v>
          </cell>
        </row>
        <row r="83">
          <cell r="D83">
            <v>1142</v>
          </cell>
        </row>
        <row r="84">
          <cell r="D84">
            <v>1240</v>
          </cell>
        </row>
        <row r="85">
          <cell r="D85">
            <v>1270</v>
          </cell>
        </row>
        <row r="86">
          <cell r="D86">
            <v>2902</v>
          </cell>
        </row>
        <row r="87">
          <cell r="D87">
            <v>3867</v>
          </cell>
        </row>
        <row r="88">
          <cell r="D88">
            <v>4295</v>
          </cell>
        </row>
        <row r="89">
          <cell r="D89">
            <v>2470</v>
          </cell>
        </row>
        <row r="90">
          <cell r="D90">
            <v>8616</v>
          </cell>
        </row>
        <row r="91">
          <cell r="D91">
            <v>7054</v>
          </cell>
        </row>
        <row r="92">
          <cell r="D92">
            <v>4575</v>
          </cell>
        </row>
        <row r="93">
          <cell r="D93">
            <v>5231</v>
          </cell>
        </row>
        <row r="94">
          <cell r="D94">
            <v>5270</v>
          </cell>
        </row>
        <row r="95">
          <cell r="D95">
            <v>1294</v>
          </cell>
        </row>
        <row r="96">
          <cell r="D96">
            <v>462887</v>
          </cell>
        </row>
      </sheetData>
      <sheetData sheetId="1">
        <row r="11">
          <cell r="H11">
            <v>59300</v>
          </cell>
        </row>
        <row r="23">
          <cell r="H23">
            <v>4993</v>
          </cell>
        </row>
        <row r="24">
          <cell r="H24">
            <v>3511</v>
          </cell>
        </row>
        <row r="25">
          <cell r="H25">
            <v>9697</v>
          </cell>
        </row>
        <row r="26">
          <cell r="H26">
            <v>3954</v>
          </cell>
        </row>
        <row r="27">
          <cell r="H27">
            <v>2680</v>
          </cell>
        </row>
        <row r="28">
          <cell r="H28">
            <v>10457</v>
          </cell>
        </row>
        <row r="29">
          <cell r="H29">
            <v>16721</v>
          </cell>
        </row>
        <row r="30">
          <cell r="H30">
            <v>9542</v>
          </cell>
        </row>
        <row r="31">
          <cell r="H31">
            <v>2623</v>
          </cell>
        </row>
        <row r="32">
          <cell r="H32">
            <v>3979</v>
          </cell>
        </row>
        <row r="33">
          <cell r="H33">
            <v>7031</v>
          </cell>
        </row>
        <row r="34">
          <cell r="H34">
            <v>7429</v>
          </cell>
        </row>
        <row r="35">
          <cell r="H35">
            <v>6843</v>
          </cell>
        </row>
        <row r="36">
          <cell r="H36">
            <v>2128</v>
          </cell>
        </row>
        <row r="37">
          <cell r="H37">
            <v>4483</v>
          </cell>
        </row>
        <row r="38">
          <cell r="H38">
            <v>3251</v>
          </cell>
        </row>
        <row r="39">
          <cell r="H39">
            <v>4388</v>
          </cell>
        </row>
        <row r="40">
          <cell r="H40">
            <v>6549</v>
          </cell>
        </row>
        <row r="41">
          <cell r="H41">
            <v>3965</v>
          </cell>
        </row>
        <row r="42">
          <cell r="H42">
            <v>8318</v>
          </cell>
        </row>
        <row r="43">
          <cell r="H43">
            <v>2834</v>
          </cell>
        </row>
        <row r="44">
          <cell r="H44">
            <v>9542</v>
          </cell>
        </row>
        <row r="45">
          <cell r="H45">
            <v>6119</v>
          </cell>
        </row>
        <row r="46">
          <cell r="H46">
            <v>9330</v>
          </cell>
        </row>
        <row r="47">
          <cell r="H47">
            <v>1984</v>
          </cell>
        </row>
        <row r="48">
          <cell r="H48">
            <v>7074</v>
          </cell>
        </row>
        <row r="49">
          <cell r="H49">
            <v>9379</v>
          </cell>
        </row>
        <row r="50">
          <cell r="H50">
            <v>3169</v>
          </cell>
        </row>
        <row r="51">
          <cell r="H51">
            <v>5794</v>
          </cell>
        </row>
        <row r="52">
          <cell r="H52">
            <v>1972</v>
          </cell>
        </row>
        <row r="53">
          <cell r="H53">
            <v>5967</v>
          </cell>
        </row>
        <row r="54">
          <cell r="H54">
            <v>6770</v>
          </cell>
        </row>
        <row r="55">
          <cell r="H55">
            <v>3324</v>
          </cell>
        </row>
        <row r="56">
          <cell r="H56">
            <v>4587</v>
          </cell>
        </row>
        <row r="57">
          <cell r="H57">
            <v>3767</v>
          </cell>
        </row>
        <row r="58">
          <cell r="H58">
            <v>2751</v>
          </cell>
        </row>
        <row r="59">
          <cell r="H59">
            <v>0</v>
          </cell>
        </row>
        <row r="60">
          <cell r="H60">
            <v>4751</v>
          </cell>
        </row>
        <row r="61">
          <cell r="H61">
            <v>5740</v>
          </cell>
        </row>
        <row r="62">
          <cell r="H62">
            <v>2214</v>
          </cell>
        </row>
        <row r="63">
          <cell r="H63">
            <v>4572</v>
          </cell>
        </row>
        <row r="64">
          <cell r="H64">
            <v>9335</v>
          </cell>
        </row>
        <row r="65">
          <cell r="H65">
            <v>54279</v>
          </cell>
        </row>
        <row r="73">
          <cell r="H73">
            <v>64357</v>
          </cell>
        </row>
        <row r="81">
          <cell r="H81">
            <v>8546</v>
          </cell>
        </row>
        <row r="82">
          <cell r="H82">
            <v>8708</v>
          </cell>
        </row>
        <row r="83">
          <cell r="H83">
            <v>1898</v>
          </cell>
        </row>
        <row r="84">
          <cell r="H84">
            <v>1107</v>
          </cell>
        </row>
        <row r="85">
          <cell r="H85">
            <v>2208</v>
          </cell>
        </row>
        <row r="86">
          <cell r="H86">
            <v>2798</v>
          </cell>
        </row>
        <row r="87">
          <cell r="H87">
            <v>3603</v>
          </cell>
        </row>
        <row r="88">
          <cell r="H88">
            <v>4327</v>
          </cell>
        </row>
        <row r="89">
          <cell r="H89">
            <v>2438</v>
          </cell>
        </row>
        <row r="90">
          <cell r="H90">
            <v>7817</v>
          </cell>
        </row>
        <row r="91">
          <cell r="H91">
            <v>6407</v>
          </cell>
        </row>
        <row r="92">
          <cell r="H92">
            <v>4924</v>
          </cell>
        </row>
        <row r="93">
          <cell r="H93">
            <v>4492</v>
          </cell>
        </row>
        <row r="94">
          <cell r="H94">
            <v>4526</v>
          </cell>
        </row>
        <row r="95">
          <cell r="H95">
            <v>1344</v>
          </cell>
        </row>
        <row r="96">
          <cell r="D96">
            <v>370</v>
          </cell>
          <cell r="E96">
            <v>95710</v>
          </cell>
          <cell r="F96">
            <v>379026</v>
          </cell>
          <cell r="G96">
            <v>1490</v>
          </cell>
        </row>
        <row r="99">
          <cell r="C99">
            <v>9377</v>
          </cell>
          <cell r="F99">
            <v>18355</v>
          </cell>
        </row>
        <row r="100">
          <cell r="C100">
            <v>255</v>
          </cell>
          <cell r="F100">
            <v>469</v>
          </cell>
        </row>
        <row r="101">
          <cell r="C101">
            <v>0</v>
          </cell>
          <cell r="F101">
            <v>16030</v>
          </cell>
        </row>
        <row r="102">
          <cell r="C102">
            <v>3881</v>
          </cell>
          <cell r="F102">
            <v>1174</v>
          </cell>
        </row>
        <row r="103">
          <cell r="C103">
            <v>17691</v>
          </cell>
          <cell r="F103">
            <v>0</v>
          </cell>
        </row>
        <row r="104">
          <cell r="C104">
            <v>0</v>
          </cell>
          <cell r="F104">
            <v>17197</v>
          </cell>
        </row>
        <row r="105">
          <cell r="C105">
            <v>0</v>
          </cell>
          <cell r="F105">
            <v>1054</v>
          </cell>
        </row>
        <row r="106">
          <cell r="C106">
            <v>1916</v>
          </cell>
        </row>
        <row r="107">
          <cell r="C107">
            <v>17121</v>
          </cell>
        </row>
        <row r="108">
          <cell r="C108">
            <v>1348</v>
          </cell>
        </row>
        <row r="109">
          <cell r="C109">
            <v>7711</v>
          </cell>
        </row>
        <row r="113">
          <cell r="C113">
            <v>11626</v>
          </cell>
        </row>
        <row r="114">
          <cell r="C114">
            <v>63</v>
          </cell>
        </row>
        <row r="115">
          <cell r="C115">
            <v>19883</v>
          </cell>
        </row>
        <row r="116">
          <cell r="C116">
            <v>26659</v>
          </cell>
        </row>
        <row r="117">
          <cell r="C117">
            <v>5652</v>
          </cell>
        </row>
        <row r="118">
          <cell r="C118">
            <v>474</v>
          </cell>
        </row>
        <row r="119">
          <cell r="C119">
            <v>0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42067</v>
          </cell>
        </row>
        <row r="23">
          <cell r="D23">
            <v>2653</v>
          </cell>
        </row>
        <row r="24">
          <cell r="D24">
            <v>4737</v>
          </cell>
          <cell r="G24">
            <v>6015</v>
          </cell>
        </row>
        <row r="25">
          <cell r="D25">
            <v>4410</v>
          </cell>
          <cell r="G25">
            <v>261</v>
          </cell>
        </row>
        <row r="26">
          <cell r="D26">
            <v>5079</v>
          </cell>
          <cell r="G26">
            <v>0</v>
          </cell>
        </row>
        <row r="27">
          <cell r="D27">
            <v>1816</v>
          </cell>
          <cell r="G27">
            <v>16376</v>
          </cell>
        </row>
        <row r="28">
          <cell r="D28">
            <v>5743</v>
          </cell>
          <cell r="G28">
            <v>196</v>
          </cell>
        </row>
        <row r="29">
          <cell r="D29">
            <v>11412</v>
          </cell>
          <cell r="G29">
            <v>0</v>
          </cell>
        </row>
        <row r="30">
          <cell r="D30">
            <v>4756</v>
          </cell>
          <cell r="G30">
            <v>0</v>
          </cell>
        </row>
        <row r="31">
          <cell r="D31">
            <v>1424</v>
          </cell>
          <cell r="G31">
            <v>11558</v>
          </cell>
        </row>
        <row r="32">
          <cell r="D32">
            <v>3611</v>
          </cell>
          <cell r="G32">
            <v>197</v>
          </cell>
        </row>
        <row r="33">
          <cell r="D33">
            <v>4258</v>
          </cell>
          <cell r="G33">
            <v>7343</v>
          </cell>
        </row>
        <row r="34">
          <cell r="D34">
            <v>6312</v>
          </cell>
          <cell r="G34">
            <v>121</v>
          </cell>
        </row>
        <row r="35">
          <cell r="D35">
            <v>4457</v>
          </cell>
        </row>
        <row r="36">
          <cell r="D36">
            <v>1284</v>
          </cell>
        </row>
        <row r="37">
          <cell r="D37">
            <v>3530</v>
          </cell>
        </row>
        <row r="38">
          <cell r="D38">
            <v>2604</v>
          </cell>
          <cell r="G38">
            <v>8495</v>
          </cell>
        </row>
        <row r="39">
          <cell r="D39">
            <v>3276</v>
          </cell>
          <cell r="G39">
            <v>374</v>
          </cell>
        </row>
        <row r="40">
          <cell r="D40">
            <v>4902</v>
          </cell>
          <cell r="G40">
            <v>830</v>
          </cell>
        </row>
        <row r="41">
          <cell r="D41">
            <v>2842</v>
          </cell>
          <cell r="G41">
            <v>14878</v>
          </cell>
        </row>
        <row r="42">
          <cell r="D42">
            <v>6310</v>
          </cell>
          <cell r="G42">
            <v>0</v>
          </cell>
        </row>
        <row r="43">
          <cell r="D43">
            <v>2032</v>
          </cell>
          <cell r="G43">
            <v>464</v>
          </cell>
        </row>
        <row r="44">
          <cell r="D44">
            <v>4442</v>
          </cell>
          <cell r="G44">
            <v>9724</v>
          </cell>
        </row>
        <row r="45">
          <cell r="D45">
            <v>3894</v>
          </cell>
        </row>
        <row r="46">
          <cell r="D46">
            <v>4392</v>
          </cell>
        </row>
        <row r="47">
          <cell r="D47">
            <v>1380</v>
          </cell>
        </row>
        <row r="48">
          <cell r="D48">
            <v>3462</v>
          </cell>
          <cell r="G48">
            <v>9885</v>
          </cell>
        </row>
        <row r="49">
          <cell r="D49">
            <v>7254</v>
          </cell>
          <cell r="G49">
            <v>95</v>
          </cell>
        </row>
        <row r="50">
          <cell r="D50">
            <v>2031</v>
          </cell>
          <cell r="G50">
            <v>154</v>
          </cell>
        </row>
        <row r="51">
          <cell r="D51">
            <v>4406</v>
          </cell>
          <cell r="G51">
            <v>454</v>
          </cell>
        </row>
        <row r="52">
          <cell r="D52">
            <v>1228</v>
          </cell>
          <cell r="G52">
            <v>21063</v>
          </cell>
        </row>
        <row r="53">
          <cell r="D53">
            <v>4828</v>
          </cell>
          <cell r="G53">
            <v>11888</v>
          </cell>
        </row>
        <row r="54">
          <cell r="D54">
            <v>4903</v>
          </cell>
          <cell r="G54">
            <v>0</v>
          </cell>
        </row>
        <row r="55">
          <cell r="D55">
            <v>2070</v>
          </cell>
        </row>
        <row r="56">
          <cell r="D56">
            <v>6152</v>
          </cell>
        </row>
        <row r="57">
          <cell r="D57">
            <v>2483</v>
          </cell>
        </row>
        <row r="58">
          <cell r="D58">
            <v>166</v>
          </cell>
        </row>
        <row r="59">
          <cell r="D59">
            <v>1555</v>
          </cell>
        </row>
        <row r="60">
          <cell r="D60">
            <v>4280</v>
          </cell>
        </row>
        <row r="61">
          <cell r="D61">
            <v>4543</v>
          </cell>
        </row>
        <row r="62">
          <cell r="D62">
            <v>1258</v>
          </cell>
        </row>
        <row r="63">
          <cell r="D63">
            <v>2841</v>
          </cell>
        </row>
        <row r="64">
          <cell r="D64">
            <v>7325</v>
          </cell>
        </row>
        <row r="65">
          <cell r="D65">
            <v>34765</v>
          </cell>
        </row>
        <row r="73">
          <cell r="D73">
            <v>43539</v>
          </cell>
        </row>
        <row r="81">
          <cell r="D81">
            <v>4140</v>
          </cell>
        </row>
        <row r="82">
          <cell r="D82">
            <v>6431</v>
          </cell>
        </row>
        <row r="83">
          <cell r="D83">
            <v>832</v>
          </cell>
        </row>
        <row r="84">
          <cell r="D84">
            <v>1012</v>
          </cell>
        </row>
        <row r="85">
          <cell r="D85">
            <v>941</v>
          </cell>
        </row>
        <row r="86">
          <cell r="D86">
            <v>2068</v>
          </cell>
        </row>
        <row r="87">
          <cell r="D87">
            <v>2655</v>
          </cell>
        </row>
        <row r="88">
          <cell r="D88">
            <v>2939</v>
          </cell>
        </row>
        <row r="89">
          <cell r="D89">
            <v>1530</v>
          </cell>
        </row>
        <row r="90">
          <cell r="D90">
            <v>4354</v>
          </cell>
        </row>
        <row r="91">
          <cell r="D91">
            <v>3778</v>
          </cell>
        </row>
        <row r="92">
          <cell r="D92">
            <v>2851</v>
          </cell>
        </row>
        <row r="93">
          <cell r="D93">
            <v>3950</v>
          </cell>
        </row>
        <row r="94">
          <cell r="D94">
            <v>2800</v>
          </cell>
        </row>
        <row r="95">
          <cell r="D95">
            <v>880</v>
          </cell>
        </row>
        <row r="96">
          <cell r="D96">
            <v>323873</v>
          </cell>
        </row>
      </sheetData>
      <sheetData sheetId="1">
        <row r="11">
          <cell r="H11">
            <v>43086</v>
          </cell>
        </row>
        <row r="23">
          <cell r="H23">
            <v>4155</v>
          </cell>
        </row>
        <row r="24">
          <cell r="H24">
            <v>3077</v>
          </cell>
        </row>
        <row r="25">
          <cell r="H25">
            <v>6673</v>
          </cell>
        </row>
        <row r="26">
          <cell r="H26">
            <v>2947</v>
          </cell>
        </row>
        <row r="27">
          <cell r="H27">
            <v>1766</v>
          </cell>
        </row>
        <row r="28">
          <cell r="H28">
            <v>6180</v>
          </cell>
        </row>
        <row r="29">
          <cell r="H29">
            <v>12437</v>
          </cell>
        </row>
        <row r="30">
          <cell r="H30">
            <v>5382</v>
          </cell>
        </row>
        <row r="31">
          <cell r="H31">
            <v>1618</v>
          </cell>
        </row>
        <row r="32">
          <cell r="H32">
            <v>2852</v>
          </cell>
        </row>
        <row r="33">
          <cell r="H33">
            <v>4563</v>
          </cell>
        </row>
        <row r="34">
          <cell r="H34">
            <v>5012</v>
          </cell>
        </row>
        <row r="35">
          <cell r="H35">
            <v>4658</v>
          </cell>
        </row>
        <row r="36">
          <cell r="H36">
            <v>1210</v>
          </cell>
        </row>
        <row r="37">
          <cell r="H37">
            <v>3091</v>
          </cell>
        </row>
        <row r="38">
          <cell r="H38">
            <v>2485</v>
          </cell>
        </row>
        <row r="39">
          <cell r="H39">
            <v>3203</v>
          </cell>
        </row>
        <row r="40">
          <cell r="H40">
            <v>4584</v>
          </cell>
        </row>
        <row r="41">
          <cell r="H41">
            <v>2877</v>
          </cell>
        </row>
        <row r="42">
          <cell r="H42">
            <v>6129</v>
          </cell>
        </row>
        <row r="43">
          <cell r="H43">
            <v>1538</v>
          </cell>
        </row>
        <row r="44">
          <cell r="H44">
            <v>3913</v>
          </cell>
        </row>
        <row r="45">
          <cell r="H45">
            <v>3666</v>
          </cell>
        </row>
        <row r="46">
          <cell r="H46">
            <v>4426</v>
          </cell>
        </row>
        <row r="47">
          <cell r="H47">
            <v>1340</v>
          </cell>
        </row>
        <row r="48">
          <cell r="H48">
            <v>3066</v>
          </cell>
        </row>
        <row r="49">
          <cell r="H49">
            <v>6750</v>
          </cell>
        </row>
        <row r="50">
          <cell r="H50">
            <v>1555</v>
          </cell>
        </row>
        <row r="51">
          <cell r="H51">
            <v>4391</v>
          </cell>
        </row>
        <row r="52">
          <cell r="H52">
            <v>1353</v>
          </cell>
        </row>
        <row r="53">
          <cell r="H53">
            <v>4561</v>
          </cell>
        </row>
        <row r="54">
          <cell r="H54">
            <v>4635</v>
          </cell>
        </row>
        <row r="55">
          <cell r="H55">
            <v>2194</v>
          </cell>
        </row>
        <row r="56">
          <cell r="H56">
            <v>5221</v>
          </cell>
        </row>
        <row r="57">
          <cell r="H57">
            <v>2537</v>
          </cell>
        </row>
        <row r="58">
          <cell r="H58">
            <v>1658</v>
          </cell>
        </row>
        <row r="59">
          <cell r="H59">
            <v>2</v>
          </cell>
        </row>
        <row r="60">
          <cell r="H60">
            <v>3876</v>
          </cell>
        </row>
        <row r="61">
          <cell r="H61">
            <v>4182</v>
          </cell>
        </row>
        <row r="62">
          <cell r="H62">
            <v>1498</v>
          </cell>
        </row>
        <row r="63">
          <cell r="H63">
            <v>3242</v>
          </cell>
        </row>
        <row r="64">
          <cell r="H64">
            <v>6680</v>
          </cell>
        </row>
        <row r="65">
          <cell r="H65">
            <v>38682</v>
          </cell>
        </row>
        <row r="73">
          <cell r="H73">
            <v>44432</v>
          </cell>
        </row>
        <row r="81">
          <cell r="H81">
            <v>5146</v>
          </cell>
        </row>
        <row r="82">
          <cell r="H82">
            <v>5798</v>
          </cell>
        </row>
        <row r="83">
          <cell r="H83">
            <v>1260</v>
          </cell>
        </row>
        <row r="84">
          <cell r="H84">
            <v>1023</v>
          </cell>
        </row>
        <row r="85">
          <cell r="H85">
            <v>1279</v>
          </cell>
        </row>
        <row r="86">
          <cell r="H86">
            <v>2059</v>
          </cell>
        </row>
        <row r="87">
          <cell r="H87">
            <v>2541</v>
          </cell>
        </row>
        <row r="88">
          <cell r="H88">
            <v>3062</v>
          </cell>
        </row>
        <row r="89">
          <cell r="H89">
            <v>1414</v>
          </cell>
        </row>
        <row r="90">
          <cell r="H90">
            <v>3889</v>
          </cell>
        </row>
        <row r="91">
          <cell r="H91">
            <v>3274</v>
          </cell>
        </row>
        <row r="92">
          <cell r="H92">
            <v>3101</v>
          </cell>
        </row>
        <row r="93">
          <cell r="H93">
            <v>3494</v>
          </cell>
        </row>
        <row r="94">
          <cell r="H94">
            <v>2340</v>
          </cell>
        </row>
        <row r="95">
          <cell r="H95">
            <v>755</v>
          </cell>
        </row>
        <row r="96">
          <cell r="D96">
            <v>285</v>
          </cell>
          <cell r="E96">
            <v>56376</v>
          </cell>
          <cell r="F96">
            <v>266374</v>
          </cell>
          <cell r="G96">
            <v>783</v>
          </cell>
        </row>
        <row r="99">
          <cell r="C99">
            <v>6620</v>
          </cell>
          <cell r="F99">
            <v>12645</v>
          </cell>
        </row>
        <row r="100">
          <cell r="C100">
            <v>150</v>
          </cell>
          <cell r="F100">
            <v>302</v>
          </cell>
        </row>
        <row r="101">
          <cell r="C101">
            <v>0</v>
          </cell>
          <cell r="F101">
            <v>12586</v>
          </cell>
        </row>
        <row r="102">
          <cell r="C102">
            <v>785</v>
          </cell>
          <cell r="F102">
            <v>251</v>
          </cell>
        </row>
        <row r="103">
          <cell r="C103">
            <v>14378</v>
          </cell>
          <cell r="F103">
            <v>0</v>
          </cell>
        </row>
        <row r="104">
          <cell r="C104">
            <v>0</v>
          </cell>
          <cell r="F104">
            <v>12868</v>
          </cell>
        </row>
        <row r="105">
          <cell r="C105">
            <v>0</v>
          </cell>
          <cell r="F105">
            <v>30</v>
          </cell>
        </row>
        <row r="106">
          <cell r="C106">
            <v>771</v>
          </cell>
        </row>
        <row r="107">
          <cell r="C107">
            <v>13492</v>
          </cell>
        </row>
        <row r="108">
          <cell r="C108">
            <v>647</v>
          </cell>
        </row>
        <row r="109">
          <cell r="C109">
            <v>6243</v>
          </cell>
        </row>
        <row r="113">
          <cell r="C113">
            <v>8597</v>
          </cell>
        </row>
        <row r="114">
          <cell r="C114">
            <v>29</v>
          </cell>
        </row>
        <row r="115">
          <cell r="C115">
            <v>16578</v>
          </cell>
        </row>
        <row r="116">
          <cell r="C116">
            <v>17679</v>
          </cell>
        </row>
        <row r="117">
          <cell r="C117">
            <v>1540</v>
          </cell>
        </row>
        <row r="118">
          <cell r="C118">
            <v>9</v>
          </cell>
        </row>
        <row r="119">
          <cell r="C119">
            <v>0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20524</v>
          </cell>
        </row>
        <row r="23">
          <cell r="D23">
            <v>838</v>
          </cell>
        </row>
        <row r="24">
          <cell r="D24">
            <v>1561</v>
          </cell>
          <cell r="G24">
            <v>2973</v>
          </cell>
        </row>
        <row r="25">
          <cell r="D25">
            <v>2320</v>
          </cell>
          <cell r="G25">
            <v>37</v>
          </cell>
        </row>
        <row r="26">
          <cell r="D26">
            <v>2860</v>
          </cell>
          <cell r="G26">
            <v>0</v>
          </cell>
        </row>
        <row r="27">
          <cell r="D27">
            <v>776</v>
          </cell>
          <cell r="G27">
            <v>7850</v>
          </cell>
        </row>
        <row r="28">
          <cell r="D28">
            <v>2360</v>
          </cell>
          <cell r="G28">
            <v>117</v>
          </cell>
        </row>
        <row r="29">
          <cell r="D29">
            <v>4271</v>
          </cell>
          <cell r="G29">
            <v>0</v>
          </cell>
        </row>
        <row r="30">
          <cell r="D30">
            <v>2075</v>
          </cell>
          <cell r="G30">
            <v>0</v>
          </cell>
        </row>
        <row r="31">
          <cell r="D31">
            <v>560</v>
          </cell>
          <cell r="G31">
            <v>5440</v>
          </cell>
        </row>
        <row r="32">
          <cell r="D32">
            <v>1323</v>
          </cell>
          <cell r="G32">
            <v>148</v>
          </cell>
        </row>
        <row r="33">
          <cell r="D33">
            <v>2010</v>
          </cell>
          <cell r="G33">
            <v>3887</v>
          </cell>
        </row>
        <row r="34">
          <cell r="D34">
            <v>2755</v>
          </cell>
          <cell r="G34">
            <v>72</v>
          </cell>
        </row>
        <row r="35">
          <cell r="D35">
            <v>1528</v>
          </cell>
        </row>
        <row r="36">
          <cell r="D36">
            <v>480</v>
          </cell>
        </row>
        <row r="37">
          <cell r="D37">
            <v>925</v>
          </cell>
        </row>
        <row r="38">
          <cell r="D38">
            <v>977</v>
          </cell>
          <cell r="G38">
            <v>4491</v>
          </cell>
        </row>
        <row r="39">
          <cell r="D39">
            <v>1190</v>
          </cell>
          <cell r="G39">
            <v>169</v>
          </cell>
        </row>
        <row r="40">
          <cell r="D40">
            <v>1449</v>
          </cell>
          <cell r="G40">
            <v>617</v>
          </cell>
        </row>
        <row r="41">
          <cell r="D41">
            <v>1349</v>
          </cell>
          <cell r="G41">
            <v>6767</v>
          </cell>
        </row>
        <row r="42">
          <cell r="D42">
            <v>4668</v>
          </cell>
          <cell r="G42">
            <v>0</v>
          </cell>
        </row>
        <row r="43">
          <cell r="D43">
            <v>443</v>
          </cell>
          <cell r="G43">
            <v>396</v>
          </cell>
        </row>
        <row r="44">
          <cell r="D44">
            <v>824</v>
          </cell>
          <cell r="G44">
            <v>4923</v>
          </cell>
        </row>
        <row r="45">
          <cell r="D45">
            <v>1710</v>
          </cell>
        </row>
        <row r="46">
          <cell r="D46">
            <v>3298</v>
          </cell>
        </row>
        <row r="47">
          <cell r="D47">
            <v>739</v>
          </cell>
        </row>
        <row r="48">
          <cell r="D48">
            <v>970</v>
          </cell>
          <cell r="G48">
            <v>4973</v>
          </cell>
        </row>
        <row r="49">
          <cell r="D49">
            <v>2158</v>
          </cell>
          <cell r="G49">
            <v>90</v>
          </cell>
        </row>
        <row r="50">
          <cell r="D50">
            <v>671</v>
          </cell>
          <cell r="G50">
            <v>109</v>
          </cell>
        </row>
        <row r="51">
          <cell r="D51">
            <v>1681</v>
          </cell>
          <cell r="G51">
            <v>315</v>
          </cell>
        </row>
        <row r="52">
          <cell r="D52">
            <v>478</v>
          </cell>
          <cell r="G52">
            <v>11729</v>
          </cell>
        </row>
        <row r="53">
          <cell r="D53">
            <v>2575</v>
          </cell>
          <cell r="G53">
            <v>6006</v>
          </cell>
        </row>
        <row r="54">
          <cell r="D54">
            <v>2208</v>
          </cell>
          <cell r="G54">
            <v>0</v>
          </cell>
        </row>
        <row r="55">
          <cell r="D55">
            <v>1005</v>
          </cell>
        </row>
        <row r="56">
          <cell r="D56">
            <v>4193</v>
          </cell>
        </row>
        <row r="57">
          <cell r="D57">
            <v>1388</v>
          </cell>
        </row>
        <row r="58">
          <cell r="D58">
            <v>140</v>
          </cell>
        </row>
        <row r="59">
          <cell r="D59">
            <v>663</v>
          </cell>
        </row>
        <row r="60">
          <cell r="D60">
            <v>1520</v>
          </cell>
        </row>
        <row r="61">
          <cell r="D61">
            <v>2338</v>
          </cell>
        </row>
        <row r="62">
          <cell r="D62">
            <v>480</v>
          </cell>
        </row>
        <row r="63">
          <cell r="D63">
            <v>1130</v>
          </cell>
        </row>
        <row r="64">
          <cell r="D64">
            <v>2874</v>
          </cell>
        </row>
        <row r="65">
          <cell r="D65">
            <v>17363</v>
          </cell>
        </row>
        <row r="73">
          <cell r="D73">
            <v>23222</v>
          </cell>
        </row>
        <row r="81">
          <cell r="D81">
            <v>1705</v>
          </cell>
        </row>
        <row r="82">
          <cell r="D82">
            <v>3476</v>
          </cell>
        </row>
        <row r="83">
          <cell r="D83">
            <v>470</v>
          </cell>
        </row>
        <row r="84">
          <cell r="D84">
            <v>424</v>
          </cell>
        </row>
        <row r="85">
          <cell r="D85">
            <v>393</v>
          </cell>
        </row>
        <row r="86">
          <cell r="D86">
            <v>938</v>
          </cell>
        </row>
        <row r="87">
          <cell r="D87">
            <v>717</v>
          </cell>
        </row>
        <row r="88">
          <cell r="D88">
            <v>1124</v>
          </cell>
        </row>
        <row r="89">
          <cell r="D89">
            <v>482</v>
          </cell>
        </row>
        <row r="90">
          <cell r="D90">
            <v>1756</v>
          </cell>
        </row>
        <row r="91">
          <cell r="D91">
            <v>1116</v>
          </cell>
        </row>
        <row r="92">
          <cell r="D92">
            <v>1011</v>
          </cell>
        </row>
        <row r="93">
          <cell r="D93">
            <v>2271</v>
          </cell>
        </row>
        <row r="94">
          <cell r="D94">
            <v>840</v>
          </cell>
        </row>
        <row r="95">
          <cell r="D95">
            <v>313</v>
          </cell>
        </row>
        <row r="96">
          <cell r="D96">
            <v>147906</v>
          </cell>
        </row>
      </sheetData>
      <sheetData sheetId="1">
        <row r="11">
          <cell r="H11">
            <v>17862</v>
          </cell>
        </row>
        <row r="23">
          <cell r="H23">
            <v>1445</v>
          </cell>
        </row>
        <row r="24">
          <cell r="H24">
            <v>1402</v>
          </cell>
        </row>
        <row r="25">
          <cell r="H25">
            <v>2794</v>
          </cell>
        </row>
        <row r="26">
          <cell r="H26">
            <v>1265</v>
          </cell>
        </row>
        <row r="27">
          <cell r="H27">
            <v>695</v>
          </cell>
        </row>
        <row r="28">
          <cell r="H28">
            <v>2271</v>
          </cell>
        </row>
        <row r="29">
          <cell r="H29">
            <v>5496</v>
          </cell>
        </row>
        <row r="30">
          <cell r="H30">
            <v>1520</v>
          </cell>
        </row>
        <row r="31">
          <cell r="H31">
            <v>520</v>
          </cell>
        </row>
        <row r="32">
          <cell r="H32">
            <v>1216</v>
          </cell>
        </row>
        <row r="33">
          <cell r="H33">
            <v>1868</v>
          </cell>
        </row>
        <row r="34">
          <cell r="H34">
            <v>1930</v>
          </cell>
        </row>
        <row r="35">
          <cell r="H35">
            <v>1947</v>
          </cell>
        </row>
        <row r="36">
          <cell r="H36">
            <v>413</v>
          </cell>
        </row>
        <row r="37">
          <cell r="H37">
            <v>809</v>
          </cell>
        </row>
        <row r="38">
          <cell r="H38">
            <v>810</v>
          </cell>
        </row>
        <row r="39">
          <cell r="H39">
            <v>1078</v>
          </cell>
        </row>
        <row r="40">
          <cell r="H40">
            <v>1272</v>
          </cell>
        </row>
        <row r="41">
          <cell r="H41">
            <v>1345</v>
          </cell>
        </row>
        <row r="42">
          <cell r="H42">
            <v>3936</v>
          </cell>
        </row>
        <row r="43">
          <cell r="H43">
            <v>470</v>
          </cell>
        </row>
        <row r="44">
          <cell r="H44">
            <v>833</v>
          </cell>
        </row>
        <row r="45">
          <cell r="H45">
            <v>1414</v>
          </cell>
        </row>
        <row r="46">
          <cell r="H46">
            <v>3195</v>
          </cell>
        </row>
        <row r="47">
          <cell r="H47">
            <v>623</v>
          </cell>
        </row>
        <row r="48">
          <cell r="H48">
            <v>841</v>
          </cell>
        </row>
        <row r="49">
          <cell r="H49">
            <v>1861</v>
          </cell>
        </row>
        <row r="50">
          <cell r="H50">
            <v>304</v>
          </cell>
        </row>
        <row r="51">
          <cell r="H51">
            <v>1696</v>
          </cell>
        </row>
        <row r="52">
          <cell r="H52">
            <v>468</v>
          </cell>
        </row>
        <row r="53">
          <cell r="H53">
            <v>2221</v>
          </cell>
        </row>
        <row r="54">
          <cell r="H54">
            <v>1937</v>
          </cell>
        </row>
        <row r="55">
          <cell r="H55">
            <v>1020</v>
          </cell>
        </row>
        <row r="56">
          <cell r="H56">
            <v>3833</v>
          </cell>
        </row>
        <row r="57">
          <cell r="H57">
            <v>1183</v>
          </cell>
        </row>
        <row r="58">
          <cell r="H58">
            <v>565</v>
          </cell>
        </row>
        <row r="59">
          <cell r="H59">
            <v>1</v>
          </cell>
        </row>
        <row r="60">
          <cell r="H60">
            <v>1548</v>
          </cell>
        </row>
        <row r="61">
          <cell r="H61">
            <v>2041</v>
          </cell>
        </row>
        <row r="62">
          <cell r="H62">
            <v>601</v>
          </cell>
        </row>
        <row r="63">
          <cell r="H63">
            <v>1291</v>
          </cell>
        </row>
        <row r="64">
          <cell r="H64">
            <v>2211</v>
          </cell>
        </row>
        <row r="65">
          <cell r="H65">
            <v>16954</v>
          </cell>
        </row>
        <row r="73">
          <cell r="H73">
            <v>19735</v>
          </cell>
        </row>
        <row r="81">
          <cell r="H81">
            <v>1767</v>
          </cell>
        </row>
        <row r="82">
          <cell r="H82">
            <v>2654</v>
          </cell>
        </row>
        <row r="83">
          <cell r="H83">
            <v>490</v>
          </cell>
        </row>
        <row r="84">
          <cell r="H84">
            <v>350</v>
          </cell>
        </row>
        <row r="85">
          <cell r="H85">
            <v>481</v>
          </cell>
        </row>
        <row r="86">
          <cell r="H86">
            <v>822</v>
          </cell>
        </row>
        <row r="87">
          <cell r="H87">
            <v>682</v>
          </cell>
        </row>
        <row r="88">
          <cell r="H88">
            <v>1148</v>
          </cell>
        </row>
        <row r="89">
          <cell r="H89">
            <v>408</v>
          </cell>
        </row>
        <row r="90">
          <cell r="H90">
            <v>1532</v>
          </cell>
        </row>
        <row r="91">
          <cell r="H91">
            <v>968</v>
          </cell>
        </row>
        <row r="92">
          <cell r="H92">
            <v>1104</v>
          </cell>
        </row>
        <row r="93">
          <cell r="H93">
            <v>1836</v>
          </cell>
        </row>
        <row r="94">
          <cell r="H94">
            <v>758</v>
          </cell>
        </row>
        <row r="95">
          <cell r="H95">
            <v>247</v>
          </cell>
        </row>
        <row r="96">
          <cell r="D96">
            <v>125</v>
          </cell>
          <cell r="E96">
            <v>17013</v>
          </cell>
          <cell r="F96">
            <v>116644</v>
          </cell>
          <cell r="G96">
            <v>205</v>
          </cell>
        </row>
        <row r="99">
          <cell r="C99">
            <v>2558</v>
          </cell>
          <cell r="F99">
            <v>6037</v>
          </cell>
        </row>
        <row r="100">
          <cell r="C100">
            <v>40</v>
          </cell>
          <cell r="F100">
            <v>84</v>
          </cell>
        </row>
        <row r="101">
          <cell r="C101">
            <v>0</v>
          </cell>
          <cell r="F101">
            <v>4395</v>
          </cell>
        </row>
        <row r="102">
          <cell r="C102">
            <v>10</v>
          </cell>
          <cell r="F102">
            <v>8</v>
          </cell>
        </row>
        <row r="103">
          <cell r="C103">
            <v>5797</v>
          </cell>
          <cell r="F103">
            <v>0</v>
          </cell>
        </row>
        <row r="104">
          <cell r="C104">
            <v>0</v>
          </cell>
          <cell r="F104">
            <v>6426</v>
          </cell>
        </row>
        <row r="105">
          <cell r="C105">
            <v>0</v>
          </cell>
          <cell r="F105">
            <v>4</v>
          </cell>
        </row>
        <row r="106">
          <cell r="C106">
            <v>14</v>
          </cell>
        </row>
        <row r="107">
          <cell r="C107">
            <v>6181</v>
          </cell>
        </row>
        <row r="108">
          <cell r="C108">
            <v>17</v>
          </cell>
        </row>
        <row r="109">
          <cell r="C109">
            <v>3245</v>
          </cell>
        </row>
        <row r="113">
          <cell r="C113">
            <v>4175</v>
          </cell>
        </row>
        <row r="114">
          <cell r="C114">
            <v>11</v>
          </cell>
        </row>
        <row r="115">
          <cell r="C115">
            <v>7464</v>
          </cell>
        </row>
        <row r="116">
          <cell r="C116">
            <v>8074</v>
          </cell>
        </row>
        <row r="117">
          <cell r="C117">
            <v>8</v>
          </cell>
        </row>
        <row r="118">
          <cell r="C118">
            <v>3</v>
          </cell>
        </row>
        <row r="119">
          <cell r="C119">
            <v>0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60314</v>
          </cell>
        </row>
        <row r="23">
          <cell r="D23">
            <v>2788</v>
          </cell>
        </row>
        <row r="24">
          <cell r="D24">
            <v>5491</v>
          </cell>
          <cell r="G24">
            <v>8180</v>
          </cell>
        </row>
        <row r="25">
          <cell r="D25">
            <v>6374</v>
          </cell>
          <cell r="G25">
            <v>328</v>
          </cell>
        </row>
        <row r="26">
          <cell r="D26">
            <v>7379</v>
          </cell>
          <cell r="G26">
            <v>0</v>
          </cell>
        </row>
        <row r="27">
          <cell r="D27">
            <v>2238</v>
          </cell>
          <cell r="G27">
            <v>20262</v>
          </cell>
        </row>
        <row r="28">
          <cell r="D28">
            <v>7979</v>
          </cell>
          <cell r="G28">
            <v>224</v>
          </cell>
        </row>
        <row r="29">
          <cell r="D29">
            <v>15206</v>
          </cell>
          <cell r="G29">
            <v>0</v>
          </cell>
        </row>
        <row r="30">
          <cell r="D30">
            <v>9097</v>
          </cell>
          <cell r="G30">
            <v>0</v>
          </cell>
        </row>
        <row r="31">
          <cell r="D31">
            <v>2198</v>
          </cell>
          <cell r="G31">
            <v>18803</v>
          </cell>
        </row>
        <row r="32">
          <cell r="D32">
            <v>4383</v>
          </cell>
          <cell r="G32">
            <v>254</v>
          </cell>
        </row>
        <row r="33">
          <cell r="D33">
            <v>6252</v>
          </cell>
          <cell r="G33">
            <v>12165</v>
          </cell>
        </row>
        <row r="34">
          <cell r="D34">
            <v>8379</v>
          </cell>
          <cell r="G34">
            <v>98</v>
          </cell>
        </row>
        <row r="35">
          <cell r="D35">
            <v>6441</v>
          </cell>
        </row>
        <row r="36">
          <cell r="D36">
            <v>2231</v>
          </cell>
        </row>
        <row r="37">
          <cell r="D37">
            <v>4797</v>
          </cell>
        </row>
        <row r="38">
          <cell r="D38">
            <v>3604</v>
          </cell>
          <cell r="G38">
            <v>9867</v>
          </cell>
        </row>
        <row r="39">
          <cell r="D39">
            <v>4566</v>
          </cell>
          <cell r="G39">
            <v>497</v>
          </cell>
        </row>
        <row r="40">
          <cell r="D40">
            <v>7009</v>
          </cell>
          <cell r="G40">
            <v>792</v>
          </cell>
        </row>
        <row r="41">
          <cell r="D41">
            <v>3984</v>
          </cell>
          <cell r="G41">
            <v>19646</v>
          </cell>
        </row>
        <row r="42">
          <cell r="D42">
            <v>8036</v>
          </cell>
          <cell r="G42">
            <v>0</v>
          </cell>
        </row>
        <row r="43">
          <cell r="D43">
            <v>3636</v>
          </cell>
          <cell r="G43">
            <v>472</v>
          </cell>
        </row>
        <row r="44">
          <cell r="D44">
            <v>14491</v>
          </cell>
          <cell r="G44">
            <v>12852</v>
          </cell>
        </row>
        <row r="45">
          <cell r="D45">
            <v>7708</v>
          </cell>
        </row>
        <row r="46">
          <cell r="D46">
            <v>8806</v>
          </cell>
        </row>
        <row r="47">
          <cell r="D47">
            <v>2110</v>
          </cell>
        </row>
        <row r="48">
          <cell r="D48">
            <v>7301</v>
          </cell>
          <cell r="G48">
            <v>12119</v>
          </cell>
        </row>
        <row r="49">
          <cell r="D49">
            <v>8536</v>
          </cell>
          <cell r="G49">
            <v>152</v>
          </cell>
        </row>
        <row r="50">
          <cell r="D50">
            <v>3169</v>
          </cell>
          <cell r="G50">
            <v>163</v>
          </cell>
        </row>
        <row r="51">
          <cell r="D51">
            <v>5731</v>
          </cell>
          <cell r="G51">
            <v>397</v>
          </cell>
        </row>
        <row r="52">
          <cell r="D52">
            <v>1742</v>
          </cell>
          <cell r="G52">
            <v>33576</v>
          </cell>
        </row>
        <row r="53">
          <cell r="D53">
            <v>5400</v>
          </cell>
          <cell r="G53">
            <v>16777</v>
          </cell>
        </row>
        <row r="54">
          <cell r="D54">
            <v>6589</v>
          </cell>
          <cell r="G54">
            <v>0</v>
          </cell>
        </row>
        <row r="55">
          <cell r="D55">
            <v>2927</v>
          </cell>
        </row>
        <row r="56">
          <cell r="D56">
            <v>4543</v>
          </cell>
        </row>
        <row r="57">
          <cell r="D57">
            <v>3162</v>
          </cell>
        </row>
        <row r="58">
          <cell r="D58">
            <v>211</v>
          </cell>
        </row>
        <row r="59">
          <cell r="D59">
            <v>2667</v>
          </cell>
        </row>
        <row r="60">
          <cell r="D60">
            <v>4957</v>
          </cell>
        </row>
        <row r="61">
          <cell r="D61">
            <v>6156</v>
          </cell>
        </row>
        <row r="62">
          <cell r="D62">
            <v>1724</v>
          </cell>
        </row>
        <row r="63">
          <cell r="D63">
            <v>4082</v>
          </cell>
        </row>
        <row r="64">
          <cell r="D64">
            <v>11123</v>
          </cell>
        </row>
        <row r="65">
          <cell r="D65">
            <v>44126</v>
          </cell>
        </row>
        <row r="73">
          <cell r="D73">
            <v>63184</v>
          </cell>
        </row>
        <row r="81">
          <cell r="D81">
            <v>6278</v>
          </cell>
        </row>
        <row r="82">
          <cell r="D82">
            <v>8851</v>
          </cell>
        </row>
        <row r="83">
          <cell r="D83">
            <v>1175</v>
          </cell>
        </row>
        <row r="84">
          <cell r="D84">
            <v>1122</v>
          </cell>
        </row>
        <row r="85">
          <cell r="D85">
            <v>1324</v>
          </cell>
        </row>
        <row r="86">
          <cell r="D86">
            <v>3054</v>
          </cell>
        </row>
        <row r="87">
          <cell r="D87">
            <v>3737</v>
          </cell>
        </row>
        <row r="88">
          <cell r="D88">
            <v>3992</v>
          </cell>
        </row>
        <row r="89">
          <cell r="D89">
            <v>2485</v>
          </cell>
        </row>
        <row r="90">
          <cell r="D90">
            <v>8645</v>
          </cell>
        </row>
        <row r="91">
          <cell r="D91">
            <v>6701</v>
          </cell>
        </row>
        <row r="92">
          <cell r="D92">
            <v>4766</v>
          </cell>
        </row>
        <row r="93">
          <cell r="D93">
            <v>4631</v>
          </cell>
        </row>
        <row r="94">
          <cell r="D94">
            <v>4921</v>
          </cell>
        </row>
        <row r="95">
          <cell r="D95">
            <v>1229</v>
          </cell>
        </row>
        <row r="96">
          <cell r="D96">
            <v>465738</v>
          </cell>
        </row>
      </sheetData>
      <sheetData sheetId="1">
        <row r="11">
          <cell r="H11">
            <v>60132</v>
          </cell>
        </row>
        <row r="23">
          <cell r="H23">
            <v>5137</v>
          </cell>
        </row>
        <row r="24">
          <cell r="H24">
            <v>3494</v>
          </cell>
        </row>
        <row r="25">
          <cell r="H25">
            <v>9918</v>
          </cell>
        </row>
        <row r="26">
          <cell r="H26">
            <v>4076</v>
          </cell>
        </row>
        <row r="27">
          <cell r="H27">
            <v>2752</v>
          </cell>
        </row>
        <row r="28">
          <cell r="H28">
            <v>10652</v>
          </cell>
        </row>
        <row r="29">
          <cell r="H29">
            <v>16503</v>
          </cell>
        </row>
        <row r="30">
          <cell r="H30">
            <v>9433</v>
          </cell>
        </row>
        <row r="31">
          <cell r="H31">
            <v>2633</v>
          </cell>
        </row>
        <row r="32">
          <cell r="H32">
            <v>4294</v>
          </cell>
        </row>
        <row r="33">
          <cell r="H33">
            <v>7185</v>
          </cell>
        </row>
        <row r="34">
          <cell r="H34">
            <v>7504</v>
          </cell>
        </row>
        <row r="35">
          <cell r="H35">
            <v>7062</v>
          </cell>
        </row>
        <row r="36">
          <cell r="H36">
            <v>2073</v>
          </cell>
        </row>
        <row r="37">
          <cell r="H37">
            <v>4507</v>
          </cell>
        </row>
        <row r="38">
          <cell r="H38">
            <v>3472</v>
          </cell>
        </row>
        <row r="39">
          <cell r="H39">
            <v>4676</v>
          </cell>
        </row>
        <row r="40">
          <cell r="H40">
            <v>6831</v>
          </cell>
        </row>
        <row r="41">
          <cell r="H41">
            <v>3874</v>
          </cell>
        </row>
        <row r="42">
          <cell r="H42">
            <v>7931</v>
          </cell>
        </row>
        <row r="43">
          <cell r="H43">
            <v>2921</v>
          </cell>
        </row>
        <row r="44">
          <cell r="H44">
            <v>13015</v>
          </cell>
        </row>
        <row r="45">
          <cell r="H45">
            <v>6291</v>
          </cell>
        </row>
        <row r="46">
          <cell r="H46">
            <v>8486</v>
          </cell>
        </row>
        <row r="47">
          <cell r="H47">
            <v>1891</v>
          </cell>
        </row>
        <row r="48">
          <cell r="H48">
            <v>7044</v>
          </cell>
        </row>
        <row r="49">
          <cell r="H49">
            <v>9131</v>
          </cell>
        </row>
        <row r="50">
          <cell r="H50">
            <v>2941</v>
          </cell>
        </row>
        <row r="51">
          <cell r="H51">
            <v>5594</v>
          </cell>
        </row>
        <row r="52">
          <cell r="H52">
            <v>1947</v>
          </cell>
        </row>
        <row r="53">
          <cell r="H53">
            <v>5634</v>
          </cell>
        </row>
        <row r="54">
          <cell r="H54">
            <v>6721</v>
          </cell>
        </row>
        <row r="55">
          <cell r="H55">
            <v>3214</v>
          </cell>
        </row>
        <row r="56">
          <cell r="H56">
            <v>3922</v>
          </cell>
        </row>
        <row r="57">
          <cell r="H57">
            <v>3813</v>
          </cell>
        </row>
        <row r="58">
          <cell r="H58">
            <v>2801</v>
          </cell>
        </row>
        <row r="59">
          <cell r="H59">
            <v>3</v>
          </cell>
        </row>
        <row r="60">
          <cell r="H60">
            <v>4682</v>
          </cell>
        </row>
        <row r="61">
          <cell r="H61">
            <v>5839</v>
          </cell>
        </row>
        <row r="62">
          <cell r="H62">
            <v>2258</v>
          </cell>
        </row>
        <row r="63">
          <cell r="H63">
            <v>4618</v>
          </cell>
        </row>
        <row r="64">
          <cell r="H64">
            <v>9173</v>
          </cell>
        </row>
        <row r="65">
          <cell r="H65">
            <v>54324</v>
          </cell>
        </row>
        <row r="73">
          <cell r="H73">
            <v>64825</v>
          </cell>
        </row>
        <row r="81">
          <cell r="H81">
            <v>8031</v>
          </cell>
        </row>
        <row r="82">
          <cell r="H82">
            <v>8714</v>
          </cell>
        </row>
        <row r="83">
          <cell r="H83">
            <v>1821</v>
          </cell>
        </row>
        <row r="84">
          <cell r="H84">
            <v>1052</v>
          </cell>
        </row>
        <row r="85">
          <cell r="H85">
            <v>2187</v>
          </cell>
        </row>
        <row r="86">
          <cell r="H86">
            <v>2906</v>
          </cell>
        </row>
        <row r="87">
          <cell r="H87">
            <v>3547</v>
          </cell>
        </row>
        <row r="88">
          <cell r="H88">
            <v>3857</v>
          </cell>
        </row>
        <row r="89">
          <cell r="H89">
            <v>2380</v>
          </cell>
        </row>
        <row r="90">
          <cell r="H90">
            <v>8019</v>
          </cell>
        </row>
        <row r="91">
          <cell r="H91">
            <v>6200</v>
          </cell>
        </row>
        <row r="92">
          <cell r="H92">
            <v>4901</v>
          </cell>
        </row>
        <row r="93">
          <cell r="H93">
            <v>4056</v>
          </cell>
        </row>
        <row r="94">
          <cell r="H94">
            <v>4353</v>
          </cell>
        </row>
        <row r="95">
          <cell r="H95">
            <v>1339</v>
          </cell>
        </row>
        <row r="96">
          <cell r="D96">
            <v>340</v>
          </cell>
          <cell r="E96">
            <v>97823</v>
          </cell>
          <cell r="F96">
            <v>378912</v>
          </cell>
          <cell r="G96">
            <v>1515</v>
          </cell>
        </row>
        <row r="99">
          <cell r="C99">
            <v>9664</v>
          </cell>
          <cell r="F99">
            <v>18892</v>
          </cell>
        </row>
        <row r="100">
          <cell r="C100">
            <v>255</v>
          </cell>
          <cell r="F100">
            <v>446</v>
          </cell>
        </row>
        <row r="101">
          <cell r="C101">
            <v>0</v>
          </cell>
          <cell r="F101">
            <v>15520</v>
          </cell>
        </row>
        <row r="102">
          <cell r="C102">
            <v>4406</v>
          </cell>
          <cell r="F102">
            <v>1174</v>
          </cell>
        </row>
        <row r="103">
          <cell r="C103">
            <v>17448</v>
          </cell>
          <cell r="F103">
            <v>0</v>
          </cell>
        </row>
        <row r="104">
          <cell r="C104">
            <v>0</v>
          </cell>
          <cell r="F104">
            <v>17048</v>
          </cell>
        </row>
        <row r="105">
          <cell r="C105">
            <v>0</v>
          </cell>
          <cell r="F105">
            <v>1244</v>
          </cell>
        </row>
        <row r="106">
          <cell r="C106">
            <v>2098</v>
          </cell>
        </row>
        <row r="107">
          <cell r="C107">
            <v>17343</v>
          </cell>
        </row>
        <row r="108">
          <cell r="C108">
            <v>1333</v>
          </cell>
        </row>
        <row r="109">
          <cell r="C109">
            <v>7585</v>
          </cell>
        </row>
        <row r="113">
          <cell r="C113">
            <v>11440</v>
          </cell>
        </row>
        <row r="114">
          <cell r="C114">
            <v>62</v>
          </cell>
        </row>
        <row r="115">
          <cell r="C115">
            <v>20520</v>
          </cell>
        </row>
        <row r="116">
          <cell r="C116">
            <v>26580</v>
          </cell>
        </row>
        <row r="117">
          <cell r="C117">
            <v>5776</v>
          </cell>
        </row>
        <row r="118">
          <cell r="C118">
            <v>447</v>
          </cell>
        </row>
        <row r="119">
          <cell r="C119">
            <v>0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60422</v>
          </cell>
        </row>
        <row r="23">
          <cell r="D23">
            <v>2738</v>
          </cell>
        </row>
        <row r="24">
          <cell r="D24">
            <v>5574</v>
          </cell>
          <cell r="G24">
            <v>8329</v>
          </cell>
        </row>
        <row r="25">
          <cell r="D25">
            <v>6208</v>
          </cell>
          <cell r="G25">
            <v>382</v>
          </cell>
        </row>
        <row r="26">
          <cell r="D26">
            <v>7131</v>
          </cell>
          <cell r="G26">
            <v>0</v>
          </cell>
        </row>
        <row r="27">
          <cell r="D27">
            <v>2305</v>
          </cell>
          <cell r="G27">
            <v>20349</v>
          </cell>
        </row>
        <row r="28">
          <cell r="D28">
            <v>8155</v>
          </cell>
          <cell r="G28">
            <v>198</v>
          </cell>
        </row>
        <row r="29">
          <cell r="D29">
            <v>16471</v>
          </cell>
          <cell r="G29">
            <v>0</v>
          </cell>
        </row>
        <row r="30">
          <cell r="D30">
            <v>9793</v>
          </cell>
          <cell r="G30">
            <v>0</v>
          </cell>
        </row>
        <row r="31">
          <cell r="D31">
            <v>2298</v>
          </cell>
          <cell r="G31">
            <v>18522</v>
          </cell>
        </row>
        <row r="32">
          <cell r="D32">
            <v>4376</v>
          </cell>
          <cell r="G32">
            <v>234</v>
          </cell>
        </row>
        <row r="33">
          <cell r="D33">
            <v>6303</v>
          </cell>
          <cell r="G33">
            <v>12295</v>
          </cell>
        </row>
        <row r="34">
          <cell r="D34">
            <v>8319</v>
          </cell>
          <cell r="G34">
            <v>113</v>
          </cell>
        </row>
        <row r="35">
          <cell r="D35">
            <v>6466</v>
          </cell>
        </row>
        <row r="36">
          <cell r="D36">
            <v>2270</v>
          </cell>
        </row>
        <row r="37">
          <cell r="D37">
            <v>5000</v>
          </cell>
        </row>
        <row r="38">
          <cell r="D38">
            <v>3626</v>
          </cell>
          <cell r="G38">
            <v>10438</v>
          </cell>
        </row>
        <row r="39">
          <cell r="D39">
            <v>4451</v>
          </cell>
          <cell r="G39">
            <v>542</v>
          </cell>
        </row>
        <row r="40">
          <cell r="D40">
            <v>7373</v>
          </cell>
          <cell r="G40">
            <v>793</v>
          </cell>
        </row>
        <row r="41">
          <cell r="D41">
            <v>4037</v>
          </cell>
          <cell r="G41">
            <v>19697</v>
          </cell>
        </row>
        <row r="42">
          <cell r="D42">
            <v>8395</v>
          </cell>
          <cell r="G42">
            <v>0</v>
          </cell>
        </row>
        <row r="43">
          <cell r="D43">
            <v>3824</v>
          </cell>
          <cell r="G43">
            <v>486</v>
          </cell>
        </row>
        <row r="44">
          <cell r="D44">
            <v>15693</v>
          </cell>
          <cell r="G44">
            <v>12685</v>
          </cell>
        </row>
        <row r="45">
          <cell r="D45">
            <v>7722</v>
          </cell>
        </row>
        <row r="46">
          <cell r="D46">
            <v>9165</v>
          </cell>
        </row>
        <row r="47">
          <cell r="D47">
            <v>2311</v>
          </cell>
        </row>
        <row r="48">
          <cell r="D48">
            <v>7529</v>
          </cell>
          <cell r="G48">
            <v>11806</v>
          </cell>
        </row>
        <row r="49">
          <cell r="D49">
            <v>8784</v>
          </cell>
          <cell r="G49">
            <v>134</v>
          </cell>
        </row>
        <row r="50">
          <cell r="D50">
            <v>3196</v>
          </cell>
          <cell r="G50">
            <v>190</v>
          </cell>
        </row>
        <row r="51">
          <cell r="D51">
            <v>5560</v>
          </cell>
          <cell r="G51">
            <v>468</v>
          </cell>
        </row>
        <row r="52">
          <cell r="D52">
            <v>1728</v>
          </cell>
          <cell r="G52">
            <v>33901</v>
          </cell>
        </row>
        <row r="53">
          <cell r="D53">
            <v>5665</v>
          </cell>
          <cell r="G53">
            <v>16947</v>
          </cell>
        </row>
        <row r="54">
          <cell r="D54">
            <v>7311</v>
          </cell>
          <cell r="G54">
            <v>0</v>
          </cell>
        </row>
        <row r="55">
          <cell r="D55">
            <v>2996</v>
          </cell>
        </row>
        <row r="56">
          <cell r="D56">
            <v>4555</v>
          </cell>
        </row>
        <row r="57">
          <cell r="D57">
            <v>3227</v>
          </cell>
        </row>
        <row r="58">
          <cell r="D58">
            <v>194</v>
          </cell>
        </row>
        <row r="59">
          <cell r="D59">
            <v>2696</v>
          </cell>
        </row>
        <row r="60">
          <cell r="D60">
            <v>5207</v>
          </cell>
        </row>
        <row r="61">
          <cell r="D61">
            <v>6035</v>
          </cell>
        </row>
        <row r="62">
          <cell r="D62">
            <v>1743</v>
          </cell>
        </row>
        <row r="63">
          <cell r="D63">
            <v>3928</v>
          </cell>
        </row>
        <row r="64">
          <cell r="D64">
            <v>10855</v>
          </cell>
        </row>
        <row r="65">
          <cell r="D65">
            <v>44641</v>
          </cell>
        </row>
        <row r="73">
          <cell r="D73">
            <v>63446</v>
          </cell>
        </row>
        <row r="81">
          <cell r="D81">
            <v>6625</v>
          </cell>
        </row>
        <row r="82">
          <cell r="D82">
            <v>8771</v>
          </cell>
        </row>
        <row r="83">
          <cell r="D83">
            <v>1207</v>
          </cell>
        </row>
        <row r="84">
          <cell r="D84">
            <v>1261</v>
          </cell>
        </row>
        <row r="85">
          <cell r="D85">
            <v>1312</v>
          </cell>
        </row>
        <row r="86">
          <cell r="D86">
            <v>3137</v>
          </cell>
        </row>
        <row r="87">
          <cell r="D87">
            <v>3879</v>
          </cell>
        </row>
        <row r="88">
          <cell r="D88">
            <v>3941</v>
          </cell>
        </row>
        <row r="89">
          <cell r="D89">
            <v>2621</v>
          </cell>
        </row>
        <row r="90">
          <cell r="D90">
            <v>8852</v>
          </cell>
        </row>
        <row r="91">
          <cell r="D91">
            <v>6925</v>
          </cell>
        </row>
        <row r="92">
          <cell r="D92">
            <v>4542</v>
          </cell>
        </row>
        <row r="93">
          <cell r="D93">
            <v>4954</v>
          </cell>
        </row>
        <row r="94">
          <cell r="D94">
            <v>5247</v>
          </cell>
        </row>
        <row r="95">
          <cell r="D95">
            <v>1325</v>
          </cell>
        </row>
        <row r="96">
          <cell r="D96">
            <v>474321</v>
          </cell>
        </row>
      </sheetData>
      <sheetData sheetId="1">
        <row r="11">
          <cell r="H11">
            <v>60468</v>
          </cell>
        </row>
        <row r="23">
          <cell r="H23">
            <v>5121</v>
          </cell>
        </row>
        <row r="24">
          <cell r="H24">
            <v>3504</v>
          </cell>
        </row>
        <row r="25">
          <cell r="H25">
            <v>9927</v>
          </cell>
        </row>
        <row r="26">
          <cell r="H26">
            <v>4070</v>
          </cell>
        </row>
        <row r="27">
          <cell r="H27">
            <v>2759</v>
          </cell>
        </row>
        <row r="28">
          <cell r="H28">
            <v>11014</v>
          </cell>
        </row>
        <row r="29">
          <cell r="H29">
            <v>16887</v>
          </cell>
        </row>
        <row r="30">
          <cell r="H30">
            <v>9687</v>
          </cell>
        </row>
        <row r="31">
          <cell r="H31">
            <v>2686</v>
          </cell>
        </row>
        <row r="32">
          <cell r="H32">
            <v>4200</v>
          </cell>
        </row>
        <row r="33">
          <cell r="H33">
            <v>7200</v>
          </cell>
        </row>
        <row r="34">
          <cell r="H34">
            <v>7550</v>
          </cell>
        </row>
        <row r="35">
          <cell r="H35">
            <v>7107</v>
          </cell>
        </row>
        <row r="36">
          <cell r="H36">
            <v>2187</v>
          </cell>
        </row>
        <row r="37">
          <cell r="H37">
            <v>4568</v>
          </cell>
        </row>
        <row r="38">
          <cell r="H38">
            <v>3405</v>
          </cell>
        </row>
        <row r="39">
          <cell r="H39">
            <v>4662</v>
          </cell>
        </row>
        <row r="40">
          <cell r="H40">
            <v>6988</v>
          </cell>
        </row>
        <row r="41">
          <cell r="H41">
            <v>4039</v>
          </cell>
        </row>
        <row r="42">
          <cell r="H42">
            <v>8425</v>
          </cell>
        </row>
        <row r="43">
          <cell r="H43">
            <v>3069</v>
          </cell>
        </row>
        <row r="44">
          <cell r="H44">
            <v>14034</v>
          </cell>
        </row>
        <row r="45">
          <cell r="H45">
            <v>6422</v>
          </cell>
        </row>
        <row r="46">
          <cell r="H46">
            <v>8828</v>
          </cell>
        </row>
        <row r="47">
          <cell r="H47">
            <v>1994</v>
          </cell>
        </row>
        <row r="48">
          <cell r="H48">
            <v>7273</v>
          </cell>
        </row>
        <row r="49">
          <cell r="H49">
            <v>9480</v>
          </cell>
        </row>
        <row r="50">
          <cell r="H50">
            <v>2940</v>
          </cell>
        </row>
        <row r="51">
          <cell r="H51">
            <v>5699</v>
          </cell>
        </row>
        <row r="52">
          <cell r="H52">
            <v>1970</v>
          </cell>
        </row>
        <row r="53">
          <cell r="H53">
            <v>5890</v>
          </cell>
        </row>
        <row r="54">
          <cell r="H54">
            <v>7096</v>
          </cell>
        </row>
        <row r="55">
          <cell r="H55">
            <v>3363</v>
          </cell>
        </row>
        <row r="56">
          <cell r="H56">
            <v>4013</v>
          </cell>
        </row>
        <row r="57">
          <cell r="H57">
            <v>3955</v>
          </cell>
        </row>
        <row r="58">
          <cell r="H58">
            <v>2819</v>
          </cell>
        </row>
        <row r="59">
          <cell r="H59">
            <v>1</v>
          </cell>
        </row>
        <row r="60">
          <cell r="H60">
            <v>4968</v>
          </cell>
        </row>
        <row r="61">
          <cell r="H61">
            <v>5795</v>
          </cell>
        </row>
        <row r="62">
          <cell r="H62">
            <v>2389</v>
          </cell>
        </row>
        <row r="63">
          <cell r="H63">
            <v>4578</v>
          </cell>
        </row>
        <row r="64">
          <cell r="H64">
            <v>9414</v>
          </cell>
        </row>
        <row r="65">
          <cell r="H65">
            <v>54685</v>
          </cell>
        </row>
        <row r="73">
          <cell r="H73">
            <v>65666</v>
          </cell>
        </row>
        <row r="81">
          <cell r="H81">
            <v>8512</v>
          </cell>
        </row>
        <row r="82">
          <cell r="H82">
            <v>8585</v>
          </cell>
        </row>
        <row r="83">
          <cell r="H83">
            <v>1856</v>
          </cell>
        </row>
        <row r="84">
          <cell r="H84">
            <v>1195</v>
          </cell>
        </row>
        <row r="85">
          <cell r="H85">
            <v>2185</v>
          </cell>
        </row>
        <row r="86">
          <cell r="H86">
            <v>2969</v>
          </cell>
        </row>
        <row r="87">
          <cell r="H87">
            <v>3695</v>
          </cell>
        </row>
        <row r="88">
          <cell r="H88">
            <v>3868</v>
          </cell>
        </row>
        <row r="89">
          <cell r="H89">
            <v>2401</v>
          </cell>
        </row>
        <row r="90">
          <cell r="H90">
            <v>8120</v>
          </cell>
        </row>
        <row r="91">
          <cell r="H91">
            <v>6432</v>
          </cell>
        </row>
        <row r="92">
          <cell r="H92">
            <v>5032</v>
          </cell>
        </row>
        <row r="93">
          <cell r="H93">
            <v>4620</v>
          </cell>
        </row>
        <row r="94">
          <cell r="H94">
            <v>4577</v>
          </cell>
        </row>
        <row r="95">
          <cell r="H95">
            <v>1354</v>
          </cell>
        </row>
        <row r="96">
          <cell r="D96">
            <v>360</v>
          </cell>
          <cell r="E96">
            <v>100003</v>
          </cell>
          <cell r="F96">
            <v>386246</v>
          </cell>
          <cell r="G96">
            <v>1587</v>
          </cell>
        </row>
        <row r="99">
          <cell r="C99">
            <v>9960</v>
          </cell>
          <cell r="F99">
            <v>18691</v>
          </cell>
        </row>
        <row r="100">
          <cell r="C100">
            <v>273</v>
          </cell>
          <cell r="F100">
            <v>494</v>
          </cell>
        </row>
        <row r="101">
          <cell r="C101">
            <v>0</v>
          </cell>
          <cell r="F101">
            <v>15608</v>
          </cell>
        </row>
        <row r="102">
          <cell r="C102">
            <v>4314</v>
          </cell>
          <cell r="F102">
            <v>1279</v>
          </cell>
        </row>
        <row r="103">
          <cell r="C103">
            <v>17376</v>
          </cell>
          <cell r="F103">
            <v>0</v>
          </cell>
        </row>
        <row r="104">
          <cell r="C104">
            <v>0</v>
          </cell>
          <cell r="F104">
            <v>17267</v>
          </cell>
        </row>
        <row r="105">
          <cell r="C105">
            <v>0</v>
          </cell>
          <cell r="F105">
            <v>1346</v>
          </cell>
        </row>
        <row r="106">
          <cell r="C106">
            <v>2278</v>
          </cell>
        </row>
        <row r="107">
          <cell r="C107">
            <v>17246</v>
          </cell>
        </row>
        <row r="108">
          <cell r="C108">
            <v>1281</v>
          </cell>
        </row>
        <row r="109">
          <cell r="C109">
            <v>7740</v>
          </cell>
        </row>
        <row r="113">
          <cell r="C113">
            <v>11429</v>
          </cell>
        </row>
        <row r="114">
          <cell r="C114">
            <v>64</v>
          </cell>
        </row>
        <row r="115">
          <cell r="C115">
            <v>20487</v>
          </cell>
        </row>
        <row r="116">
          <cell r="C116">
            <v>27916</v>
          </cell>
        </row>
        <row r="117">
          <cell r="C117">
            <v>5352</v>
          </cell>
        </row>
        <row r="118">
          <cell r="C118">
            <v>418</v>
          </cell>
        </row>
        <row r="119">
          <cell r="C119">
            <v>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61011</v>
          </cell>
        </row>
        <row r="23">
          <cell r="D23">
            <v>2736</v>
          </cell>
        </row>
        <row r="24">
          <cell r="D24">
            <v>5540</v>
          </cell>
          <cell r="G24">
            <v>8212</v>
          </cell>
        </row>
        <row r="25">
          <cell r="D25">
            <v>6446</v>
          </cell>
          <cell r="G25">
            <v>258</v>
          </cell>
        </row>
        <row r="26">
          <cell r="D26">
            <v>7323</v>
          </cell>
          <cell r="G26">
            <v>0</v>
          </cell>
        </row>
        <row r="27">
          <cell r="D27">
            <v>2211</v>
          </cell>
          <cell r="G27">
            <v>20872</v>
          </cell>
        </row>
        <row r="28">
          <cell r="D28">
            <v>8058</v>
          </cell>
          <cell r="G28">
            <v>209</v>
          </cell>
        </row>
        <row r="29">
          <cell r="D29">
            <v>16952</v>
          </cell>
          <cell r="G29">
            <v>0</v>
          </cell>
        </row>
        <row r="30">
          <cell r="D30">
            <v>9704</v>
          </cell>
          <cell r="G30">
            <v>0</v>
          </cell>
        </row>
        <row r="31">
          <cell r="D31">
            <v>2284</v>
          </cell>
          <cell r="G31">
            <v>18564</v>
          </cell>
        </row>
        <row r="32">
          <cell r="D32">
            <v>4463</v>
          </cell>
          <cell r="G32">
            <v>199</v>
          </cell>
        </row>
        <row r="33">
          <cell r="D33">
            <v>6265</v>
          </cell>
          <cell r="G33">
            <v>12594</v>
          </cell>
        </row>
        <row r="34">
          <cell r="D34">
            <v>8556</v>
          </cell>
          <cell r="G34">
            <v>103</v>
          </cell>
        </row>
        <row r="35">
          <cell r="D35">
            <v>6402</v>
          </cell>
        </row>
        <row r="36">
          <cell r="D36">
            <v>2272</v>
          </cell>
        </row>
        <row r="37">
          <cell r="D37">
            <v>4912</v>
          </cell>
        </row>
        <row r="38">
          <cell r="D38">
            <v>3621</v>
          </cell>
          <cell r="G38">
            <v>10336</v>
          </cell>
        </row>
        <row r="39">
          <cell r="D39">
            <v>4479</v>
          </cell>
          <cell r="G39">
            <v>535</v>
          </cell>
        </row>
        <row r="40">
          <cell r="D40">
            <v>7146</v>
          </cell>
          <cell r="G40">
            <v>790</v>
          </cell>
        </row>
        <row r="41">
          <cell r="D41">
            <v>4355</v>
          </cell>
          <cell r="G41">
            <v>19666</v>
          </cell>
        </row>
        <row r="42">
          <cell r="D42">
            <v>8204</v>
          </cell>
          <cell r="G42">
            <v>0</v>
          </cell>
        </row>
        <row r="43">
          <cell r="D43">
            <v>3665</v>
          </cell>
          <cell r="G43">
            <v>410</v>
          </cell>
        </row>
        <row r="44">
          <cell r="D44">
            <v>16011</v>
          </cell>
          <cell r="G44">
            <v>12014</v>
          </cell>
        </row>
        <row r="45">
          <cell r="D45">
            <v>8012</v>
          </cell>
        </row>
        <row r="46">
          <cell r="D46">
            <v>8873</v>
          </cell>
        </row>
        <row r="47">
          <cell r="D47">
            <v>2332</v>
          </cell>
        </row>
        <row r="48">
          <cell r="D48">
            <v>7364</v>
          </cell>
          <cell r="G48">
            <v>11352</v>
          </cell>
        </row>
        <row r="49">
          <cell r="D49">
            <v>8566</v>
          </cell>
          <cell r="G49">
            <v>122</v>
          </cell>
        </row>
        <row r="50">
          <cell r="D50">
            <v>3318</v>
          </cell>
          <cell r="G50">
            <v>211</v>
          </cell>
        </row>
        <row r="51">
          <cell r="D51">
            <v>5690</v>
          </cell>
          <cell r="G51">
            <v>486</v>
          </cell>
        </row>
        <row r="52">
          <cell r="D52">
            <v>1656</v>
          </cell>
          <cell r="G52">
            <v>33434</v>
          </cell>
        </row>
        <row r="53">
          <cell r="D53">
            <v>5426</v>
          </cell>
          <cell r="G53">
            <v>17981</v>
          </cell>
        </row>
        <row r="54">
          <cell r="D54">
            <v>7092</v>
          </cell>
          <cell r="G54">
            <v>0</v>
          </cell>
        </row>
        <row r="55">
          <cell r="D55">
            <v>2986</v>
          </cell>
        </row>
        <row r="56">
          <cell r="D56">
            <v>4517</v>
          </cell>
        </row>
        <row r="57">
          <cell r="D57">
            <v>3140</v>
          </cell>
        </row>
        <row r="58">
          <cell r="D58">
            <v>174</v>
          </cell>
        </row>
        <row r="59">
          <cell r="D59">
            <v>2751</v>
          </cell>
        </row>
        <row r="60">
          <cell r="D60">
            <v>4848</v>
          </cell>
        </row>
        <row r="61">
          <cell r="D61">
            <v>6115</v>
          </cell>
        </row>
        <row r="62">
          <cell r="D62">
            <v>1724</v>
          </cell>
        </row>
        <row r="63">
          <cell r="D63">
            <v>3856</v>
          </cell>
        </row>
        <row r="64">
          <cell r="D64">
            <v>10837</v>
          </cell>
        </row>
        <row r="65">
          <cell r="D65">
            <v>43751</v>
          </cell>
        </row>
        <row r="73">
          <cell r="D73">
            <v>63586</v>
          </cell>
        </row>
        <row r="81">
          <cell r="D81">
            <v>6333</v>
          </cell>
        </row>
        <row r="82">
          <cell r="D82">
            <v>8626</v>
          </cell>
        </row>
        <row r="83">
          <cell r="D83">
            <v>1156</v>
          </cell>
        </row>
        <row r="84">
          <cell r="D84">
            <v>1171</v>
          </cell>
        </row>
        <row r="85">
          <cell r="D85">
            <v>1272</v>
          </cell>
        </row>
        <row r="86">
          <cell r="D86">
            <v>3033</v>
          </cell>
        </row>
        <row r="87">
          <cell r="D87">
            <v>3889</v>
          </cell>
        </row>
        <row r="88">
          <cell r="D88">
            <v>4225</v>
          </cell>
        </row>
        <row r="89">
          <cell r="D89">
            <v>2552</v>
          </cell>
        </row>
        <row r="90">
          <cell r="D90">
            <v>8816</v>
          </cell>
        </row>
        <row r="91">
          <cell r="D91">
            <v>6947</v>
          </cell>
        </row>
        <row r="92">
          <cell r="D92">
            <v>4735</v>
          </cell>
        </row>
        <row r="93">
          <cell r="D93">
            <v>5750</v>
          </cell>
        </row>
        <row r="94">
          <cell r="D94">
            <v>4998</v>
          </cell>
        </row>
        <row r="95">
          <cell r="D95">
            <v>1305</v>
          </cell>
        </row>
        <row r="96">
          <cell r="D96">
            <v>474038</v>
          </cell>
        </row>
      </sheetData>
      <sheetData sheetId="1">
        <row r="11">
          <cell r="H11">
            <v>60802</v>
          </cell>
        </row>
        <row r="23">
          <cell r="H23">
            <v>5059</v>
          </cell>
        </row>
        <row r="24">
          <cell r="H24">
            <v>3555</v>
          </cell>
        </row>
        <row r="25">
          <cell r="H25">
            <v>10336</v>
          </cell>
        </row>
        <row r="26">
          <cell r="H26">
            <v>4176</v>
          </cell>
        </row>
        <row r="27">
          <cell r="H27">
            <v>2856</v>
          </cell>
        </row>
        <row r="28">
          <cell r="H28">
            <v>11867</v>
          </cell>
        </row>
        <row r="29">
          <cell r="H29">
            <v>15540</v>
          </cell>
        </row>
        <row r="30">
          <cell r="H30">
            <v>9849</v>
          </cell>
        </row>
        <row r="31">
          <cell r="H31">
            <v>2695</v>
          </cell>
        </row>
        <row r="32">
          <cell r="H32">
            <v>4108</v>
          </cell>
        </row>
        <row r="33">
          <cell r="H33">
            <v>7022</v>
          </cell>
        </row>
        <row r="34">
          <cell r="H34">
            <v>7518</v>
          </cell>
        </row>
        <row r="35">
          <cell r="H35">
            <v>6935</v>
          </cell>
        </row>
        <row r="36">
          <cell r="H36">
            <v>2326</v>
          </cell>
        </row>
        <row r="37">
          <cell r="H37">
            <v>4531</v>
          </cell>
        </row>
        <row r="38">
          <cell r="H38">
            <v>3379</v>
          </cell>
        </row>
        <row r="39">
          <cell r="H39">
            <v>4589</v>
          </cell>
        </row>
        <row r="40">
          <cell r="H40">
            <v>6646</v>
          </cell>
        </row>
        <row r="41">
          <cell r="H41">
            <v>4101</v>
          </cell>
        </row>
        <row r="42">
          <cell r="H42">
            <v>7920</v>
          </cell>
        </row>
        <row r="43">
          <cell r="H43">
            <v>2933</v>
          </cell>
        </row>
        <row r="44">
          <cell r="H44">
            <v>13872</v>
          </cell>
        </row>
        <row r="45">
          <cell r="H45">
            <v>6343</v>
          </cell>
        </row>
        <row r="46">
          <cell r="H46">
            <v>8631</v>
          </cell>
        </row>
        <row r="47">
          <cell r="H47">
            <v>1948</v>
          </cell>
        </row>
        <row r="48">
          <cell r="H48">
            <v>6990</v>
          </cell>
        </row>
        <row r="49">
          <cell r="H49">
            <v>9198</v>
          </cell>
        </row>
        <row r="50">
          <cell r="H50">
            <v>2974</v>
          </cell>
        </row>
        <row r="51">
          <cell r="H51">
            <v>5833</v>
          </cell>
        </row>
        <row r="52">
          <cell r="H52">
            <v>1924</v>
          </cell>
        </row>
        <row r="53">
          <cell r="H53">
            <v>5850</v>
          </cell>
        </row>
        <row r="54">
          <cell r="H54">
            <v>6660</v>
          </cell>
        </row>
        <row r="55">
          <cell r="H55">
            <v>3308</v>
          </cell>
        </row>
        <row r="56">
          <cell r="H56">
            <v>3897</v>
          </cell>
        </row>
        <row r="57">
          <cell r="H57">
            <v>3875</v>
          </cell>
        </row>
        <row r="58">
          <cell r="H58">
            <v>2898</v>
          </cell>
        </row>
        <row r="59">
          <cell r="H59">
            <v>4</v>
          </cell>
        </row>
        <row r="60">
          <cell r="H60">
            <v>4673</v>
          </cell>
        </row>
        <row r="61">
          <cell r="H61">
            <v>5843</v>
          </cell>
        </row>
        <row r="62">
          <cell r="H62">
            <v>2309</v>
          </cell>
        </row>
        <row r="63">
          <cell r="H63">
            <v>4495</v>
          </cell>
        </row>
        <row r="64">
          <cell r="H64">
            <v>9427</v>
          </cell>
        </row>
        <row r="65">
          <cell r="H65">
            <v>54371</v>
          </cell>
        </row>
        <row r="73">
          <cell r="H73">
            <v>65386</v>
          </cell>
        </row>
        <row r="81">
          <cell r="H81">
            <v>8742</v>
          </cell>
        </row>
        <row r="82">
          <cell r="H82">
            <v>8887</v>
          </cell>
        </row>
        <row r="83">
          <cell r="H83">
            <v>2568</v>
          </cell>
        </row>
        <row r="84">
          <cell r="H84">
            <v>1468</v>
          </cell>
        </row>
        <row r="85">
          <cell r="H85">
            <v>2409</v>
          </cell>
        </row>
        <row r="86">
          <cell r="H86">
            <v>2906</v>
          </cell>
        </row>
        <row r="87">
          <cell r="H87">
            <v>3707</v>
          </cell>
        </row>
        <row r="88">
          <cell r="H88">
            <v>3871</v>
          </cell>
        </row>
        <row r="89">
          <cell r="H89">
            <v>2497</v>
          </cell>
        </row>
        <row r="90">
          <cell r="H90">
            <v>8040</v>
          </cell>
        </row>
        <row r="91">
          <cell r="H91">
            <v>6413</v>
          </cell>
        </row>
        <row r="92">
          <cell r="H92">
            <v>4958</v>
          </cell>
        </row>
        <row r="93">
          <cell r="H93">
            <v>5079</v>
          </cell>
        </row>
        <row r="94">
          <cell r="H94">
            <v>4577</v>
          </cell>
        </row>
        <row r="95">
          <cell r="H95">
            <v>1420</v>
          </cell>
        </row>
        <row r="96">
          <cell r="D96">
            <v>356</v>
          </cell>
          <cell r="E96">
            <v>99746</v>
          </cell>
          <cell r="F96">
            <v>385238</v>
          </cell>
          <cell r="G96">
            <v>1654</v>
          </cell>
        </row>
        <row r="99">
          <cell r="C99">
            <v>10029</v>
          </cell>
          <cell r="F99">
            <v>18886</v>
          </cell>
        </row>
        <row r="100">
          <cell r="C100">
            <v>184</v>
          </cell>
          <cell r="F100">
            <v>413</v>
          </cell>
        </row>
        <row r="101">
          <cell r="C101">
            <v>0</v>
          </cell>
          <cell r="F101">
            <v>15983</v>
          </cell>
        </row>
        <row r="102">
          <cell r="C102">
            <v>4290</v>
          </cell>
          <cell r="F102">
            <v>1182</v>
          </cell>
        </row>
        <row r="103">
          <cell r="C103">
            <v>17682</v>
          </cell>
          <cell r="F103">
            <v>0</v>
          </cell>
        </row>
        <row r="104">
          <cell r="C104">
            <v>0</v>
          </cell>
          <cell r="F104">
            <v>16610</v>
          </cell>
        </row>
        <row r="105">
          <cell r="C105">
            <v>0</v>
          </cell>
          <cell r="F105">
            <v>1297</v>
          </cell>
        </row>
        <row r="106">
          <cell r="C106">
            <v>2161</v>
          </cell>
        </row>
        <row r="107">
          <cell r="C107">
            <v>17293</v>
          </cell>
        </row>
        <row r="108">
          <cell r="C108">
            <v>1201</v>
          </cell>
        </row>
        <row r="109">
          <cell r="C109">
            <v>7962</v>
          </cell>
        </row>
        <row r="113">
          <cell r="C113">
            <v>11798</v>
          </cell>
        </row>
        <row r="114">
          <cell r="C114">
            <v>45</v>
          </cell>
        </row>
        <row r="115">
          <cell r="C115">
            <v>19119</v>
          </cell>
        </row>
        <row r="116">
          <cell r="C116">
            <v>28264</v>
          </cell>
        </row>
        <row r="117">
          <cell r="C117">
            <v>5647</v>
          </cell>
        </row>
        <row r="118">
          <cell r="C118">
            <v>513</v>
          </cell>
        </row>
        <row r="119">
          <cell r="C119">
            <v>0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60705</v>
          </cell>
        </row>
        <row r="23">
          <cell r="D23">
            <v>2635</v>
          </cell>
        </row>
        <row r="24">
          <cell r="D24">
            <v>5739</v>
          </cell>
          <cell r="G24">
            <v>8036</v>
          </cell>
        </row>
        <row r="25">
          <cell r="D25">
            <v>6309</v>
          </cell>
          <cell r="G25">
            <v>352</v>
          </cell>
        </row>
        <row r="26">
          <cell r="D26">
            <v>7208</v>
          </cell>
          <cell r="G26">
            <v>0</v>
          </cell>
        </row>
        <row r="27">
          <cell r="D27">
            <v>2344</v>
          </cell>
          <cell r="G27">
            <v>21217</v>
          </cell>
        </row>
        <row r="28">
          <cell r="D28">
            <v>7814</v>
          </cell>
          <cell r="G28">
            <v>221</v>
          </cell>
        </row>
        <row r="29">
          <cell r="D29">
            <v>18622</v>
          </cell>
          <cell r="G29">
            <v>0</v>
          </cell>
        </row>
        <row r="30">
          <cell r="D30">
            <v>9676</v>
          </cell>
          <cell r="G30">
            <v>0</v>
          </cell>
        </row>
        <row r="31">
          <cell r="D31">
            <v>2241</v>
          </cell>
          <cell r="G31">
            <v>17906</v>
          </cell>
        </row>
        <row r="32">
          <cell r="D32">
            <v>4405</v>
          </cell>
          <cell r="G32">
            <v>267</v>
          </cell>
        </row>
        <row r="33">
          <cell r="D33">
            <v>6272</v>
          </cell>
          <cell r="G33">
            <v>12599</v>
          </cell>
        </row>
        <row r="34">
          <cell r="D34">
            <v>8338</v>
          </cell>
          <cell r="G34">
            <v>107</v>
          </cell>
        </row>
        <row r="35">
          <cell r="D35">
            <v>6403</v>
          </cell>
        </row>
        <row r="36">
          <cell r="D36">
            <v>2234</v>
          </cell>
        </row>
        <row r="37">
          <cell r="D37">
            <v>4967</v>
          </cell>
        </row>
        <row r="38">
          <cell r="D38">
            <v>3847</v>
          </cell>
          <cell r="G38">
            <v>10204</v>
          </cell>
        </row>
        <row r="39">
          <cell r="D39">
            <v>4665</v>
          </cell>
          <cell r="G39">
            <v>678</v>
          </cell>
        </row>
        <row r="40">
          <cell r="D40">
            <v>7203</v>
          </cell>
          <cell r="G40">
            <v>841</v>
          </cell>
        </row>
        <row r="41">
          <cell r="D41">
            <v>4774</v>
          </cell>
          <cell r="G41">
            <v>19906</v>
          </cell>
        </row>
        <row r="42">
          <cell r="D42">
            <v>9215</v>
          </cell>
          <cell r="G42">
            <v>0</v>
          </cell>
        </row>
        <row r="43">
          <cell r="D43">
            <v>3758</v>
          </cell>
          <cell r="G43">
            <v>463</v>
          </cell>
        </row>
        <row r="44">
          <cell r="D44">
            <v>15912</v>
          </cell>
          <cell r="G44">
            <v>12444</v>
          </cell>
        </row>
        <row r="45">
          <cell r="D45">
            <v>8136</v>
          </cell>
        </row>
        <row r="46">
          <cell r="D46">
            <v>8870</v>
          </cell>
        </row>
        <row r="47">
          <cell r="D47">
            <v>2301</v>
          </cell>
        </row>
        <row r="48">
          <cell r="D48">
            <v>7714</v>
          </cell>
          <cell r="G48">
            <v>12027</v>
          </cell>
        </row>
        <row r="49">
          <cell r="D49">
            <v>8720</v>
          </cell>
          <cell r="G49">
            <v>100</v>
          </cell>
        </row>
        <row r="50">
          <cell r="D50">
            <v>3312</v>
          </cell>
          <cell r="G50">
            <v>188</v>
          </cell>
        </row>
        <row r="51">
          <cell r="D51">
            <v>5750</v>
          </cell>
          <cell r="G51">
            <v>458</v>
          </cell>
        </row>
        <row r="52">
          <cell r="D52">
            <v>1697</v>
          </cell>
          <cell r="G52">
            <v>32796</v>
          </cell>
        </row>
        <row r="53">
          <cell r="D53">
            <v>5628</v>
          </cell>
          <cell r="G53">
            <v>17042</v>
          </cell>
        </row>
        <row r="54">
          <cell r="D54">
            <v>6906</v>
          </cell>
          <cell r="G54">
            <v>0</v>
          </cell>
        </row>
        <row r="55">
          <cell r="D55">
            <v>3104</v>
          </cell>
        </row>
        <row r="56">
          <cell r="D56">
            <v>4358</v>
          </cell>
        </row>
        <row r="57">
          <cell r="D57">
            <v>3132</v>
          </cell>
        </row>
        <row r="58">
          <cell r="D58">
            <v>169</v>
          </cell>
        </row>
        <row r="59">
          <cell r="D59">
            <v>2495</v>
          </cell>
        </row>
        <row r="60">
          <cell r="D60">
            <v>4844</v>
          </cell>
        </row>
        <row r="61">
          <cell r="D61">
            <v>6569</v>
          </cell>
        </row>
        <row r="62">
          <cell r="D62">
            <v>1671</v>
          </cell>
        </row>
        <row r="63">
          <cell r="D63">
            <v>3909</v>
          </cell>
        </row>
        <row r="64">
          <cell r="D64">
            <v>10736</v>
          </cell>
        </row>
        <row r="65">
          <cell r="D65">
            <v>44536</v>
          </cell>
        </row>
        <row r="73">
          <cell r="D73">
            <v>62611</v>
          </cell>
        </row>
        <row r="81">
          <cell r="D81">
            <v>6452</v>
          </cell>
        </row>
        <row r="82">
          <cell r="D82">
            <v>8622</v>
          </cell>
        </row>
        <row r="83">
          <cell r="D83">
            <v>1304</v>
          </cell>
        </row>
        <row r="84">
          <cell r="D84">
            <v>1420</v>
          </cell>
        </row>
        <row r="85">
          <cell r="D85">
            <v>1372</v>
          </cell>
        </row>
        <row r="86">
          <cell r="D86">
            <v>3051</v>
          </cell>
        </row>
        <row r="87">
          <cell r="D87">
            <v>3940</v>
          </cell>
        </row>
        <row r="88">
          <cell r="D88">
            <v>4123</v>
          </cell>
        </row>
        <row r="89">
          <cell r="D89">
            <v>2430</v>
          </cell>
        </row>
        <row r="90">
          <cell r="D90">
            <v>8748</v>
          </cell>
        </row>
        <row r="91">
          <cell r="D91">
            <v>7150</v>
          </cell>
        </row>
        <row r="92">
          <cell r="D92">
            <v>4860</v>
          </cell>
        </row>
        <row r="93">
          <cell r="D93">
            <v>5156</v>
          </cell>
        </row>
        <row r="94">
          <cell r="D94">
            <v>5119</v>
          </cell>
        </row>
        <row r="95">
          <cell r="D95">
            <v>1225</v>
          </cell>
        </row>
        <row r="96">
          <cell r="D96">
            <v>477426</v>
          </cell>
        </row>
      </sheetData>
      <sheetData sheetId="1">
        <row r="11">
          <cell r="H11">
            <v>60179</v>
          </cell>
        </row>
        <row r="23">
          <cell r="H23">
            <v>4986</v>
          </cell>
        </row>
        <row r="24">
          <cell r="H24">
            <v>3477</v>
          </cell>
        </row>
        <row r="25">
          <cell r="H25">
            <v>9980</v>
          </cell>
        </row>
        <row r="26">
          <cell r="H26">
            <v>3995</v>
          </cell>
        </row>
        <row r="27">
          <cell r="H27">
            <v>2818</v>
          </cell>
        </row>
        <row r="28">
          <cell r="H28">
            <v>10872</v>
          </cell>
        </row>
        <row r="29">
          <cell r="H29">
            <v>16874</v>
          </cell>
        </row>
        <row r="30">
          <cell r="H30">
            <v>9829</v>
          </cell>
        </row>
        <row r="31">
          <cell r="H31">
            <v>2694</v>
          </cell>
        </row>
        <row r="32">
          <cell r="H32">
            <v>4169</v>
          </cell>
        </row>
        <row r="33">
          <cell r="H33">
            <v>7143</v>
          </cell>
        </row>
        <row r="34">
          <cell r="H34">
            <v>7460</v>
          </cell>
        </row>
        <row r="35">
          <cell r="H35">
            <v>6895</v>
          </cell>
        </row>
        <row r="36">
          <cell r="H36">
            <v>2275</v>
          </cell>
        </row>
        <row r="37">
          <cell r="H37">
            <v>4562</v>
          </cell>
        </row>
        <row r="38">
          <cell r="H38">
            <v>3397</v>
          </cell>
        </row>
        <row r="39">
          <cell r="H39">
            <v>4518</v>
          </cell>
        </row>
        <row r="40">
          <cell r="H40">
            <v>6873</v>
          </cell>
        </row>
        <row r="41">
          <cell r="H41">
            <v>5125</v>
          </cell>
        </row>
        <row r="42">
          <cell r="H42">
            <v>8470</v>
          </cell>
        </row>
        <row r="43">
          <cell r="H43">
            <v>2992</v>
          </cell>
        </row>
        <row r="44">
          <cell r="H44">
            <v>14016</v>
          </cell>
        </row>
        <row r="45">
          <cell r="H45">
            <v>6389</v>
          </cell>
        </row>
        <row r="46">
          <cell r="H46">
            <v>8376</v>
          </cell>
        </row>
        <row r="47">
          <cell r="H47">
            <v>1941</v>
          </cell>
        </row>
        <row r="48">
          <cell r="H48">
            <v>7141</v>
          </cell>
        </row>
        <row r="49">
          <cell r="H49">
            <v>9180</v>
          </cell>
        </row>
        <row r="50">
          <cell r="H50">
            <v>2889</v>
          </cell>
        </row>
        <row r="51">
          <cell r="H51">
            <v>5661</v>
          </cell>
        </row>
        <row r="52">
          <cell r="H52">
            <v>2000</v>
          </cell>
        </row>
        <row r="53">
          <cell r="H53">
            <v>5816</v>
          </cell>
        </row>
        <row r="54">
          <cell r="H54">
            <v>6824</v>
          </cell>
        </row>
        <row r="55">
          <cell r="H55">
            <v>3467</v>
          </cell>
        </row>
        <row r="56">
          <cell r="H56">
            <v>3817</v>
          </cell>
        </row>
        <row r="57">
          <cell r="H57">
            <v>3922</v>
          </cell>
        </row>
        <row r="58">
          <cell r="H58">
            <v>2822</v>
          </cell>
        </row>
        <row r="59">
          <cell r="H59">
            <v>4</v>
          </cell>
        </row>
        <row r="60">
          <cell r="H60">
            <v>4820</v>
          </cell>
        </row>
        <row r="61">
          <cell r="H61">
            <v>5862</v>
          </cell>
        </row>
        <row r="62">
          <cell r="H62">
            <v>2387</v>
          </cell>
        </row>
        <row r="63">
          <cell r="H63">
            <v>4558</v>
          </cell>
        </row>
        <row r="64">
          <cell r="H64">
            <v>9339</v>
          </cell>
        </row>
        <row r="65">
          <cell r="H65">
            <v>55122</v>
          </cell>
        </row>
        <row r="73">
          <cell r="H73">
            <v>66305</v>
          </cell>
        </row>
        <row r="81">
          <cell r="H81">
            <v>8555</v>
          </cell>
        </row>
        <row r="82">
          <cell r="H82">
            <v>8567</v>
          </cell>
        </row>
        <row r="83">
          <cell r="H83">
            <v>1857</v>
          </cell>
        </row>
        <row r="84">
          <cell r="H84">
            <v>1270</v>
          </cell>
        </row>
        <row r="85">
          <cell r="H85">
            <v>2142</v>
          </cell>
        </row>
        <row r="86">
          <cell r="H86">
            <v>2868</v>
          </cell>
        </row>
        <row r="87">
          <cell r="H87">
            <v>3568</v>
          </cell>
        </row>
        <row r="88">
          <cell r="H88">
            <v>3769</v>
          </cell>
        </row>
        <row r="89">
          <cell r="H89">
            <v>2393</v>
          </cell>
        </row>
        <row r="90">
          <cell r="H90">
            <v>8093</v>
          </cell>
        </row>
        <row r="91">
          <cell r="H91">
            <v>6522</v>
          </cell>
        </row>
        <row r="92">
          <cell r="H92">
            <v>5088</v>
          </cell>
        </row>
        <row r="93">
          <cell r="H93">
            <v>4663</v>
          </cell>
        </row>
        <row r="94">
          <cell r="H94">
            <v>4503</v>
          </cell>
        </row>
        <row r="95">
          <cell r="H95">
            <v>1302</v>
          </cell>
        </row>
        <row r="96">
          <cell r="D96">
            <v>350</v>
          </cell>
          <cell r="E96">
            <v>99449</v>
          </cell>
          <cell r="F96">
            <v>385921</v>
          </cell>
          <cell r="G96">
            <v>1681</v>
          </cell>
        </row>
        <row r="99">
          <cell r="C99">
            <v>9660</v>
          </cell>
          <cell r="F99">
            <v>19122</v>
          </cell>
        </row>
        <row r="100">
          <cell r="C100">
            <v>275</v>
          </cell>
          <cell r="F100">
            <v>495</v>
          </cell>
        </row>
        <row r="101">
          <cell r="C101">
            <v>0</v>
          </cell>
          <cell r="F101">
            <v>16439</v>
          </cell>
        </row>
        <row r="102">
          <cell r="C102">
            <v>4501</v>
          </cell>
          <cell r="F102">
            <v>920</v>
          </cell>
        </row>
        <row r="103">
          <cell r="C103">
            <v>17398</v>
          </cell>
          <cell r="F103">
            <v>0</v>
          </cell>
        </row>
        <row r="104">
          <cell r="C104">
            <v>0</v>
          </cell>
          <cell r="F104">
            <v>16816</v>
          </cell>
        </row>
        <row r="105">
          <cell r="C105">
            <v>0</v>
          </cell>
          <cell r="F105">
            <v>1330</v>
          </cell>
        </row>
        <row r="106">
          <cell r="C106">
            <v>2191</v>
          </cell>
        </row>
        <row r="107">
          <cell r="C107">
            <v>17275</v>
          </cell>
        </row>
        <row r="108">
          <cell r="C108">
            <v>1260</v>
          </cell>
        </row>
        <row r="109">
          <cell r="C109">
            <v>7619</v>
          </cell>
        </row>
        <row r="113">
          <cell r="C113">
            <v>11964</v>
          </cell>
        </row>
        <row r="114">
          <cell r="C114">
            <v>58</v>
          </cell>
        </row>
        <row r="115">
          <cell r="C115">
            <v>19963</v>
          </cell>
        </row>
        <row r="116">
          <cell r="C116">
            <v>28189</v>
          </cell>
        </row>
        <row r="117">
          <cell r="C117">
            <v>5660</v>
          </cell>
        </row>
        <row r="118">
          <cell r="C118">
            <v>471</v>
          </cell>
        </row>
        <row r="119">
          <cell r="C119">
            <v>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60158</v>
          </cell>
        </row>
        <row r="23">
          <cell r="D23">
            <v>2741</v>
          </cell>
        </row>
        <row r="24">
          <cell r="D24">
            <v>5570</v>
          </cell>
          <cell r="G24">
            <v>7635</v>
          </cell>
        </row>
        <row r="25">
          <cell r="D25">
            <v>6130</v>
          </cell>
          <cell r="G25">
            <v>333</v>
          </cell>
        </row>
        <row r="26">
          <cell r="D26">
            <v>7824</v>
          </cell>
          <cell r="G26">
            <v>0</v>
          </cell>
        </row>
        <row r="27">
          <cell r="D27">
            <v>2129</v>
          </cell>
          <cell r="G27">
            <v>20110</v>
          </cell>
        </row>
        <row r="28">
          <cell r="D28">
            <v>7604</v>
          </cell>
          <cell r="G28">
            <v>236</v>
          </cell>
        </row>
        <row r="29">
          <cell r="D29">
            <v>14431</v>
          </cell>
          <cell r="G29">
            <v>0</v>
          </cell>
        </row>
        <row r="30">
          <cell r="D30">
            <v>10086</v>
          </cell>
          <cell r="G30">
            <v>0</v>
          </cell>
        </row>
        <row r="31">
          <cell r="D31">
            <v>2155</v>
          </cell>
          <cell r="G31">
            <v>19147</v>
          </cell>
        </row>
        <row r="32">
          <cell r="D32">
            <v>4669</v>
          </cell>
          <cell r="G32">
            <v>253</v>
          </cell>
        </row>
        <row r="33">
          <cell r="D33">
            <v>6230</v>
          </cell>
          <cell r="G33">
            <v>12330</v>
          </cell>
        </row>
        <row r="34">
          <cell r="D34">
            <v>8497</v>
          </cell>
          <cell r="G34">
            <v>114</v>
          </cell>
        </row>
        <row r="35">
          <cell r="D35">
            <v>6431</v>
          </cell>
        </row>
        <row r="36">
          <cell r="D36">
            <v>2273</v>
          </cell>
        </row>
        <row r="37">
          <cell r="D37">
            <v>4880</v>
          </cell>
        </row>
        <row r="38">
          <cell r="D38">
            <v>3621</v>
          </cell>
          <cell r="G38">
            <v>10451</v>
          </cell>
        </row>
        <row r="39">
          <cell r="D39">
            <v>4528</v>
          </cell>
          <cell r="G39">
            <v>608</v>
          </cell>
        </row>
        <row r="40">
          <cell r="D40">
            <v>7102</v>
          </cell>
          <cell r="G40">
            <v>806</v>
          </cell>
        </row>
        <row r="41">
          <cell r="D41">
            <v>5483</v>
          </cell>
          <cell r="G41">
            <v>19817</v>
          </cell>
        </row>
        <row r="42">
          <cell r="D42">
            <v>9243</v>
          </cell>
          <cell r="G42">
            <v>0</v>
          </cell>
        </row>
        <row r="43">
          <cell r="D43">
            <v>3776</v>
          </cell>
          <cell r="G43">
            <v>367</v>
          </cell>
        </row>
        <row r="44">
          <cell r="D44">
            <v>13718</v>
          </cell>
          <cell r="G44">
            <v>13180</v>
          </cell>
        </row>
        <row r="45">
          <cell r="D45">
            <v>7869</v>
          </cell>
        </row>
        <row r="46">
          <cell r="D46">
            <v>9199</v>
          </cell>
        </row>
        <row r="47">
          <cell r="D47">
            <v>2140</v>
          </cell>
        </row>
        <row r="48">
          <cell r="D48">
            <v>7486</v>
          </cell>
          <cell r="G48">
            <v>11641</v>
          </cell>
        </row>
        <row r="49">
          <cell r="D49">
            <v>8758</v>
          </cell>
          <cell r="G49">
            <v>101</v>
          </cell>
        </row>
        <row r="50">
          <cell r="D50">
            <v>3353</v>
          </cell>
          <cell r="G50">
            <v>234</v>
          </cell>
        </row>
        <row r="51">
          <cell r="D51">
            <v>5861</v>
          </cell>
          <cell r="G51">
            <v>602</v>
          </cell>
        </row>
        <row r="52">
          <cell r="D52">
            <v>1713</v>
          </cell>
          <cell r="G52">
            <v>31795</v>
          </cell>
        </row>
        <row r="53">
          <cell r="D53">
            <v>5576</v>
          </cell>
          <cell r="G53">
            <v>17401</v>
          </cell>
        </row>
        <row r="54">
          <cell r="D54">
            <v>7104</v>
          </cell>
          <cell r="G54">
            <v>0</v>
          </cell>
        </row>
        <row r="55">
          <cell r="D55">
            <v>3031</v>
          </cell>
        </row>
        <row r="56">
          <cell r="D56">
            <v>4711</v>
          </cell>
        </row>
        <row r="57">
          <cell r="D57">
            <v>3084</v>
          </cell>
        </row>
        <row r="58">
          <cell r="D58">
            <v>177</v>
          </cell>
        </row>
        <row r="59">
          <cell r="D59">
            <v>2750</v>
          </cell>
        </row>
        <row r="60">
          <cell r="D60">
            <v>5053</v>
          </cell>
        </row>
        <row r="61">
          <cell r="D61">
            <v>6230</v>
          </cell>
        </row>
        <row r="62">
          <cell r="D62">
            <v>1663</v>
          </cell>
        </row>
        <row r="63">
          <cell r="D63">
            <v>3951</v>
          </cell>
        </row>
        <row r="64">
          <cell r="D64">
            <v>11795</v>
          </cell>
        </row>
        <row r="65">
          <cell r="D65">
            <v>45229</v>
          </cell>
        </row>
        <row r="73">
          <cell r="D73">
            <v>61774</v>
          </cell>
        </row>
        <row r="81">
          <cell r="D81">
            <v>6175</v>
          </cell>
        </row>
        <row r="82">
          <cell r="D82">
            <v>8507</v>
          </cell>
        </row>
        <row r="83">
          <cell r="D83">
            <v>1186</v>
          </cell>
        </row>
        <row r="84">
          <cell r="D84">
            <v>1233</v>
          </cell>
        </row>
        <row r="85">
          <cell r="D85">
            <v>1308</v>
          </cell>
        </row>
        <row r="86">
          <cell r="D86">
            <v>2859</v>
          </cell>
        </row>
        <row r="87">
          <cell r="D87">
            <v>3827</v>
          </cell>
        </row>
        <row r="88">
          <cell r="D88">
            <v>4206</v>
          </cell>
        </row>
        <row r="89">
          <cell r="D89">
            <v>2453</v>
          </cell>
        </row>
        <row r="90">
          <cell r="D90">
            <v>8470</v>
          </cell>
        </row>
        <row r="91">
          <cell r="D91">
            <v>7015</v>
          </cell>
        </row>
        <row r="92">
          <cell r="D92">
            <v>4812</v>
          </cell>
        </row>
        <row r="93">
          <cell r="D93">
            <v>5331</v>
          </cell>
        </row>
        <row r="94">
          <cell r="D94">
            <v>5129</v>
          </cell>
        </row>
        <row r="95">
          <cell r="D95">
            <v>1341</v>
          </cell>
        </row>
        <row r="96">
          <cell r="D96">
            <v>471638</v>
          </cell>
        </row>
      </sheetData>
      <sheetData sheetId="1">
        <row r="11">
          <cell r="H11">
            <v>60354</v>
          </cell>
        </row>
        <row r="23">
          <cell r="H23">
            <v>4949</v>
          </cell>
        </row>
        <row r="24">
          <cell r="H24">
            <v>3488</v>
          </cell>
        </row>
        <row r="25">
          <cell r="H25">
            <v>9984</v>
          </cell>
        </row>
        <row r="26">
          <cell r="H26">
            <v>4050</v>
          </cell>
        </row>
        <row r="27">
          <cell r="H27">
            <v>2738</v>
          </cell>
        </row>
        <row r="28">
          <cell r="H28">
            <v>10805</v>
          </cell>
        </row>
        <row r="29">
          <cell r="H29">
            <v>16842</v>
          </cell>
        </row>
        <row r="30">
          <cell r="H30">
            <v>9737</v>
          </cell>
        </row>
        <row r="31">
          <cell r="H31">
            <v>2668</v>
          </cell>
        </row>
        <row r="32">
          <cell r="H32">
            <v>4144</v>
          </cell>
        </row>
        <row r="33">
          <cell r="H33">
            <v>7141</v>
          </cell>
        </row>
        <row r="34">
          <cell r="H34">
            <v>7617</v>
          </cell>
        </row>
        <row r="35">
          <cell r="H35">
            <v>6967</v>
          </cell>
        </row>
        <row r="36">
          <cell r="H36">
            <v>2196</v>
          </cell>
        </row>
        <row r="37">
          <cell r="H37">
            <v>4513</v>
          </cell>
        </row>
        <row r="38">
          <cell r="H38">
            <v>3362</v>
          </cell>
        </row>
        <row r="39">
          <cell r="H39">
            <v>4310</v>
          </cell>
        </row>
        <row r="40">
          <cell r="H40">
            <v>6476</v>
          </cell>
        </row>
        <row r="41">
          <cell r="H41">
            <v>5499</v>
          </cell>
        </row>
        <row r="42">
          <cell r="H42">
            <v>8436</v>
          </cell>
        </row>
        <row r="43">
          <cell r="H43">
            <v>2940</v>
          </cell>
        </row>
        <row r="44">
          <cell r="H44">
            <v>13856</v>
          </cell>
        </row>
        <row r="45">
          <cell r="H45">
            <v>6368</v>
          </cell>
        </row>
        <row r="46">
          <cell r="H46">
            <v>8811</v>
          </cell>
        </row>
        <row r="47">
          <cell r="H47">
            <v>1964</v>
          </cell>
        </row>
        <row r="48">
          <cell r="H48">
            <v>7018</v>
          </cell>
        </row>
        <row r="49">
          <cell r="H49">
            <v>9236</v>
          </cell>
        </row>
        <row r="50">
          <cell r="H50">
            <v>2844</v>
          </cell>
        </row>
        <row r="51">
          <cell r="H51">
            <v>5931</v>
          </cell>
        </row>
        <row r="52">
          <cell r="H52">
            <v>1963</v>
          </cell>
        </row>
        <row r="53">
          <cell r="H53">
            <v>6006</v>
          </cell>
        </row>
        <row r="54">
          <cell r="H54">
            <v>6641</v>
          </cell>
        </row>
        <row r="55">
          <cell r="H55">
            <v>3400</v>
          </cell>
        </row>
        <row r="56">
          <cell r="H56">
            <v>4129</v>
          </cell>
        </row>
        <row r="57">
          <cell r="H57">
            <v>4029</v>
          </cell>
        </row>
        <row r="58">
          <cell r="H58">
            <v>2857</v>
          </cell>
        </row>
        <row r="59">
          <cell r="H59">
            <v>1</v>
          </cell>
        </row>
        <row r="60">
          <cell r="H60">
            <v>4757</v>
          </cell>
        </row>
        <row r="61">
          <cell r="H61">
            <v>5787</v>
          </cell>
        </row>
        <row r="62">
          <cell r="H62">
            <v>2266</v>
          </cell>
        </row>
        <row r="63">
          <cell r="H63">
            <v>4651</v>
          </cell>
        </row>
        <row r="64">
          <cell r="H64">
            <v>9635</v>
          </cell>
        </row>
        <row r="65">
          <cell r="H65">
            <v>55895</v>
          </cell>
        </row>
        <row r="73">
          <cell r="H73">
            <v>66824</v>
          </cell>
        </row>
        <row r="81">
          <cell r="H81">
            <v>8586</v>
          </cell>
        </row>
        <row r="82">
          <cell r="H82">
            <v>8614</v>
          </cell>
        </row>
        <row r="83">
          <cell r="H83">
            <v>1993</v>
          </cell>
        </row>
        <row r="84">
          <cell r="H84">
            <v>1191</v>
          </cell>
        </row>
        <row r="85">
          <cell r="H85">
            <v>2261</v>
          </cell>
        </row>
        <row r="86">
          <cell r="H86">
            <v>2794</v>
          </cell>
        </row>
        <row r="87">
          <cell r="H87">
            <v>3554</v>
          </cell>
        </row>
        <row r="88">
          <cell r="H88">
            <v>4098</v>
          </cell>
        </row>
        <row r="89">
          <cell r="H89">
            <v>2340</v>
          </cell>
        </row>
        <row r="90">
          <cell r="H90">
            <v>7843</v>
          </cell>
        </row>
        <row r="91">
          <cell r="H91">
            <v>6345</v>
          </cell>
        </row>
        <row r="92">
          <cell r="H92">
            <v>4923</v>
          </cell>
        </row>
        <row r="93">
          <cell r="H93">
            <v>4603</v>
          </cell>
        </row>
        <row r="94">
          <cell r="H94">
            <v>4536</v>
          </cell>
        </row>
        <row r="95">
          <cell r="H95">
            <v>1277</v>
          </cell>
        </row>
        <row r="96">
          <cell r="D96">
            <v>347</v>
          </cell>
          <cell r="E96">
            <v>97841</v>
          </cell>
          <cell r="F96">
            <v>389133</v>
          </cell>
          <cell r="G96">
            <v>1722</v>
          </cell>
        </row>
        <row r="99">
          <cell r="C99">
            <v>9666</v>
          </cell>
          <cell r="F99">
            <v>19499</v>
          </cell>
        </row>
        <row r="100">
          <cell r="C100">
            <v>268</v>
          </cell>
          <cell r="F100">
            <v>487</v>
          </cell>
        </row>
        <row r="101">
          <cell r="C101">
            <v>0</v>
          </cell>
          <cell r="F101">
            <v>15793</v>
          </cell>
        </row>
        <row r="102">
          <cell r="C102">
            <v>4585</v>
          </cell>
          <cell r="F102">
            <v>1214</v>
          </cell>
        </row>
        <row r="103">
          <cell r="C103">
            <v>17486</v>
          </cell>
          <cell r="F103">
            <v>0</v>
          </cell>
        </row>
        <row r="104">
          <cell r="C104">
            <v>0</v>
          </cell>
          <cell r="F104">
            <v>17514</v>
          </cell>
        </row>
        <row r="105">
          <cell r="C105">
            <v>0</v>
          </cell>
          <cell r="F105">
            <v>1388</v>
          </cell>
        </row>
        <row r="106">
          <cell r="C106">
            <v>2240</v>
          </cell>
        </row>
        <row r="107">
          <cell r="C107">
            <v>16975</v>
          </cell>
        </row>
        <row r="108">
          <cell r="C108">
            <v>1147</v>
          </cell>
        </row>
        <row r="109">
          <cell r="C109">
            <v>7987</v>
          </cell>
        </row>
        <row r="113">
          <cell r="C113">
            <v>11881</v>
          </cell>
        </row>
        <row r="114">
          <cell r="C114">
            <v>59</v>
          </cell>
        </row>
        <row r="115">
          <cell r="C115">
            <v>19415</v>
          </cell>
        </row>
        <row r="116">
          <cell r="C116">
            <v>29275</v>
          </cell>
        </row>
        <row r="117">
          <cell r="C117">
            <v>5722</v>
          </cell>
        </row>
        <row r="118">
          <cell r="C118">
            <v>472</v>
          </cell>
        </row>
        <row r="119">
          <cell r="C119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42710</v>
          </cell>
        </row>
        <row r="23">
          <cell r="D23">
            <v>2588</v>
          </cell>
        </row>
        <row r="24">
          <cell r="D24">
            <v>5393</v>
          </cell>
          <cell r="G24">
            <v>5582</v>
          </cell>
        </row>
        <row r="25">
          <cell r="D25">
            <v>4308</v>
          </cell>
          <cell r="G25">
            <v>224</v>
          </cell>
        </row>
        <row r="26">
          <cell r="D26">
            <v>5570</v>
          </cell>
          <cell r="G26">
            <v>0</v>
          </cell>
        </row>
        <row r="27">
          <cell r="D27">
            <v>1704</v>
          </cell>
          <cell r="G27">
            <v>16044</v>
          </cell>
        </row>
        <row r="28">
          <cell r="D28">
            <v>4918</v>
          </cell>
          <cell r="G28">
            <v>179</v>
          </cell>
        </row>
        <row r="29">
          <cell r="D29">
            <v>10702</v>
          </cell>
          <cell r="G29">
            <v>0</v>
          </cell>
        </row>
        <row r="30">
          <cell r="D30">
            <v>4521</v>
          </cell>
          <cell r="G30">
            <v>0</v>
          </cell>
        </row>
        <row r="31">
          <cell r="D31">
            <v>1450</v>
          </cell>
          <cell r="G31">
            <v>12544</v>
          </cell>
        </row>
        <row r="32">
          <cell r="D32">
            <v>3414</v>
          </cell>
          <cell r="G32">
            <v>217</v>
          </cell>
        </row>
        <row r="33">
          <cell r="D33">
            <v>4334</v>
          </cell>
          <cell r="G33">
            <v>7795</v>
          </cell>
        </row>
        <row r="34">
          <cell r="D34">
            <v>5881</v>
          </cell>
          <cell r="G34">
            <v>125</v>
          </cell>
        </row>
        <row r="35">
          <cell r="D35">
            <v>4322</v>
          </cell>
        </row>
        <row r="36">
          <cell r="D36">
            <v>1344</v>
          </cell>
        </row>
        <row r="37">
          <cell r="D37">
            <v>3519</v>
          </cell>
        </row>
        <row r="38">
          <cell r="D38">
            <v>2640</v>
          </cell>
          <cell r="G38">
            <v>8526</v>
          </cell>
        </row>
        <row r="39">
          <cell r="D39">
            <v>3151</v>
          </cell>
          <cell r="G39">
            <v>417</v>
          </cell>
        </row>
        <row r="40">
          <cell r="D40">
            <v>5014</v>
          </cell>
          <cell r="G40">
            <v>737</v>
          </cell>
        </row>
        <row r="41">
          <cell r="D41">
            <v>3971</v>
          </cell>
          <cell r="G41">
            <v>14941</v>
          </cell>
        </row>
        <row r="42">
          <cell r="D42">
            <v>8599</v>
          </cell>
          <cell r="G42">
            <v>0</v>
          </cell>
        </row>
        <row r="43">
          <cell r="D43">
            <v>2070</v>
          </cell>
          <cell r="G43">
            <v>435</v>
          </cell>
        </row>
        <row r="44">
          <cell r="D44">
            <v>5037</v>
          </cell>
          <cell r="G44">
            <v>9698</v>
          </cell>
        </row>
        <row r="45">
          <cell r="D45">
            <v>4086</v>
          </cell>
        </row>
        <row r="46">
          <cell r="D46">
            <v>4437</v>
          </cell>
        </row>
        <row r="47">
          <cell r="D47">
            <v>1571</v>
          </cell>
        </row>
        <row r="48">
          <cell r="D48">
            <v>3310</v>
          </cell>
          <cell r="G48">
            <v>9910</v>
          </cell>
        </row>
        <row r="49">
          <cell r="D49">
            <v>6919</v>
          </cell>
          <cell r="G49">
            <v>100</v>
          </cell>
        </row>
        <row r="50">
          <cell r="D50">
            <v>2000</v>
          </cell>
          <cell r="G50">
            <v>258</v>
          </cell>
        </row>
        <row r="51">
          <cell r="D51">
            <v>4371</v>
          </cell>
          <cell r="G51">
            <v>452</v>
          </cell>
        </row>
        <row r="52">
          <cell r="D52">
            <v>1297</v>
          </cell>
          <cell r="G52">
            <v>21189</v>
          </cell>
        </row>
        <row r="53">
          <cell r="D53">
            <v>4735</v>
          </cell>
          <cell r="G53">
            <v>12082</v>
          </cell>
        </row>
        <row r="54">
          <cell r="D54">
            <v>4986</v>
          </cell>
          <cell r="G54">
            <v>0</v>
          </cell>
        </row>
        <row r="55">
          <cell r="D55">
            <v>2204</v>
          </cell>
        </row>
        <row r="56">
          <cell r="D56">
            <v>5797</v>
          </cell>
        </row>
        <row r="57">
          <cell r="D57">
            <v>2425</v>
          </cell>
        </row>
        <row r="58">
          <cell r="D58">
            <v>173</v>
          </cell>
        </row>
        <row r="59">
          <cell r="D59">
            <v>1593</v>
          </cell>
        </row>
        <row r="60">
          <cell r="D60">
            <v>4250</v>
          </cell>
        </row>
        <row r="61">
          <cell r="D61">
            <v>4697</v>
          </cell>
        </row>
        <row r="62">
          <cell r="D62">
            <v>1165</v>
          </cell>
        </row>
        <row r="63">
          <cell r="D63">
            <v>2901</v>
          </cell>
        </row>
        <row r="64">
          <cell r="D64">
            <v>7658</v>
          </cell>
        </row>
        <row r="65">
          <cell r="D65">
            <v>34754</v>
          </cell>
        </row>
        <row r="73">
          <cell r="D73">
            <v>43991</v>
          </cell>
        </row>
        <row r="81">
          <cell r="D81">
            <v>4166</v>
          </cell>
        </row>
        <row r="82">
          <cell r="D82">
            <v>6317</v>
          </cell>
        </row>
        <row r="83">
          <cell r="D83">
            <v>892</v>
          </cell>
        </row>
        <row r="84">
          <cell r="D84">
            <v>1057</v>
          </cell>
        </row>
        <row r="85">
          <cell r="D85">
            <v>954</v>
          </cell>
        </row>
        <row r="86">
          <cell r="D86">
            <v>2004</v>
          </cell>
        </row>
        <row r="87">
          <cell r="D87">
            <v>2631</v>
          </cell>
        </row>
        <row r="88">
          <cell r="D88">
            <v>2921</v>
          </cell>
        </row>
        <row r="89">
          <cell r="D89">
            <v>1532</v>
          </cell>
        </row>
        <row r="90">
          <cell r="D90">
            <v>4408</v>
          </cell>
        </row>
        <row r="91">
          <cell r="D91">
            <v>3753</v>
          </cell>
        </row>
        <row r="92">
          <cell r="D92">
            <v>2831</v>
          </cell>
        </row>
        <row r="93">
          <cell r="D93">
            <v>3985</v>
          </cell>
        </row>
        <row r="94">
          <cell r="D94">
            <v>2863</v>
          </cell>
        </row>
        <row r="95">
          <cell r="D95">
            <v>861</v>
          </cell>
        </row>
        <row r="96">
          <cell r="D96">
            <v>327655</v>
          </cell>
        </row>
      </sheetData>
      <sheetData sheetId="1">
        <row r="11">
          <cell r="H11">
            <v>43388</v>
          </cell>
        </row>
        <row r="23">
          <cell r="H23">
            <v>4119</v>
          </cell>
        </row>
        <row r="24">
          <cell r="H24">
            <v>2963</v>
          </cell>
        </row>
        <row r="25">
          <cell r="H25">
            <v>6610</v>
          </cell>
        </row>
        <row r="26">
          <cell r="H26">
            <v>2947</v>
          </cell>
        </row>
        <row r="27">
          <cell r="H27">
            <v>1756</v>
          </cell>
        </row>
        <row r="28">
          <cell r="H28">
            <v>6243</v>
          </cell>
        </row>
        <row r="29">
          <cell r="H29">
            <v>12715</v>
          </cell>
        </row>
        <row r="30">
          <cell r="H30">
            <v>5535</v>
          </cell>
        </row>
        <row r="31">
          <cell r="H31">
            <v>1632</v>
          </cell>
        </row>
        <row r="32">
          <cell r="H32">
            <v>2830</v>
          </cell>
        </row>
        <row r="33">
          <cell r="H33">
            <v>4727</v>
          </cell>
        </row>
        <row r="34">
          <cell r="H34">
            <v>4765</v>
          </cell>
        </row>
        <row r="35">
          <cell r="H35">
            <v>4339</v>
          </cell>
        </row>
        <row r="36">
          <cell r="H36">
            <v>1099</v>
          </cell>
        </row>
        <row r="37">
          <cell r="H37">
            <v>3068</v>
          </cell>
        </row>
        <row r="38">
          <cell r="H38">
            <v>2428</v>
          </cell>
        </row>
        <row r="39">
          <cell r="H39">
            <v>3135</v>
          </cell>
        </row>
        <row r="40">
          <cell r="H40">
            <v>4417</v>
          </cell>
        </row>
        <row r="41">
          <cell r="H41">
            <v>4268</v>
          </cell>
        </row>
        <row r="42">
          <cell r="H42">
            <v>7792</v>
          </cell>
        </row>
        <row r="43">
          <cell r="H43">
            <v>1628</v>
          </cell>
        </row>
        <row r="44">
          <cell r="H44">
            <v>4826</v>
          </cell>
        </row>
        <row r="45">
          <cell r="H45">
            <v>3702</v>
          </cell>
        </row>
        <row r="46">
          <cell r="H46">
            <v>4530</v>
          </cell>
        </row>
        <row r="47">
          <cell r="H47">
            <v>1378</v>
          </cell>
        </row>
        <row r="48">
          <cell r="H48">
            <v>3006</v>
          </cell>
        </row>
        <row r="49">
          <cell r="H49">
            <v>6600</v>
          </cell>
        </row>
        <row r="50">
          <cell r="H50">
            <v>1526</v>
          </cell>
        </row>
        <row r="51">
          <cell r="H51">
            <v>4423</v>
          </cell>
        </row>
        <row r="52">
          <cell r="H52">
            <v>1346</v>
          </cell>
        </row>
        <row r="53">
          <cell r="H53">
            <v>4464</v>
          </cell>
        </row>
        <row r="54">
          <cell r="H54">
            <v>4647</v>
          </cell>
        </row>
        <row r="55">
          <cell r="H55">
            <v>2299</v>
          </cell>
        </row>
        <row r="56">
          <cell r="H56">
            <v>4957</v>
          </cell>
        </row>
        <row r="57">
          <cell r="H57">
            <v>2509</v>
          </cell>
        </row>
        <row r="58">
          <cell r="H58">
            <v>1760</v>
          </cell>
        </row>
        <row r="59">
          <cell r="H59">
            <v>3</v>
          </cell>
        </row>
        <row r="60">
          <cell r="H60">
            <v>3644</v>
          </cell>
        </row>
        <row r="61">
          <cell r="H61">
            <v>4308</v>
          </cell>
        </row>
        <row r="62">
          <cell r="H62">
            <v>1521</v>
          </cell>
        </row>
        <row r="63">
          <cell r="H63">
            <v>3343</v>
          </cell>
        </row>
        <row r="64">
          <cell r="H64">
            <v>6649</v>
          </cell>
        </row>
        <row r="65">
          <cell r="H65">
            <v>39019</v>
          </cell>
        </row>
        <row r="73">
          <cell r="H73">
            <v>44837</v>
          </cell>
        </row>
        <row r="81">
          <cell r="H81">
            <v>5283</v>
          </cell>
        </row>
        <row r="82">
          <cell r="H82">
            <v>5755</v>
          </cell>
        </row>
        <row r="83">
          <cell r="H83">
            <v>1170</v>
          </cell>
        </row>
        <row r="84">
          <cell r="H84">
            <v>978</v>
          </cell>
        </row>
        <row r="85">
          <cell r="H85">
            <v>1309</v>
          </cell>
        </row>
        <row r="86">
          <cell r="H86">
            <v>1903</v>
          </cell>
        </row>
        <row r="87">
          <cell r="H87">
            <v>2396</v>
          </cell>
        </row>
        <row r="88">
          <cell r="H88">
            <v>2905</v>
          </cell>
        </row>
        <row r="89">
          <cell r="H89">
            <v>1424</v>
          </cell>
        </row>
        <row r="90">
          <cell r="H90">
            <v>4063</v>
          </cell>
        </row>
        <row r="91">
          <cell r="H91">
            <v>3238</v>
          </cell>
        </row>
        <row r="92">
          <cell r="H92">
            <v>2974</v>
          </cell>
        </row>
        <row r="93">
          <cell r="H93">
            <v>3458</v>
          </cell>
        </row>
        <row r="94">
          <cell r="H94">
            <v>2410</v>
          </cell>
        </row>
        <row r="95">
          <cell r="H95">
            <v>698</v>
          </cell>
        </row>
        <row r="96">
          <cell r="D96">
            <v>244</v>
          </cell>
          <cell r="E96">
            <v>55592</v>
          </cell>
          <cell r="F96">
            <v>270965</v>
          </cell>
          <cell r="G96">
            <v>864</v>
          </cell>
        </row>
        <row r="99">
          <cell r="C99">
            <v>6698</v>
          </cell>
          <cell r="F99">
            <v>12814</v>
          </cell>
        </row>
        <row r="100">
          <cell r="C100">
            <v>157</v>
          </cell>
          <cell r="F100">
            <v>291</v>
          </cell>
        </row>
        <row r="101">
          <cell r="C101">
            <v>0</v>
          </cell>
          <cell r="F101">
            <v>12048</v>
          </cell>
        </row>
        <row r="102">
          <cell r="C102">
            <v>717</v>
          </cell>
          <cell r="F102">
            <v>326</v>
          </cell>
        </row>
        <row r="103">
          <cell r="C103">
            <v>14525</v>
          </cell>
          <cell r="F103">
            <v>0</v>
          </cell>
        </row>
        <row r="104">
          <cell r="C104">
            <v>0</v>
          </cell>
          <cell r="F104">
            <v>13489</v>
          </cell>
        </row>
        <row r="105">
          <cell r="C105">
            <v>0</v>
          </cell>
          <cell r="F105">
            <v>51</v>
          </cell>
        </row>
        <row r="106">
          <cell r="C106">
            <v>793</v>
          </cell>
        </row>
        <row r="107">
          <cell r="C107">
            <v>13655</v>
          </cell>
        </row>
        <row r="108">
          <cell r="C108">
            <v>650</v>
          </cell>
        </row>
        <row r="109">
          <cell r="C109">
            <v>6193</v>
          </cell>
        </row>
        <row r="113">
          <cell r="C113">
            <v>8398</v>
          </cell>
        </row>
        <row r="114">
          <cell r="C114">
            <v>31</v>
          </cell>
        </row>
        <row r="115">
          <cell r="C115">
            <v>16038</v>
          </cell>
        </row>
        <row r="116">
          <cell r="C116">
            <v>17816</v>
          </cell>
        </row>
        <row r="117">
          <cell r="C117">
            <v>2545</v>
          </cell>
        </row>
        <row r="118">
          <cell r="C118">
            <v>9</v>
          </cell>
        </row>
        <row r="119">
          <cell r="C119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20628</v>
          </cell>
        </row>
        <row r="23">
          <cell r="D23">
            <v>770</v>
          </cell>
        </row>
        <row r="24">
          <cell r="D24">
            <v>1827</v>
          </cell>
          <cell r="G24">
            <v>2659</v>
          </cell>
        </row>
        <row r="25">
          <cell r="D25">
            <v>2047</v>
          </cell>
          <cell r="G25">
            <v>97</v>
          </cell>
        </row>
        <row r="26">
          <cell r="D26">
            <v>3027</v>
          </cell>
          <cell r="G26">
            <v>0</v>
          </cell>
        </row>
        <row r="27">
          <cell r="D27">
            <v>687</v>
          </cell>
          <cell r="G27">
            <v>7944</v>
          </cell>
        </row>
        <row r="28">
          <cell r="D28">
            <v>1982</v>
          </cell>
          <cell r="G28">
            <v>98</v>
          </cell>
        </row>
        <row r="29">
          <cell r="D29">
            <v>4638</v>
          </cell>
          <cell r="G29">
            <v>0</v>
          </cell>
        </row>
        <row r="30">
          <cell r="D30">
            <v>1894</v>
          </cell>
          <cell r="G30">
            <v>0</v>
          </cell>
        </row>
        <row r="31">
          <cell r="D31">
            <v>470</v>
          </cell>
          <cell r="G31">
            <v>5619</v>
          </cell>
        </row>
        <row r="32">
          <cell r="D32">
            <v>1330</v>
          </cell>
          <cell r="G32">
            <v>125</v>
          </cell>
        </row>
        <row r="33">
          <cell r="D33">
            <v>1823</v>
          </cell>
          <cell r="G33">
            <v>3880</v>
          </cell>
        </row>
        <row r="34">
          <cell r="D34">
            <v>2521</v>
          </cell>
          <cell r="G34">
            <v>206</v>
          </cell>
        </row>
        <row r="35">
          <cell r="D35">
            <v>1558</v>
          </cell>
        </row>
        <row r="36">
          <cell r="D36">
            <v>567</v>
          </cell>
        </row>
        <row r="37">
          <cell r="D37">
            <v>936</v>
          </cell>
        </row>
        <row r="38">
          <cell r="D38">
            <v>1023</v>
          </cell>
          <cell r="G38">
            <v>4371</v>
          </cell>
        </row>
        <row r="39">
          <cell r="D39">
            <v>1251</v>
          </cell>
          <cell r="G39">
            <v>184</v>
          </cell>
        </row>
        <row r="40">
          <cell r="D40">
            <v>1445</v>
          </cell>
          <cell r="G40">
            <v>601</v>
          </cell>
        </row>
        <row r="41">
          <cell r="D41">
            <v>2137</v>
          </cell>
          <cell r="G41">
            <v>6449</v>
          </cell>
        </row>
        <row r="42">
          <cell r="D42">
            <v>4181</v>
          </cell>
          <cell r="G42">
            <v>0</v>
          </cell>
        </row>
        <row r="43">
          <cell r="D43">
            <v>468</v>
          </cell>
          <cell r="G43">
            <v>374</v>
          </cell>
        </row>
        <row r="44">
          <cell r="D44">
            <v>885</v>
          </cell>
          <cell r="G44">
            <v>4667</v>
          </cell>
        </row>
        <row r="45">
          <cell r="D45">
            <v>1547</v>
          </cell>
        </row>
        <row r="46">
          <cell r="D46">
            <v>3272</v>
          </cell>
        </row>
        <row r="47">
          <cell r="D47">
            <v>726</v>
          </cell>
        </row>
        <row r="48">
          <cell r="D48">
            <v>886</v>
          </cell>
          <cell r="G48">
            <v>4588</v>
          </cell>
        </row>
        <row r="49">
          <cell r="D49">
            <v>1915</v>
          </cell>
          <cell r="G49">
            <v>67</v>
          </cell>
        </row>
        <row r="50">
          <cell r="D50">
            <v>646</v>
          </cell>
          <cell r="G50">
            <v>110</v>
          </cell>
        </row>
        <row r="51">
          <cell r="D51">
            <v>1665</v>
          </cell>
          <cell r="G51">
            <v>244</v>
          </cell>
        </row>
        <row r="52">
          <cell r="D52">
            <v>458</v>
          </cell>
          <cell r="G52">
            <v>11143</v>
          </cell>
        </row>
        <row r="53">
          <cell r="D53">
            <v>2316</v>
          </cell>
          <cell r="G53">
            <v>5959</v>
          </cell>
        </row>
        <row r="54">
          <cell r="D54">
            <v>2103</v>
          </cell>
          <cell r="G54">
            <v>0</v>
          </cell>
        </row>
        <row r="55">
          <cell r="D55">
            <v>891</v>
          </cell>
        </row>
        <row r="56">
          <cell r="D56">
            <v>3950</v>
          </cell>
        </row>
        <row r="57">
          <cell r="D57">
            <v>1197</v>
          </cell>
        </row>
        <row r="58">
          <cell r="D58">
            <v>108</v>
          </cell>
        </row>
        <row r="59">
          <cell r="D59">
            <v>646</v>
          </cell>
        </row>
        <row r="60">
          <cell r="D60">
            <v>1485</v>
          </cell>
        </row>
        <row r="61">
          <cell r="D61">
            <v>2182</v>
          </cell>
        </row>
        <row r="62">
          <cell r="D62">
            <v>435</v>
          </cell>
        </row>
        <row r="63">
          <cell r="D63">
            <v>1058</v>
          </cell>
        </row>
        <row r="64">
          <cell r="D64">
            <v>2885</v>
          </cell>
        </row>
        <row r="65">
          <cell r="D65">
            <v>16646</v>
          </cell>
        </row>
        <row r="73">
          <cell r="D73">
            <v>22111</v>
          </cell>
        </row>
        <row r="81">
          <cell r="D81">
            <v>1688</v>
          </cell>
        </row>
        <row r="82">
          <cell r="D82">
            <v>3301</v>
          </cell>
        </row>
        <row r="83">
          <cell r="D83">
            <v>436</v>
          </cell>
        </row>
        <row r="84">
          <cell r="D84">
            <v>588</v>
          </cell>
        </row>
        <row r="85">
          <cell r="D85">
            <v>472</v>
          </cell>
        </row>
        <row r="86">
          <cell r="D86">
            <v>903</v>
          </cell>
        </row>
        <row r="87">
          <cell r="D87">
            <v>733</v>
          </cell>
        </row>
        <row r="88">
          <cell r="D88">
            <v>1084</v>
          </cell>
        </row>
        <row r="89">
          <cell r="D89">
            <v>453</v>
          </cell>
        </row>
        <row r="90">
          <cell r="D90">
            <v>1579</v>
          </cell>
        </row>
        <row r="91">
          <cell r="D91">
            <v>1185</v>
          </cell>
        </row>
        <row r="92">
          <cell r="D92">
            <v>1047</v>
          </cell>
        </row>
        <row r="93">
          <cell r="D93">
            <v>2138</v>
          </cell>
        </row>
        <row r="94">
          <cell r="D94">
            <v>952</v>
          </cell>
        </row>
        <row r="95">
          <cell r="D95">
            <v>278</v>
          </cell>
        </row>
        <row r="96">
          <cell r="D96">
            <v>144060</v>
          </cell>
        </row>
      </sheetData>
      <sheetData sheetId="1">
        <row r="11">
          <cell r="H11">
            <v>17185</v>
          </cell>
        </row>
        <row r="23">
          <cell r="H23">
            <v>1433</v>
          </cell>
        </row>
        <row r="24">
          <cell r="H24">
            <v>1321</v>
          </cell>
        </row>
        <row r="25">
          <cell r="H25">
            <v>2542</v>
          </cell>
        </row>
        <row r="26">
          <cell r="H26">
            <v>1182</v>
          </cell>
        </row>
        <row r="27">
          <cell r="H27">
            <v>634</v>
          </cell>
        </row>
        <row r="28">
          <cell r="H28">
            <v>2116</v>
          </cell>
        </row>
        <row r="29">
          <cell r="H29">
            <v>5183</v>
          </cell>
        </row>
        <row r="30">
          <cell r="H30">
            <v>1575</v>
          </cell>
        </row>
        <row r="31">
          <cell r="H31">
            <v>528</v>
          </cell>
        </row>
        <row r="32">
          <cell r="H32">
            <v>1225</v>
          </cell>
        </row>
        <row r="33">
          <cell r="H33">
            <v>1769</v>
          </cell>
        </row>
        <row r="34">
          <cell r="H34">
            <v>1670</v>
          </cell>
        </row>
        <row r="35">
          <cell r="H35">
            <v>2048</v>
          </cell>
        </row>
        <row r="36">
          <cell r="H36">
            <v>361</v>
          </cell>
        </row>
        <row r="37">
          <cell r="H37">
            <v>872</v>
          </cell>
        </row>
        <row r="38">
          <cell r="H38">
            <v>861</v>
          </cell>
        </row>
        <row r="39">
          <cell r="H39">
            <v>1220</v>
          </cell>
        </row>
        <row r="40">
          <cell r="H40">
            <v>1253</v>
          </cell>
        </row>
        <row r="41">
          <cell r="H41">
            <v>2263</v>
          </cell>
        </row>
        <row r="42">
          <cell r="H42">
            <v>3509</v>
          </cell>
        </row>
        <row r="43">
          <cell r="H43">
            <v>455</v>
          </cell>
        </row>
        <row r="44">
          <cell r="H44">
            <v>1017</v>
          </cell>
        </row>
        <row r="45">
          <cell r="H45">
            <v>1324</v>
          </cell>
        </row>
        <row r="46">
          <cell r="H46">
            <v>3165</v>
          </cell>
        </row>
        <row r="47">
          <cell r="H47">
            <v>638</v>
          </cell>
        </row>
        <row r="48">
          <cell r="H48">
            <v>864</v>
          </cell>
        </row>
        <row r="49">
          <cell r="H49">
            <v>1641</v>
          </cell>
        </row>
        <row r="50">
          <cell r="H50">
            <v>332</v>
          </cell>
        </row>
        <row r="51">
          <cell r="H51">
            <v>1749</v>
          </cell>
        </row>
        <row r="52">
          <cell r="H52">
            <v>404</v>
          </cell>
        </row>
        <row r="53">
          <cell r="H53">
            <v>1961</v>
          </cell>
        </row>
        <row r="54">
          <cell r="H54">
            <v>1846</v>
          </cell>
        </row>
        <row r="55">
          <cell r="H55">
            <v>945</v>
          </cell>
        </row>
        <row r="56">
          <cell r="H56">
            <v>3505</v>
          </cell>
        </row>
        <row r="57">
          <cell r="H57">
            <v>1148</v>
          </cell>
        </row>
        <row r="58">
          <cell r="H58">
            <v>540</v>
          </cell>
        </row>
        <row r="59">
          <cell r="H59">
            <v>0</v>
          </cell>
        </row>
        <row r="60">
          <cell r="H60">
            <v>1503</v>
          </cell>
        </row>
        <row r="61">
          <cell r="H61">
            <v>1899</v>
          </cell>
        </row>
        <row r="62">
          <cell r="H62">
            <v>590</v>
          </cell>
        </row>
        <row r="63">
          <cell r="H63">
            <v>1240</v>
          </cell>
        </row>
        <row r="64">
          <cell r="H64">
            <v>2188</v>
          </cell>
        </row>
        <row r="65">
          <cell r="H65">
            <v>15892</v>
          </cell>
        </row>
        <row r="73">
          <cell r="H73">
            <v>18518</v>
          </cell>
        </row>
        <row r="81">
          <cell r="H81">
            <v>1665</v>
          </cell>
        </row>
        <row r="82">
          <cell r="H82">
            <v>2505</v>
          </cell>
        </row>
        <row r="83">
          <cell r="H83">
            <v>528</v>
          </cell>
        </row>
        <row r="84">
          <cell r="H84">
            <v>408</v>
          </cell>
        </row>
        <row r="85">
          <cell r="H85">
            <v>520</v>
          </cell>
        </row>
        <row r="86">
          <cell r="H86">
            <v>800</v>
          </cell>
        </row>
        <row r="87">
          <cell r="H87">
            <v>654</v>
          </cell>
        </row>
        <row r="88">
          <cell r="H88">
            <v>1102</v>
          </cell>
        </row>
        <row r="89">
          <cell r="H89">
            <v>404</v>
          </cell>
        </row>
        <row r="90">
          <cell r="H90">
            <v>1476</v>
          </cell>
        </row>
        <row r="91">
          <cell r="H91">
            <v>1069</v>
          </cell>
        </row>
        <row r="92">
          <cell r="H92">
            <v>1211</v>
          </cell>
        </row>
        <row r="93">
          <cell r="H93">
            <v>1906</v>
          </cell>
        </row>
        <row r="94">
          <cell r="H94">
            <v>840</v>
          </cell>
        </row>
        <row r="95">
          <cell r="H95">
            <v>225</v>
          </cell>
        </row>
        <row r="96">
          <cell r="D96">
            <v>105</v>
          </cell>
          <cell r="E96">
            <v>16380</v>
          </cell>
          <cell r="F96">
            <v>112695</v>
          </cell>
          <cell r="G96">
            <v>247</v>
          </cell>
        </row>
        <row r="99">
          <cell r="C99">
            <v>2369</v>
          </cell>
          <cell r="F99">
            <v>5668</v>
          </cell>
        </row>
        <row r="100">
          <cell r="C100">
            <v>59</v>
          </cell>
          <cell r="F100">
            <v>98</v>
          </cell>
        </row>
        <row r="101">
          <cell r="C101">
            <v>0</v>
          </cell>
          <cell r="F101">
            <v>4351</v>
          </cell>
        </row>
        <row r="102">
          <cell r="C102">
            <v>0</v>
          </cell>
          <cell r="F102">
            <v>6</v>
          </cell>
        </row>
        <row r="103">
          <cell r="C103">
            <v>5741</v>
          </cell>
          <cell r="F103">
            <v>0</v>
          </cell>
        </row>
        <row r="104">
          <cell r="C104">
            <v>0</v>
          </cell>
          <cell r="F104">
            <v>5764</v>
          </cell>
        </row>
        <row r="105">
          <cell r="C105">
            <v>0</v>
          </cell>
          <cell r="F105">
            <v>5</v>
          </cell>
        </row>
        <row r="106">
          <cell r="C106">
            <v>5</v>
          </cell>
        </row>
        <row r="107">
          <cell r="C107">
            <v>5975</v>
          </cell>
        </row>
        <row r="108">
          <cell r="C108">
            <v>34</v>
          </cell>
        </row>
        <row r="109">
          <cell r="C109">
            <v>3002</v>
          </cell>
        </row>
        <row r="113">
          <cell r="C113">
            <v>3802</v>
          </cell>
        </row>
        <row r="114">
          <cell r="C114">
            <v>7</v>
          </cell>
        </row>
        <row r="115">
          <cell r="C115">
            <v>7167</v>
          </cell>
        </row>
        <row r="116">
          <cell r="C116">
            <v>7529</v>
          </cell>
        </row>
        <row r="117">
          <cell r="C117">
            <v>9</v>
          </cell>
        </row>
        <row r="118">
          <cell r="C118">
            <v>4</v>
          </cell>
        </row>
        <row r="119">
          <cell r="C119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15034</v>
          </cell>
        </row>
        <row r="23">
          <cell r="D23">
            <v>750</v>
          </cell>
        </row>
        <row r="24">
          <cell r="D24">
            <v>1560</v>
          </cell>
          <cell r="G24">
            <v>5894</v>
          </cell>
        </row>
        <row r="25">
          <cell r="D25">
            <v>1152</v>
          </cell>
          <cell r="G25">
            <v>91</v>
          </cell>
        </row>
        <row r="26">
          <cell r="D26">
            <v>1369</v>
          </cell>
          <cell r="G26">
            <v>0</v>
          </cell>
        </row>
        <row r="27">
          <cell r="D27">
            <v>2856</v>
          </cell>
          <cell r="G27">
            <v>3683</v>
          </cell>
        </row>
        <row r="28">
          <cell r="D28">
            <v>21869</v>
          </cell>
          <cell r="G28">
            <v>169</v>
          </cell>
        </row>
        <row r="29">
          <cell r="D29">
            <v>12992</v>
          </cell>
          <cell r="G29">
            <v>0</v>
          </cell>
        </row>
        <row r="30">
          <cell r="D30">
            <v>16373</v>
          </cell>
          <cell r="G30">
            <v>0</v>
          </cell>
        </row>
        <row r="31">
          <cell r="D31">
            <v>2367</v>
          </cell>
          <cell r="G31">
            <v>3288</v>
          </cell>
        </row>
        <row r="32">
          <cell r="D32">
            <v>4370</v>
          </cell>
          <cell r="G32">
            <v>86</v>
          </cell>
        </row>
        <row r="33">
          <cell r="D33">
            <v>7213</v>
          </cell>
          <cell r="G33">
            <v>1786</v>
          </cell>
        </row>
        <row r="34">
          <cell r="D34">
            <v>8097</v>
          </cell>
          <cell r="G34">
            <v>37</v>
          </cell>
        </row>
        <row r="35">
          <cell r="D35">
            <v>5608</v>
          </cell>
        </row>
        <row r="36">
          <cell r="D36">
            <v>2128</v>
          </cell>
        </row>
        <row r="37">
          <cell r="D37">
            <v>4769</v>
          </cell>
        </row>
        <row r="38">
          <cell r="D38">
            <v>3668</v>
          </cell>
          <cell r="G38">
            <v>11906</v>
          </cell>
        </row>
        <row r="39">
          <cell r="D39">
            <v>4514</v>
          </cell>
          <cell r="G39">
            <v>580</v>
          </cell>
        </row>
        <row r="40">
          <cell r="D40">
            <v>6945</v>
          </cell>
          <cell r="G40">
            <v>793</v>
          </cell>
        </row>
        <row r="41">
          <cell r="D41">
            <v>4327</v>
          </cell>
          <cell r="G41">
            <v>21171</v>
          </cell>
        </row>
        <row r="42">
          <cell r="D42">
            <v>8197</v>
          </cell>
          <cell r="G42">
            <v>0</v>
          </cell>
        </row>
        <row r="43">
          <cell r="D43">
            <v>3824</v>
          </cell>
          <cell r="G43">
            <v>422</v>
          </cell>
        </row>
        <row r="44">
          <cell r="D44">
            <v>14866</v>
          </cell>
          <cell r="G44">
            <v>14048</v>
          </cell>
        </row>
        <row r="45">
          <cell r="D45">
            <v>9722</v>
          </cell>
        </row>
        <row r="46">
          <cell r="D46">
            <v>9182</v>
          </cell>
        </row>
        <row r="47">
          <cell r="D47">
            <v>2152</v>
          </cell>
        </row>
        <row r="48">
          <cell r="D48">
            <v>7431</v>
          </cell>
          <cell r="G48">
            <v>12176</v>
          </cell>
        </row>
        <row r="49">
          <cell r="D49">
            <v>8688</v>
          </cell>
          <cell r="G49">
            <v>140</v>
          </cell>
        </row>
        <row r="50">
          <cell r="D50">
            <v>3220</v>
          </cell>
          <cell r="G50">
            <v>203</v>
          </cell>
        </row>
        <row r="51">
          <cell r="D51">
            <v>5563</v>
          </cell>
          <cell r="G51">
            <v>460</v>
          </cell>
        </row>
        <row r="52">
          <cell r="D52">
            <v>1609</v>
          </cell>
          <cell r="G52">
            <v>33508</v>
          </cell>
        </row>
        <row r="53">
          <cell r="D53">
            <v>5371</v>
          </cell>
          <cell r="G53">
            <v>17935</v>
          </cell>
        </row>
        <row r="54">
          <cell r="D54">
            <v>6932</v>
          </cell>
          <cell r="G54">
            <v>0</v>
          </cell>
        </row>
        <row r="55">
          <cell r="D55">
            <v>3172</v>
          </cell>
        </row>
        <row r="56">
          <cell r="D56">
            <v>4345</v>
          </cell>
        </row>
        <row r="57">
          <cell r="D57">
            <v>3138</v>
          </cell>
        </row>
        <row r="58">
          <cell r="D58">
            <v>192</v>
          </cell>
        </row>
        <row r="59">
          <cell r="D59">
            <v>2781</v>
          </cell>
        </row>
        <row r="60">
          <cell r="D60">
            <v>5176</v>
          </cell>
        </row>
        <row r="61">
          <cell r="D61">
            <v>6442</v>
          </cell>
        </row>
        <row r="62">
          <cell r="D62">
            <v>1875</v>
          </cell>
        </row>
        <row r="63">
          <cell r="D63">
            <v>4332</v>
          </cell>
        </row>
        <row r="64">
          <cell r="D64">
            <v>12737</v>
          </cell>
        </row>
        <row r="65">
          <cell r="D65">
            <v>48920</v>
          </cell>
        </row>
        <row r="73">
          <cell r="D73">
            <v>64422</v>
          </cell>
        </row>
        <row r="81">
          <cell r="D81">
            <v>6347</v>
          </cell>
        </row>
        <row r="82">
          <cell r="D82">
            <v>8869</v>
          </cell>
        </row>
        <row r="83">
          <cell r="D83">
            <v>1257</v>
          </cell>
        </row>
        <row r="84">
          <cell r="D84">
            <v>1103</v>
          </cell>
        </row>
        <row r="85">
          <cell r="D85">
            <v>1319</v>
          </cell>
        </row>
        <row r="86">
          <cell r="D86">
            <v>3058</v>
          </cell>
        </row>
        <row r="87">
          <cell r="D87">
            <v>3890</v>
          </cell>
        </row>
        <row r="88">
          <cell r="D88">
            <v>4090</v>
          </cell>
        </row>
        <row r="89">
          <cell r="D89">
            <v>2492</v>
          </cell>
        </row>
        <row r="90">
          <cell r="D90">
            <v>8740</v>
          </cell>
        </row>
        <row r="91">
          <cell r="D91">
            <v>6799</v>
          </cell>
        </row>
        <row r="92">
          <cell r="D92">
            <v>4501</v>
          </cell>
        </row>
        <row r="93">
          <cell r="D93">
            <v>4679</v>
          </cell>
        </row>
        <row r="94">
          <cell r="D94">
            <v>5039</v>
          </cell>
        </row>
        <row r="95">
          <cell r="D95">
            <v>1269</v>
          </cell>
        </row>
        <row r="96">
          <cell r="D96">
            <v>435702</v>
          </cell>
        </row>
      </sheetData>
      <sheetData sheetId="1">
        <row r="11">
          <cell r="H11">
            <v>53166</v>
          </cell>
        </row>
        <row r="23">
          <cell r="H23">
            <v>4181</v>
          </cell>
        </row>
        <row r="24">
          <cell r="H24">
            <v>3050</v>
          </cell>
        </row>
        <row r="25">
          <cell r="H25">
            <v>8884</v>
          </cell>
        </row>
        <row r="26">
          <cell r="H26">
            <v>3647</v>
          </cell>
        </row>
        <row r="27">
          <cell r="H27">
            <v>2584</v>
          </cell>
        </row>
        <row r="28">
          <cell r="H28">
            <v>12054</v>
          </cell>
        </row>
        <row r="29">
          <cell r="H29">
            <v>14452</v>
          </cell>
        </row>
        <row r="30">
          <cell r="H30">
            <v>8766</v>
          </cell>
        </row>
        <row r="31">
          <cell r="H31">
            <v>3037</v>
          </cell>
        </row>
        <row r="32">
          <cell r="H32">
            <v>4743</v>
          </cell>
        </row>
        <row r="33">
          <cell r="H33">
            <v>7670</v>
          </cell>
        </row>
        <row r="34">
          <cell r="H34">
            <v>7815</v>
          </cell>
        </row>
        <row r="35">
          <cell r="H35">
            <v>6762</v>
          </cell>
        </row>
        <row r="36">
          <cell r="H36">
            <v>2060</v>
          </cell>
        </row>
        <row r="37">
          <cell r="H37">
            <v>4464</v>
          </cell>
        </row>
        <row r="38">
          <cell r="H38">
            <v>3396</v>
          </cell>
        </row>
        <row r="39">
          <cell r="H39">
            <v>4488</v>
          </cell>
        </row>
        <row r="40">
          <cell r="H40">
            <v>6609</v>
          </cell>
        </row>
        <row r="41">
          <cell r="H41">
            <v>4176</v>
          </cell>
        </row>
        <row r="42">
          <cell r="H42">
            <v>8494</v>
          </cell>
        </row>
        <row r="43">
          <cell r="H43">
            <v>3045</v>
          </cell>
        </row>
        <row r="44">
          <cell r="H44">
            <v>13740</v>
          </cell>
        </row>
        <row r="45">
          <cell r="H45">
            <v>8820</v>
          </cell>
        </row>
        <row r="46">
          <cell r="H46">
            <v>9849</v>
          </cell>
        </row>
        <row r="47">
          <cell r="H47">
            <v>2013</v>
          </cell>
        </row>
        <row r="48">
          <cell r="H48">
            <v>7421</v>
          </cell>
        </row>
        <row r="49">
          <cell r="H49">
            <v>9494</v>
          </cell>
        </row>
        <row r="50">
          <cell r="H50">
            <v>3145</v>
          </cell>
        </row>
        <row r="51">
          <cell r="H51">
            <v>5623</v>
          </cell>
        </row>
        <row r="52">
          <cell r="H52">
            <v>1908</v>
          </cell>
        </row>
        <row r="53">
          <cell r="H53">
            <v>5678</v>
          </cell>
        </row>
        <row r="54">
          <cell r="H54">
            <v>6606</v>
          </cell>
        </row>
        <row r="55">
          <cell r="H55">
            <v>3429</v>
          </cell>
        </row>
        <row r="56">
          <cell r="H56">
            <v>3747</v>
          </cell>
        </row>
        <row r="57">
          <cell r="H57">
            <v>3844</v>
          </cell>
        </row>
        <row r="58">
          <cell r="H58">
            <v>2803</v>
          </cell>
        </row>
        <row r="59">
          <cell r="H59">
            <v>0</v>
          </cell>
        </row>
        <row r="60">
          <cell r="H60">
            <v>4814</v>
          </cell>
        </row>
        <row r="61">
          <cell r="H61">
            <v>5852</v>
          </cell>
        </row>
        <row r="62">
          <cell r="H62">
            <v>2411</v>
          </cell>
        </row>
        <row r="63">
          <cell r="H63">
            <v>4717</v>
          </cell>
        </row>
        <row r="64">
          <cell r="H64">
            <v>9425</v>
          </cell>
        </row>
        <row r="65">
          <cell r="H65">
            <v>56077</v>
          </cell>
        </row>
        <row r="73">
          <cell r="H73">
            <v>65886</v>
          </cell>
        </row>
        <row r="81">
          <cell r="H81">
            <v>8486</v>
          </cell>
        </row>
        <row r="82">
          <cell r="H82">
            <v>8610</v>
          </cell>
        </row>
        <row r="83">
          <cell r="H83">
            <v>2012</v>
          </cell>
        </row>
        <row r="84">
          <cell r="H84">
            <v>1195</v>
          </cell>
        </row>
        <row r="85">
          <cell r="H85">
            <v>2303</v>
          </cell>
        </row>
        <row r="86">
          <cell r="H86">
            <v>3009</v>
          </cell>
        </row>
        <row r="87">
          <cell r="H87">
            <v>3804</v>
          </cell>
        </row>
        <row r="88">
          <cell r="H88">
            <v>3942</v>
          </cell>
        </row>
        <row r="89">
          <cell r="H89">
            <v>2400</v>
          </cell>
        </row>
        <row r="90">
          <cell r="H90">
            <v>8149</v>
          </cell>
        </row>
        <row r="91">
          <cell r="H91">
            <v>6368</v>
          </cell>
        </row>
        <row r="92">
          <cell r="H92">
            <v>4947</v>
          </cell>
        </row>
        <row r="93">
          <cell r="H93">
            <v>4248</v>
          </cell>
        </row>
        <row r="94">
          <cell r="H94">
            <v>4443</v>
          </cell>
        </row>
        <row r="95">
          <cell r="H95">
            <v>1360</v>
          </cell>
        </row>
        <row r="96">
          <cell r="D96">
            <v>391</v>
          </cell>
          <cell r="E96">
            <v>95432</v>
          </cell>
          <cell r="F96">
            <v>382630</v>
          </cell>
          <cell r="G96">
            <v>1668</v>
          </cell>
        </row>
        <row r="99">
          <cell r="C99">
            <v>8705</v>
          </cell>
          <cell r="F99">
            <v>19630</v>
          </cell>
        </row>
        <row r="100">
          <cell r="C100">
            <v>218</v>
          </cell>
          <cell r="F100">
            <v>467</v>
          </cell>
        </row>
        <row r="101">
          <cell r="C101">
            <v>0</v>
          </cell>
          <cell r="F101">
            <v>15860</v>
          </cell>
        </row>
        <row r="102">
          <cell r="C102">
            <v>4397</v>
          </cell>
          <cell r="F102">
            <v>901</v>
          </cell>
        </row>
        <row r="103">
          <cell r="C103">
            <v>14856</v>
          </cell>
          <cell r="F103">
            <v>0</v>
          </cell>
        </row>
        <row r="104">
          <cell r="C104">
            <v>0</v>
          </cell>
          <cell r="F104">
            <v>18032</v>
          </cell>
        </row>
        <row r="105">
          <cell r="C105">
            <v>0</v>
          </cell>
          <cell r="F105">
            <v>1187</v>
          </cell>
        </row>
        <row r="106">
          <cell r="C106">
            <v>2097</v>
          </cell>
        </row>
        <row r="107">
          <cell r="C107">
            <v>15203</v>
          </cell>
        </row>
        <row r="108">
          <cell r="C108">
            <v>1220</v>
          </cell>
        </row>
        <row r="109">
          <cell r="C109">
            <v>6470</v>
          </cell>
        </row>
        <row r="113">
          <cell r="C113">
            <v>11629</v>
          </cell>
        </row>
        <row r="114">
          <cell r="C114">
            <v>67</v>
          </cell>
        </row>
        <row r="115">
          <cell r="C115">
            <v>19762</v>
          </cell>
        </row>
        <row r="116">
          <cell r="C116">
            <v>28038</v>
          </cell>
        </row>
        <row r="117">
          <cell r="C117">
            <v>5931</v>
          </cell>
        </row>
        <row r="118">
          <cell r="C118">
            <v>459</v>
          </cell>
        </row>
        <row r="119">
          <cell r="C119">
            <v>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18603</v>
          </cell>
        </row>
        <row r="23">
          <cell r="D23">
            <v>4505</v>
          </cell>
        </row>
        <row r="24">
          <cell r="D24">
            <v>2488</v>
          </cell>
          <cell r="G24">
            <v>3290</v>
          </cell>
        </row>
        <row r="25">
          <cell r="D25">
            <v>52</v>
          </cell>
          <cell r="G25">
            <v>19</v>
          </cell>
        </row>
        <row r="26">
          <cell r="D26">
            <v>54</v>
          </cell>
          <cell r="G26">
            <v>0</v>
          </cell>
        </row>
        <row r="27">
          <cell r="D27">
            <v>9089</v>
          </cell>
          <cell r="G27">
            <v>6142</v>
          </cell>
        </row>
        <row r="28">
          <cell r="D28">
            <v>13447</v>
          </cell>
          <cell r="G28">
            <v>80</v>
          </cell>
        </row>
        <row r="29">
          <cell r="D29">
            <v>9750</v>
          </cell>
          <cell r="G29">
            <v>0</v>
          </cell>
        </row>
        <row r="30">
          <cell r="D30">
            <v>18716</v>
          </cell>
          <cell r="G30">
            <v>0</v>
          </cell>
        </row>
        <row r="31">
          <cell r="D31">
            <v>2179</v>
          </cell>
          <cell r="G31">
            <v>5387</v>
          </cell>
        </row>
        <row r="32">
          <cell r="D32">
            <v>3766</v>
          </cell>
          <cell r="G32">
            <v>74</v>
          </cell>
        </row>
        <row r="33">
          <cell r="D33">
            <v>5774</v>
          </cell>
          <cell r="G33">
            <v>3576</v>
          </cell>
        </row>
        <row r="34">
          <cell r="D34">
            <v>7333</v>
          </cell>
          <cell r="G34">
            <v>35</v>
          </cell>
        </row>
        <row r="35">
          <cell r="D35">
            <v>5039</v>
          </cell>
        </row>
        <row r="36">
          <cell r="D36">
            <v>2119</v>
          </cell>
        </row>
        <row r="37">
          <cell r="D37">
            <v>4537</v>
          </cell>
        </row>
        <row r="38">
          <cell r="D38">
            <v>4800</v>
          </cell>
          <cell r="G38">
            <v>12157</v>
          </cell>
        </row>
        <row r="39">
          <cell r="D39">
            <v>2546</v>
          </cell>
          <cell r="G39">
            <v>654</v>
          </cell>
        </row>
        <row r="40">
          <cell r="D40">
            <v>6982</v>
          </cell>
          <cell r="G40">
            <v>859</v>
          </cell>
        </row>
        <row r="41">
          <cell r="D41">
            <v>4296</v>
          </cell>
          <cell r="G41">
            <v>22134</v>
          </cell>
        </row>
        <row r="42">
          <cell r="D42">
            <v>8414</v>
          </cell>
          <cell r="G42">
            <v>0</v>
          </cell>
        </row>
        <row r="43">
          <cell r="D43">
            <v>3782</v>
          </cell>
          <cell r="G43">
            <v>455</v>
          </cell>
        </row>
        <row r="44">
          <cell r="D44">
            <v>15797</v>
          </cell>
          <cell r="G44">
            <v>13569</v>
          </cell>
        </row>
        <row r="45">
          <cell r="D45">
            <v>8430</v>
          </cell>
        </row>
        <row r="46">
          <cell r="D46">
            <v>9517</v>
          </cell>
        </row>
        <row r="47">
          <cell r="D47">
            <v>2297</v>
          </cell>
        </row>
        <row r="48">
          <cell r="D48">
            <v>7741</v>
          </cell>
          <cell r="G48">
            <v>12958</v>
          </cell>
        </row>
        <row r="49">
          <cell r="D49">
            <v>9237</v>
          </cell>
          <cell r="G49">
            <v>140</v>
          </cell>
        </row>
        <row r="50">
          <cell r="D50">
            <v>2969</v>
          </cell>
          <cell r="G50">
            <v>191</v>
          </cell>
        </row>
        <row r="51">
          <cell r="D51">
            <v>5939</v>
          </cell>
          <cell r="G51">
            <v>478</v>
          </cell>
        </row>
        <row r="52">
          <cell r="D52">
            <v>1722</v>
          </cell>
          <cell r="G52">
            <v>35253</v>
          </cell>
        </row>
        <row r="53">
          <cell r="D53">
            <v>5396</v>
          </cell>
          <cell r="G53">
            <v>17783</v>
          </cell>
        </row>
        <row r="54">
          <cell r="D54">
            <v>7218</v>
          </cell>
          <cell r="G54">
            <v>0</v>
          </cell>
        </row>
        <row r="55">
          <cell r="D55">
            <v>3127</v>
          </cell>
        </row>
        <row r="56">
          <cell r="D56">
            <v>4637</v>
          </cell>
        </row>
        <row r="57">
          <cell r="D57">
            <v>3305</v>
          </cell>
        </row>
        <row r="58">
          <cell r="D58">
            <v>200</v>
          </cell>
        </row>
        <row r="59">
          <cell r="D59">
            <v>2857</v>
          </cell>
        </row>
        <row r="60">
          <cell r="D60">
            <v>4924</v>
          </cell>
        </row>
        <row r="61">
          <cell r="D61">
            <v>6576</v>
          </cell>
        </row>
        <row r="62">
          <cell r="D62">
            <v>2052</v>
          </cell>
        </row>
        <row r="63">
          <cell r="D63">
            <v>4280</v>
          </cell>
        </row>
        <row r="64">
          <cell r="D64">
            <v>12507</v>
          </cell>
        </row>
        <row r="65">
          <cell r="D65">
            <v>49828</v>
          </cell>
        </row>
        <row r="73">
          <cell r="D73">
            <v>66803</v>
          </cell>
        </row>
        <row r="81">
          <cell r="D81">
            <v>6434</v>
          </cell>
        </row>
        <row r="82">
          <cell r="D82">
            <v>8785</v>
          </cell>
        </row>
        <row r="83">
          <cell r="D83">
            <v>1267</v>
          </cell>
        </row>
        <row r="84">
          <cell r="D84">
            <v>1218</v>
          </cell>
        </row>
        <row r="85">
          <cell r="D85">
            <v>1451</v>
          </cell>
        </row>
        <row r="86">
          <cell r="D86">
            <v>3105</v>
          </cell>
        </row>
        <row r="87">
          <cell r="D87">
            <v>3821</v>
          </cell>
        </row>
        <row r="88">
          <cell r="D88">
            <v>4140</v>
          </cell>
        </row>
        <row r="89">
          <cell r="D89">
            <v>2473</v>
          </cell>
        </row>
        <row r="90">
          <cell r="D90">
            <v>8660</v>
          </cell>
        </row>
        <row r="91">
          <cell r="D91">
            <v>6840</v>
          </cell>
        </row>
        <row r="92">
          <cell r="D92">
            <v>4734</v>
          </cell>
        </row>
        <row r="93">
          <cell r="D93">
            <v>4785</v>
          </cell>
        </row>
        <row r="94">
          <cell r="D94">
            <v>4712</v>
          </cell>
        </row>
        <row r="95">
          <cell r="D95">
            <v>1297</v>
          </cell>
        </row>
        <row r="96">
          <cell r="D96">
            <v>439352</v>
          </cell>
        </row>
      </sheetData>
      <sheetData sheetId="1">
        <row r="11">
          <cell r="H11">
            <v>8361</v>
          </cell>
        </row>
        <row r="23">
          <cell r="H23">
            <v>66</v>
          </cell>
        </row>
        <row r="24">
          <cell r="H24">
            <v>23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9922</v>
          </cell>
        </row>
        <row r="28">
          <cell r="H28">
            <v>21154</v>
          </cell>
        </row>
        <row r="29">
          <cell r="H29">
            <v>14091</v>
          </cell>
        </row>
        <row r="30">
          <cell r="H30">
            <v>21693</v>
          </cell>
        </row>
        <row r="31">
          <cell r="H31">
            <v>2638</v>
          </cell>
        </row>
        <row r="32">
          <cell r="H32">
            <v>3581</v>
          </cell>
        </row>
        <row r="33">
          <cell r="H33">
            <v>6821</v>
          </cell>
        </row>
        <row r="34">
          <cell r="H34">
            <v>6060</v>
          </cell>
        </row>
        <row r="35">
          <cell r="H35">
            <v>4991</v>
          </cell>
        </row>
        <row r="36">
          <cell r="H36">
            <v>2381</v>
          </cell>
        </row>
        <row r="37">
          <cell r="H37">
            <v>4697</v>
          </cell>
        </row>
        <row r="38">
          <cell r="H38">
            <v>6472</v>
          </cell>
        </row>
        <row r="39">
          <cell r="H39">
            <v>460</v>
          </cell>
        </row>
        <row r="40">
          <cell r="H40">
            <v>6884</v>
          </cell>
        </row>
        <row r="41">
          <cell r="H41">
            <v>4032</v>
          </cell>
        </row>
        <row r="42">
          <cell r="H42">
            <v>8068</v>
          </cell>
        </row>
        <row r="43">
          <cell r="H43">
            <v>3045</v>
          </cell>
        </row>
        <row r="44">
          <cell r="H44">
            <v>14499</v>
          </cell>
        </row>
        <row r="45">
          <cell r="H45">
            <v>6556</v>
          </cell>
        </row>
        <row r="46">
          <cell r="H46">
            <v>8976</v>
          </cell>
        </row>
        <row r="47">
          <cell r="H47">
            <v>2038</v>
          </cell>
        </row>
        <row r="48">
          <cell r="H48">
            <v>7370</v>
          </cell>
        </row>
        <row r="49">
          <cell r="H49">
            <v>9262</v>
          </cell>
        </row>
        <row r="50">
          <cell r="H50">
            <v>2759</v>
          </cell>
        </row>
        <row r="51">
          <cell r="H51">
            <v>5939</v>
          </cell>
        </row>
        <row r="52">
          <cell r="H52">
            <v>1922</v>
          </cell>
        </row>
        <row r="53">
          <cell r="H53">
            <v>5806</v>
          </cell>
        </row>
        <row r="54">
          <cell r="H54">
            <v>7142</v>
          </cell>
        </row>
        <row r="55">
          <cell r="H55">
            <v>3460</v>
          </cell>
        </row>
        <row r="56">
          <cell r="H56">
            <v>3881</v>
          </cell>
        </row>
        <row r="57">
          <cell r="H57">
            <v>4070</v>
          </cell>
        </row>
        <row r="58">
          <cell r="H58">
            <v>2936</v>
          </cell>
        </row>
        <row r="59">
          <cell r="H59">
            <v>7</v>
          </cell>
        </row>
        <row r="60">
          <cell r="H60">
            <v>4787</v>
          </cell>
        </row>
        <row r="61">
          <cell r="H61">
            <v>6003</v>
          </cell>
        </row>
        <row r="62">
          <cell r="H62">
            <v>2647</v>
          </cell>
        </row>
        <row r="63">
          <cell r="H63">
            <v>4793</v>
          </cell>
        </row>
        <row r="64">
          <cell r="H64">
            <v>8685</v>
          </cell>
        </row>
        <row r="65">
          <cell r="H65">
            <v>58595</v>
          </cell>
        </row>
        <row r="73">
          <cell r="H73">
            <v>66772</v>
          </cell>
        </row>
        <row r="81">
          <cell r="H81">
            <v>8544</v>
          </cell>
        </row>
        <row r="82">
          <cell r="H82">
            <v>8643</v>
          </cell>
        </row>
        <row r="83">
          <cell r="H83">
            <v>1883</v>
          </cell>
        </row>
        <row r="84">
          <cell r="H84">
            <v>1289</v>
          </cell>
        </row>
        <row r="85">
          <cell r="H85">
            <v>2379</v>
          </cell>
        </row>
        <row r="86">
          <cell r="H86">
            <v>2952</v>
          </cell>
        </row>
        <row r="87">
          <cell r="H87">
            <v>3703</v>
          </cell>
        </row>
        <row r="88">
          <cell r="H88">
            <v>4121</v>
          </cell>
        </row>
        <row r="89">
          <cell r="H89">
            <v>2457</v>
          </cell>
        </row>
        <row r="90">
          <cell r="H90">
            <v>8123</v>
          </cell>
        </row>
        <row r="91">
          <cell r="H91">
            <v>6479</v>
          </cell>
        </row>
        <row r="92">
          <cell r="H92">
            <v>4897</v>
          </cell>
        </row>
        <row r="93">
          <cell r="H93">
            <v>4704</v>
          </cell>
        </row>
        <row r="94">
          <cell r="H94">
            <v>4394</v>
          </cell>
        </row>
        <row r="95">
          <cell r="H95">
            <v>1391</v>
          </cell>
        </row>
        <row r="96">
          <cell r="D96">
            <v>387</v>
          </cell>
          <cell r="E96">
            <v>89269</v>
          </cell>
          <cell r="F96">
            <v>348879</v>
          </cell>
          <cell r="G96">
            <v>1769</v>
          </cell>
        </row>
        <row r="99">
          <cell r="C99">
            <v>2203</v>
          </cell>
          <cell r="F99">
            <v>20854</v>
          </cell>
        </row>
        <row r="100">
          <cell r="C100">
            <v>56</v>
          </cell>
          <cell r="F100">
            <v>567</v>
          </cell>
        </row>
        <row r="101">
          <cell r="C101">
            <v>0</v>
          </cell>
          <cell r="F101">
            <v>17104</v>
          </cell>
        </row>
        <row r="102">
          <cell r="C102">
            <v>595</v>
          </cell>
          <cell r="F102">
            <v>973</v>
          </cell>
        </row>
        <row r="103">
          <cell r="C103">
            <v>2078</v>
          </cell>
          <cell r="F103">
            <v>0</v>
          </cell>
        </row>
        <row r="104">
          <cell r="C104">
            <v>0</v>
          </cell>
          <cell r="F104">
            <v>17804</v>
          </cell>
        </row>
        <row r="105">
          <cell r="C105">
            <v>0</v>
          </cell>
          <cell r="F105">
            <v>1293</v>
          </cell>
        </row>
        <row r="106">
          <cell r="C106">
            <v>284</v>
          </cell>
        </row>
        <row r="107">
          <cell r="C107">
            <v>2243</v>
          </cell>
        </row>
        <row r="108">
          <cell r="C108">
            <v>133</v>
          </cell>
        </row>
        <row r="109">
          <cell r="C109">
            <v>769</v>
          </cell>
        </row>
        <row r="113">
          <cell r="C113">
            <v>12640</v>
          </cell>
        </row>
        <row r="114">
          <cell r="C114">
            <v>67</v>
          </cell>
        </row>
        <row r="115">
          <cell r="C115">
            <v>18763</v>
          </cell>
        </row>
        <row r="116">
          <cell r="C116">
            <v>28294</v>
          </cell>
        </row>
        <row r="117">
          <cell r="C117">
            <v>6481</v>
          </cell>
        </row>
        <row r="118">
          <cell r="C118">
            <v>527</v>
          </cell>
        </row>
        <row r="119">
          <cell r="C119">
            <v>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30044</v>
          </cell>
        </row>
        <row r="23">
          <cell r="D23">
            <v>4816</v>
          </cell>
        </row>
        <row r="24">
          <cell r="D24">
            <v>3138</v>
          </cell>
          <cell r="G24">
            <v>3861</v>
          </cell>
        </row>
        <row r="25">
          <cell r="D25">
            <v>40</v>
          </cell>
          <cell r="G25">
            <v>150</v>
          </cell>
        </row>
        <row r="26">
          <cell r="D26">
            <v>37</v>
          </cell>
          <cell r="G26">
            <v>0</v>
          </cell>
        </row>
        <row r="27">
          <cell r="D27">
            <v>10752</v>
          </cell>
          <cell r="G27">
            <v>9570</v>
          </cell>
        </row>
        <row r="28">
          <cell r="D28">
            <v>14359</v>
          </cell>
          <cell r="G28">
            <v>125</v>
          </cell>
        </row>
        <row r="29">
          <cell r="D29">
            <v>16023</v>
          </cell>
          <cell r="G29">
            <v>0</v>
          </cell>
        </row>
        <row r="30">
          <cell r="D30">
            <v>20781</v>
          </cell>
          <cell r="G30">
            <v>0</v>
          </cell>
        </row>
        <row r="31">
          <cell r="D31">
            <v>2214</v>
          </cell>
          <cell r="G31">
            <v>9495</v>
          </cell>
        </row>
        <row r="32">
          <cell r="D32">
            <v>4072</v>
          </cell>
          <cell r="G32">
            <v>107</v>
          </cell>
        </row>
        <row r="33">
          <cell r="D33">
            <v>6000</v>
          </cell>
          <cell r="G33">
            <v>6662</v>
          </cell>
        </row>
        <row r="34">
          <cell r="D34">
            <v>7059</v>
          </cell>
          <cell r="G34">
            <v>74</v>
          </cell>
        </row>
        <row r="35">
          <cell r="D35">
            <v>4964</v>
          </cell>
        </row>
        <row r="36">
          <cell r="D36">
            <v>2137</v>
          </cell>
        </row>
        <row r="37">
          <cell r="D37">
            <v>4832</v>
          </cell>
        </row>
        <row r="38">
          <cell r="D38">
            <v>7037</v>
          </cell>
          <cell r="G38">
            <v>11868</v>
          </cell>
        </row>
        <row r="39">
          <cell r="D39">
            <v>201</v>
          </cell>
          <cell r="G39">
            <v>562</v>
          </cell>
        </row>
        <row r="40">
          <cell r="D40">
            <v>7000</v>
          </cell>
          <cell r="G40">
            <v>896</v>
          </cell>
        </row>
        <row r="41">
          <cell r="D41">
            <v>4178</v>
          </cell>
          <cell r="G41">
            <v>21865</v>
          </cell>
        </row>
        <row r="42">
          <cell r="D42">
            <v>7978</v>
          </cell>
          <cell r="G42">
            <v>0</v>
          </cell>
        </row>
        <row r="43">
          <cell r="D43">
            <v>3457</v>
          </cell>
          <cell r="G43">
            <v>436</v>
          </cell>
        </row>
        <row r="44">
          <cell r="D44">
            <v>16393</v>
          </cell>
          <cell r="G44">
            <v>14012</v>
          </cell>
        </row>
        <row r="45">
          <cell r="D45">
            <v>8180</v>
          </cell>
        </row>
        <row r="46">
          <cell r="D46">
            <v>9360</v>
          </cell>
        </row>
        <row r="47">
          <cell r="D47">
            <v>2150</v>
          </cell>
        </row>
        <row r="48">
          <cell r="D48">
            <v>7332</v>
          </cell>
          <cell r="G48">
            <v>12002</v>
          </cell>
        </row>
        <row r="49">
          <cell r="D49">
            <v>8562</v>
          </cell>
          <cell r="G49">
            <v>113</v>
          </cell>
        </row>
        <row r="50">
          <cell r="D50">
            <v>3128</v>
          </cell>
          <cell r="G50">
            <v>206</v>
          </cell>
        </row>
        <row r="51">
          <cell r="D51">
            <v>5632</v>
          </cell>
          <cell r="G51">
            <v>439</v>
          </cell>
        </row>
        <row r="52">
          <cell r="D52">
            <v>1714</v>
          </cell>
          <cell r="G52">
            <v>34331</v>
          </cell>
        </row>
        <row r="53">
          <cell r="D53">
            <v>5276</v>
          </cell>
          <cell r="G53">
            <v>17324</v>
          </cell>
        </row>
        <row r="54">
          <cell r="D54">
            <v>7010</v>
          </cell>
          <cell r="G54">
            <v>0</v>
          </cell>
        </row>
        <row r="55">
          <cell r="D55">
            <v>2984</v>
          </cell>
        </row>
        <row r="56">
          <cell r="D56">
            <v>4712</v>
          </cell>
        </row>
        <row r="57">
          <cell r="D57">
            <v>3263</v>
          </cell>
        </row>
        <row r="58">
          <cell r="D58">
            <v>158</v>
          </cell>
        </row>
        <row r="59">
          <cell r="D59">
            <v>2976</v>
          </cell>
        </row>
        <row r="60">
          <cell r="D60">
            <v>5057</v>
          </cell>
        </row>
        <row r="61">
          <cell r="D61">
            <v>6626</v>
          </cell>
        </row>
        <row r="62">
          <cell r="D62">
            <v>2001</v>
          </cell>
        </row>
        <row r="63">
          <cell r="D63">
            <v>4200</v>
          </cell>
        </row>
        <row r="64">
          <cell r="D64">
            <v>12820</v>
          </cell>
        </row>
        <row r="65">
          <cell r="D65">
            <v>49639</v>
          </cell>
        </row>
        <row r="73">
          <cell r="D73">
            <v>64415</v>
          </cell>
        </row>
        <row r="81">
          <cell r="D81">
            <v>6406</v>
          </cell>
        </row>
        <row r="82">
          <cell r="D82">
            <v>8603</v>
          </cell>
        </row>
        <row r="83">
          <cell r="D83">
            <v>1218</v>
          </cell>
        </row>
        <row r="84">
          <cell r="D84">
            <v>1234</v>
          </cell>
        </row>
        <row r="85">
          <cell r="D85">
            <v>1379</v>
          </cell>
        </row>
        <row r="86">
          <cell r="D86">
            <v>3104</v>
          </cell>
        </row>
        <row r="87">
          <cell r="D87">
            <v>3747</v>
          </cell>
        </row>
        <row r="88">
          <cell r="D88">
            <v>4123</v>
          </cell>
        </row>
        <row r="89">
          <cell r="D89">
            <v>2529</v>
          </cell>
        </row>
        <row r="90">
          <cell r="D90">
            <v>8722</v>
          </cell>
        </row>
        <row r="91">
          <cell r="D91">
            <v>6878</v>
          </cell>
        </row>
        <row r="92">
          <cell r="D92">
            <v>4739</v>
          </cell>
        </row>
        <row r="93">
          <cell r="D93">
            <v>5521</v>
          </cell>
        </row>
        <row r="94">
          <cell r="D94">
            <v>4952</v>
          </cell>
        </row>
        <row r="95">
          <cell r="D95">
            <v>1255</v>
          </cell>
        </row>
        <row r="96">
          <cell r="D96">
            <v>459117</v>
          </cell>
        </row>
      </sheetData>
      <sheetData sheetId="1">
        <row r="11">
          <cell r="H11">
            <v>33195</v>
          </cell>
        </row>
        <row r="23">
          <cell r="H23">
            <v>2455</v>
          </cell>
        </row>
        <row r="24">
          <cell r="H24">
            <v>911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11253</v>
          </cell>
        </row>
        <row r="28">
          <cell r="H28">
            <v>17608</v>
          </cell>
        </row>
        <row r="29">
          <cell r="H29">
            <v>11453</v>
          </cell>
        </row>
        <row r="30">
          <cell r="H30">
            <v>18631</v>
          </cell>
        </row>
        <row r="31">
          <cell r="H31">
            <v>2654</v>
          </cell>
        </row>
        <row r="32">
          <cell r="H32">
            <v>3732</v>
          </cell>
        </row>
        <row r="33">
          <cell r="H33">
            <v>6935</v>
          </cell>
        </row>
        <row r="34">
          <cell r="H34">
            <v>6535</v>
          </cell>
        </row>
        <row r="35">
          <cell r="H35">
            <v>5490</v>
          </cell>
        </row>
        <row r="36">
          <cell r="H36">
            <v>2146</v>
          </cell>
        </row>
        <row r="37">
          <cell r="H37">
            <v>4617</v>
          </cell>
        </row>
        <row r="38">
          <cell r="H38">
            <v>6782</v>
          </cell>
        </row>
        <row r="39">
          <cell r="H39">
            <v>3</v>
          </cell>
        </row>
        <row r="40">
          <cell r="H40">
            <v>6747</v>
          </cell>
        </row>
        <row r="41">
          <cell r="H41">
            <v>3983</v>
          </cell>
        </row>
        <row r="42">
          <cell r="H42">
            <v>7810</v>
          </cell>
        </row>
        <row r="43">
          <cell r="H43">
            <v>2967</v>
          </cell>
        </row>
        <row r="44">
          <cell r="H44">
            <v>14662</v>
          </cell>
        </row>
        <row r="45">
          <cell r="H45">
            <v>6617</v>
          </cell>
        </row>
        <row r="46">
          <cell r="H46">
            <v>9028</v>
          </cell>
        </row>
        <row r="47">
          <cell r="H47">
            <v>2005</v>
          </cell>
        </row>
        <row r="48">
          <cell r="H48">
            <v>7137</v>
          </cell>
        </row>
        <row r="49">
          <cell r="H49">
            <v>9122</v>
          </cell>
        </row>
        <row r="50">
          <cell r="H50">
            <v>2713</v>
          </cell>
        </row>
        <row r="51">
          <cell r="H51">
            <v>5782</v>
          </cell>
        </row>
        <row r="52">
          <cell r="H52">
            <v>1896</v>
          </cell>
        </row>
        <row r="53">
          <cell r="H53">
            <v>5773</v>
          </cell>
        </row>
        <row r="54">
          <cell r="H54">
            <v>6694</v>
          </cell>
        </row>
        <row r="55">
          <cell r="H55">
            <v>3337</v>
          </cell>
        </row>
        <row r="56">
          <cell r="H56">
            <v>4134</v>
          </cell>
        </row>
        <row r="57">
          <cell r="H57">
            <v>3968</v>
          </cell>
        </row>
        <row r="58">
          <cell r="H58">
            <v>2934</v>
          </cell>
        </row>
        <row r="59">
          <cell r="H59">
            <v>1</v>
          </cell>
        </row>
        <row r="60">
          <cell r="H60">
            <v>4771</v>
          </cell>
        </row>
        <row r="61">
          <cell r="H61">
            <v>6219</v>
          </cell>
        </row>
        <row r="62">
          <cell r="H62">
            <v>2514</v>
          </cell>
        </row>
        <row r="63">
          <cell r="H63">
            <v>4865</v>
          </cell>
        </row>
        <row r="64">
          <cell r="H64">
            <v>9338</v>
          </cell>
        </row>
        <row r="65">
          <cell r="H65">
            <v>57535</v>
          </cell>
        </row>
        <row r="73">
          <cell r="H73">
            <v>67529</v>
          </cell>
        </row>
        <row r="81">
          <cell r="H81">
            <v>8628</v>
          </cell>
        </row>
        <row r="82">
          <cell r="H82">
            <v>8684</v>
          </cell>
        </row>
        <row r="83">
          <cell r="H83">
            <v>1905</v>
          </cell>
        </row>
        <row r="84">
          <cell r="H84">
            <v>1166</v>
          </cell>
        </row>
        <row r="85">
          <cell r="H85">
            <v>2296</v>
          </cell>
        </row>
        <row r="86">
          <cell r="H86">
            <v>2969</v>
          </cell>
        </row>
        <row r="87">
          <cell r="H87">
            <v>3533</v>
          </cell>
        </row>
        <row r="88">
          <cell r="H88">
            <v>4040</v>
          </cell>
        </row>
        <row r="89">
          <cell r="H89">
            <v>2363</v>
          </cell>
        </row>
        <row r="90">
          <cell r="H90">
            <v>8306</v>
          </cell>
        </row>
        <row r="91">
          <cell r="H91">
            <v>6489</v>
          </cell>
        </row>
        <row r="92">
          <cell r="H92">
            <v>5138</v>
          </cell>
        </row>
        <row r="93">
          <cell r="H93">
            <v>5090</v>
          </cell>
        </row>
        <row r="94">
          <cell r="H94">
            <v>4491</v>
          </cell>
        </row>
        <row r="95">
          <cell r="H95">
            <v>1390</v>
          </cell>
        </row>
        <row r="96">
          <cell r="D96">
            <v>374</v>
          </cell>
          <cell r="E96">
            <v>94503</v>
          </cell>
          <cell r="F96">
            <v>364254</v>
          </cell>
          <cell r="G96">
            <v>1838</v>
          </cell>
        </row>
        <row r="99">
          <cell r="C99">
            <v>6227</v>
          </cell>
          <cell r="F99">
            <v>19852</v>
          </cell>
        </row>
        <row r="100">
          <cell r="C100">
            <v>108</v>
          </cell>
          <cell r="F100">
            <v>526</v>
          </cell>
        </row>
        <row r="101">
          <cell r="C101">
            <v>0</v>
          </cell>
          <cell r="F101">
            <v>17025</v>
          </cell>
        </row>
        <row r="102">
          <cell r="C102">
            <v>2457</v>
          </cell>
          <cell r="F102">
            <v>954</v>
          </cell>
        </row>
        <row r="103">
          <cell r="C103">
            <v>9153</v>
          </cell>
          <cell r="F103">
            <v>0</v>
          </cell>
        </row>
        <row r="104">
          <cell r="C104">
            <v>0</v>
          </cell>
          <cell r="F104">
            <v>18008</v>
          </cell>
        </row>
        <row r="105">
          <cell r="C105">
            <v>0</v>
          </cell>
          <cell r="F105">
            <v>1170</v>
          </cell>
        </row>
        <row r="106">
          <cell r="C106">
            <v>1322</v>
          </cell>
        </row>
        <row r="107">
          <cell r="C107">
            <v>9784</v>
          </cell>
        </row>
        <row r="108">
          <cell r="C108">
            <v>698</v>
          </cell>
        </row>
        <row r="109">
          <cell r="C109">
            <v>3446</v>
          </cell>
        </row>
        <row r="113">
          <cell r="C113">
            <v>12838</v>
          </cell>
        </row>
        <row r="114">
          <cell r="C114">
            <v>68</v>
          </cell>
        </row>
        <row r="115">
          <cell r="C115">
            <v>19721</v>
          </cell>
        </row>
        <row r="116">
          <cell r="C116">
            <v>28231</v>
          </cell>
        </row>
        <row r="117">
          <cell r="C117">
            <v>6191</v>
          </cell>
        </row>
        <row r="118">
          <cell r="C118">
            <v>480</v>
          </cell>
        </row>
        <row r="119">
          <cell r="C119">
            <v>0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35399</v>
          </cell>
        </row>
        <row r="23">
          <cell r="D23">
            <v>5264</v>
          </cell>
        </row>
        <row r="24">
          <cell r="D24">
            <v>3663</v>
          </cell>
          <cell r="G24">
            <v>4406</v>
          </cell>
        </row>
        <row r="25">
          <cell r="D25">
            <v>3</v>
          </cell>
          <cell r="G25">
            <v>183</v>
          </cell>
        </row>
        <row r="26">
          <cell r="D26">
            <v>3</v>
          </cell>
          <cell r="G26">
            <v>0</v>
          </cell>
        </row>
        <row r="27">
          <cell r="D27">
            <v>11007</v>
          </cell>
          <cell r="G27">
            <v>11342</v>
          </cell>
        </row>
        <row r="28">
          <cell r="D28">
            <v>12415</v>
          </cell>
          <cell r="G28">
            <v>102</v>
          </cell>
        </row>
        <row r="29">
          <cell r="D29">
            <v>12112</v>
          </cell>
          <cell r="G29">
            <v>0</v>
          </cell>
        </row>
        <row r="30">
          <cell r="D30">
            <v>21901</v>
          </cell>
          <cell r="G30">
            <v>0</v>
          </cell>
        </row>
        <row r="31">
          <cell r="D31">
            <v>2223</v>
          </cell>
          <cell r="G31">
            <v>11421</v>
          </cell>
        </row>
        <row r="32">
          <cell r="D32">
            <v>4083</v>
          </cell>
          <cell r="G32">
            <v>122</v>
          </cell>
        </row>
        <row r="33">
          <cell r="D33">
            <v>6077</v>
          </cell>
          <cell r="G33">
            <v>7750</v>
          </cell>
        </row>
        <row r="34">
          <cell r="D34">
            <v>7381</v>
          </cell>
          <cell r="G34">
            <v>73</v>
          </cell>
        </row>
        <row r="35">
          <cell r="D35">
            <v>5369</v>
          </cell>
        </row>
        <row r="36">
          <cell r="D36">
            <v>2111</v>
          </cell>
        </row>
        <row r="37">
          <cell r="D37">
            <v>4939</v>
          </cell>
        </row>
        <row r="38">
          <cell r="D38">
            <v>7356</v>
          </cell>
          <cell r="G38">
            <v>11444</v>
          </cell>
        </row>
        <row r="39">
          <cell r="D39">
            <v>12</v>
          </cell>
          <cell r="G39">
            <v>587</v>
          </cell>
        </row>
        <row r="40">
          <cell r="D40">
            <v>7115</v>
          </cell>
          <cell r="G40">
            <v>780</v>
          </cell>
        </row>
        <row r="41">
          <cell r="D41">
            <v>4314</v>
          </cell>
          <cell r="G41">
            <v>21716</v>
          </cell>
        </row>
        <row r="42">
          <cell r="D42">
            <v>8148</v>
          </cell>
          <cell r="G42">
            <v>0</v>
          </cell>
        </row>
        <row r="43">
          <cell r="D43">
            <v>3735</v>
          </cell>
          <cell r="G43">
            <v>426</v>
          </cell>
        </row>
        <row r="44">
          <cell r="D44">
            <v>16014</v>
          </cell>
          <cell r="G44">
            <v>13007</v>
          </cell>
        </row>
        <row r="45">
          <cell r="D45">
            <v>8239</v>
          </cell>
        </row>
        <row r="46">
          <cell r="D46">
            <v>9443</v>
          </cell>
        </row>
        <row r="47">
          <cell r="D47">
            <v>2224</v>
          </cell>
        </row>
        <row r="48">
          <cell r="D48">
            <v>7458</v>
          </cell>
          <cell r="G48">
            <v>12336</v>
          </cell>
        </row>
        <row r="49">
          <cell r="D49">
            <v>8590</v>
          </cell>
          <cell r="G49">
            <v>133</v>
          </cell>
        </row>
        <row r="50">
          <cell r="D50">
            <v>3080</v>
          </cell>
          <cell r="G50">
            <v>209</v>
          </cell>
        </row>
        <row r="51">
          <cell r="D51">
            <v>5884</v>
          </cell>
          <cell r="G51">
            <v>404</v>
          </cell>
        </row>
        <row r="52">
          <cell r="D52">
            <v>1495</v>
          </cell>
          <cell r="G52">
            <v>33308</v>
          </cell>
        </row>
        <row r="53">
          <cell r="D53">
            <v>5372</v>
          </cell>
          <cell r="G53">
            <v>17115</v>
          </cell>
        </row>
        <row r="54">
          <cell r="D54">
            <v>7063</v>
          </cell>
          <cell r="G54">
            <v>0</v>
          </cell>
        </row>
        <row r="55">
          <cell r="D55">
            <v>3196</v>
          </cell>
        </row>
        <row r="56">
          <cell r="D56">
            <v>4654</v>
          </cell>
        </row>
        <row r="57">
          <cell r="D57">
            <v>3137</v>
          </cell>
        </row>
        <row r="58">
          <cell r="D58">
            <v>147</v>
          </cell>
        </row>
        <row r="59">
          <cell r="D59">
            <v>2899</v>
          </cell>
        </row>
        <row r="60">
          <cell r="D60">
            <v>5221</v>
          </cell>
        </row>
        <row r="61">
          <cell r="D61">
            <v>6468</v>
          </cell>
        </row>
        <row r="62">
          <cell r="D62">
            <v>1967</v>
          </cell>
        </row>
        <row r="63">
          <cell r="D63">
            <v>4213</v>
          </cell>
        </row>
        <row r="64">
          <cell r="D64">
            <v>12419</v>
          </cell>
        </row>
        <row r="65">
          <cell r="D65">
            <v>47960</v>
          </cell>
        </row>
        <row r="73">
          <cell r="D73">
            <v>63505</v>
          </cell>
        </row>
        <row r="81">
          <cell r="D81">
            <v>6481</v>
          </cell>
        </row>
        <row r="82">
          <cell r="D82">
            <v>9004</v>
          </cell>
        </row>
        <row r="83">
          <cell r="D83">
            <v>1204</v>
          </cell>
        </row>
        <row r="84">
          <cell r="D84">
            <v>1577</v>
          </cell>
        </row>
        <row r="85">
          <cell r="D85">
            <v>1388</v>
          </cell>
        </row>
        <row r="86">
          <cell r="D86">
            <v>2991</v>
          </cell>
        </row>
        <row r="87">
          <cell r="D87">
            <v>3792</v>
          </cell>
        </row>
        <row r="88">
          <cell r="D88">
            <v>4154</v>
          </cell>
        </row>
        <row r="89">
          <cell r="D89">
            <v>2421</v>
          </cell>
        </row>
        <row r="90">
          <cell r="D90">
            <v>8624</v>
          </cell>
        </row>
        <row r="91">
          <cell r="D91">
            <v>7097</v>
          </cell>
        </row>
        <row r="92">
          <cell r="D92">
            <v>4783</v>
          </cell>
        </row>
        <row r="93">
          <cell r="D93">
            <v>5244</v>
          </cell>
        </row>
        <row r="94">
          <cell r="D94">
            <v>4946</v>
          </cell>
        </row>
        <row r="95">
          <cell r="D95">
            <v>1346</v>
          </cell>
        </row>
        <row r="96">
          <cell r="D96">
            <v>460330</v>
          </cell>
        </row>
      </sheetData>
      <sheetData sheetId="1">
        <row r="11">
          <cell r="H11">
            <v>39624</v>
          </cell>
        </row>
        <row r="23">
          <cell r="H23">
            <v>4079</v>
          </cell>
        </row>
        <row r="24">
          <cell r="H24">
            <v>1383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11661</v>
          </cell>
        </row>
        <row r="28">
          <cell r="H28">
            <v>15706</v>
          </cell>
        </row>
        <row r="29">
          <cell r="H29">
            <v>11790</v>
          </cell>
        </row>
        <row r="30">
          <cell r="H30">
            <v>18642</v>
          </cell>
        </row>
        <row r="31">
          <cell r="H31">
            <v>2654</v>
          </cell>
        </row>
        <row r="32">
          <cell r="H32">
            <v>3893</v>
          </cell>
        </row>
        <row r="33">
          <cell r="H33">
            <v>7212</v>
          </cell>
        </row>
        <row r="34">
          <cell r="H34">
            <v>6935</v>
          </cell>
        </row>
        <row r="35">
          <cell r="H35">
            <v>6050</v>
          </cell>
        </row>
        <row r="36">
          <cell r="H36">
            <v>2117</v>
          </cell>
        </row>
        <row r="37">
          <cell r="H37">
            <v>4627</v>
          </cell>
        </row>
        <row r="38">
          <cell r="H38">
            <v>7145</v>
          </cell>
        </row>
        <row r="39">
          <cell r="H39">
            <v>0</v>
          </cell>
        </row>
        <row r="40">
          <cell r="H40">
            <v>6779</v>
          </cell>
        </row>
        <row r="41">
          <cell r="H41">
            <v>4118</v>
          </cell>
        </row>
        <row r="42">
          <cell r="H42">
            <v>8175</v>
          </cell>
        </row>
        <row r="43">
          <cell r="H43">
            <v>3157</v>
          </cell>
        </row>
        <row r="44">
          <cell r="H44">
            <v>14766</v>
          </cell>
        </row>
        <row r="45">
          <cell r="H45">
            <v>6669</v>
          </cell>
        </row>
        <row r="46">
          <cell r="H46">
            <v>9592</v>
          </cell>
        </row>
        <row r="47">
          <cell r="H47">
            <v>2034</v>
          </cell>
        </row>
        <row r="48">
          <cell r="H48">
            <v>7229</v>
          </cell>
        </row>
        <row r="49">
          <cell r="H49">
            <v>9286</v>
          </cell>
        </row>
        <row r="50">
          <cell r="H50">
            <v>2913</v>
          </cell>
        </row>
        <row r="51">
          <cell r="H51">
            <v>5703</v>
          </cell>
        </row>
        <row r="52">
          <cell r="H52">
            <v>1906</v>
          </cell>
        </row>
        <row r="53">
          <cell r="H53">
            <v>5757</v>
          </cell>
        </row>
        <row r="54">
          <cell r="H54">
            <v>6696</v>
          </cell>
        </row>
        <row r="55">
          <cell r="H55">
            <v>3412</v>
          </cell>
        </row>
        <row r="56">
          <cell r="H56">
            <v>4051</v>
          </cell>
        </row>
        <row r="57">
          <cell r="H57">
            <v>3950</v>
          </cell>
        </row>
        <row r="58">
          <cell r="H58">
            <v>2960</v>
          </cell>
        </row>
        <row r="59">
          <cell r="H59">
            <v>6</v>
          </cell>
        </row>
        <row r="60">
          <cell r="H60">
            <v>4722</v>
          </cell>
        </row>
        <row r="61">
          <cell r="H61">
            <v>6199</v>
          </cell>
        </row>
        <row r="62">
          <cell r="H62">
            <v>2547</v>
          </cell>
        </row>
        <row r="63">
          <cell r="H63">
            <v>4765</v>
          </cell>
        </row>
        <row r="64">
          <cell r="H64">
            <v>9497</v>
          </cell>
        </row>
        <row r="65">
          <cell r="H65">
            <v>57574</v>
          </cell>
        </row>
        <row r="73">
          <cell r="H73">
            <v>67267</v>
          </cell>
        </row>
        <row r="81">
          <cell r="H81">
            <v>8712</v>
          </cell>
        </row>
        <row r="82">
          <cell r="H82">
            <v>8666</v>
          </cell>
        </row>
        <row r="83">
          <cell r="H83">
            <v>1872</v>
          </cell>
        </row>
        <row r="84">
          <cell r="H84">
            <v>1369</v>
          </cell>
        </row>
        <row r="85">
          <cell r="H85">
            <v>2278</v>
          </cell>
        </row>
        <row r="86">
          <cell r="H86">
            <v>2969</v>
          </cell>
        </row>
        <row r="87">
          <cell r="H87">
            <v>3556</v>
          </cell>
        </row>
        <row r="88">
          <cell r="H88">
            <v>4001</v>
          </cell>
        </row>
        <row r="89">
          <cell r="H89">
            <v>2396</v>
          </cell>
        </row>
        <row r="90">
          <cell r="H90">
            <v>8084</v>
          </cell>
        </row>
        <row r="91">
          <cell r="H91">
            <v>6579</v>
          </cell>
        </row>
        <row r="92">
          <cell r="H92">
            <v>5043</v>
          </cell>
        </row>
        <row r="93">
          <cell r="H93">
            <v>4779</v>
          </cell>
        </row>
        <row r="94">
          <cell r="H94">
            <v>4446</v>
          </cell>
        </row>
        <row r="95">
          <cell r="H95">
            <v>1382</v>
          </cell>
        </row>
        <row r="96">
          <cell r="D96">
            <v>345</v>
          </cell>
          <cell r="E96">
            <v>96958</v>
          </cell>
          <cell r="F96">
            <v>372206</v>
          </cell>
          <cell r="G96">
            <v>1871</v>
          </cell>
        </row>
        <row r="99">
          <cell r="C99">
            <v>6733</v>
          </cell>
          <cell r="F99">
            <v>19773</v>
          </cell>
        </row>
        <row r="100">
          <cell r="C100">
            <v>142</v>
          </cell>
          <cell r="F100">
            <v>491</v>
          </cell>
        </row>
        <row r="101">
          <cell r="C101">
            <v>0</v>
          </cell>
          <cell r="F101">
            <v>17026</v>
          </cell>
        </row>
        <row r="102">
          <cell r="C102">
            <v>3301</v>
          </cell>
          <cell r="F102">
            <v>883</v>
          </cell>
        </row>
        <row r="103">
          <cell r="C103">
            <v>10544</v>
          </cell>
          <cell r="F103">
            <v>0</v>
          </cell>
        </row>
        <row r="104">
          <cell r="C104">
            <v>0</v>
          </cell>
          <cell r="F104">
            <v>18074</v>
          </cell>
        </row>
        <row r="105">
          <cell r="C105">
            <v>0</v>
          </cell>
          <cell r="F105">
            <v>1327</v>
          </cell>
        </row>
        <row r="106">
          <cell r="C106">
            <v>1513</v>
          </cell>
        </row>
        <row r="107">
          <cell r="C107">
            <v>11858</v>
          </cell>
        </row>
        <row r="108">
          <cell r="C108">
            <v>1012</v>
          </cell>
        </row>
        <row r="109">
          <cell r="C109">
            <v>4521</v>
          </cell>
        </row>
        <row r="113">
          <cell r="C113">
            <v>12109</v>
          </cell>
        </row>
        <row r="114">
          <cell r="C114">
            <v>60</v>
          </cell>
        </row>
        <row r="115">
          <cell r="C115">
            <v>19778</v>
          </cell>
        </row>
        <row r="116">
          <cell r="C116">
            <v>28267</v>
          </cell>
        </row>
        <row r="117">
          <cell r="C117">
            <v>6497</v>
          </cell>
        </row>
        <row r="118">
          <cell r="C118">
            <v>556</v>
          </cell>
        </row>
        <row r="119">
          <cell r="C119">
            <v>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57309</v>
          </cell>
        </row>
        <row r="23">
          <cell r="D23">
            <v>2839</v>
          </cell>
        </row>
        <row r="24">
          <cell r="D24">
            <v>5887</v>
          </cell>
          <cell r="G24">
            <v>7965</v>
          </cell>
        </row>
        <row r="25">
          <cell r="D25">
            <v>5869</v>
          </cell>
          <cell r="G25">
            <v>321</v>
          </cell>
        </row>
        <row r="26">
          <cell r="D26">
            <v>7647</v>
          </cell>
          <cell r="G26">
            <v>0</v>
          </cell>
        </row>
        <row r="27">
          <cell r="D27">
            <v>2293</v>
          </cell>
          <cell r="G27">
            <v>18722</v>
          </cell>
        </row>
        <row r="28">
          <cell r="D28">
            <v>8474</v>
          </cell>
          <cell r="G28">
            <v>217</v>
          </cell>
        </row>
        <row r="29">
          <cell r="D29">
            <v>13444</v>
          </cell>
          <cell r="G29">
            <v>0</v>
          </cell>
        </row>
        <row r="30">
          <cell r="D30">
            <v>9824</v>
          </cell>
          <cell r="G30">
            <v>0</v>
          </cell>
        </row>
        <row r="31">
          <cell r="D31">
            <v>2281</v>
          </cell>
          <cell r="G31">
            <v>18545</v>
          </cell>
        </row>
        <row r="32">
          <cell r="D32">
            <v>4841</v>
          </cell>
          <cell r="G32">
            <v>197</v>
          </cell>
        </row>
        <row r="33">
          <cell r="D33">
            <v>6486</v>
          </cell>
          <cell r="G33">
            <v>11216</v>
          </cell>
        </row>
        <row r="34">
          <cell r="D34">
            <v>8333</v>
          </cell>
          <cell r="G34">
            <v>126</v>
          </cell>
        </row>
        <row r="35">
          <cell r="D35">
            <v>6274</v>
          </cell>
        </row>
        <row r="36">
          <cell r="D36">
            <v>2137</v>
          </cell>
        </row>
        <row r="37">
          <cell r="D37">
            <v>5083</v>
          </cell>
        </row>
        <row r="38">
          <cell r="D38">
            <v>7419</v>
          </cell>
          <cell r="G38">
            <v>11141</v>
          </cell>
        </row>
        <row r="39">
          <cell r="D39">
            <v>12</v>
          </cell>
          <cell r="G39">
            <v>531</v>
          </cell>
        </row>
        <row r="40">
          <cell r="D40">
            <v>7439</v>
          </cell>
          <cell r="G40">
            <v>843</v>
          </cell>
        </row>
        <row r="41">
          <cell r="D41">
            <v>4501</v>
          </cell>
          <cell r="G41">
            <v>20200</v>
          </cell>
        </row>
        <row r="42">
          <cell r="D42">
            <v>8907</v>
          </cell>
          <cell r="G42">
            <v>0</v>
          </cell>
        </row>
        <row r="43">
          <cell r="D43">
            <v>3797</v>
          </cell>
          <cell r="G43">
            <v>458</v>
          </cell>
        </row>
        <row r="44">
          <cell r="D44">
            <v>16808</v>
          </cell>
          <cell r="G44">
            <v>13093</v>
          </cell>
        </row>
        <row r="45">
          <cell r="D45">
            <v>8281</v>
          </cell>
        </row>
        <row r="46">
          <cell r="D46">
            <v>9792</v>
          </cell>
        </row>
        <row r="47">
          <cell r="D47">
            <v>2315</v>
          </cell>
        </row>
        <row r="48">
          <cell r="D48">
            <v>7420</v>
          </cell>
          <cell r="G48">
            <v>12646</v>
          </cell>
        </row>
        <row r="49">
          <cell r="D49">
            <v>9231</v>
          </cell>
          <cell r="G49">
            <v>108</v>
          </cell>
        </row>
        <row r="50">
          <cell r="D50">
            <v>3442</v>
          </cell>
          <cell r="G50">
            <v>165</v>
          </cell>
        </row>
        <row r="51">
          <cell r="D51">
            <v>5990</v>
          </cell>
          <cell r="G51">
            <v>504</v>
          </cell>
        </row>
        <row r="52">
          <cell r="D52">
            <v>1674</v>
          </cell>
          <cell r="G52">
            <v>32242</v>
          </cell>
        </row>
        <row r="53">
          <cell r="D53">
            <v>5666</v>
          </cell>
          <cell r="G53">
            <v>17374</v>
          </cell>
        </row>
        <row r="54">
          <cell r="D54">
            <v>7039</v>
          </cell>
          <cell r="G54">
            <v>0</v>
          </cell>
        </row>
        <row r="55">
          <cell r="D55">
            <v>3100</v>
          </cell>
        </row>
        <row r="56">
          <cell r="D56">
            <v>5128</v>
          </cell>
        </row>
        <row r="57">
          <cell r="D57">
            <v>3328</v>
          </cell>
        </row>
        <row r="58">
          <cell r="D58">
            <v>219</v>
          </cell>
        </row>
        <row r="59">
          <cell r="D59">
            <v>2673</v>
          </cell>
        </row>
        <row r="60">
          <cell r="D60">
            <v>4979</v>
          </cell>
        </row>
        <row r="61">
          <cell r="D61">
            <v>6134</v>
          </cell>
        </row>
        <row r="62">
          <cell r="D62">
            <v>1951</v>
          </cell>
        </row>
        <row r="63">
          <cell r="D63">
            <v>4112</v>
          </cell>
        </row>
        <row r="64">
          <cell r="D64">
            <v>11906</v>
          </cell>
        </row>
        <row r="65">
          <cell r="D65">
            <v>46266</v>
          </cell>
        </row>
        <row r="73">
          <cell r="D73">
            <v>63039</v>
          </cell>
        </row>
        <row r="81">
          <cell r="D81">
            <v>6390</v>
          </cell>
        </row>
        <row r="82">
          <cell r="D82">
            <v>8917</v>
          </cell>
        </row>
        <row r="83">
          <cell r="D83">
            <v>1232</v>
          </cell>
        </row>
        <row r="84">
          <cell r="D84">
            <v>1269</v>
          </cell>
        </row>
        <row r="85">
          <cell r="D85">
            <v>1391</v>
          </cell>
        </row>
        <row r="86">
          <cell r="D86">
            <v>3009</v>
          </cell>
        </row>
        <row r="87">
          <cell r="D87">
            <v>4048</v>
          </cell>
        </row>
        <row r="88">
          <cell r="D88">
            <v>4383</v>
          </cell>
        </row>
        <row r="89">
          <cell r="D89">
            <v>2552</v>
          </cell>
        </row>
        <row r="90">
          <cell r="D90">
            <v>8708</v>
          </cell>
        </row>
        <row r="91">
          <cell r="D91">
            <v>7246</v>
          </cell>
        </row>
        <row r="92">
          <cell r="D92">
            <v>4931</v>
          </cell>
        </row>
        <row r="93">
          <cell r="D93">
            <v>5321</v>
          </cell>
        </row>
        <row r="94">
          <cell r="D94">
            <v>5089</v>
          </cell>
        </row>
        <row r="95">
          <cell r="D95">
            <v>1315</v>
          </cell>
        </row>
        <row r="96">
          <cell r="D96">
            <v>477390</v>
          </cell>
        </row>
      </sheetData>
      <sheetData sheetId="1">
        <row r="11">
          <cell r="H11">
            <v>58610</v>
          </cell>
        </row>
        <row r="23">
          <cell r="H23">
            <v>5059</v>
          </cell>
        </row>
        <row r="24">
          <cell r="H24">
            <v>3215</v>
          </cell>
        </row>
        <row r="25">
          <cell r="H25">
            <v>9524</v>
          </cell>
        </row>
        <row r="26">
          <cell r="H26">
            <v>3707</v>
          </cell>
        </row>
        <row r="27">
          <cell r="H27">
            <v>2907</v>
          </cell>
        </row>
        <row r="28">
          <cell r="H28">
            <v>11321</v>
          </cell>
        </row>
        <row r="29">
          <cell r="H29">
            <v>16966</v>
          </cell>
        </row>
        <row r="30">
          <cell r="H30">
            <v>9809</v>
          </cell>
        </row>
        <row r="31">
          <cell r="H31">
            <v>2810</v>
          </cell>
        </row>
        <row r="32">
          <cell r="H32">
            <v>4226</v>
          </cell>
        </row>
        <row r="33">
          <cell r="H33">
            <v>7503</v>
          </cell>
        </row>
        <row r="34">
          <cell r="H34">
            <v>7469</v>
          </cell>
        </row>
        <row r="35">
          <cell r="H35">
            <v>6700</v>
          </cell>
        </row>
        <row r="36">
          <cell r="H36">
            <v>2026</v>
          </cell>
        </row>
        <row r="37">
          <cell r="H37">
            <v>4659</v>
          </cell>
        </row>
        <row r="38">
          <cell r="H38">
            <v>6955</v>
          </cell>
        </row>
        <row r="39">
          <cell r="H39">
            <v>0</v>
          </cell>
        </row>
        <row r="40">
          <cell r="H40">
            <v>6794</v>
          </cell>
        </row>
        <row r="41">
          <cell r="H41">
            <v>4224</v>
          </cell>
        </row>
        <row r="42">
          <cell r="H42">
            <v>8427</v>
          </cell>
        </row>
        <row r="43">
          <cell r="H43">
            <v>2958</v>
          </cell>
        </row>
        <row r="44">
          <cell r="H44">
            <v>14109</v>
          </cell>
        </row>
        <row r="45">
          <cell r="H45">
            <v>6662</v>
          </cell>
        </row>
        <row r="46">
          <cell r="H46">
            <v>9396</v>
          </cell>
        </row>
        <row r="47">
          <cell r="H47">
            <v>1964</v>
          </cell>
        </row>
        <row r="48">
          <cell r="H48">
            <v>6923</v>
          </cell>
        </row>
        <row r="49">
          <cell r="H49">
            <v>9291</v>
          </cell>
        </row>
        <row r="50">
          <cell r="H50">
            <v>3050</v>
          </cell>
        </row>
        <row r="51">
          <cell r="H51">
            <v>5919</v>
          </cell>
        </row>
        <row r="52">
          <cell r="H52">
            <v>1957</v>
          </cell>
        </row>
        <row r="53">
          <cell r="H53">
            <v>6029</v>
          </cell>
        </row>
        <row r="54">
          <cell r="H54">
            <v>6685</v>
          </cell>
        </row>
        <row r="55">
          <cell r="H55">
            <v>3391</v>
          </cell>
        </row>
        <row r="56">
          <cell r="H56">
            <v>4338</v>
          </cell>
        </row>
        <row r="57">
          <cell r="H57">
            <v>4081</v>
          </cell>
        </row>
        <row r="58">
          <cell r="H58">
            <v>2904</v>
          </cell>
        </row>
        <row r="59">
          <cell r="H59">
            <v>4</v>
          </cell>
        </row>
        <row r="60">
          <cell r="H60">
            <v>4834</v>
          </cell>
        </row>
        <row r="61">
          <cell r="H61">
            <v>6050</v>
          </cell>
        </row>
        <row r="62">
          <cell r="H62">
            <v>2466</v>
          </cell>
        </row>
        <row r="63">
          <cell r="H63">
            <v>4886</v>
          </cell>
        </row>
        <row r="64">
          <cell r="H64">
            <v>9618</v>
          </cell>
        </row>
        <row r="65">
          <cell r="H65">
            <v>57518</v>
          </cell>
        </row>
        <row r="73">
          <cell r="H73">
            <v>68077</v>
          </cell>
        </row>
        <row r="81">
          <cell r="H81">
            <v>8727</v>
          </cell>
        </row>
        <row r="82">
          <cell r="H82">
            <v>8776</v>
          </cell>
        </row>
        <row r="83">
          <cell r="H83">
            <v>1875</v>
          </cell>
        </row>
        <row r="84">
          <cell r="H84">
            <v>1187</v>
          </cell>
        </row>
        <row r="85">
          <cell r="H85">
            <v>2299</v>
          </cell>
        </row>
        <row r="86">
          <cell r="H86">
            <v>2924</v>
          </cell>
        </row>
        <row r="87">
          <cell r="H87">
            <v>3790</v>
          </cell>
        </row>
        <row r="88">
          <cell r="H88">
            <v>4332</v>
          </cell>
        </row>
        <row r="89">
          <cell r="H89">
            <v>2449</v>
          </cell>
        </row>
        <row r="90">
          <cell r="H90">
            <v>8117</v>
          </cell>
        </row>
        <row r="91">
          <cell r="H91">
            <v>6587</v>
          </cell>
        </row>
        <row r="92">
          <cell r="H92">
            <v>5227</v>
          </cell>
        </row>
        <row r="93">
          <cell r="H93">
            <v>4674</v>
          </cell>
        </row>
        <row r="94">
          <cell r="H94">
            <v>4551</v>
          </cell>
        </row>
        <row r="95">
          <cell r="H95">
            <v>1328</v>
          </cell>
        </row>
        <row r="96">
          <cell r="D96">
            <v>367</v>
          </cell>
          <cell r="E96">
            <v>97958</v>
          </cell>
          <cell r="F96">
            <v>392576</v>
          </cell>
          <cell r="G96">
            <v>1963</v>
          </cell>
        </row>
        <row r="99">
          <cell r="C99">
            <v>9376</v>
          </cell>
          <cell r="F99">
            <v>19897</v>
          </cell>
        </row>
        <row r="100">
          <cell r="C100">
            <v>211</v>
          </cell>
          <cell r="F100">
            <v>507</v>
          </cell>
        </row>
        <row r="101">
          <cell r="C101">
            <v>0</v>
          </cell>
          <cell r="F101">
            <v>16358</v>
          </cell>
        </row>
        <row r="102">
          <cell r="C102">
            <v>4232</v>
          </cell>
          <cell r="F102">
            <v>1147</v>
          </cell>
        </row>
        <row r="103">
          <cell r="C103">
            <v>17020</v>
          </cell>
          <cell r="F103">
            <v>0</v>
          </cell>
        </row>
        <row r="104">
          <cell r="C104">
            <v>0</v>
          </cell>
          <cell r="F104">
            <v>18314</v>
          </cell>
        </row>
        <row r="105">
          <cell r="C105">
            <v>0</v>
          </cell>
          <cell r="F105">
            <v>1295</v>
          </cell>
        </row>
        <row r="106">
          <cell r="C106">
            <v>2150</v>
          </cell>
        </row>
        <row r="107">
          <cell r="C107">
            <v>17052</v>
          </cell>
        </row>
        <row r="108">
          <cell r="C108">
            <v>1143</v>
          </cell>
        </row>
        <row r="109">
          <cell r="C109">
            <v>7426</v>
          </cell>
        </row>
        <row r="113">
          <cell r="C113">
            <v>12342</v>
          </cell>
        </row>
        <row r="114">
          <cell r="C114">
            <v>63</v>
          </cell>
        </row>
        <row r="115">
          <cell r="C115">
            <v>20037</v>
          </cell>
        </row>
        <row r="116">
          <cell r="C116">
            <v>28545</v>
          </cell>
        </row>
        <row r="117">
          <cell r="C117">
            <v>6541</v>
          </cell>
        </row>
        <row r="118">
          <cell r="C118">
            <v>549</v>
          </cell>
        </row>
        <row r="119">
          <cell r="C119">
            <v>0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40400</v>
          </cell>
        </row>
        <row r="23">
          <cell r="D23">
            <v>2496</v>
          </cell>
        </row>
        <row r="24">
          <cell r="D24">
            <v>5436</v>
          </cell>
          <cell r="G24">
            <v>5998</v>
          </cell>
        </row>
        <row r="25">
          <cell r="D25">
            <v>4224</v>
          </cell>
          <cell r="G25">
            <v>195</v>
          </cell>
        </row>
        <row r="26">
          <cell r="D26">
            <v>5713</v>
          </cell>
          <cell r="G26">
            <v>0</v>
          </cell>
        </row>
        <row r="27">
          <cell r="D27">
            <v>1917</v>
          </cell>
          <cell r="G27">
            <v>14847</v>
          </cell>
        </row>
        <row r="28">
          <cell r="D28">
            <v>5658</v>
          </cell>
          <cell r="G28">
            <v>233</v>
          </cell>
        </row>
        <row r="29">
          <cell r="D29">
            <v>10588</v>
          </cell>
          <cell r="G29">
            <v>0</v>
          </cell>
        </row>
        <row r="30">
          <cell r="D30">
            <v>4790</v>
          </cell>
          <cell r="G30">
            <v>0</v>
          </cell>
        </row>
        <row r="31">
          <cell r="D31">
            <v>1489</v>
          </cell>
          <cell r="G31">
            <v>12011</v>
          </cell>
        </row>
        <row r="32">
          <cell r="D32">
            <v>3678</v>
          </cell>
          <cell r="G32">
            <v>182</v>
          </cell>
        </row>
        <row r="33">
          <cell r="D33">
            <v>4523</v>
          </cell>
          <cell r="G33">
            <v>6843</v>
          </cell>
        </row>
        <row r="34">
          <cell r="D34">
            <v>6107</v>
          </cell>
          <cell r="G34">
            <v>91</v>
          </cell>
        </row>
        <row r="35">
          <cell r="D35">
            <v>4224</v>
          </cell>
        </row>
        <row r="36">
          <cell r="D36">
            <v>1242</v>
          </cell>
        </row>
        <row r="37">
          <cell r="D37">
            <v>3490</v>
          </cell>
        </row>
        <row r="38">
          <cell r="D38">
            <v>5320</v>
          </cell>
          <cell r="G38">
            <v>9097</v>
          </cell>
        </row>
        <row r="39">
          <cell r="D39">
            <v>19</v>
          </cell>
          <cell r="G39">
            <v>429</v>
          </cell>
        </row>
        <row r="40">
          <cell r="D40">
            <v>5366</v>
          </cell>
          <cell r="G40">
            <v>807</v>
          </cell>
        </row>
        <row r="41">
          <cell r="D41">
            <v>2881</v>
          </cell>
          <cell r="G41">
            <v>15311</v>
          </cell>
        </row>
        <row r="42">
          <cell r="D42">
            <v>8948</v>
          </cell>
          <cell r="G42">
            <v>0</v>
          </cell>
        </row>
        <row r="43">
          <cell r="D43">
            <v>2198</v>
          </cell>
          <cell r="G43">
            <v>472</v>
          </cell>
        </row>
        <row r="44">
          <cell r="D44">
            <v>6293</v>
          </cell>
          <cell r="G44">
            <v>10179</v>
          </cell>
        </row>
        <row r="45">
          <cell r="D45">
            <v>4248</v>
          </cell>
        </row>
        <row r="46">
          <cell r="D46">
            <v>4667</v>
          </cell>
        </row>
        <row r="47">
          <cell r="D47">
            <v>1694</v>
          </cell>
        </row>
        <row r="48">
          <cell r="D48">
            <v>3174</v>
          </cell>
          <cell r="G48">
            <v>10439</v>
          </cell>
        </row>
        <row r="49">
          <cell r="D49">
            <v>7465</v>
          </cell>
          <cell r="G49">
            <v>145</v>
          </cell>
        </row>
        <row r="50">
          <cell r="D50">
            <v>2219</v>
          </cell>
          <cell r="G50">
            <v>195</v>
          </cell>
        </row>
        <row r="51">
          <cell r="D51">
            <v>4628</v>
          </cell>
          <cell r="G51">
            <v>289</v>
          </cell>
        </row>
        <row r="52">
          <cell r="D52">
            <v>1266</v>
          </cell>
          <cell r="G52">
            <v>21111</v>
          </cell>
        </row>
        <row r="53">
          <cell r="D53">
            <v>4708</v>
          </cell>
          <cell r="G53">
            <v>12548</v>
          </cell>
        </row>
        <row r="54">
          <cell r="D54">
            <v>5072</v>
          </cell>
          <cell r="G54">
            <v>0</v>
          </cell>
        </row>
        <row r="55">
          <cell r="D55">
            <v>2179</v>
          </cell>
        </row>
        <row r="56">
          <cell r="D56">
            <v>6006</v>
          </cell>
        </row>
        <row r="57">
          <cell r="D57">
            <v>2333</v>
          </cell>
        </row>
        <row r="58">
          <cell r="D58">
            <v>120</v>
          </cell>
        </row>
        <row r="59">
          <cell r="D59">
            <v>1623</v>
          </cell>
        </row>
        <row r="60">
          <cell r="D60">
            <v>4357</v>
          </cell>
        </row>
        <row r="61">
          <cell r="D61">
            <v>4431</v>
          </cell>
        </row>
        <row r="62">
          <cell r="D62">
            <v>1332</v>
          </cell>
        </row>
        <row r="63">
          <cell r="D63">
            <v>2925</v>
          </cell>
        </row>
        <row r="64">
          <cell r="D64">
            <v>7830</v>
          </cell>
        </row>
        <row r="65">
          <cell r="D65">
            <v>36295</v>
          </cell>
        </row>
        <row r="73">
          <cell r="D73">
            <v>44727</v>
          </cell>
        </row>
        <row r="81">
          <cell r="D81">
            <v>4239</v>
          </cell>
        </row>
        <row r="82">
          <cell r="D82">
            <v>6657</v>
          </cell>
        </row>
        <row r="83">
          <cell r="D83">
            <v>921</v>
          </cell>
        </row>
        <row r="84">
          <cell r="D84">
            <v>1085</v>
          </cell>
        </row>
        <row r="85">
          <cell r="D85">
            <v>1057</v>
          </cell>
        </row>
        <row r="86">
          <cell r="D86">
            <v>2108</v>
          </cell>
        </row>
        <row r="87">
          <cell r="D87">
            <v>2702</v>
          </cell>
        </row>
        <row r="88">
          <cell r="D88">
            <v>2963</v>
          </cell>
        </row>
        <row r="89">
          <cell r="D89">
            <v>1534</v>
          </cell>
        </row>
        <row r="90">
          <cell r="D90">
            <v>4496</v>
          </cell>
        </row>
        <row r="91">
          <cell r="D91">
            <v>3984</v>
          </cell>
        </row>
        <row r="92">
          <cell r="D92">
            <v>2939</v>
          </cell>
        </row>
        <row r="93">
          <cell r="D93">
            <v>4211</v>
          </cell>
        </row>
        <row r="94">
          <cell r="D94">
            <v>2840</v>
          </cell>
        </row>
        <row r="95">
          <cell r="D95">
            <v>871</v>
          </cell>
        </row>
        <row r="96">
          <cell r="D96">
            <v>332906</v>
          </cell>
        </row>
      </sheetData>
      <sheetData sheetId="1">
        <row r="11">
          <cell r="H11">
            <v>42909</v>
          </cell>
        </row>
        <row r="23">
          <cell r="H23">
            <v>3952</v>
          </cell>
        </row>
        <row r="24">
          <cell r="H24">
            <v>2936</v>
          </cell>
        </row>
        <row r="25">
          <cell r="H25">
            <v>6700</v>
          </cell>
        </row>
        <row r="26">
          <cell r="H26">
            <v>2902</v>
          </cell>
        </row>
        <row r="27">
          <cell r="H27">
            <v>1847</v>
          </cell>
        </row>
        <row r="28">
          <cell r="H28">
            <v>6348</v>
          </cell>
        </row>
        <row r="29">
          <cell r="H29">
            <v>12898</v>
          </cell>
        </row>
        <row r="30">
          <cell r="H30">
            <v>5709</v>
          </cell>
        </row>
        <row r="31">
          <cell r="H31">
            <v>1746</v>
          </cell>
        </row>
        <row r="32">
          <cell r="H32">
            <v>2815</v>
          </cell>
        </row>
        <row r="33">
          <cell r="H33">
            <v>4705</v>
          </cell>
        </row>
        <row r="34">
          <cell r="H34">
            <v>4905</v>
          </cell>
        </row>
        <row r="35">
          <cell r="H35">
            <v>4388</v>
          </cell>
        </row>
        <row r="36">
          <cell r="H36">
            <v>1047</v>
          </cell>
        </row>
        <row r="37">
          <cell r="H37">
            <v>3067</v>
          </cell>
        </row>
        <row r="38">
          <cell r="H38">
            <v>4961</v>
          </cell>
        </row>
        <row r="39">
          <cell r="H39">
            <v>0</v>
          </cell>
        </row>
        <row r="40">
          <cell r="H40">
            <v>4853</v>
          </cell>
        </row>
        <row r="41">
          <cell r="H41">
            <v>2921</v>
          </cell>
        </row>
        <row r="42">
          <cell r="H42">
            <v>7793</v>
          </cell>
        </row>
        <row r="43">
          <cell r="H43">
            <v>1722</v>
          </cell>
        </row>
        <row r="44">
          <cell r="H44">
            <v>5384</v>
          </cell>
        </row>
        <row r="45">
          <cell r="H45">
            <v>3844</v>
          </cell>
        </row>
        <row r="46">
          <cell r="H46">
            <v>4649</v>
          </cell>
        </row>
        <row r="47">
          <cell r="H47">
            <v>1393</v>
          </cell>
        </row>
        <row r="48">
          <cell r="H48">
            <v>2911</v>
          </cell>
        </row>
        <row r="49">
          <cell r="H49">
            <v>6818</v>
          </cell>
        </row>
        <row r="50">
          <cell r="H50">
            <v>1809</v>
          </cell>
        </row>
        <row r="51">
          <cell r="H51">
            <v>4524</v>
          </cell>
        </row>
        <row r="52">
          <cell r="H52">
            <v>1338</v>
          </cell>
        </row>
        <row r="53">
          <cell r="H53">
            <v>4513</v>
          </cell>
        </row>
        <row r="54">
          <cell r="H54">
            <v>4738</v>
          </cell>
        </row>
        <row r="55">
          <cell r="H55">
            <v>2382</v>
          </cell>
        </row>
        <row r="56">
          <cell r="H56">
            <v>5034</v>
          </cell>
        </row>
        <row r="57">
          <cell r="H57">
            <v>2628</v>
          </cell>
        </row>
        <row r="58">
          <cell r="H58">
            <v>1749</v>
          </cell>
        </row>
        <row r="59">
          <cell r="H59">
            <v>4</v>
          </cell>
        </row>
        <row r="60">
          <cell r="H60">
            <v>3735</v>
          </cell>
        </row>
        <row r="61">
          <cell r="H61">
            <v>4314</v>
          </cell>
        </row>
        <row r="62">
          <cell r="H62">
            <v>1508</v>
          </cell>
        </row>
        <row r="63">
          <cell r="H63">
            <v>3399</v>
          </cell>
        </row>
        <row r="64">
          <cell r="H64">
            <v>6898</v>
          </cell>
        </row>
        <row r="65">
          <cell r="H65">
            <v>40270</v>
          </cell>
        </row>
        <row r="73">
          <cell r="H73">
            <v>46130</v>
          </cell>
        </row>
        <row r="81">
          <cell r="H81">
            <v>5274</v>
          </cell>
        </row>
        <row r="82">
          <cell r="H82">
            <v>5949</v>
          </cell>
        </row>
        <row r="83">
          <cell r="H83">
            <v>1176</v>
          </cell>
        </row>
        <row r="84">
          <cell r="H84">
            <v>1072</v>
          </cell>
        </row>
        <row r="85">
          <cell r="H85">
            <v>1436</v>
          </cell>
        </row>
        <row r="86">
          <cell r="H86">
            <v>2047</v>
          </cell>
        </row>
        <row r="87">
          <cell r="H87">
            <v>2538</v>
          </cell>
        </row>
        <row r="88">
          <cell r="H88">
            <v>3023</v>
          </cell>
        </row>
        <row r="89">
          <cell r="H89">
            <v>1417</v>
          </cell>
        </row>
        <row r="90">
          <cell r="H90">
            <v>4046</v>
          </cell>
        </row>
        <row r="91">
          <cell r="H91">
            <v>3618</v>
          </cell>
        </row>
        <row r="92">
          <cell r="H92">
            <v>3119</v>
          </cell>
        </row>
        <row r="93">
          <cell r="H93">
            <v>3438</v>
          </cell>
        </row>
        <row r="94">
          <cell r="H94">
            <v>2391</v>
          </cell>
        </row>
        <row r="95">
          <cell r="H95">
            <v>720</v>
          </cell>
        </row>
        <row r="96">
          <cell r="D96">
            <v>265</v>
          </cell>
          <cell r="E96">
            <v>56112</v>
          </cell>
          <cell r="F96">
            <v>274993</v>
          </cell>
          <cell r="G96">
            <v>990</v>
          </cell>
        </row>
        <row r="99">
          <cell r="C99">
            <v>6690</v>
          </cell>
          <cell r="F99">
            <v>13364</v>
          </cell>
        </row>
        <row r="100">
          <cell r="C100">
            <v>149</v>
          </cell>
          <cell r="F100">
            <v>320</v>
          </cell>
        </row>
        <row r="101">
          <cell r="C101">
            <v>0</v>
          </cell>
          <cell r="F101">
            <v>13096</v>
          </cell>
        </row>
        <row r="102">
          <cell r="C102">
            <v>907</v>
          </cell>
          <cell r="F102">
            <v>387</v>
          </cell>
        </row>
        <row r="103">
          <cell r="C103">
            <v>14326</v>
          </cell>
          <cell r="F103">
            <v>0</v>
          </cell>
        </row>
        <row r="104">
          <cell r="C104">
            <v>0</v>
          </cell>
          <cell r="F104">
            <v>13059</v>
          </cell>
        </row>
        <row r="105">
          <cell r="C105">
            <v>0</v>
          </cell>
          <cell r="F105">
            <v>44</v>
          </cell>
        </row>
        <row r="106">
          <cell r="C106">
            <v>814</v>
          </cell>
        </row>
        <row r="107">
          <cell r="C107">
            <v>13544</v>
          </cell>
        </row>
        <row r="108">
          <cell r="C108">
            <v>724</v>
          </cell>
        </row>
        <row r="109">
          <cell r="C109">
            <v>5755</v>
          </cell>
        </row>
        <row r="113">
          <cell r="C113">
            <v>9024</v>
          </cell>
        </row>
        <row r="114">
          <cell r="C114">
            <v>48</v>
          </cell>
        </row>
        <row r="115">
          <cell r="C115">
            <v>15883</v>
          </cell>
        </row>
        <row r="116">
          <cell r="C116">
            <v>19253</v>
          </cell>
        </row>
        <row r="117">
          <cell r="C117">
            <v>1917</v>
          </cell>
        </row>
        <row r="118">
          <cell r="C118">
            <v>5</v>
          </cell>
        </row>
        <row r="119">
          <cell r="C119">
            <v>0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20185</v>
          </cell>
        </row>
        <row r="23">
          <cell r="D23">
            <v>772</v>
          </cell>
        </row>
        <row r="24">
          <cell r="D24">
            <v>1777</v>
          </cell>
          <cell r="G24">
            <v>2918</v>
          </cell>
        </row>
        <row r="25">
          <cell r="D25">
            <v>2159</v>
          </cell>
          <cell r="G25">
            <v>53</v>
          </cell>
        </row>
        <row r="26">
          <cell r="D26">
            <v>3170</v>
          </cell>
          <cell r="G26">
            <v>0</v>
          </cell>
        </row>
        <row r="27">
          <cell r="D27">
            <v>724</v>
          </cell>
          <cell r="G27">
            <v>7237</v>
          </cell>
        </row>
        <row r="28">
          <cell r="D28">
            <v>2208</v>
          </cell>
          <cell r="G28">
            <v>155</v>
          </cell>
        </row>
        <row r="29">
          <cell r="D29">
            <v>3767</v>
          </cell>
          <cell r="G29">
            <v>0</v>
          </cell>
        </row>
        <row r="30">
          <cell r="D30">
            <v>2097</v>
          </cell>
          <cell r="G30">
            <v>0</v>
          </cell>
        </row>
        <row r="31">
          <cell r="D31">
            <v>491</v>
          </cell>
          <cell r="G31">
            <v>6222</v>
          </cell>
        </row>
        <row r="32">
          <cell r="D32">
            <v>1302</v>
          </cell>
          <cell r="G32">
            <v>134</v>
          </cell>
        </row>
        <row r="33">
          <cell r="D33">
            <v>1912</v>
          </cell>
          <cell r="G33">
            <v>3381</v>
          </cell>
        </row>
        <row r="34">
          <cell r="D34">
            <v>2709</v>
          </cell>
          <cell r="G34">
            <v>85</v>
          </cell>
        </row>
        <row r="35">
          <cell r="D35">
            <v>1502</v>
          </cell>
        </row>
        <row r="36">
          <cell r="D36">
            <v>520</v>
          </cell>
        </row>
        <row r="37">
          <cell r="D37">
            <v>990</v>
          </cell>
        </row>
        <row r="38">
          <cell r="D38">
            <v>1883</v>
          </cell>
          <cell r="G38">
            <v>4723</v>
          </cell>
        </row>
        <row r="39">
          <cell r="D39">
            <v>0</v>
          </cell>
          <cell r="G39">
            <v>196</v>
          </cell>
        </row>
        <row r="40">
          <cell r="D40">
            <v>1412</v>
          </cell>
          <cell r="G40">
            <v>579</v>
          </cell>
        </row>
        <row r="41">
          <cell r="D41">
            <v>1176</v>
          </cell>
          <cell r="G41">
            <v>6540</v>
          </cell>
        </row>
        <row r="42">
          <cell r="D42">
            <v>2742</v>
          </cell>
          <cell r="G42">
            <v>0</v>
          </cell>
        </row>
        <row r="43">
          <cell r="D43">
            <v>461</v>
          </cell>
          <cell r="G43">
            <v>334</v>
          </cell>
        </row>
        <row r="44">
          <cell r="D44">
            <v>797</v>
          </cell>
          <cell r="G44">
            <v>4566</v>
          </cell>
        </row>
        <row r="45">
          <cell r="D45">
            <v>1732</v>
          </cell>
        </row>
        <row r="46">
          <cell r="D46">
            <v>3489</v>
          </cell>
        </row>
        <row r="47">
          <cell r="D47">
            <v>719</v>
          </cell>
        </row>
        <row r="48">
          <cell r="D48">
            <v>851</v>
          </cell>
          <cell r="G48">
            <v>5002</v>
          </cell>
        </row>
        <row r="49">
          <cell r="D49">
            <v>1850</v>
          </cell>
          <cell r="G49">
            <v>86</v>
          </cell>
        </row>
        <row r="50">
          <cell r="D50">
            <v>639</v>
          </cell>
          <cell r="G50">
            <v>116</v>
          </cell>
        </row>
        <row r="51">
          <cell r="D51">
            <v>1734</v>
          </cell>
          <cell r="G51">
            <v>221</v>
          </cell>
        </row>
        <row r="52">
          <cell r="D52">
            <v>465</v>
          </cell>
          <cell r="G52">
            <v>11169</v>
          </cell>
        </row>
        <row r="53">
          <cell r="D53">
            <v>2475</v>
          </cell>
          <cell r="G53">
            <v>6361</v>
          </cell>
        </row>
        <row r="54">
          <cell r="D54">
            <v>2187</v>
          </cell>
          <cell r="G54">
            <v>0</v>
          </cell>
        </row>
        <row r="55">
          <cell r="D55">
            <v>932</v>
          </cell>
        </row>
        <row r="56">
          <cell r="D56">
            <v>4010</v>
          </cell>
        </row>
        <row r="57">
          <cell r="D57">
            <v>1210</v>
          </cell>
        </row>
        <row r="58">
          <cell r="D58">
            <v>105</v>
          </cell>
        </row>
        <row r="59">
          <cell r="D59">
            <v>620</v>
          </cell>
        </row>
        <row r="60">
          <cell r="D60">
            <v>1572</v>
          </cell>
        </row>
        <row r="61">
          <cell r="D61">
            <v>2349</v>
          </cell>
        </row>
        <row r="62">
          <cell r="D62">
            <v>495</v>
          </cell>
        </row>
        <row r="63">
          <cell r="D63">
            <v>1089</v>
          </cell>
        </row>
        <row r="64">
          <cell r="D64">
            <v>2901</v>
          </cell>
        </row>
        <row r="65">
          <cell r="D65">
            <v>16938</v>
          </cell>
        </row>
        <row r="73">
          <cell r="D73">
            <v>22955</v>
          </cell>
        </row>
        <row r="81">
          <cell r="D81">
            <v>1750</v>
          </cell>
        </row>
        <row r="82">
          <cell r="D82">
            <v>3290</v>
          </cell>
        </row>
        <row r="83">
          <cell r="D83">
            <v>419</v>
          </cell>
        </row>
        <row r="84">
          <cell r="D84">
            <v>577</v>
          </cell>
        </row>
        <row r="85">
          <cell r="D85">
            <v>410</v>
          </cell>
        </row>
        <row r="86">
          <cell r="D86">
            <v>912</v>
          </cell>
        </row>
        <row r="87">
          <cell r="D87">
            <v>758</v>
          </cell>
        </row>
        <row r="88">
          <cell r="D88">
            <v>1114</v>
          </cell>
        </row>
        <row r="89">
          <cell r="D89">
            <v>502</v>
          </cell>
        </row>
        <row r="90">
          <cell r="D90">
            <v>1583</v>
          </cell>
        </row>
        <row r="91">
          <cell r="D91">
            <v>1193</v>
          </cell>
        </row>
        <row r="92">
          <cell r="D92">
            <v>1065</v>
          </cell>
        </row>
        <row r="93">
          <cell r="D93">
            <v>2277</v>
          </cell>
        </row>
        <row r="94">
          <cell r="D94">
            <v>943</v>
          </cell>
        </row>
        <row r="95">
          <cell r="D95">
            <v>275</v>
          </cell>
        </row>
        <row r="96">
          <cell r="D96">
            <v>143141</v>
          </cell>
        </row>
      </sheetData>
      <sheetData sheetId="1">
        <row r="11">
          <cell r="H11">
            <v>17255</v>
          </cell>
        </row>
        <row r="23">
          <cell r="H23">
            <v>1476</v>
          </cell>
        </row>
        <row r="24">
          <cell r="H24">
            <v>1227</v>
          </cell>
        </row>
        <row r="25">
          <cell r="H25">
            <v>2618</v>
          </cell>
        </row>
        <row r="26">
          <cell r="H26">
            <v>1240</v>
          </cell>
        </row>
        <row r="27">
          <cell r="H27">
            <v>665</v>
          </cell>
        </row>
        <row r="28">
          <cell r="H28">
            <v>2260</v>
          </cell>
        </row>
        <row r="29">
          <cell r="H29">
            <v>5188</v>
          </cell>
        </row>
        <row r="30">
          <cell r="H30">
            <v>1633</v>
          </cell>
        </row>
        <row r="31">
          <cell r="H31">
            <v>539</v>
          </cell>
        </row>
        <row r="32">
          <cell r="H32">
            <v>1160</v>
          </cell>
        </row>
        <row r="33">
          <cell r="H33">
            <v>1841</v>
          </cell>
        </row>
        <row r="34">
          <cell r="H34">
            <v>1678</v>
          </cell>
        </row>
        <row r="35">
          <cell r="H35">
            <v>1853</v>
          </cell>
        </row>
        <row r="36">
          <cell r="H36">
            <v>395</v>
          </cell>
        </row>
        <row r="37">
          <cell r="H37">
            <v>801</v>
          </cell>
        </row>
        <row r="38">
          <cell r="H38">
            <v>1875</v>
          </cell>
        </row>
        <row r="39">
          <cell r="H39">
            <v>0</v>
          </cell>
        </row>
        <row r="40">
          <cell r="H40">
            <v>1331</v>
          </cell>
        </row>
        <row r="41">
          <cell r="H41">
            <v>1119</v>
          </cell>
        </row>
        <row r="42">
          <cell r="H42">
            <v>2553</v>
          </cell>
        </row>
        <row r="43">
          <cell r="H43">
            <v>418</v>
          </cell>
        </row>
        <row r="44">
          <cell r="H44">
            <v>880</v>
          </cell>
        </row>
        <row r="45">
          <cell r="H45">
            <v>1447</v>
          </cell>
        </row>
        <row r="46">
          <cell r="H46">
            <v>3308</v>
          </cell>
        </row>
        <row r="47">
          <cell r="H47">
            <v>637</v>
          </cell>
        </row>
        <row r="48">
          <cell r="H48">
            <v>861</v>
          </cell>
        </row>
        <row r="49">
          <cell r="H49">
            <v>1689</v>
          </cell>
        </row>
        <row r="50">
          <cell r="H50">
            <v>359</v>
          </cell>
        </row>
        <row r="51">
          <cell r="H51">
            <v>1788</v>
          </cell>
        </row>
        <row r="52">
          <cell r="H52">
            <v>430</v>
          </cell>
        </row>
        <row r="53">
          <cell r="H53">
            <v>2145</v>
          </cell>
        </row>
        <row r="54">
          <cell r="H54">
            <v>1893</v>
          </cell>
        </row>
        <row r="55">
          <cell r="H55">
            <v>939</v>
          </cell>
        </row>
        <row r="56">
          <cell r="H56">
            <v>3542</v>
          </cell>
        </row>
        <row r="57">
          <cell r="H57">
            <v>1040</v>
          </cell>
        </row>
        <row r="58">
          <cell r="H58">
            <v>538</v>
          </cell>
        </row>
        <row r="59">
          <cell r="H59">
            <v>0</v>
          </cell>
        </row>
        <row r="60">
          <cell r="H60">
            <v>1521</v>
          </cell>
        </row>
        <row r="61">
          <cell r="H61">
            <v>1977</v>
          </cell>
        </row>
        <row r="62">
          <cell r="H62">
            <v>549</v>
          </cell>
        </row>
        <row r="63">
          <cell r="H63">
            <v>1236</v>
          </cell>
        </row>
        <row r="64">
          <cell r="H64">
            <v>2319</v>
          </cell>
        </row>
        <row r="65">
          <cell r="H65">
            <v>16657</v>
          </cell>
        </row>
        <row r="73">
          <cell r="H73">
            <v>19342</v>
          </cell>
        </row>
        <row r="81">
          <cell r="H81">
            <v>1677</v>
          </cell>
        </row>
        <row r="82">
          <cell r="H82">
            <v>2601</v>
          </cell>
        </row>
        <row r="83">
          <cell r="H83">
            <v>476</v>
          </cell>
        </row>
        <row r="84">
          <cell r="H84">
            <v>387</v>
          </cell>
        </row>
        <row r="85">
          <cell r="H85">
            <v>468</v>
          </cell>
        </row>
        <row r="86">
          <cell r="H86">
            <v>788</v>
          </cell>
        </row>
        <row r="87">
          <cell r="H87">
            <v>707</v>
          </cell>
        </row>
        <row r="88">
          <cell r="H88">
            <v>1044</v>
          </cell>
        </row>
        <row r="89">
          <cell r="H89">
            <v>463</v>
          </cell>
        </row>
        <row r="90">
          <cell r="H90">
            <v>1388</v>
          </cell>
        </row>
        <row r="91">
          <cell r="H91">
            <v>1085</v>
          </cell>
        </row>
        <row r="92">
          <cell r="H92">
            <v>1169</v>
          </cell>
        </row>
        <row r="93">
          <cell r="H93">
            <v>1891</v>
          </cell>
        </row>
        <row r="94">
          <cell r="H94">
            <v>752</v>
          </cell>
        </row>
        <row r="95">
          <cell r="H95">
            <v>254</v>
          </cell>
        </row>
        <row r="96">
          <cell r="D96">
            <v>138</v>
          </cell>
          <cell r="E96">
            <v>16372</v>
          </cell>
          <cell r="F96">
            <v>112569</v>
          </cell>
          <cell r="G96">
            <v>293</v>
          </cell>
        </row>
        <row r="99">
          <cell r="C99">
            <v>2393</v>
          </cell>
          <cell r="F99">
            <v>5990</v>
          </cell>
        </row>
        <row r="100">
          <cell r="C100">
            <v>40</v>
          </cell>
          <cell r="F100">
            <v>99</v>
          </cell>
        </row>
        <row r="101">
          <cell r="C101">
            <v>0</v>
          </cell>
          <cell r="F101">
            <v>4753</v>
          </cell>
        </row>
        <row r="102">
          <cell r="C102">
            <v>7</v>
          </cell>
          <cell r="F102">
            <v>10</v>
          </cell>
        </row>
        <row r="103">
          <cell r="C103">
            <v>5843</v>
          </cell>
          <cell r="F103">
            <v>0</v>
          </cell>
        </row>
        <row r="104">
          <cell r="C104">
            <v>0</v>
          </cell>
          <cell r="F104">
            <v>5804</v>
          </cell>
        </row>
        <row r="105">
          <cell r="C105">
            <v>0</v>
          </cell>
          <cell r="F105">
            <v>1</v>
          </cell>
        </row>
        <row r="106">
          <cell r="C106">
            <v>9</v>
          </cell>
        </row>
        <row r="107">
          <cell r="C107">
            <v>5986</v>
          </cell>
        </row>
        <row r="108">
          <cell r="C108">
            <v>48</v>
          </cell>
        </row>
        <row r="109">
          <cell r="C109">
            <v>2929</v>
          </cell>
        </row>
        <row r="113">
          <cell r="C113">
            <v>3932</v>
          </cell>
        </row>
        <row r="114">
          <cell r="C114">
            <v>12</v>
          </cell>
        </row>
        <row r="115">
          <cell r="C115">
            <v>7978</v>
          </cell>
        </row>
        <row r="116">
          <cell r="C116">
            <v>7399</v>
          </cell>
        </row>
        <row r="117">
          <cell r="C117">
            <v>19</v>
          </cell>
        </row>
        <row r="118">
          <cell r="C118">
            <v>2</v>
          </cell>
        </row>
        <row r="119">
          <cell r="C119">
            <v>0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60164</v>
          </cell>
        </row>
        <row r="23">
          <cell r="D23">
            <v>2835</v>
          </cell>
        </row>
        <row r="24">
          <cell r="D24">
            <v>5794</v>
          </cell>
          <cell r="G24">
            <v>8040</v>
          </cell>
        </row>
        <row r="25">
          <cell r="D25">
            <v>6293</v>
          </cell>
          <cell r="G25">
            <v>330</v>
          </cell>
        </row>
        <row r="26">
          <cell r="D26">
            <v>7761</v>
          </cell>
          <cell r="G26">
            <v>0</v>
          </cell>
        </row>
        <row r="27">
          <cell r="D27">
            <v>2284</v>
          </cell>
          <cell r="G27">
            <v>20059</v>
          </cell>
        </row>
        <row r="28">
          <cell r="D28">
            <v>8856</v>
          </cell>
          <cell r="G28">
            <v>648</v>
          </cell>
        </row>
        <row r="29">
          <cell r="D29">
            <v>14633</v>
          </cell>
          <cell r="G29">
            <v>0</v>
          </cell>
        </row>
        <row r="30">
          <cell r="D30">
            <v>10036</v>
          </cell>
          <cell r="G30">
            <v>0</v>
          </cell>
        </row>
        <row r="31">
          <cell r="D31">
            <v>2355</v>
          </cell>
          <cell r="G31">
            <v>19181</v>
          </cell>
        </row>
        <row r="32">
          <cell r="D32">
            <v>4228</v>
          </cell>
          <cell r="G32">
            <v>203</v>
          </cell>
        </row>
        <row r="33">
          <cell r="D33">
            <v>6235</v>
          </cell>
          <cell r="G33">
            <v>11577</v>
          </cell>
        </row>
        <row r="34">
          <cell r="D34">
            <v>8283</v>
          </cell>
          <cell r="G34">
            <v>126</v>
          </cell>
        </row>
        <row r="35">
          <cell r="D35">
            <v>6314</v>
          </cell>
        </row>
        <row r="36">
          <cell r="D36">
            <v>2140</v>
          </cell>
        </row>
        <row r="37">
          <cell r="D37">
            <v>4962</v>
          </cell>
        </row>
        <row r="38">
          <cell r="D38">
            <v>7563</v>
          </cell>
          <cell r="G38">
            <v>10658</v>
          </cell>
        </row>
        <row r="39">
          <cell r="D39">
            <v>0</v>
          </cell>
          <cell r="G39">
            <v>576</v>
          </cell>
        </row>
        <row r="40">
          <cell r="D40">
            <v>7435</v>
          </cell>
          <cell r="G40">
            <v>899</v>
          </cell>
        </row>
        <row r="41">
          <cell r="D41">
            <v>4252</v>
          </cell>
          <cell r="G41">
            <v>20026</v>
          </cell>
        </row>
        <row r="42">
          <cell r="D42">
            <v>8909</v>
          </cell>
          <cell r="G42">
            <v>0</v>
          </cell>
        </row>
        <row r="43">
          <cell r="D43">
            <v>3732</v>
          </cell>
          <cell r="G43">
            <v>456</v>
          </cell>
        </row>
        <row r="44">
          <cell r="D44">
            <v>14984</v>
          </cell>
          <cell r="G44">
            <v>13259</v>
          </cell>
        </row>
        <row r="45">
          <cell r="D45">
            <v>8049</v>
          </cell>
        </row>
        <row r="46">
          <cell r="D46">
            <v>8917</v>
          </cell>
        </row>
        <row r="47">
          <cell r="D47">
            <v>2132</v>
          </cell>
        </row>
        <row r="48">
          <cell r="D48">
            <v>7601</v>
          </cell>
          <cell r="G48">
            <v>12797</v>
          </cell>
        </row>
        <row r="49">
          <cell r="D49">
            <v>8914</v>
          </cell>
          <cell r="G49">
            <v>155</v>
          </cell>
        </row>
        <row r="50">
          <cell r="D50">
            <v>3307</v>
          </cell>
          <cell r="G50">
            <v>198</v>
          </cell>
        </row>
        <row r="51">
          <cell r="D51">
            <v>5738</v>
          </cell>
          <cell r="G51">
            <v>439</v>
          </cell>
        </row>
        <row r="52">
          <cell r="D52">
            <v>1687</v>
          </cell>
          <cell r="G52">
            <v>33028</v>
          </cell>
        </row>
        <row r="53">
          <cell r="D53">
            <v>5500</v>
          </cell>
          <cell r="G53">
            <v>17935</v>
          </cell>
        </row>
        <row r="54">
          <cell r="D54">
            <v>6720</v>
          </cell>
          <cell r="G54">
            <v>0</v>
          </cell>
        </row>
        <row r="55">
          <cell r="D55">
            <v>3141</v>
          </cell>
        </row>
        <row r="56">
          <cell r="D56">
            <v>4326</v>
          </cell>
        </row>
        <row r="57">
          <cell r="D57">
            <v>3097</v>
          </cell>
        </row>
        <row r="58">
          <cell r="D58">
            <v>171</v>
          </cell>
        </row>
        <row r="59">
          <cell r="D59">
            <v>2721</v>
          </cell>
        </row>
        <row r="60">
          <cell r="D60">
            <v>5167</v>
          </cell>
        </row>
        <row r="61">
          <cell r="D61">
            <v>6316</v>
          </cell>
        </row>
        <row r="62">
          <cell r="D62">
            <v>1807</v>
          </cell>
        </row>
        <row r="63">
          <cell r="D63">
            <v>3968</v>
          </cell>
        </row>
        <row r="64">
          <cell r="D64">
            <v>11808</v>
          </cell>
        </row>
        <row r="65">
          <cell r="D65">
            <v>45874</v>
          </cell>
        </row>
        <row r="73">
          <cell r="D73">
            <v>64552</v>
          </cell>
        </row>
        <row r="81">
          <cell r="D81">
            <v>6424</v>
          </cell>
        </row>
        <row r="82">
          <cell r="D82">
            <v>8696</v>
          </cell>
        </row>
        <row r="83">
          <cell r="D83">
            <v>1240</v>
          </cell>
        </row>
        <row r="84">
          <cell r="D84">
            <v>1157</v>
          </cell>
        </row>
        <row r="85">
          <cell r="D85">
            <v>1426</v>
          </cell>
        </row>
        <row r="86">
          <cell r="D86">
            <v>3106</v>
          </cell>
        </row>
        <row r="87">
          <cell r="D87">
            <v>3906</v>
          </cell>
        </row>
        <row r="88">
          <cell r="D88">
            <v>4049</v>
          </cell>
        </row>
        <row r="89">
          <cell r="D89">
            <v>2561</v>
          </cell>
        </row>
        <row r="90">
          <cell r="D90">
            <v>9078</v>
          </cell>
        </row>
        <row r="91">
          <cell r="D91">
            <v>7033</v>
          </cell>
        </row>
        <row r="92">
          <cell r="D92">
            <v>4811</v>
          </cell>
        </row>
        <row r="93">
          <cell r="D93">
            <v>4551</v>
          </cell>
        </row>
        <row r="94">
          <cell r="D94">
            <v>5008</v>
          </cell>
        </row>
        <row r="95">
          <cell r="D95">
            <v>1306</v>
          </cell>
        </row>
        <row r="96">
          <cell r="D96">
            <v>475913</v>
          </cell>
        </row>
      </sheetData>
      <sheetData sheetId="1">
        <row r="11">
          <cell r="H11">
            <v>60358</v>
          </cell>
        </row>
        <row r="23">
          <cell r="H23">
            <v>5065</v>
          </cell>
        </row>
        <row r="24">
          <cell r="H24">
            <v>3322</v>
          </cell>
        </row>
        <row r="25">
          <cell r="H25">
            <v>10172</v>
          </cell>
        </row>
        <row r="26">
          <cell r="H26">
            <v>3979</v>
          </cell>
        </row>
        <row r="27">
          <cell r="H27">
            <v>2765</v>
          </cell>
        </row>
        <row r="28">
          <cell r="H28">
            <v>10907</v>
          </cell>
        </row>
        <row r="29">
          <cell r="H29">
            <v>17033</v>
          </cell>
        </row>
        <row r="30">
          <cell r="H30">
            <v>9701</v>
          </cell>
        </row>
        <row r="31">
          <cell r="H31">
            <v>2757</v>
          </cell>
        </row>
        <row r="32">
          <cell r="H32">
            <v>4087</v>
          </cell>
        </row>
        <row r="33">
          <cell r="H33">
            <v>7208</v>
          </cell>
        </row>
        <row r="34">
          <cell r="H34">
            <v>7650</v>
          </cell>
        </row>
        <row r="35">
          <cell r="H35">
            <v>7082</v>
          </cell>
        </row>
        <row r="36">
          <cell r="H36">
            <v>1958</v>
          </cell>
        </row>
        <row r="37">
          <cell r="H37">
            <v>4480</v>
          </cell>
        </row>
        <row r="38">
          <cell r="H38">
            <v>7167</v>
          </cell>
        </row>
        <row r="39">
          <cell r="H39">
            <v>0</v>
          </cell>
        </row>
        <row r="40">
          <cell r="H40">
            <v>6901</v>
          </cell>
        </row>
        <row r="41">
          <cell r="H41">
            <v>4007</v>
          </cell>
        </row>
        <row r="42">
          <cell r="H42">
            <v>8194</v>
          </cell>
        </row>
        <row r="43">
          <cell r="H43">
            <v>2947</v>
          </cell>
        </row>
        <row r="44">
          <cell r="H44">
            <v>13453</v>
          </cell>
        </row>
        <row r="45">
          <cell r="H45">
            <v>6422</v>
          </cell>
        </row>
        <row r="46">
          <cell r="H46">
            <v>8376</v>
          </cell>
        </row>
        <row r="47">
          <cell r="H47">
            <v>1829</v>
          </cell>
        </row>
        <row r="48">
          <cell r="H48">
            <v>6967</v>
          </cell>
        </row>
        <row r="49">
          <cell r="H49">
            <v>9141</v>
          </cell>
        </row>
        <row r="50">
          <cell r="H50">
            <v>3099</v>
          </cell>
        </row>
        <row r="51">
          <cell r="H51">
            <v>5604</v>
          </cell>
        </row>
        <row r="52">
          <cell r="H52">
            <v>1899</v>
          </cell>
        </row>
        <row r="53">
          <cell r="H53">
            <v>5647</v>
          </cell>
        </row>
        <row r="54">
          <cell r="H54">
            <v>6562</v>
          </cell>
        </row>
        <row r="55">
          <cell r="H55">
            <v>3351</v>
          </cell>
        </row>
        <row r="56">
          <cell r="H56">
            <v>3967</v>
          </cell>
        </row>
        <row r="57">
          <cell r="H57">
            <v>3830</v>
          </cell>
        </row>
        <row r="58">
          <cell r="H58">
            <v>2801</v>
          </cell>
        </row>
        <row r="59">
          <cell r="H59">
            <v>0</v>
          </cell>
        </row>
        <row r="60">
          <cell r="H60">
            <v>4692</v>
          </cell>
        </row>
        <row r="61">
          <cell r="H61">
            <v>5886</v>
          </cell>
        </row>
        <row r="62">
          <cell r="H62">
            <v>2433</v>
          </cell>
        </row>
        <row r="63">
          <cell r="H63">
            <v>4868</v>
          </cell>
        </row>
        <row r="64">
          <cell r="H64">
            <v>9389</v>
          </cell>
        </row>
        <row r="65">
          <cell r="H65">
            <v>56327</v>
          </cell>
        </row>
        <row r="73">
          <cell r="H73">
            <v>66801</v>
          </cell>
        </row>
        <row r="81">
          <cell r="H81">
            <v>8429</v>
          </cell>
        </row>
        <row r="82">
          <cell r="H82">
            <v>8631</v>
          </cell>
        </row>
        <row r="83">
          <cell r="H83">
            <v>1727</v>
          </cell>
        </row>
        <row r="84">
          <cell r="H84">
            <v>1045</v>
          </cell>
        </row>
        <row r="85">
          <cell r="H85">
            <v>2233</v>
          </cell>
        </row>
        <row r="86">
          <cell r="H86">
            <v>2864</v>
          </cell>
        </row>
        <row r="87">
          <cell r="H87">
            <v>3496</v>
          </cell>
        </row>
        <row r="88">
          <cell r="H88">
            <v>3962</v>
          </cell>
        </row>
        <row r="89">
          <cell r="H89">
            <v>2318</v>
          </cell>
        </row>
        <row r="90">
          <cell r="H90">
            <v>8296</v>
          </cell>
        </row>
        <row r="91">
          <cell r="H91">
            <v>6272</v>
          </cell>
        </row>
        <row r="92">
          <cell r="H92">
            <v>4850</v>
          </cell>
        </row>
        <row r="93">
          <cell r="H93">
            <v>4080</v>
          </cell>
        </row>
        <row r="94">
          <cell r="H94">
            <v>4392</v>
          </cell>
        </row>
        <row r="95">
          <cell r="H95">
            <v>1308</v>
          </cell>
        </row>
        <row r="96">
          <cell r="D96">
            <v>383</v>
          </cell>
          <cell r="E96">
            <v>97934</v>
          </cell>
          <cell r="F96">
            <v>384770</v>
          </cell>
          <cell r="G96">
            <v>1900</v>
          </cell>
        </row>
        <row r="99">
          <cell r="C99">
            <v>9571</v>
          </cell>
          <cell r="F99">
            <v>20104</v>
          </cell>
        </row>
        <row r="100">
          <cell r="C100">
            <v>250</v>
          </cell>
          <cell r="F100">
            <v>486</v>
          </cell>
        </row>
        <row r="101">
          <cell r="C101">
            <v>0</v>
          </cell>
          <cell r="F101">
            <v>16368</v>
          </cell>
        </row>
        <row r="102">
          <cell r="C102">
            <v>4699</v>
          </cell>
          <cell r="F102">
            <v>1450</v>
          </cell>
        </row>
        <row r="103">
          <cell r="C103">
            <v>17391</v>
          </cell>
          <cell r="F103">
            <v>0</v>
          </cell>
        </row>
        <row r="104">
          <cell r="C104">
            <v>0</v>
          </cell>
          <cell r="F104">
            <v>16870</v>
          </cell>
        </row>
        <row r="105">
          <cell r="C105">
            <v>0</v>
          </cell>
          <cell r="F105">
            <v>1049</v>
          </cell>
        </row>
        <row r="106">
          <cell r="C106">
            <v>2122</v>
          </cell>
        </row>
        <row r="107">
          <cell r="C107">
            <v>17337</v>
          </cell>
        </row>
        <row r="108">
          <cell r="C108">
            <v>1185</v>
          </cell>
        </row>
        <row r="109">
          <cell r="C109">
            <v>7803</v>
          </cell>
        </row>
        <row r="113">
          <cell r="C113">
            <v>11958</v>
          </cell>
        </row>
        <row r="114">
          <cell r="C114">
            <v>73</v>
          </cell>
        </row>
        <row r="115">
          <cell r="C115">
            <v>20776</v>
          </cell>
        </row>
        <row r="116">
          <cell r="C116">
            <v>27894</v>
          </cell>
        </row>
        <row r="117">
          <cell r="C117">
            <v>5669</v>
          </cell>
        </row>
        <row r="118">
          <cell r="C118">
            <v>431</v>
          </cell>
        </row>
        <row r="119">
          <cell r="C119">
            <v>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58972</v>
          </cell>
        </row>
        <row r="23">
          <cell r="D23">
            <v>2748</v>
          </cell>
        </row>
        <row r="24">
          <cell r="D24">
            <v>5906</v>
          </cell>
          <cell r="G24">
            <v>8056</v>
          </cell>
        </row>
        <row r="25">
          <cell r="D25">
            <v>6178</v>
          </cell>
          <cell r="G25">
            <v>345</v>
          </cell>
        </row>
        <row r="26">
          <cell r="D26">
            <v>8047</v>
          </cell>
          <cell r="G26">
            <v>0</v>
          </cell>
        </row>
        <row r="27">
          <cell r="D27">
            <v>2277</v>
          </cell>
          <cell r="G27">
            <v>19535</v>
          </cell>
        </row>
        <row r="28">
          <cell r="D28">
            <v>8834</v>
          </cell>
          <cell r="G28">
            <v>329</v>
          </cell>
        </row>
        <row r="29">
          <cell r="D29">
            <v>16093</v>
          </cell>
          <cell r="G29">
            <v>0</v>
          </cell>
        </row>
        <row r="30">
          <cell r="D30">
            <v>9982</v>
          </cell>
          <cell r="G30">
            <v>0</v>
          </cell>
        </row>
        <row r="31">
          <cell r="D31">
            <v>2351</v>
          </cell>
          <cell r="G31">
            <v>18554</v>
          </cell>
        </row>
        <row r="32">
          <cell r="D32">
            <v>4496</v>
          </cell>
          <cell r="G32">
            <v>239</v>
          </cell>
        </row>
        <row r="33">
          <cell r="D33">
            <v>5439</v>
          </cell>
          <cell r="G33">
            <v>11776</v>
          </cell>
        </row>
        <row r="34">
          <cell r="D34">
            <v>8213</v>
          </cell>
          <cell r="G34">
            <v>138</v>
          </cell>
        </row>
        <row r="35">
          <cell r="D35">
            <v>6214</v>
          </cell>
        </row>
        <row r="36">
          <cell r="D36">
            <v>2182</v>
          </cell>
        </row>
        <row r="37">
          <cell r="D37">
            <v>4653</v>
          </cell>
        </row>
        <row r="38">
          <cell r="D38">
            <v>7376</v>
          </cell>
          <cell r="G38">
            <v>10866</v>
          </cell>
        </row>
        <row r="39">
          <cell r="D39">
            <v>12</v>
          </cell>
          <cell r="G39">
            <v>603</v>
          </cell>
        </row>
        <row r="40">
          <cell r="D40">
            <v>7656</v>
          </cell>
          <cell r="G40">
            <v>810</v>
          </cell>
        </row>
        <row r="41">
          <cell r="D41">
            <v>4351</v>
          </cell>
          <cell r="G41">
            <v>20342</v>
          </cell>
        </row>
        <row r="42">
          <cell r="D42">
            <v>10252</v>
          </cell>
          <cell r="G42">
            <v>0</v>
          </cell>
        </row>
        <row r="43">
          <cell r="D43">
            <v>4021</v>
          </cell>
          <cell r="G43">
            <v>400</v>
          </cell>
        </row>
        <row r="44">
          <cell r="D44">
            <v>16380</v>
          </cell>
          <cell r="G44">
            <v>13445</v>
          </cell>
        </row>
        <row r="45">
          <cell r="D45">
            <v>8294</v>
          </cell>
        </row>
        <row r="46">
          <cell r="D46">
            <v>9084</v>
          </cell>
        </row>
        <row r="47">
          <cell r="D47">
            <v>2386</v>
          </cell>
        </row>
        <row r="48">
          <cell r="D48">
            <v>7621</v>
          </cell>
          <cell r="G48">
            <v>12723</v>
          </cell>
        </row>
        <row r="49">
          <cell r="D49">
            <v>8955</v>
          </cell>
          <cell r="G49">
            <v>130</v>
          </cell>
        </row>
        <row r="50">
          <cell r="D50">
            <v>3271</v>
          </cell>
          <cell r="G50">
            <v>223</v>
          </cell>
        </row>
        <row r="51">
          <cell r="D51">
            <v>5807</v>
          </cell>
          <cell r="G51">
            <v>431</v>
          </cell>
        </row>
        <row r="52">
          <cell r="D52">
            <v>1730</v>
          </cell>
          <cell r="G52">
            <v>36123</v>
          </cell>
        </row>
        <row r="53">
          <cell r="D53">
            <v>5603</v>
          </cell>
          <cell r="G53">
            <v>18087</v>
          </cell>
        </row>
        <row r="54">
          <cell r="D54">
            <v>6943</v>
          </cell>
          <cell r="G54">
            <v>0</v>
          </cell>
        </row>
        <row r="55">
          <cell r="D55">
            <v>3139</v>
          </cell>
        </row>
        <row r="56">
          <cell r="D56">
            <v>4391</v>
          </cell>
        </row>
        <row r="57">
          <cell r="D57">
            <v>3286</v>
          </cell>
        </row>
        <row r="58">
          <cell r="D58">
            <v>198</v>
          </cell>
        </row>
        <row r="59">
          <cell r="D59">
            <v>2803</v>
          </cell>
        </row>
        <row r="60">
          <cell r="D60">
            <v>5386</v>
          </cell>
        </row>
        <row r="61">
          <cell r="D61">
            <v>6217</v>
          </cell>
        </row>
        <row r="62">
          <cell r="D62">
            <v>1868</v>
          </cell>
        </row>
        <row r="63">
          <cell r="D63">
            <v>4208</v>
          </cell>
        </row>
        <row r="64">
          <cell r="D64">
            <v>12106</v>
          </cell>
        </row>
        <row r="65">
          <cell r="D65">
            <v>46466</v>
          </cell>
        </row>
        <row r="73">
          <cell r="D73">
            <v>67717</v>
          </cell>
        </row>
        <row r="81">
          <cell r="D81">
            <v>6613</v>
          </cell>
        </row>
        <row r="82">
          <cell r="D82">
            <v>8632</v>
          </cell>
        </row>
        <row r="83">
          <cell r="D83">
            <v>1284</v>
          </cell>
        </row>
        <row r="84">
          <cell r="D84">
            <v>1207</v>
          </cell>
        </row>
        <row r="85">
          <cell r="D85">
            <v>1385</v>
          </cell>
        </row>
        <row r="86">
          <cell r="D86">
            <v>3089</v>
          </cell>
        </row>
        <row r="87">
          <cell r="D87">
            <v>3866</v>
          </cell>
        </row>
        <row r="88">
          <cell r="D88">
            <v>4055</v>
          </cell>
        </row>
        <row r="89">
          <cell r="D89">
            <v>2702</v>
          </cell>
        </row>
        <row r="90">
          <cell r="D90">
            <v>9103</v>
          </cell>
        </row>
        <row r="91">
          <cell r="D91">
            <v>7125</v>
          </cell>
        </row>
        <row r="92">
          <cell r="D92">
            <v>4712</v>
          </cell>
        </row>
        <row r="93">
          <cell r="D93">
            <v>4687</v>
          </cell>
        </row>
        <row r="94">
          <cell r="D94">
            <v>5139</v>
          </cell>
        </row>
        <row r="95">
          <cell r="D95">
            <v>1312</v>
          </cell>
        </row>
        <row r="96">
          <cell r="D96">
            <v>485023</v>
          </cell>
        </row>
      </sheetData>
      <sheetData sheetId="1">
        <row r="11">
          <cell r="H11">
            <v>60210</v>
          </cell>
        </row>
        <row r="23">
          <cell r="H23">
            <v>4955</v>
          </cell>
        </row>
        <row r="24">
          <cell r="H24">
            <v>3403</v>
          </cell>
        </row>
        <row r="25">
          <cell r="H25">
            <v>10046</v>
          </cell>
        </row>
        <row r="26">
          <cell r="H26">
            <v>3981</v>
          </cell>
        </row>
        <row r="27">
          <cell r="H27">
            <v>2791</v>
          </cell>
        </row>
        <row r="28">
          <cell r="H28">
            <v>11145</v>
          </cell>
        </row>
        <row r="29">
          <cell r="H29">
            <v>17113</v>
          </cell>
        </row>
        <row r="30">
          <cell r="H30">
            <v>9955</v>
          </cell>
        </row>
        <row r="31">
          <cell r="H31">
            <v>2752</v>
          </cell>
        </row>
        <row r="32">
          <cell r="H32">
            <v>4199</v>
          </cell>
        </row>
        <row r="33">
          <cell r="H33">
            <v>7360</v>
          </cell>
        </row>
        <row r="34">
          <cell r="H34">
            <v>7591</v>
          </cell>
        </row>
        <row r="35">
          <cell r="H35">
            <v>6890</v>
          </cell>
        </row>
        <row r="36">
          <cell r="H36">
            <v>2091</v>
          </cell>
        </row>
        <row r="37">
          <cell r="H37">
            <v>4682</v>
          </cell>
        </row>
        <row r="38">
          <cell r="H38">
            <v>6945</v>
          </cell>
        </row>
        <row r="39">
          <cell r="H39">
            <v>0</v>
          </cell>
        </row>
        <row r="40">
          <cell r="H40">
            <v>7159</v>
          </cell>
        </row>
        <row r="41">
          <cell r="H41">
            <v>4253</v>
          </cell>
        </row>
        <row r="42">
          <cell r="H42">
            <v>8369</v>
          </cell>
        </row>
        <row r="43">
          <cell r="H43">
            <v>3256</v>
          </cell>
        </row>
        <row r="44">
          <cell r="H44">
            <v>14665</v>
          </cell>
        </row>
        <row r="45">
          <cell r="H45">
            <v>6681</v>
          </cell>
        </row>
        <row r="46">
          <cell r="H46">
            <v>8625</v>
          </cell>
        </row>
        <row r="47">
          <cell r="H47">
            <v>2062</v>
          </cell>
        </row>
        <row r="48">
          <cell r="H48">
            <v>7048</v>
          </cell>
        </row>
        <row r="49">
          <cell r="H49">
            <v>9173</v>
          </cell>
        </row>
        <row r="50">
          <cell r="H50">
            <v>2921</v>
          </cell>
        </row>
        <row r="51">
          <cell r="H51">
            <v>5677</v>
          </cell>
        </row>
        <row r="52">
          <cell r="H52">
            <v>1926</v>
          </cell>
        </row>
        <row r="53">
          <cell r="H53">
            <v>5805</v>
          </cell>
        </row>
        <row r="54">
          <cell r="H54">
            <v>6706</v>
          </cell>
        </row>
        <row r="55">
          <cell r="H55">
            <v>3335</v>
          </cell>
        </row>
        <row r="56">
          <cell r="H56">
            <v>3868</v>
          </cell>
        </row>
        <row r="57">
          <cell r="H57">
            <v>3967</v>
          </cell>
        </row>
        <row r="58">
          <cell r="H58">
            <v>2898</v>
          </cell>
        </row>
        <row r="59">
          <cell r="H59">
            <v>1</v>
          </cell>
        </row>
        <row r="60">
          <cell r="H60">
            <v>4801</v>
          </cell>
        </row>
        <row r="61">
          <cell r="H61">
            <v>5905</v>
          </cell>
        </row>
        <row r="62">
          <cell r="H62">
            <v>2425</v>
          </cell>
        </row>
        <row r="63">
          <cell r="H63">
            <v>4806</v>
          </cell>
        </row>
        <row r="64">
          <cell r="H64">
            <v>9455</v>
          </cell>
        </row>
        <row r="65">
          <cell r="H65">
            <v>56096</v>
          </cell>
        </row>
        <row r="73">
          <cell r="H73">
            <v>66927</v>
          </cell>
        </row>
        <row r="81">
          <cell r="H81">
            <v>8685</v>
          </cell>
        </row>
        <row r="82">
          <cell r="H82">
            <v>8516</v>
          </cell>
        </row>
        <row r="83">
          <cell r="H83">
            <v>1815</v>
          </cell>
        </row>
        <row r="84">
          <cell r="H84">
            <v>1180</v>
          </cell>
        </row>
        <row r="85">
          <cell r="H85">
            <v>2325</v>
          </cell>
        </row>
        <row r="86">
          <cell r="H86">
            <v>2945</v>
          </cell>
        </row>
        <row r="87">
          <cell r="H87">
            <v>3642</v>
          </cell>
        </row>
        <row r="88">
          <cell r="H88">
            <v>3808</v>
          </cell>
        </row>
        <row r="89">
          <cell r="H89">
            <v>2477</v>
          </cell>
        </row>
        <row r="90">
          <cell r="H90">
            <v>8369</v>
          </cell>
        </row>
        <row r="91">
          <cell r="H91">
            <v>6489</v>
          </cell>
        </row>
        <row r="92">
          <cell r="H92">
            <v>4886</v>
          </cell>
        </row>
        <row r="93">
          <cell r="H93">
            <v>4441</v>
          </cell>
        </row>
        <row r="94">
          <cell r="H94">
            <v>4510</v>
          </cell>
        </row>
        <row r="95">
          <cell r="H95">
            <v>1316</v>
          </cell>
        </row>
        <row r="96">
          <cell r="D96">
            <v>384</v>
          </cell>
          <cell r="E96">
            <v>99318</v>
          </cell>
          <cell r="F96">
            <v>388581</v>
          </cell>
          <cell r="G96">
            <v>2040</v>
          </cell>
        </row>
        <row r="99">
          <cell r="C99">
            <v>9634</v>
          </cell>
          <cell r="F99">
            <v>19662</v>
          </cell>
        </row>
        <row r="100">
          <cell r="C100">
            <v>252</v>
          </cell>
          <cell r="F100">
            <v>501</v>
          </cell>
        </row>
        <row r="101">
          <cell r="C101">
            <v>0</v>
          </cell>
          <cell r="F101">
            <v>16427</v>
          </cell>
        </row>
        <row r="102">
          <cell r="C102">
            <v>5137</v>
          </cell>
          <cell r="F102">
            <v>1102</v>
          </cell>
        </row>
        <row r="103">
          <cell r="C103">
            <v>16714</v>
          </cell>
          <cell r="F103">
            <v>0</v>
          </cell>
        </row>
        <row r="104">
          <cell r="C104">
            <v>0</v>
          </cell>
          <cell r="F104">
            <v>17084</v>
          </cell>
        </row>
        <row r="105">
          <cell r="C105">
            <v>0</v>
          </cell>
          <cell r="F105">
            <v>1320</v>
          </cell>
        </row>
        <row r="106">
          <cell r="C106">
            <v>2287</v>
          </cell>
        </row>
        <row r="107">
          <cell r="C107">
            <v>17337</v>
          </cell>
        </row>
        <row r="108">
          <cell r="C108">
            <v>1230</v>
          </cell>
        </row>
        <row r="109">
          <cell r="C109">
            <v>7619</v>
          </cell>
        </row>
        <row r="113">
          <cell r="C113">
            <v>12182</v>
          </cell>
        </row>
        <row r="114">
          <cell r="C114">
            <v>78</v>
          </cell>
        </row>
        <row r="115">
          <cell r="C115">
            <v>19483</v>
          </cell>
        </row>
        <row r="116">
          <cell r="C116">
            <v>28564</v>
          </cell>
        </row>
        <row r="117">
          <cell r="C117">
            <v>6042</v>
          </cell>
        </row>
        <row r="118">
          <cell r="C118">
            <v>578</v>
          </cell>
        </row>
        <row r="119">
          <cell r="C119">
            <v>0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59177</v>
          </cell>
        </row>
        <row r="23">
          <cell r="D23">
            <v>2818</v>
          </cell>
        </row>
        <row r="24">
          <cell r="D24">
            <v>5303</v>
          </cell>
          <cell r="G24">
            <v>8158</v>
          </cell>
        </row>
        <row r="25">
          <cell r="D25">
            <v>6299</v>
          </cell>
          <cell r="G25">
            <v>353</v>
          </cell>
        </row>
        <row r="26">
          <cell r="D26">
            <v>7778</v>
          </cell>
          <cell r="G26">
            <v>0</v>
          </cell>
        </row>
        <row r="27">
          <cell r="D27">
            <v>2280</v>
          </cell>
          <cell r="G27">
            <v>19742</v>
          </cell>
        </row>
        <row r="28">
          <cell r="D28">
            <v>8951</v>
          </cell>
          <cell r="G28">
            <v>187</v>
          </cell>
        </row>
        <row r="29">
          <cell r="D29">
            <v>16060</v>
          </cell>
          <cell r="G29">
            <v>0</v>
          </cell>
        </row>
        <row r="30">
          <cell r="D30">
            <v>9813</v>
          </cell>
          <cell r="G30">
            <v>0</v>
          </cell>
        </row>
        <row r="31">
          <cell r="D31">
            <v>2267</v>
          </cell>
          <cell r="G31">
            <v>18458</v>
          </cell>
        </row>
        <row r="32">
          <cell r="D32">
            <v>4468</v>
          </cell>
          <cell r="G32">
            <v>271</v>
          </cell>
        </row>
        <row r="33">
          <cell r="D33">
            <v>5234</v>
          </cell>
          <cell r="G33">
            <v>11880</v>
          </cell>
        </row>
        <row r="34">
          <cell r="D34">
            <v>8260</v>
          </cell>
          <cell r="G34">
            <v>128</v>
          </cell>
        </row>
        <row r="35">
          <cell r="D35">
            <v>6188</v>
          </cell>
        </row>
        <row r="36">
          <cell r="D36">
            <v>2166</v>
          </cell>
        </row>
        <row r="37">
          <cell r="D37">
            <v>4950</v>
          </cell>
        </row>
        <row r="38">
          <cell r="D38">
            <v>7474</v>
          </cell>
          <cell r="G38">
            <v>10566</v>
          </cell>
        </row>
        <row r="39">
          <cell r="D39">
            <v>9</v>
          </cell>
          <cell r="G39">
            <v>625</v>
          </cell>
        </row>
        <row r="40">
          <cell r="D40">
            <v>7483</v>
          </cell>
          <cell r="G40">
            <v>848</v>
          </cell>
        </row>
        <row r="41">
          <cell r="D41">
            <v>4270</v>
          </cell>
          <cell r="G41">
            <v>19962</v>
          </cell>
        </row>
        <row r="42">
          <cell r="D42">
            <v>8230</v>
          </cell>
          <cell r="G42">
            <v>0</v>
          </cell>
        </row>
        <row r="43">
          <cell r="D43">
            <v>3737</v>
          </cell>
          <cell r="G43">
            <v>388</v>
          </cell>
        </row>
        <row r="44">
          <cell r="D44">
            <v>17810</v>
          </cell>
          <cell r="G44">
            <v>13142</v>
          </cell>
        </row>
        <row r="45">
          <cell r="D45">
            <v>8179</v>
          </cell>
        </row>
        <row r="46">
          <cell r="D46">
            <v>8895</v>
          </cell>
        </row>
        <row r="47">
          <cell r="D47">
            <v>2347</v>
          </cell>
        </row>
        <row r="48">
          <cell r="D48">
            <v>7376</v>
          </cell>
          <cell r="G48">
            <v>11932</v>
          </cell>
        </row>
        <row r="49">
          <cell r="D49">
            <v>8572</v>
          </cell>
          <cell r="G49">
            <v>143</v>
          </cell>
        </row>
        <row r="50">
          <cell r="D50">
            <v>3245</v>
          </cell>
          <cell r="G50">
            <v>212</v>
          </cell>
        </row>
        <row r="51">
          <cell r="D51">
            <v>5745</v>
          </cell>
          <cell r="G51">
            <v>431</v>
          </cell>
        </row>
        <row r="52">
          <cell r="D52">
            <v>1693</v>
          </cell>
          <cell r="G52">
            <v>34086</v>
          </cell>
        </row>
        <row r="53">
          <cell r="D53">
            <v>5482</v>
          </cell>
          <cell r="G53">
            <v>17527</v>
          </cell>
        </row>
        <row r="54">
          <cell r="D54">
            <v>7074</v>
          </cell>
          <cell r="G54">
            <v>0</v>
          </cell>
        </row>
        <row r="55">
          <cell r="D55">
            <v>3093</v>
          </cell>
        </row>
        <row r="56">
          <cell r="D56">
            <v>4426</v>
          </cell>
        </row>
        <row r="57">
          <cell r="D57">
            <v>3162</v>
          </cell>
        </row>
        <row r="58">
          <cell r="D58">
            <v>152</v>
          </cell>
        </row>
        <row r="59">
          <cell r="D59">
            <v>2829</v>
          </cell>
        </row>
        <row r="60">
          <cell r="D60">
            <v>5230</v>
          </cell>
        </row>
        <row r="61">
          <cell r="D61">
            <v>6316</v>
          </cell>
        </row>
        <row r="62">
          <cell r="D62">
            <v>1810</v>
          </cell>
        </row>
        <row r="63">
          <cell r="D63">
            <v>4034</v>
          </cell>
        </row>
        <row r="64">
          <cell r="D64">
            <v>11771</v>
          </cell>
        </row>
        <row r="65">
          <cell r="D65">
            <v>45531</v>
          </cell>
        </row>
        <row r="73">
          <cell r="D73">
            <v>64331</v>
          </cell>
        </row>
        <row r="81">
          <cell r="D81">
            <v>6639</v>
          </cell>
        </row>
        <row r="82">
          <cell r="D82">
            <v>8505</v>
          </cell>
        </row>
        <row r="83">
          <cell r="D83">
            <v>1332</v>
          </cell>
        </row>
        <row r="84">
          <cell r="D84">
            <v>1210</v>
          </cell>
        </row>
        <row r="85">
          <cell r="D85">
            <v>1403</v>
          </cell>
        </row>
        <row r="86">
          <cell r="D86">
            <v>3047</v>
          </cell>
        </row>
        <row r="87">
          <cell r="D87">
            <v>3732</v>
          </cell>
        </row>
        <row r="88">
          <cell r="D88">
            <v>4067</v>
          </cell>
        </row>
        <row r="89">
          <cell r="D89">
            <v>2635</v>
          </cell>
        </row>
        <row r="90">
          <cell r="D90">
            <v>8970</v>
          </cell>
        </row>
        <row r="91">
          <cell r="D91">
            <v>7130</v>
          </cell>
        </row>
        <row r="92">
          <cell r="D92">
            <v>4845</v>
          </cell>
        </row>
        <row r="93">
          <cell r="D93">
            <v>5481</v>
          </cell>
        </row>
        <row r="94">
          <cell r="D94">
            <v>4970</v>
          </cell>
        </row>
        <row r="95">
          <cell r="D95">
            <v>1348</v>
          </cell>
        </row>
        <row r="96">
          <cell r="D96">
            <v>477632</v>
          </cell>
        </row>
      </sheetData>
      <sheetData sheetId="1">
        <row r="11">
          <cell r="H11">
            <v>59927</v>
          </cell>
        </row>
        <row r="23">
          <cell r="H23">
            <v>5074</v>
          </cell>
        </row>
        <row r="24">
          <cell r="H24">
            <v>3326</v>
          </cell>
        </row>
        <row r="25">
          <cell r="H25">
            <v>9981</v>
          </cell>
        </row>
        <row r="26">
          <cell r="H26">
            <v>4009</v>
          </cell>
        </row>
        <row r="27">
          <cell r="H27">
            <v>2774</v>
          </cell>
        </row>
        <row r="28">
          <cell r="H28">
            <v>11198</v>
          </cell>
        </row>
        <row r="29">
          <cell r="H29">
            <v>16939</v>
          </cell>
        </row>
        <row r="30">
          <cell r="H30">
            <v>9818</v>
          </cell>
        </row>
        <row r="31">
          <cell r="H31">
            <v>2737</v>
          </cell>
        </row>
        <row r="32">
          <cell r="H32">
            <v>4148</v>
          </cell>
        </row>
        <row r="33">
          <cell r="H33">
            <v>7249</v>
          </cell>
        </row>
        <row r="34">
          <cell r="H34">
            <v>7427</v>
          </cell>
        </row>
        <row r="35">
          <cell r="H35">
            <v>6974</v>
          </cell>
        </row>
        <row r="36">
          <cell r="H36">
            <v>2050</v>
          </cell>
        </row>
        <row r="37">
          <cell r="H37">
            <v>4598</v>
          </cell>
        </row>
        <row r="38">
          <cell r="H38">
            <v>7029</v>
          </cell>
        </row>
        <row r="39">
          <cell r="H39">
            <v>0</v>
          </cell>
        </row>
        <row r="40">
          <cell r="H40">
            <v>7111</v>
          </cell>
        </row>
        <row r="41">
          <cell r="H41">
            <v>4093</v>
          </cell>
        </row>
        <row r="42">
          <cell r="H42">
            <v>7842</v>
          </cell>
        </row>
        <row r="43">
          <cell r="H43">
            <v>2964</v>
          </cell>
        </row>
        <row r="44">
          <cell r="H44">
            <v>14585</v>
          </cell>
        </row>
        <row r="45">
          <cell r="H45">
            <v>6565</v>
          </cell>
        </row>
        <row r="46">
          <cell r="H46">
            <v>8669</v>
          </cell>
        </row>
        <row r="47">
          <cell r="H47">
            <v>2022</v>
          </cell>
        </row>
        <row r="48">
          <cell r="H48">
            <v>6902</v>
          </cell>
        </row>
        <row r="49">
          <cell r="H49">
            <v>9141</v>
          </cell>
        </row>
        <row r="50">
          <cell r="H50">
            <v>2991</v>
          </cell>
        </row>
        <row r="51">
          <cell r="H51">
            <v>5613</v>
          </cell>
        </row>
        <row r="52">
          <cell r="H52">
            <v>1812</v>
          </cell>
        </row>
        <row r="53">
          <cell r="H53">
            <v>5834</v>
          </cell>
        </row>
        <row r="54">
          <cell r="H54">
            <v>6577</v>
          </cell>
        </row>
        <row r="55">
          <cell r="H55">
            <v>3300</v>
          </cell>
        </row>
        <row r="56">
          <cell r="H56">
            <v>3916</v>
          </cell>
        </row>
        <row r="57">
          <cell r="H57">
            <v>3973</v>
          </cell>
        </row>
        <row r="58">
          <cell r="H58">
            <v>2904</v>
          </cell>
        </row>
        <row r="59">
          <cell r="H59">
            <v>2</v>
          </cell>
        </row>
        <row r="60">
          <cell r="H60">
            <v>4721</v>
          </cell>
        </row>
        <row r="61">
          <cell r="H61">
            <v>6023</v>
          </cell>
        </row>
        <row r="62">
          <cell r="H62">
            <v>2467</v>
          </cell>
        </row>
        <row r="63">
          <cell r="H63">
            <v>4775</v>
          </cell>
        </row>
        <row r="64">
          <cell r="H64">
            <v>9312</v>
          </cell>
        </row>
        <row r="65">
          <cell r="H65">
            <v>55482</v>
          </cell>
        </row>
        <row r="73">
          <cell r="H73">
            <v>66431</v>
          </cell>
        </row>
        <row r="81">
          <cell r="H81">
            <v>8701</v>
          </cell>
        </row>
        <row r="82">
          <cell r="H82">
            <v>8421</v>
          </cell>
        </row>
        <row r="83">
          <cell r="H83">
            <v>1862</v>
          </cell>
        </row>
        <row r="84">
          <cell r="H84">
            <v>1150</v>
          </cell>
        </row>
        <row r="85">
          <cell r="H85">
            <v>2230</v>
          </cell>
        </row>
        <row r="86">
          <cell r="H86">
            <v>2903</v>
          </cell>
        </row>
        <row r="87">
          <cell r="H87">
            <v>3458</v>
          </cell>
        </row>
        <row r="88">
          <cell r="H88">
            <v>3931</v>
          </cell>
        </row>
        <row r="89">
          <cell r="H89">
            <v>2439</v>
          </cell>
        </row>
        <row r="90">
          <cell r="H90">
            <v>8331</v>
          </cell>
        </row>
        <row r="91">
          <cell r="H91">
            <v>6571</v>
          </cell>
        </row>
        <row r="92">
          <cell r="H92">
            <v>4876</v>
          </cell>
        </row>
        <row r="93">
          <cell r="H93">
            <v>4940</v>
          </cell>
        </row>
        <row r="94">
          <cell r="H94">
            <v>4430</v>
          </cell>
        </row>
        <row r="95">
          <cell r="H95">
            <v>1384</v>
          </cell>
        </row>
        <row r="96">
          <cell r="D96">
            <v>355</v>
          </cell>
          <cell r="E96">
            <v>99029</v>
          </cell>
          <cell r="F96">
            <v>385484</v>
          </cell>
          <cell r="G96">
            <v>2044</v>
          </cell>
        </row>
        <row r="99">
          <cell r="C99">
            <v>9755</v>
          </cell>
          <cell r="F99">
            <v>19444</v>
          </cell>
        </row>
        <row r="100">
          <cell r="C100">
            <v>263</v>
          </cell>
          <cell r="F100">
            <v>516</v>
          </cell>
        </row>
        <row r="101">
          <cell r="C101">
            <v>0</v>
          </cell>
          <cell r="F101">
            <v>16782</v>
          </cell>
        </row>
        <row r="102">
          <cell r="C102">
            <v>5119</v>
          </cell>
          <cell r="F102">
            <v>1010</v>
          </cell>
        </row>
        <row r="103">
          <cell r="C103">
            <v>16662</v>
          </cell>
          <cell r="F103">
            <v>0</v>
          </cell>
        </row>
        <row r="104">
          <cell r="C104">
            <v>0</v>
          </cell>
          <cell r="F104">
            <v>16440</v>
          </cell>
        </row>
        <row r="105">
          <cell r="C105">
            <v>0</v>
          </cell>
          <cell r="F105">
            <v>1290</v>
          </cell>
        </row>
        <row r="106">
          <cell r="C106">
            <v>2208</v>
          </cell>
        </row>
        <row r="107">
          <cell r="C107">
            <v>17224</v>
          </cell>
        </row>
        <row r="108">
          <cell r="C108">
            <v>1159</v>
          </cell>
        </row>
        <row r="109">
          <cell r="C109">
            <v>7537</v>
          </cell>
        </row>
        <row r="113">
          <cell r="C113">
            <v>12041</v>
          </cell>
        </row>
        <row r="114">
          <cell r="C114">
            <v>67</v>
          </cell>
        </row>
        <row r="115">
          <cell r="C115">
            <v>19152</v>
          </cell>
        </row>
        <row r="116">
          <cell r="C116">
            <v>27899</v>
          </cell>
        </row>
        <row r="117">
          <cell r="C117">
            <v>6631</v>
          </cell>
        </row>
        <row r="118">
          <cell r="C118">
            <v>641</v>
          </cell>
        </row>
        <row r="119">
          <cell r="C119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59838</v>
          </cell>
        </row>
        <row r="23">
          <cell r="D23">
            <v>2577</v>
          </cell>
        </row>
        <row r="24">
          <cell r="D24">
            <v>5111</v>
          </cell>
          <cell r="G24">
            <v>7866</v>
          </cell>
        </row>
        <row r="25">
          <cell r="D25">
            <v>6095</v>
          </cell>
          <cell r="G25">
            <v>320</v>
          </cell>
        </row>
        <row r="26">
          <cell r="D26">
            <v>7854</v>
          </cell>
          <cell r="G26">
            <v>0</v>
          </cell>
        </row>
        <row r="27">
          <cell r="D27">
            <v>2254</v>
          </cell>
          <cell r="G27">
            <v>19969</v>
          </cell>
        </row>
        <row r="28">
          <cell r="D28">
            <v>8477</v>
          </cell>
          <cell r="G28">
            <v>238</v>
          </cell>
        </row>
        <row r="29">
          <cell r="D29">
            <v>15096</v>
          </cell>
          <cell r="G29">
            <v>0</v>
          </cell>
        </row>
        <row r="30">
          <cell r="D30">
            <v>10427</v>
          </cell>
          <cell r="G30">
            <v>0</v>
          </cell>
        </row>
        <row r="31">
          <cell r="D31">
            <v>2332</v>
          </cell>
          <cell r="G31">
            <v>18714</v>
          </cell>
        </row>
        <row r="32">
          <cell r="D32">
            <v>4294</v>
          </cell>
          <cell r="G32">
            <v>149</v>
          </cell>
        </row>
        <row r="33">
          <cell r="D33">
            <v>4288</v>
          </cell>
          <cell r="G33">
            <v>12456</v>
          </cell>
        </row>
        <row r="34">
          <cell r="D34">
            <v>8029</v>
          </cell>
          <cell r="G34">
            <v>126</v>
          </cell>
        </row>
        <row r="35">
          <cell r="D35">
            <v>6231</v>
          </cell>
        </row>
        <row r="36">
          <cell r="D36">
            <v>2063</v>
          </cell>
        </row>
        <row r="37">
          <cell r="D37">
            <v>4934</v>
          </cell>
        </row>
        <row r="38">
          <cell r="D38">
            <v>7407</v>
          </cell>
          <cell r="G38">
            <v>10889</v>
          </cell>
        </row>
        <row r="39">
          <cell r="D39">
            <v>16</v>
          </cell>
          <cell r="G39">
            <v>614</v>
          </cell>
        </row>
        <row r="40">
          <cell r="D40">
            <v>7809</v>
          </cell>
          <cell r="G40">
            <v>841</v>
          </cell>
        </row>
        <row r="41">
          <cell r="D41">
            <v>4678</v>
          </cell>
          <cell r="G41">
            <v>20231</v>
          </cell>
        </row>
        <row r="42">
          <cell r="D42">
            <v>8913</v>
          </cell>
          <cell r="G42">
            <v>0</v>
          </cell>
        </row>
        <row r="43">
          <cell r="D43">
            <v>3871</v>
          </cell>
          <cell r="G43">
            <v>417</v>
          </cell>
        </row>
        <row r="44">
          <cell r="D44">
            <v>16861</v>
          </cell>
          <cell r="G44">
            <v>13163</v>
          </cell>
        </row>
        <row r="45">
          <cell r="D45">
            <v>8209</v>
          </cell>
        </row>
        <row r="46">
          <cell r="D46">
            <v>9195</v>
          </cell>
        </row>
        <row r="47">
          <cell r="D47">
            <v>2224</v>
          </cell>
        </row>
        <row r="48">
          <cell r="D48">
            <v>7399</v>
          </cell>
          <cell r="G48">
            <v>11599</v>
          </cell>
        </row>
        <row r="49">
          <cell r="D49">
            <v>8971</v>
          </cell>
          <cell r="G49">
            <v>102</v>
          </cell>
        </row>
        <row r="50">
          <cell r="D50">
            <v>3213</v>
          </cell>
          <cell r="G50">
            <v>217</v>
          </cell>
        </row>
        <row r="51">
          <cell r="D51">
            <v>5825</v>
          </cell>
          <cell r="G51">
            <v>368</v>
          </cell>
        </row>
        <row r="52">
          <cell r="D52">
            <v>1611</v>
          </cell>
          <cell r="G52">
            <v>34800</v>
          </cell>
        </row>
        <row r="53">
          <cell r="D53">
            <v>5575</v>
          </cell>
          <cell r="G53">
            <v>18169</v>
          </cell>
        </row>
        <row r="54">
          <cell r="D54">
            <v>6701</v>
          </cell>
          <cell r="G54">
            <v>0</v>
          </cell>
        </row>
        <row r="55">
          <cell r="D55">
            <v>3093</v>
          </cell>
        </row>
        <row r="56">
          <cell r="D56">
            <v>4360</v>
          </cell>
        </row>
        <row r="57">
          <cell r="D57">
            <v>3238</v>
          </cell>
        </row>
        <row r="58">
          <cell r="D58">
            <v>162</v>
          </cell>
        </row>
        <row r="59">
          <cell r="D59">
            <v>2995</v>
          </cell>
        </row>
        <row r="60">
          <cell r="D60">
            <v>5231</v>
          </cell>
        </row>
        <row r="61">
          <cell r="D61">
            <v>6139</v>
          </cell>
        </row>
        <row r="62">
          <cell r="D62">
            <v>1862</v>
          </cell>
        </row>
        <row r="63">
          <cell r="D63">
            <v>4113</v>
          </cell>
        </row>
        <row r="64">
          <cell r="D64">
            <v>11985</v>
          </cell>
        </row>
        <row r="65">
          <cell r="D65">
            <v>46155</v>
          </cell>
        </row>
        <row r="73">
          <cell r="D73">
            <v>65255</v>
          </cell>
        </row>
        <row r="81">
          <cell r="D81">
            <v>6429</v>
          </cell>
        </row>
        <row r="82">
          <cell r="D82">
            <v>8490</v>
          </cell>
        </row>
        <row r="83">
          <cell r="D83">
            <v>1166</v>
          </cell>
        </row>
        <row r="84">
          <cell r="D84">
            <v>1362</v>
          </cell>
        </row>
        <row r="85">
          <cell r="D85">
            <v>1357</v>
          </cell>
        </row>
        <row r="86">
          <cell r="D86">
            <v>3055</v>
          </cell>
        </row>
        <row r="87">
          <cell r="D87">
            <v>3702</v>
          </cell>
        </row>
        <row r="88">
          <cell r="D88">
            <v>3964</v>
          </cell>
        </row>
        <row r="89">
          <cell r="D89">
            <v>2489</v>
          </cell>
        </row>
        <row r="90">
          <cell r="D90">
            <v>8733</v>
          </cell>
        </row>
        <row r="91">
          <cell r="D91">
            <v>7105</v>
          </cell>
        </row>
        <row r="92">
          <cell r="D92">
            <v>4600</v>
          </cell>
        </row>
        <row r="93">
          <cell r="D93">
            <v>4875</v>
          </cell>
        </row>
        <row r="94">
          <cell r="D94">
            <v>4934</v>
          </cell>
        </row>
        <row r="95">
          <cell r="D95">
            <v>1328</v>
          </cell>
        </row>
        <row r="96">
          <cell r="D96">
            <v>476555</v>
          </cell>
        </row>
      </sheetData>
      <sheetData sheetId="1">
        <row r="11">
          <cell r="H11">
            <v>59314</v>
          </cell>
        </row>
        <row r="23">
          <cell r="H23">
            <v>4969</v>
          </cell>
        </row>
        <row r="24">
          <cell r="H24">
            <v>3320</v>
          </cell>
        </row>
        <row r="25">
          <cell r="H25">
            <v>10104</v>
          </cell>
        </row>
        <row r="26">
          <cell r="H26">
            <v>4154</v>
          </cell>
        </row>
        <row r="27">
          <cell r="H27">
            <v>2713</v>
          </cell>
        </row>
        <row r="28">
          <cell r="H28">
            <v>11257</v>
          </cell>
        </row>
        <row r="29">
          <cell r="H29">
            <v>16766</v>
          </cell>
        </row>
        <row r="30">
          <cell r="H30">
            <v>9593</v>
          </cell>
        </row>
        <row r="31">
          <cell r="H31">
            <v>2715</v>
          </cell>
        </row>
        <row r="32">
          <cell r="H32">
            <v>4039</v>
          </cell>
        </row>
        <row r="33">
          <cell r="H33">
            <v>7364</v>
          </cell>
        </row>
        <row r="34">
          <cell r="H34">
            <v>7309</v>
          </cell>
        </row>
        <row r="35">
          <cell r="H35">
            <v>6824</v>
          </cell>
        </row>
        <row r="36">
          <cell r="H36">
            <v>1983</v>
          </cell>
        </row>
        <row r="37">
          <cell r="H37">
            <v>4667</v>
          </cell>
        </row>
        <row r="38">
          <cell r="H38">
            <v>7140</v>
          </cell>
        </row>
        <row r="39">
          <cell r="H39">
            <v>0</v>
          </cell>
        </row>
        <row r="40">
          <cell r="H40">
            <v>7063</v>
          </cell>
        </row>
        <row r="41">
          <cell r="H41">
            <v>4209</v>
          </cell>
        </row>
        <row r="42">
          <cell r="H42">
            <v>7901</v>
          </cell>
        </row>
        <row r="43">
          <cell r="H43">
            <v>3131</v>
          </cell>
        </row>
        <row r="44">
          <cell r="H44">
            <v>14990</v>
          </cell>
        </row>
        <row r="45">
          <cell r="H45">
            <v>6518</v>
          </cell>
        </row>
        <row r="46">
          <cell r="H46">
            <v>9081</v>
          </cell>
        </row>
        <row r="47">
          <cell r="H47">
            <v>2072</v>
          </cell>
        </row>
        <row r="48">
          <cell r="H48">
            <v>7116</v>
          </cell>
        </row>
        <row r="49">
          <cell r="H49">
            <v>9396</v>
          </cell>
        </row>
        <row r="50">
          <cell r="H50">
            <v>3051</v>
          </cell>
        </row>
        <row r="51">
          <cell r="H51">
            <v>5676</v>
          </cell>
        </row>
        <row r="52">
          <cell r="H52">
            <v>1840</v>
          </cell>
        </row>
        <row r="53">
          <cell r="H53">
            <v>5788</v>
          </cell>
        </row>
        <row r="54">
          <cell r="H54">
            <v>6522</v>
          </cell>
        </row>
        <row r="55">
          <cell r="H55">
            <v>3301</v>
          </cell>
        </row>
        <row r="56">
          <cell r="H56">
            <v>3742</v>
          </cell>
        </row>
        <row r="57">
          <cell r="H57">
            <v>3962</v>
          </cell>
        </row>
        <row r="58">
          <cell r="H58">
            <v>2869</v>
          </cell>
        </row>
        <row r="59">
          <cell r="H59">
            <v>0</v>
          </cell>
        </row>
        <row r="60">
          <cell r="H60">
            <v>4752</v>
          </cell>
        </row>
        <row r="61">
          <cell r="H61">
            <v>6022</v>
          </cell>
        </row>
        <row r="62">
          <cell r="H62">
            <v>2407</v>
          </cell>
        </row>
        <row r="63">
          <cell r="H63">
            <v>4551</v>
          </cell>
        </row>
        <row r="64">
          <cell r="H64">
            <v>9172</v>
          </cell>
        </row>
        <row r="65">
          <cell r="H65">
            <v>55222</v>
          </cell>
        </row>
        <row r="73">
          <cell r="H73">
            <v>66145</v>
          </cell>
        </row>
        <row r="81">
          <cell r="H81">
            <v>8642</v>
          </cell>
        </row>
        <row r="82">
          <cell r="H82">
            <v>8359</v>
          </cell>
        </row>
        <row r="83">
          <cell r="H83">
            <v>1808</v>
          </cell>
        </row>
        <row r="84">
          <cell r="H84">
            <v>1277</v>
          </cell>
        </row>
        <row r="85">
          <cell r="H85">
            <v>2239</v>
          </cell>
        </row>
        <row r="86">
          <cell r="H86">
            <v>2995</v>
          </cell>
        </row>
        <row r="87">
          <cell r="H87">
            <v>3507</v>
          </cell>
        </row>
        <row r="88">
          <cell r="H88">
            <v>3929</v>
          </cell>
        </row>
        <row r="89">
          <cell r="H89">
            <v>2428</v>
          </cell>
        </row>
        <row r="90">
          <cell r="H90">
            <v>8148</v>
          </cell>
        </row>
        <row r="91">
          <cell r="H91">
            <v>6586</v>
          </cell>
        </row>
        <row r="92">
          <cell r="H92">
            <v>4888</v>
          </cell>
        </row>
        <row r="93">
          <cell r="H93">
            <v>4573</v>
          </cell>
        </row>
        <row r="94">
          <cell r="H94">
            <v>4399</v>
          </cell>
        </row>
        <row r="95">
          <cell r="H95">
            <v>1414</v>
          </cell>
        </row>
        <row r="96">
          <cell r="D96">
            <v>326</v>
          </cell>
          <cell r="E96">
            <v>98447</v>
          </cell>
          <cell r="F96">
            <v>385117</v>
          </cell>
          <cell r="G96">
            <v>2032</v>
          </cell>
        </row>
        <row r="99">
          <cell r="C99">
            <v>9543</v>
          </cell>
          <cell r="F99">
            <v>19386</v>
          </cell>
        </row>
        <row r="100">
          <cell r="C100">
            <v>257</v>
          </cell>
          <cell r="F100">
            <v>503</v>
          </cell>
        </row>
        <row r="101">
          <cell r="C101">
            <v>0</v>
          </cell>
          <cell r="F101">
            <v>16552</v>
          </cell>
        </row>
        <row r="102">
          <cell r="C102">
            <v>4949</v>
          </cell>
          <cell r="F102">
            <v>1014</v>
          </cell>
        </row>
        <row r="103">
          <cell r="C103">
            <v>16497</v>
          </cell>
          <cell r="F103">
            <v>0</v>
          </cell>
        </row>
        <row r="104">
          <cell r="C104">
            <v>0</v>
          </cell>
          <cell r="F104">
            <v>16574</v>
          </cell>
        </row>
        <row r="105">
          <cell r="C105">
            <v>0</v>
          </cell>
          <cell r="F105">
            <v>1193</v>
          </cell>
        </row>
        <row r="106">
          <cell r="C106">
            <v>2537</v>
          </cell>
        </row>
        <row r="107">
          <cell r="C107">
            <v>16878</v>
          </cell>
        </row>
        <row r="108">
          <cell r="C108">
            <v>1094</v>
          </cell>
        </row>
        <row r="109">
          <cell r="C109">
            <v>7559</v>
          </cell>
        </row>
        <row r="113">
          <cell r="C113">
            <v>11763</v>
          </cell>
        </row>
        <row r="114">
          <cell r="C114">
            <v>69</v>
          </cell>
        </row>
        <row r="115">
          <cell r="C115">
            <v>19530</v>
          </cell>
        </row>
        <row r="116">
          <cell r="C116">
            <v>27483</v>
          </cell>
        </row>
        <row r="117">
          <cell r="C117">
            <v>6705</v>
          </cell>
        </row>
        <row r="118">
          <cell r="C118">
            <v>595</v>
          </cell>
        </row>
        <row r="119">
          <cell r="C119">
            <v>0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58621</v>
          </cell>
        </row>
        <row r="23">
          <cell r="D23">
            <v>2708</v>
          </cell>
        </row>
        <row r="24">
          <cell r="D24">
            <v>5475</v>
          </cell>
          <cell r="G24">
            <v>7862</v>
          </cell>
        </row>
        <row r="25">
          <cell r="D25">
            <v>6038</v>
          </cell>
          <cell r="G25">
            <v>305</v>
          </cell>
        </row>
        <row r="26">
          <cell r="D26">
            <v>7691</v>
          </cell>
          <cell r="G26">
            <v>0</v>
          </cell>
        </row>
        <row r="27">
          <cell r="D27">
            <v>2141</v>
          </cell>
          <cell r="G27">
            <v>19519</v>
          </cell>
        </row>
        <row r="28">
          <cell r="D28">
            <v>8464</v>
          </cell>
          <cell r="G28">
            <v>217</v>
          </cell>
        </row>
        <row r="29">
          <cell r="D29">
            <v>14180</v>
          </cell>
          <cell r="G29">
            <v>0</v>
          </cell>
        </row>
        <row r="30">
          <cell r="D30">
            <v>9989</v>
          </cell>
          <cell r="G30">
            <v>0</v>
          </cell>
        </row>
        <row r="31">
          <cell r="D31">
            <v>2288</v>
          </cell>
          <cell r="G31">
            <v>18143</v>
          </cell>
        </row>
        <row r="32">
          <cell r="D32">
            <v>4999</v>
          </cell>
          <cell r="G32">
            <v>187</v>
          </cell>
        </row>
        <row r="33">
          <cell r="D33">
            <v>6073</v>
          </cell>
          <cell r="G33">
            <v>12222</v>
          </cell>
        </row>
        <row r="34">
          <cell r="D34">
            <v>7943</v>
          </cell>
          <cell r="G34">
            <v>166</v>
          </cell>
        </row>
        <row r="35">
          <cell r="D35">
            <v>6470</v>
          </cell>
        </row>
        <row r="36">
          <cell r="D36">
            <v>2150</v>
          </cell>
        </row>
        <row r="37">
          <cell r="D37">
            <v>4887</v>
          </cell>
        </row>
        <row r="38">
          <cell r="D38">
            <v>7268</v>
          </cell>
          <cell r="G38">
            <v>11070</v>
          </cell>
        </row>
        <row r="39">
          <cell r="D39">
            <v>0</v>
          </cell>
          <cell r="G39">
            <v>532</v>
          </cell>
        </row>
        <row r="40">
          <cell r="D40">
            <v>7627</v>
          </cell>
          <cell r="G40">
            <v>840</v>
          </cell>
        </row>
        <row r="41">
          <cell r="D41">
            <v>4357</v>
          </cell>
          <cell r="G41">
            <v>20333</v>
          </cell>
        </row>
        <row r="42">
          <cell r="D42">
            <v>8619</v>
          </cell>
          <cell r="G42">
            <v>0</v>
          </cell>
        </row>
        <row r="43">
          <cell r="D43">
            <v>3944</v>
          </cell>
          <cell r="G43">
            <v>388</v>
          </cell>
        </row>
        <row r="44">
          <cell r="D44">
            <v>16545</v>
          </cell>
          <cell r="G44">
            <v>13171</v>
          </cell>
        </row>
        <row r="45">
          <cell r="D45">
            <v>8288</v>
          </cell>
        </row>
        <row r="46">
          <cell r="D46">
            <v>9296</v>
          </cell>
        </row>
        <row r="47">
          <cell r="D47">
            <v>2360</v>
          </cell>
        </row>
        <row r="48">
          <cell r="D48">
            <v>7510</v>
          </cell>
          <cell r="G48">
            <v>11979</v>
          </cell>
        </row>
        <row r="49">
          <cell r="D49">
            <v>9282</v>
          </cell>
          <cell r="G49">
            <v>100</v>
          </cell>
        </row>
        <row r="50">
          <cell r="D50">
            <v>3281</v>
          </cell>
          <cell r="G50">
            <v>261</v>
          </cell>
        </row>
        <row r="51">
          <cell r="D51">
            <v>5945</v>
          </cell>
          <cell r="G51">
            <v>377</v>
          </cell>
        </row>
        <row r="52">
          <cell r="D52">
            <v>1779</v>
          </cell>
          <cell r="G52">
            <v>32741</v>
          </cell>
        </row>
        <row r="53">
          <cell r="D53">
            <v>5701</v>
          </cell>
          <cell r="G53">
            <v>17057</v>
          </cell>
        </row>
        <row r="54">
          <cell r="D54">
            <v>6850</v>
          </cell>
          <cell r="G54">
            <v>0</v>
          </cell>
        </row>
        <row r="55">
          <cell r="D55">
            <v>3026</v>
          </cell>
        </row>
        <row r="56">
          <cell r="D56">
            <v>5192</v>
          </cell>
        </row>
        <row r="57">
          <cell r="D57">
            <v>3378</v>
          </cell>
        </row>
        <row r="58">
          <cell r="D58">
            <v>198</v>
          </cell>
        </row>
        <row r="59">
          <cell r="D59">
            <v>2744</v>
          </cell>
        </row>
        <row r="60">
          <cell r="D60">
            <v>5359</v>
          </cell>
        </row>
        <row r="61">
          <cell r="D61">
            <v>6153</v>
          </cell>
        </row>
        <row r="62">
          <cell r="D62">
            <v>1855</v>
          </cell>
        </row>
        <row r="63">
          <cell r="D63">
            <v>4216</v>
          </cell>
        </row>
        <row r="64">
          <cell r="D64">
            <v>12012</v>
          </cell>
        </row>
        <row r="65">
          <cell r="D65">
            <v>46334</v>
          </cell>
        </row>
        <row r="73">
          <cell r="D73">
            <v>62515</v>
          </cell>
        </row>
        <row r="81">
          <cell r="D81">
            <v>6197</v>
          </cell>
        </row>
        <row r="82">
          <cell r="D82">
            <v>8716</v>
          </cell>
        </row>
        <row r="83">
          <cell r="D83">
            <v>1298</v>
          </cell>
        </row>
        <row r="84">
          <cell r="D84">
            <v>1132</v>
          </cell>
        </row>
        <row r="85">
          <cell r="D85">
            <v>1340</v>
          </cell>
        </row>
        <row r="86">
          <cell r="D86">
            <v>3004</v>
          </cell>
        </row>
        <row r="87">
          <cell r="D87">
            <v>3987</v>
          </cell>
        </row>
        <row r="88">
          <cell r="D88">
            <v>4443</v>
          </cell>
        </row>
        <row r="89">
          <cell r="D89">
            <v>2472</v>
          </cell>
        </row>
        <row r="90">
          <cell r="D90">
            <v>8530</v>
          </cell>
        </row>
        <row r="91">
          <cell r="D91">
            <v>7031</v>
          </cell>
        </row>
        <row r="92">
          <cell r="D92">
            <v>4968</v>
          </cell>
        </row>
        <row r="93">
          <cell r="D93">
            <v>5241</v>
          </cell>
        </row>
        <row r="94">
          <cell r="D94">
            <v>5173</v>
          </cell>
        </row>
        <row r="95">
          <cell r="D95">
            <v>1319</v>
          </cell>
        </row>
        <row r="96">
          <cell r="D96">
            <v>476602</v>
          </cell>
        </row>
      </sheetData>
      <sheetData sheetId="1">
        <row r="11">
          <cell r="H11">
            <v>61091</v>
          </cell>
        </row>
        <row r="23">
          <cell r="H23">
            <v>5089</v>
          </cell>
        </row>
        <row r="24">
          <cell r="H24">
            <v>3428</v>
          </cell>
        </row>
        <row r="25">
          <cell r="H25">
            <v>10018</v>
          </cell>
        </row>
        <row r="26">
          <cell r="H26">
            <v>4160</v>
          </cell>
        </row>
        <row r="27">
          <cell r="H27">
            <v>2803</v>
          </cell>
        </row>
        <row r="28">
          <cell r="H28">
            <v>11343</v>
          </cell>
        </row>
        <row r="29">
          <cell r="H29">
            <v>17112</v>
          </cell>
        </row>
        <row r="30">
          <cell r="H30">
            <v>9654</v>
          </cell>
        </row>
        <row r="31">
          <cell r="H31">
            <v>2792</v>
          </cell>
        </row>
        <row r="32">
          <cell r="H32">
            <v>4255</v>
          </cell>
        </row>
        <row r="33">
          <cell r="H33">
            <v>7415</v>
          </cell>
        </row>
        <row r="34">
          <cell r="H34">
            <v>7546</v>
          </cell>
        </row>
        <row r="35">
          <cell r="H35">
            <v>7141</v>
          </cell>
        </row>
        <row r="36">
          <cell r="H36">
            <v>1914</v>
          </cell>
        </row>
        <row r="37">
          <cell r="H37">
            <v>4595</v>
          </cell>
        </row>
        <row r="38">
          <cell r="H38">
            <v>6857</v>
          </cell>
        </row>
        <row r="39">
          <cell r="H39">
            <v>0</v>
          </cell>
        </row>
        <row r="40">
          <cell r="H40">
            <v>6904</v>
          </cell>
        </row>
        <row r="41">
          <cell r="H41">
            <v>4067</v>
          </cell>
        </row>
        <row r="42">
          <cell r="H42">
            <v>8326</v>
          </cell>
        </row>
        <row r="43">
          <cell r="H43">
            <v>3070</v>
          </cell>
        </row>
        <row r="44">
          <cell r="H44">
            <v>14058</v>
          </cell>
        </row>
        <row r="45">
          <cell r="H45">
            <v>6671</v>
          </cell>
        </row>
        <row r="46">
          <cell r="H46">
            <v>9728</v>
          </cell>
        </row>
        <row r="47">
          <cell r="H47">
            <v>1992</v>
          </cell>
        </row>
        <row r="48">
          <cell r="H48">
            <v>6980</v>
          </cell>
        </row>
        <row r="49">
          <cell r="H49">
            <v>9085</v>
          </cell>
        </row>
        <row r="50">
          <cell r="H50">
            <v>2980</v>
          </cell>
        </row>
        <row r="51">
          <cell r="H51">
            <v>5785</v>
          </cell>
        </row>
        <row r="52">
          <cell r="H52">
            <v>1879</v>
          </cell>
        </row>
        <row r="53">
          <cell r="H53">
            <v>5970</v>
          </cell>
        </row>
        <row r="54">
          <cell r="H54">
            <v>6656</v>
          </cell>
        </row>
        <row r="55">
          <cell r="H55">
            <v>3334</v>
          </cell>
        </row>
        <row r="56">
          <cell r="H56">
            <v>4316</v>
          </cell>
        </row>
        <row r="57">
          <cell r="H57">
            <v>4125</v>
          </cell>
        </row>
        <row r="58">
          <cell r="H58">
            <v>2936</v>
          </cell>
        </row>
        <row r="59">
          <cell r="H59">
            <v>2</v>
          </cell>
        </row>
        <row r="60">
          <cell r="H60">
            <v>4789</v>
          </cell>
        </row>
        <row r="61">
          <cell r="H61">
            <v>6069</v>
          </cell>
        </row>
        <row r="62">
          <cell r="H62">
            <v>2461</v>
          </cell>
        </row>
        <row r="63">
          <cell r="H63">
            <v>4857</v>
          </cell>
        </row>
        <row r="64">
          <cell r="H64">
            <v>9601</v>
          </cell>
        </row>
        <row r="65">
          <cell r="H65">
            <v>57134</v>
          </cell>
        </row>
        <row r="73">
          <cell r="H73">
            <v>67431</v>
          </cell>
        </row>
        <row r="81">
          <cell r="H81">
            <v>8651</v>
          </cell>
        </row>
        <row r="82">
          <cell r="H82">
            <v>8485</v>
          </cell>
        </row>
        <row r="83">
          <cell r="H83">
            <v>1901</v>
          </cell>
        </row>
        <row r="84">
          <cell r="H84">
            <v>1157</v>
          </cell>
        </row>
        <row r="85">
          <cell r="H85">
            <v>2380</v>
          </cell>
        </row>
        <row r="86">
          <cell r="H86">
            <v>2924</v>
          </cell>
        </row>
        <row r="87">
          <cell r="H87">
            <v>3758</v>
          </cell>
        </row>
        <row r="88">
          <cell r="H88">
            <v>4155</v>
          </cell>
        </row>
        <row r="89">
          <cell r="H89">
            <v>2416</v>
          </cell>
        </row>
        <row r="90">
          <cell r="H90">
            <v>7989</v>
          </cell>
        </row>
        <row r="91">
          <cell r="H91">
            <v>6471</v>
          </cell>
        </row>
        <row r="92">
          <cell r="H92">
            <v>5099</v>
          </cell>
        </row>
        <row r="93">
          <cell r="H93">
            <v>4582</v>
          </cell>
        </row>
        <row r="94">
          <cell r="H94">
            <v>4459</v>
          </cell>
        </row>
        <row r="95">
          <cell r="H95">
            <v>1381</v>
          </cell>
        </row>
        <row r="96">
          <cell r="D96">
            <v>386</v>
          </cell>
          <cell r="E96">
            <v>96807</v>
          </cell>
          <cell r="F96">
            <v>395049</v>
          </cell>
          <cell r="G96">
            <v>1985</v>
          </cell>
        </row>
        <row r="99">
          <cell r="C99">
            <v>9786</v>
          </cell>
          <cell r="F99">
            <v>20174</v>
          </cell>
        </row>
        <row r="100">
          <cell r="C100">
            <v>249</v>
          </cell>
          <cell r="F100">
            <v>455</v>
          </cell>
        </row>
        <row r="101">
          <cell r="C101">
            <v>0</v>
          </cell>
          <cell r="F101">
            <v>16161</v>
          </cell>
        </row>
        <row r="102">
          <cell r="C102">
            <v>4993</v>
          </cell>
          <cell r="F102">
            <v>1413</v>
          </cell>
        </row>
        <row r="103">
          <cell r="C103">
            <v>17222</v>
          </cell>
          <cell r="F103">
            <v>0</v>
          </cell>
        </row>
        <row r="104">
          <cell r="C104">
            <v>0</v>
          </cell>
          <cell r="F104">
            <v>17577</v>
          </cell>
        </row>
        <row r="105">
          <cell r="C105">
            <v>0</v>
          </cell>
          <cell r="F105">
            <v>1354</v>
          </cell>
        </row>
        <row r="106">
          <cell r="C106">
            <v>2187</v>
          </cell>
        </row>
        <row r="107">
          <cell r="C107">
            <v>17666</v>
          </cell>
        </row>
        <row r="108">
          <cell r="C108">
            <v>1215</v>
          </cell>
        </row>
        <row r="109">
          <cell r="C109">
            <v>7773</v>
          </cell>
        </row>
        <row r="113">
          <cell r="C113">
            <v>12119</v>
          </cell>
        </row>
        <row r="114">
          <cell r="C114">
            <v>56</v>
          </cell>
        </row>
        <row r="115">
          <cell r="C115">
            <v>19267</v>
          </cell>
        </row>
        <row r="116">
          <cell r="C116">
            <v>29259</v>
          </cell>
        </row>
        <row r="117">
          <cell r="C117">
            <v>6158</v>
          </cell>
        </row>
        <row r="118">
          <cell r="C118">
            <v>572</v>
          </cell>
        </row>
        <row r="119">
          <cell r="C119">
            <v>0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41349</v>
          </cell>
        </row>
        <row r="23">
          <cell r="D23">
            <v>2534</v>
          </cell>
        </row>
        <row r="24">
          <cell r="D24">
            <v>5070</v>
          </cell>
          <cell r="G24">
            <v>6092</v>
          </cell>
        </row>
        <row r="25">
          <cell r="D25">
            <v>4331</v>
          </cell>
          <cell r="G25">
            <v>220</v>
          </cell>
        </row>
        <row r="26">
          <cell r="D26">
            <v>5746</v>
          </cell>
          <cell r="G26">
            <v>0</v>
          </cell>
        </row>
        <row r="27">
          <cell r="D27">
            <v>1765</v>
          </cell>
          <cell r="G27">
            <v>14386</v>
          </cell>
        </row>
        <row r="28">
          <cell r="D28">
            <v>5508</v>
          </cell>
          <cell r="G28">
            <v>230</v>
          </cell>
        </row>
        <row r="29">
          <cell r="D29">
            <v>10655</v>
          </cell>
          <cell r="G29">
            <v>0</v>
          </cell>
        </row>
        <row r="30">
          <cell r="D30">
            <v>4874</v>
          </cell>
          <cell r="G30">
            <v>0</v>
          </cell>
        </row>
        <row r="31">
          <cell r="D31">
            <v>1452</v>
          </cell>
          <cell r="G31">
            <v>12116</v>
          </cell>
        </row>
        <row r="32">
          <cell r="D32">
            <v>3705</v>
          </cell>
          <cell r="G32">
            <v>159</v>
          </cell>
        </row>
        <row r="33">
          <cell r="D33">
            <v>3671</v>
          </cell>
          <cell r="G33">
            <v>8000</v>
          </cell>
        </row>
        <row r="34">
          <cell r="D34">
            <v>6009</v>
          </cell>
          <cell r="G34">
            <v>146</v>
          </cell>
        </row>
        <row r="35">
          <cell r="D35">
            <v>4330</v>
          </cell>
        </row>
        <row r="36">
          <cell r="D36">
            <v>1309</v>
          </cell>
        </row>
        <row r="37">
          <cell r="D37">
            <v>3558</v>
          </cell>
        </row>
        <row r="38">
          <cell r="D38">
            <v>5277</v>
          </cell>
          <cell r="G38">
            <v>8894</v>
          </cell>
        </row>
        <row r="39">
          <cell r="D39">
            <v>1</v>
          </cell>
          <cell r="G39">
            <v>330</v>
          </cell>
        </row>
        <row r="40">
          <cell r="D40">
            <v>5498</v>
          </cell>
          <cell r="G40">
            <v>733</v>
          </cell>
        </row>
        <row r="41">
          <cell r="D41">
            <v>3000</v>
          </cell>
          <cell r="G41">
            <v>15743</v>
          </cell>
        </row>
        <row r="42">
          <cell r="D42">
            <v>6900</v>
          </cell>
          <cell r="G42">
            <v>0</v>
          </cell>
        </row>
        <row r="43">
          <cell r="D43">
            <v>2176</v>
          </cell>
          <cell r="G43">
            <v>359</v>
          </cell>
        </row>
        <row r="44">
          <cell r="D44">
            <v>6404</v>
          </cell>
          <cell r="G44">
            <v>9848</v>
          </cell>
        </row>
        <row r="45">
          <cell r="D45">
            <v>4314</v>
          </cell>
        </row>
        <row r="46">
          <cell r="D46">
            <v>4830</v>
          </cell>
        </row>
        <row r="47">
          <cell r="D47">
            <v>1603</v>
          </cell>
        </row>
        <row r="48">
          <cell r="D48">
            <v>3338</v>
          </cell>
          <cell r="G48">
            <v>10335</v>
          </cell>
        </row>
        <row r="49">
          <cell r="D49">
            <v>7367</v>
          </cell>
          <cell r="G49">
            <v>96</v>
          </cell>
        </row>
        <row r="50">
          <cell r="D50">
            <v>2045</v>
          </cell>
          <cell r="G50">
            <v>324</v>
          </cell>
        </row>
        <row r="51">
          <cell r="D51">
            <v>4615</v>
          </cell>
          <cell r="G51">
            <v>338</v>
          </cell>
        </row>
        <row r="52">
          <cell r="D52">
            <v>1219</v>
          </cell>
          <cell r="G52">
            <v>21923</v>
          </cell>
        </row>
        <row r="53">
          <cell r="D53">
            <v>4913</v>
          </cell>
          <cell r="G53">
            <v>12481</v>
          </cell>
        </row>
        <row r="54">
          <cell r="D54">
            <v>5219</v>
          </cell>
          <cell r="G54">
            <v>0</v>
          </cell>
        </row>
        <row r="55">
          <cell r="D55">
            <v>2179</v>
          </cell>
        </row>
        <row r="56">
          <cell r="D56">
            <v>6078</v>
          </cell>
        </row>
        <row r="57">
          <cell r="D57">
            <v>2485</v>
          </cell>
        </row>
        <row r="58">
          <cell r="D58">
            <v>159</v>
          </cell>
        </row>
        <row r="59">
          <cell r="D59">
            <v>1684</v>
          </cell>
        </row>
        <row r="60">
          <cell r="D60">
            <v>4790</v>
          </cell>
        </row>
        <row r="61">
          <cell r="D61">
            <v>4745</v>
          </cell>
        </row>
        <row r="62">
          <cell r="D62">
            <v>1247</v>
          </cell>
        </row>
        <row r="63">
          <cell r="D63">
            <v>2897</v>
          </cell>
        </row>
        <row r="64">
          <cell r="D64">
            <v>9276</v>
          </cell>
        </row>
        <row r="65">
          <cell r="D65">
            <v>35907</v>
          </cell>
        </row>
        <row r="73">
          <cell r="D73">
            <v>45497</v>
          </cell>
        </row>
        <row r="81">
          <cell r="D81">
            <v>4193</v>
          </cell>
        </row>
        <row r="82">
          <cell r="D82">
            <v>6353</v>
          </cell>
        </row>
        <row r="83">
          <cell r="D83">
            <v>959</v>
          </cell>
        </row>
        <row r="84">
          <cell r="D84">
            <v>1154</v>
          </cell>
        </row>
        <row r="85">
          <cell r="D85">
            <v>960</v>
          </cell>
        </row>
        <row r="86">
          <cell r="D86">
            <v>2103</v>
          </cell>
        </row>
        <row r="87">
          <cell r="D87">
            <v>2707</v>
          </cell>
        </row>
        <row r="88">
          <cell r="D88">
            <v>2700</v>
          </cell>
        </row>
        <row r="89">
          <cell r="D89">
            <v>1601</v>
          </cell>
        </row>
        <row r="90">
          <cell r="D90">
            <v>4783</v>
          </cell>
        </row>
        <row r="91">
          <cell r="D91">
            <v>3974</v>
          </cell>
        </row>
        <row r="92">
          <cell r="D92">
            <v>2829</v>
          </cell>
        </row>
        <row r="93">
          <cell r="D93">
            <v>4220</v>
          </cell>
        </row>
        <row r="94">
          <cell r="D94">
            <v>2824</v>
          </cell>
        </row>
        <row r="95">
          <cell r="D95">
            <v>846</v>
          </cell>
        </row>
        <row r="96">
          <cell r="D96">
            <v>333735</v>
          </cell>
        </row>
      </sheetData>
      <sheetData sheetId="1">
        <row r="11">
          <cell r="H11">
            <v>43469</v>
          </cell>
        </row>
        <row r="23">
          <cell r="H23">
            <v>4064</v>
          </cell>
        </row>
        <row r="24">
          <cell r="H24">
            <v>2990</v>
          </cell>
        </row>
        <row r="25">
          <cell r="H25">
            <v>6606</v>
          </cell>
        </row>
        <row r="26">
          <cell r="H26">
            <v>2961</v>
          </cell>
        </row>
        <row r="27">
          <cell r="H27">
            <v>1805</v>
          </cell>
        </row>
        <row r="28">
          <cell r="H28">
            <v>6302</v>
          </cell>
        </row>
        <row r="29">
          <cell r="H29">
            <v>13212</v>
          </cell>
        </row>
        <row r="30">
          <cell r="H30">
            <v>5694</v>
          </cell>
        </row>
        <row r="31">
          <cell r="H31">
            <v>1671</v>
          </cell>
        </row>
        <row r="32">
          <cell r="H32">
            <v>2957</v>
          </cell>
        </row>
        <row r="33">
          <cell r="H33">
            <v>4950</v>
          </cell>
        </row>
        <row r="34">
          <cell r="H34">
            <v>4876</v>
          </cell>
        </row>
        <row r="35">
          <cell r="H35">
            <v>4550</v>
          </cell>
        </row>
        <row r="36">
          <cell r="H36">
            <v>1094</v>
          </cell>
        </row>
        <row r="37">
          <cell r="H37">
            <v>3136</v>
          </cell>
        </row>
        <row r="38">
          <cell r="H38">
            <v>5000</v>
          </cell>
        </row>
        <row r="39">
          <cell r="H39">
            <v>0</v>
          </cell>
        </row>
        <row r="40">
          <cell r="H40">
            <v>4976</v>
          </cell>
        </row>
        <row r="41">
          <cell r="H41">
            <v>2918</v>
          </cell>
        </row>
        <row r="42">
          <cell r="H42">
            <v>6616</v>
          </cell>
        </row>
        <row r="43">
          <cell r="H43">
            <v>1611</v>
          </cell>
        </row>
        <row r="44">
          <cell r="H44">
            <v>5659</v>
          </cell>
        </row>
        <row r="45">
          <cell r="H45">
            <v>3995</v>
          </cell>
        </row>
        <row r="46">
          <cell r="H46">
            <v>5121</v>
          </cell>
        </row>
        <row r="47">
          <cell r="H47">
            <v>1528</v>
          </cell>
        </row>
        <row r="48">
          <cell r="H48">
            <v>3004</v>
          </cell>
        </row>
        <row r="49">
          <cell r="H49">
            <v>6803</v>
          </cell>
        </row>
        <row r="50">
          <cell r="H50">
            <v>1669</v>
          </cell>
        </row>
        <row r="51">
          <cell r="H51">
            <v>4454</v>
          </cell>
        </row>
        <row r="52">
          <cell r="H52">
            <v>1293</v>
          </cell>
        </row>
        <row r="53">
          <cell r="H53">
            <v>4520</v>
          </cell>
        </row>
        <row r="54">
          <cell r="H54">
            <v>4860</v>
          </cell>
        </row>
        <row r="55">
          <cell r="H55">
            <v>2310</v>
          </cell>
        </row>
        <row r="56">
          <cell r="H56">
            <v>4815</v>
          </cell>
        </row>
        <row r="57">
          <cell r="H57">
            <v>2495</v>
          </cell>
        </row>
        <row r="58">
          <cell r="H58">
            <v>1810</v>
          </cell>
        </row>
        <row r="59">
          <cell r="H59">
            <v>1</v>
          </cell>
        </row>
        <row r="60">
          <cell r="H60">
            <v>3759</v>
          </cell>
        </row>
        <row r="61">
          <cell r="H61">
            <v>4316</v>
          </cell>
        </row>
        <row r="62">
          <cell r="H62">
            <v>1470</v>
          </cell>
        </row>
        <row r="63">
          <cell r="H63">
            <v>3273</v>
          </cell>
        </row>
        <row r="64">
          <cell r="H64">
            <v>6917</v>
          </cell>
        </row>
        <row r="65">
          <cell r="H65">
            <v>40502</v>
          </cell>
        </row>
        <row r="73">
          <cell r="H73">
            <v>45485</v>
          </cell>
        </row>
        <row r="81">
          <cell r="H81">
            <v>5366</v>
          </cell>
        </row>
        <row r="82">
          <cell r="H82">
            <v>6117</v>
          </cell>
        </row>
        <row r="83">
          <cell r="H83">
            <v>1252</v>
          </cell>
        </row>
        <row r="84">
          <cell r="H84">
            <v>1062</v>
          </cell>
        </row>
        <row r="85">
          <cell r="H85">
            <v>1358</v>
          </cell>
        </row>
        <row r="86">
          <cell r="H86">
            <v>2112</v>
          </cell>
        </row>
        <row r="87">
          <cell r="H87">
            <v>2549</v>
          </cell>
        </row>
        <row r="88">
          <cell r="H88">
            <v>2993</v>
          </cell>
        </row>
        <row r="89">
          <cell r="H89">
            <v>1515</v>
          </cell>
        </row>
        <row r="90">
          <cell r="H90">
            <v>4517</v>
          </cell>
        </row>
        <row r="91">
          <cell r="H91">
            <v>3490</v>
          </cell>
        </row>
        <row r="92">
          <cell r="H92">
            <v>3062</v>
          </cell>
        </row>
        <row r="93">
          <cell r="H93">
            <v>3548</v>
          </cell>
        </row>
        <row r="94">
          <cell r="H94">
            <v>2352</v>
          </cell>
        </row>
        <row r="95">
          <cell r="H95">
            <v>742</v>
          </cell>
        </row>
        <row r="96">
          <cell r="D96">
            <v>246</v>
          </cell>
          <cell r="E96">
            <v>55419</v>
          </cell>
          <cell r="F96">
            <v>276858</v>
          </cell>
          <cell r="G96">
            <v>1029</v>
          </cell>
        </row>
        <row r="99">
          <cell r="C99">
            <v>7010</v>
          </cell>
          <cell r="F99">
            <v>13566</v>
          </cell>
        </row>
        <row r="100">
          <cell r="C100">
            <v>158</v>
          </cell>
          <cell r="F100">
            <v>319</v>
          </cell>
        </row>
        <row r="101">
          <cell r="C101">
            <v>0</v>
          </cell>
          <cell r="F101">
            <v>11583</v>
          </cell>
        </row>
        <row r="102">
          <cell r="C102">
            <v>1406</v>
          </cell>
          <cell r="F102">
            <v>232</v>
          </cell>
        </row>
        <row r="103">
          <cell r="C103">
            <v>13892</v>
          </cell>
          <cell r="F103">
            <v>0</v>
          </cell>
        </row>
        <row r="104">
          <cell r="C104">
            <v>0</v>
          </cell>
          <cell r="F104">
            <v>14765</v>
          </cell>
        </row>
        <row r="105">
          <cell r="C105">
            <v>0</v>
          </cell>
          <cell r="F105">
            <v>37</v>
          </cell>
        </row>
        <row r="106">
          <cell r="C106">
            <v>918</v>
          </cell>
        </row>
        <row r="107">
          <cell r="C107">
            <v>13286</v>
          </cell>
        </row>
        <row r="108">
          <cell r="C108">
            <v>876</v>
          </cell>
        </row>
        <row r="109">
          <cell r="C109">
            <v>5923</v>
          </cell>
        </row>
        <row r="113">
          <cell r="C113">
            <v>8838</v>
          </cell>
        </row>
        <row r="114">
          <cell r="C114">
            <v>31</v>
          </cell>
        </row>
        <row r="115">
          <cell r="C115">
            <v>15491</v>
          </cell>
        </row>
        <row r="116">
          <cell r="C116">
            <v>18659</v>
          </cell>
        </row>
        <row r="117">
          <cell r="C117">
            <v>2459</v>
          </cell>
        </row>
        <row r="118">
          <cell r="C118">
            <v>7</v>
          </cell>
        </row>
        <row r="119">
          <cell r="C119">
            <v>0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20009</v>
          </cell>
        </row>
        <row r="23">
          <cell r="D23">
            <v>748</v>
          </cell>
        </row>
        <row r="24">
          <cell r="D24">
            <v>1743</v>
          </cell>
          <cell r="G24">
            <v>2906</v>
          </cell>
        </row>
        <row r="25">
          <cell r="D25">
            <v>2273</v>
          </cell>
          <cell r="G25">
            <v>90</v>
          </cell>
        </row>
        <row r="26">
          <cell r="D26">
            <v>2994</v>
          </cell>
          <cell r="G26">
            <v>0</v>
          </cell>
        </row>
        <row r="27">
          <cell r="D27">
            <v>662</v>
          </cell>
          <cell r="G27">
            <v>6650</v>
          </cell>
        </row>
        <row r="28">
          <cell r="D28">
            <v>2424</v>
          </cell>
          <cell r="G28">
            <v>106</v>
          </cell>
        </row>
        <row r="29">
          <cell r="D29">
            <v>4793</v>
          </cell>
          <cell r="G29">
            <v>0</v>
          </cell>
        </row>
        <row r="30">
          <cell r="D30">
            <v>2079</v>
          </cell>
          <cell r="G30">
            <v>0</v>
          </cell>
        </row>
        <row r="31">
          <cell r="D31">
            <v>485</v>
          </cell>
          <cell r="G31">
            <v>6221</v>
          </cell>
        </row>
        <row r="32">
          <cell r="D32">
            <v>1499</v>
          </cell>
          <cell r="G32">
            <v>120</v>
          </cell>
        </row>
        <row r="33">
          <cell r="D33">
            <v>1497</v>
          </cell>
          <cell r="G33">
            <v>3779</v>
          </cell>
        </row>
        <row r="34">
          <cell r="D34">
            <v>2657</v>
          </cell>
          <cell r="G34">
            <v>137</v>
          </cell>
        </row>
        <row r="35">
          <cell r="D35">
            <v>1398</v>
          </cell>
        </row>
        <row r="36">
          <cell r="D36">
            <v>395</v>
          </cell>
        </row>
        <row r="37">
          <cell r="D37">
            <v>1037</v>
          </cell>
        </row>
        <row r="38">
          <cell r="D38">
            <v>1858</v>
          </cell>
          <cell r="G38">
            <v>4701</v>
          </cell>
        </row>
        <row r="39">
          <cell r="D39">
            <v>0</v>
          </cell>
          <cell r="G39">
            <v>201</v>
          </cell>
        </row>
        <row r="40">
          <cell r="D40">
            <v>1274</v>
          </cell>
          <cell r="G40">
            <v>515</v>
          </cell>
        </row>
        <row r="41">
          <cell r="D41">
            <v>1863</v>
          </cell>
          <cell r="G41">
            <v>6687</v>
          </cell>
        </row>
        <row r="42">
          <cell r="D42">
            <v>6206</v>
          </cell>
          <cell r="G42">
            <v>0</v>
          </cell>
        </row>
        <row r="43">
          <cell r="D43">
            <v>516</v>
          </cell>
          <cell r="G43">
            <v>284</v>
          </cell>
        </row>
        <row r="44">
          <cell r="D44">
            <v>800</v>
          </cell>
          <cell r="G44">
            <v>4828</v>
          </cell>
        </row>
        <row r="45">
          <cell r="D45">
            <v>1803</v>
          </cell>
        </row>
        <row r="46">
          <cell r="D46">
            <v>3559</v>
          </cell>
        </row>
        <row r="47">
          <cell r="D47">
            <v>748</v>
          </cell>
        </row>
        <row r="48">
          <cell r="D48">
            <v>1000</v>
          </cell>
          <cell r="G48">
            <v>4962</v>
          </cell>
        </row>
        <row r="49">
          <cell r="D49">
            <v>1829</v>
          </cell>
          <cell r="G49">
            <v>65</v>
          </cell>
        </row>
        <row r="50">
          <cell r="D50">
            <v>697</v>
          </cell>
          <cell r="G50">
            <v>170</v>
          </cell>
        </row>
        <row r="51">
          <cell r="D51">
            <v>1785</v>
          </cell>
          <cell r="G51">
            <v>252</v>
          </cell>
        </row>
        <row r="52">
          <cell r="D52">
            <v>494</v>
          </cell>
          <cell r="G52">
            <v>11158</v>
          </cell>
        </row>
        <row r="53">
          <cell r="D53">
            <v>2562</v>
          </cell>
          <cell r="G53">
            <v>6405</v>
          </cell>
        </row>
        <row r="54">
          <cell r="D54">
            <v>2325</v>
          </cell>
          <cell r="G54">
            <v>0</v>
          </cell>
        </row>
        <row r="55">
          <cell r="D55">
            <v>1020</v>
          </cell>
        </row>
        <row r="56">
          <cell r="D56">
            <v>4239</v>
          </cell>
        </row>
        <row r="57">
          <cell r="D57">
            <v>1195</v>
          </cell>
        </row>
        <row r="58">
          <cell r="D58">
            <v>89</v>
          </cell>
        </row>
        <row r="59">
          <cell r="D59">
            <v>703</v>
          </cell>
        </row>
        <row r="60">
          <cell r="D60">
            <v>1628</v>
          </cell>
        </row>
        <row r="61">
          <cell r="D61">
            <v>2438</v>
          </cell>
        </row>
        <row r="62">
          <cell r="D62">
            <v>486</v>
          </cell>
        </row>
        <row r="63">
          <cell r="D63">
            <v>1299</v>
          </cell>
        </row>
        <row r="64">
          <cell r="D64">
            <v>3434</v>
          </cell>
        </row>
        <row r="65">
          <cell r="D65">
            <v>17216</v>
          </cell>
        </row>
        <row r="73">
          <cell r="D73">
            <v>23012</v>
          </cell>
        </row>
        <row r="81">
          <cell r="D81">
            <v>1790</v>
          </cell>
        </row>
        <row r="82">
          <cell r="D82">
            <v>3243</v>
          </cell>
        </row>
        <row r="83">
          <cell r="D83">
            <v>465</v>
          </cell>
        </row>
        <row r="84">
          <cell r="D84">
            <v>581</v>
          </cell>
        </row>
        <row r="85">
          <cell r="D85">
            <v>412</v>
          </cell>
        </row>
        <row r="86">
          <cell r="D86">
            <v>878</v>
          </cell>
        </row>
        <row r="87">
          <cell r="D87">
            <v>751</v>
          </cell>
        </row>
        <row r="88">
          <cell r="D88">
            <v>1098</v>
          </cell>
        </row>
        <row r="89">
          <cell r="D89">
            <v>445</v>
          </cell>
        </row>
        <row r="90">
          <cell r="D90">
            <v>1675</v>
          </cell>
        </row>
        <row r="91">
          <cell r="D91">
            <v>1204</v>
          </cell>
        </row>
        <row r="92">
          <cell r="D92">
            <v>947</v>
          </cell>
        </row>
        <row r="93">
          <cell r="D93">
            <v>2136</v>
          </cell>
        </row>
        <row r="94">
          <cell r="D94">
            <v>887</v>
          </cell>
        </row>
        <row r="95">
          <cell r="D95">
            <v>287</v>
          </cell>
        </row>
        <row r="96">
          <cell r="D96">
            <v>149570</v>
          </cell>
        </row>
      </sheetData>
      <sheetData sheetId="1">
        <row r="11">
          <cell r="H11">
            <v>16959</v>
          </cell>
        </row>
        <row r="23">
          <cell r="H23">
            <v>1435</v>
          </cell>
        </row>
        <row r="24">
          <cell r="H24">
            <v>1280</v>
          </cell>
        </row>
        <row r="25">
          <cell r="H25">
            <v>2737</v>
          </cell>
        </row>
        <row r="26">
          <cell r="H26">
            <v>1229</v>
          </cell>
        </row>
        <row r="27">
          <cell r="H27">
            <v>681</v>
          </cell>
        </row>
        <row r="28">
          <cell r="H28">
            <v>2321</v>
          </cell>
        </row>
        <row r="29">
          <cell r="H29">
            <v>5191</v>
          </cell>
        </row>
        <row r="30">
          <cell r="H30">
            <v>1549</v>
          </cell>
        </row>
        <row r="31">
          <cell r="H31">
            <v>492</v>
          </cell>
        </row>
        <row r="32">
          <cell r="H32">
            <v>1340</v>
          </cell>
        </row>
        <row r="33">
          <cell r="H33">
            <v>1752</v>
          </cell>
        </row>
        <row r="34">
          <cell r="H34">
            <v>1788</v>
          </cell>
        </row>
        <row r="35">
          <cell r="H35">
            <v>1858</v>
          </cell>
        </row>
        <row r="36">
          <cell r="H36">
            <v>352</v>
          </cell>
        </row>
        <row r="37">
          <cell r="H37">
            <v>854</v>
          </cell>
        </row>
        <row r="38">
          <cell r="H38">
            <v>1736</v>
          </cell>
        </row>
        <row r="39">
          <cell r="H39">
            <v>0</v>
          </cell>
        </row>
        <row r="40">
          <cell r="H40">
            <v>1386</v>
          </cell>
        </row>
        <row r="41">
          <cell r="H41">
            <v>2147</v>
          </cell>
        </row>
        <row r="42">
          <cell r="H42">
            <v>5869</v>
          </cell>
        </row>
        <row r="43">
          <cell r="H43">
            <v>553</v>
          </cell>
        </row>
        <row r="44">
          <cell r="H44">
            <v>943</v>
          </cell>
        </row>
        <row r="45">
          <cell r="H45">
            <v>1577</v>
          </cell>
        </row>
        <row r="46">
          <cell r="H46">
            <v>3326</v>
          </cell>
        </row>
        <row r="47">
          <cell r="H47">
            <v>675</v>
          </cell>
        </row>
        <row r="48">
          <cell r="H48">
            <v>939</v>
          </cell>
        </row>
        <row r="49">
          <cell r="H49">
            <v>1727</v>
          </cell>
        </row>
        <row r="50">
          <cell r="H50">
            <v>317</v>
          </cell>
        </row>
        <row r="51">
          <cell r="H51">
            <v>1783</v>
          </cell>
        </row>
        <row r="52">
          <cell r="H52">
            <v>491</v>
          </cell>
        </row>
        <row r="53">
          <cell r="H53">
            <v>2107</v>
          </cell>
        </row>
        <row r="54">
          <cell r="H54">
            <v>2075</v>
          </cell>
        </row>
        <row r="55">
          <cell r="H55">
            <v>1062</v>
          </cell>
        </row>
        <row r="56">
          <cell r="H56">
            <v>3878</v>
          </cell>
        </row>
        <row r="57">
          <cell r="H57">
            <v>1095</v>
          </cell>
        </row>
        <row r="58">
          <cell r="H58">
            <v>545</v>
          </cell>
        </row>
        <row r="59">
          <cell r="H59">
            <v>1</v>
          </cell>
        </row>
        <row r="60">
          <cell r="H60">
            <v>1591</v>
          </cell>
        </row>
        <row r="61">
          <cell r="H61">
            <v>2147</v>
          </cell>
        </row>
        <row r="62">
          <cell r="H62">
            <v>571</v>
          </cell>
        </row>
        <row r="63">
          <cell r="H63">
            <v>1283</v>
          </cell>
        </row>
        <row r="64">
          <cell r="H64">
            <v>2303</v>
          </cell>
        </row>
        <row r="65">
          <cell r="H65">
            <v>16458</v>
          </cell>
        </row>
        <row r="73">
          <cell r="H73">
            <v>19083</v>
          </cell>
        </row>
        <row r="81">
          <cell r="H81">
            <v>1732</v>
          </cell>
        </row>
        <row r="82">
          <cell r="H82">
            <v>2508</v>
          </cell>
        </row>
        <row r="83">
          <cell r="H83">
            <v>464</v>
          </cell>
        </row>
        <row r="84">
          <cell r="H84">
            <v>472</v>
          </cell>
        </row>
        <row r="85">
          <cell r="H85">
            <v>427</v>
          </cell>
        </row>
        <row r="86">
          <cell r="H86">
            <v>788</v>
          </cell>
        </row>
        <row r="87">
          <cell r="H87">
            <v>660</v>
          </cell>
        </row>
        <row r="88">
          <cell r="H88">
            <v>1108</v>
          </cell>
        </row>
        <row r="89">
          <cell r="H89">
            <v>446</v>
          </cell>
        </row>
        <row r="90">
          <cell r="H90">
            <v>1436</v>
          </cell>
        </row>
        <row r="91">
          <cell r="H91">
            <v>1011</v>
          </cell>
        </row>
        <row r="92">
          <cell r="H92">
            <v>1192</v>
          </cell>
        </row>
        <row r="93">
          <cell r="H93">
            <v>1794</v>
          </cell>
        </row>
        <row r="94">
          <cell r="H94">
            <v>780</v>
          </cell>
        </row>
        <row r="95">
          <cell r="H95">
            <v>229</v>
          </cell>
        </row>
        <row r="96">
          <cell r="D96">
            <v>145</v>
          </cell>
          <cell r="E96">
            <v>16476</v>
          </cell>
          <cell r="F96">
            <v>117602</v>
          </cell>
          <cell r="G96">
            <v>310</v>
          </cell>
        </row>
        <row r="99">
          <cell r="C99">
            <v>2477</v>
          </cell>
          <cell r="F99">
            <v>5670</v>
          </cell>
        </row>
        <row r="100">
          <cell r="C100">
            <v>45</v>
          </cell>
          <cell r="F100">
            <v>91</v>
          </cell>
        </row>
        <row r="101">
          <cell r="C101">
            <v>0</v>
          </cell>
          <cell r="F101">
            <v>4395</v>
          </cell>
        </row>
        <row r="102">
          <cell r="C102">
            <v>36</v>
          </cell>
          <cell r="F102">
            <v>13</v>
          </cell>
        </row>
        <row r="103">
          <cell r="C103">
            <v>5637</v>
          </cell>
          <cell r="F103">
            <v>0</v>
          </cell>
        </row>
        <row r="104">
          <cell r="C104">
            <v>0</v>
          </cell>
          <cell r="F104">
            <v>6283</v>
          </cell>
        </row>
        <row r="105">
          <cell r="C105">
            <v>0</v>
          </cell>
          <cell r="F105">
            <v>6</v>
          </cell>
        </row>
        <row r="106">
          <cell r="C106">
            <v>12</v>
          </cell>
        </row>
        <row r="107">
          <cell r="C107">
            <v>5808</v>
          </cell>
        </row>
        <row r="108">
          <cell r="C108">
            <v>26</v>
          </cell>
        </row>
        <row r="109">
          <cell r="C109">
            <v>2918</v>
          </cell>
        </row>
        <row r="113">
          <cell r="C113">
            <v>4048</v>
          </cell>
        </row>
        <row r="114">
          <cell r="C114">
            <v>7</v>
          </cell>
        </row>
        <row r="115">
          <cell r="C115">
            <v>7550</v>
          </cell>
        </row>
        <row r="116">
          <cell r="C116">
            <v>7461</v>
          </cell>
        </row>
        <row r="117">
          <cell r="C117">
            <v>14</v>
          </cell>
        </row>
        <row r="118">
          <cell r="C118">
            <v>3</v>
          </cell>
        </row>
        <row r="119">
          <cell r="C119">
            <v>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60177</v>
          </cell>
        </row>
        <row r="23">
          <cell r="D23">
            <v>2828</v>
          </cell>
        </row>
        <row r="24">
          <cell r="D24">
            <v>5631</v>
          </cell>
          <cell r="G24">
            <v>8137</v>
          </cell>
        </row>
        <row r="25">
          <cell r="D25">
            <v>6333</v>
          </cell>
          <cell r="G25">
            <v>380</v>
          </cell>
        </row>
        <row r="26">
          <cell r="D26">
            <v>7986</v>
          </cell>
          <cell r="G26">
            <v>0</v>
          </cell>
        </row>
        <row r="27">
          <cell r="D27">
            <v>2341</v>
          </cell>
          <cell r="G27">
            <v>19926</v>
          </cell>
        </row>
        <row r="28">
          <cell r="D28">
            <v>9012</v>
          </cell>
          <cell r="G28">
            <v>220</v>
          </cell>
        </row>
        <row r="29">
          <cell r="D29">
            <v>14134</v>
          </cell>
          <cell r="G29">
            <v>0</v>
          </cell>
        </row>
        <row r="30">
          <cell r="D30">
            <v>10212</v>
          </cell>
          <cell r="G30">
            <v>0</v>
          </cell>
        </row>
        <row r="31">
          <cell r="D31">
            <v>2342</v>
          </cell>
          <cell r="G31">
            <v>18667</v>
          </cell>
        </row>
        <row r="32">
          <cell r="D32">
            <v>4476</v>
          </cell>
          <cell r="G32">
            <v>237</v>
          </cell>
        </row>
        <row r="33">
          <cell r="D33">
            <v>6152</v>
          </cell>
          <cell r="G33">
            <v>12491</v>
          </cell>
        </row>
        <row r="34">
          <cell r="D34">
            <v>8425</v>
          </cell>
          <cell r="G34">
            <v>119</v>
          </cell>
        </row>
        <row r="35">
          <cell r="D35">
            <v>6574</v>
          </cell>
        </row>
        <row r="36">
          <cell r="D36">
            <v>2173</v>
          </cell>
        </row>
        <row r="37">
          <cell r="D37">
            <v>5127</v>
          </cell>
        </row>
        <row r="38">
          <cell r="D38">
            <v>7451</v>
          </cell>
          <cell r="G38">
            <v>11269</v>
          </cell>
        </row>
        <row r="39">
          <cell r="D39">
            <v>0</v>
          </cell>
          <cell r="G39">
            <v>574</v>
          </cell>
        </row>
        <row r="40">
          <cell r="D40">
            <v>6488</v>
          </cell>
          <cell r="G40">
            <v>830</v>
          </cell>
        </row>
        <row r="41">
          <cell r="D41">
            <v>4180</v>
          </cell>
          <cell r="G41">
            <v>20062</v>
          </cell>
        </row>
        <row r="42">
          <cell r="D42">
            <v>8183</v>
          </cell>
          <cell r="G42">
            <v>0</v>
          </cell>
        </row>
        <row r="43">
          <cell r="D43">
            <v>3923</v>
          </cell>
          <cell r="G43">
            <v>424</v>
          </cell>
        </row>
        <row r="44">
          <cell r="D44">
            <v>15517</v>
          </cell>
          <cell r="G44">
            <v>12975</v>
          </cell>
        </row>
        <row r="45">
          <cell r="D45">
            <v>8182</v>
          </cell>
        </row>
        <row r="46">
          <cell r="D46">
            <v>9207</v>
          </cell>
        </row>
        <row r="47">
          <cell r="D47">
            <v>2152</v>
          </cell>
        </row>
        <row r="48">
          <cell r="D48">
            <v>7576</v>
          </cell>
          <cell r="G48">
            <v>12760</v>
          </cell>
        </row>
        <row r="49">
          <cell r="D49">
            <v>8885</v>
          </cell>
          <cell r="G49">
            <v>114</v>
          </cell>
        </row>
        <row r="50">
          <cell r="D50">
            <v>3395</v>
          </cell>
          <cell r="G50">
            <v>251</v>
          </cell>
        </row>
        <row r="51">
          <cell r="D51">
            <v>5824</v>
          </cell>
          <cell r="G51">
            <v>379</v>
          </cell>
        </row>
        <row r="52">
          <cell r="D52">
            <v>1772</v>
          </cell>
          <cell r="G52">
            <v>32746</v>
          </cell>
        </row>
        <row r="53">
          <cell r="D53">
            <v>5542</v>
          </cell>
          <cell r="G53">
            <v>17842</v>
          </cell>
        </row>
        <row r="54">
          <cell r="D54">
            <v>6709</v>
          </cell>
          <cell r="G54">
            <v>0</v>
          </cell>
        </row>
        <row r="55">
          <cell r="D55">
            <v>3051</v>
          </cell>
        </row>
        <row r="56">
          <cell r="D56">
            <v>4706</v>
          </cell>
        </row>
        <row r="57">
          <cell r="D57">
            <v>3185</v>
          </cell>
        </row>
        <row r="58">
          <cell r="D58">
            <v>165</v>
          </cell>
        </row>
        <row r="59">
          <cell r="D59">
            <v>2743</v>
          </cell>
        </row>
        <row r="60">
          <cell r="D60">
            <v>5214</v>
          </cell>
        </row>
        <row r="61">
          <cell r="D61">
            <v>6238</v>
          </cell>
        </row>
        <row r="62">
          <cell r="D62">
            <v>1915</v>
          </cell>
        </row>
        <row r="63">
          <cell r="D63">
            <v>3739</v>
          </cell>
        </row>
        <row r="64">
          <cell r="D64">
            <v>11560</v>
          </cell>
        </row>
        <row r="65">
          <cell r="D65">
            <v>46134</v>
          </cell>
        </row>
        <row r="73">
          <cell r="D73">
            <v>64092</v>
          </cell>
        </row>
        <row r="81">
          <cell r="D81">
            <v>6475</v>
          </cell>
        </row>
        <row r="82">
          <cell r="D82">
            <v>9113</v>
          </cell>
        </row>
        <row r="83">
          <cell r="D83">
            <v>1373</v>
          </cell>
        </row>
        <row r="84">
          <cell r="D84">
            <v>1158</v>
          </cell>
        </row>
        <row r="85">
          <cell r="D85">
            <v>1385</v>
          </cell>
        </row>
        <row r="86">
          <cell r="D86">
            <v>3085</v>
          </cell>
        </row>
        <row r="87">
          <cell r="D87">
            <v>3945</v>
          </cell>
        </row>
        <row r="88">
          <cell r="D88">
            <v>4227</v>
          </cell>
        </row>
        <row r="89">
          <cell r="D89">
            <v>2527</v>
          </cell>
        </row>
        <row r="90">
          <cell r="D90">
            <v>8841</v>
          </cell>
        </row>
        <row r="91">
          <cell r="D91">
            <v>7089</v>
          </cell>
        </row>
        <row r="92">
          <cell r="D92">
            <v>4765</v>
          </cell>
        </row>
        <row r="93">
          <cell r="D93">
            <v>4520</v>
          </cell>
        </row>
        <row r="94">
          <cell r="D94">
            <v>5039</v>
          </cell>
        </row>
        <row r="95">
          <cell r="D95">
            <v>1338</v>
          </cell>
        </row>
        <row r="96">
          <cell r="D96">
            <v>476531</v>
          </cell>
        </row>
      </sheetData>
      <sheetData sheetId="1">
        <row r="11">
          <cell r="H11">
            <v>60725</v>
          </cell>
        </row>
        <row r="23">
          <cell r="H23">
            <v>5048</v>
          </cell>
        </row>
        <row r="24">
          <cell r="H24">
            <v>3568</v>
          </cell>
        </row>
        <row r="25">
          <cell r="H25">
            <v>10295</v>
          </cell>
        </row>
        <row r="26">
          <cell r="H26">
            <v>4263</v>
          </cell>
        </row>
        <row r="27">
          <cell r="H27">
            <v>2874</v>
          </cell>
        </row>
        <row r="28">
          <cell r="H28">
            <v>11133</v>
          </cell>
        </row>
        <row r="29">
          <cell r="H29">
            <v>16646</v>
          </cell>
        </row>
        <row r="30">
          <cell r="H30">
            <v>9727</v>
          </cell>
        </row>
        <row r="31">
          <cell r="H31">
            <v>2780</v>
          </cell>
        </row>
        <row r="32">
          <cell r="H32">
            <v>4286</v>
          </cell>
        </row>
        <row r="33">
          <cell r="H33">
            <v>7335</v>
          </cell>
        </row>
        <row r="34">
          <cell r="H34">
            <v>7630</v>
          </cell>
        </row>
        <row r="35">
          <cell r="H35">
            <v>7018</v>
          </cell>
        </row>
        <row r="36">
          <cell r="H36">
            <v>2087</v>
          </cell>
        </row>
        <row r="37">
          <cell r="H37">
            <v>4821</v>
          </cell>
        </row>
        <row r="38">
          <cell r="H38">
            <v>6983</v>
          </cell>
        </row>
        <row r="39">
          <cell r="H39">
            <v>0</v>
          </cell>
        </row>
        <row r="40">
          <cell r="H40">
            <v>6920</v>
          </cell>
        </row>
        <row r="41">
          <cell r="H41">
            <v>4038</v>
          </cell>
        </row>
        <row r="42">
          <cell r="H42">
            <v>8144</v>
          </cell>
        </row>
        <row r="43">
          <cell r="H43">
            <v>3148</v>
          </cell>
        </row>
        <row r="44">
          <cell r="H44">
            <v>13852</v>
          </cell>
        </row>
        <row r="45">
          <cell r="H45">
            <v>6489</v>
          </cell>
        </row>
        <row r="46">
          <cell r="H46">
            <v>8814</v>
          </cell>
        </row>
        <row r="47">
          <cell r="H47">
            <v>1832</v>
          </cell>
        </row>
        <row r="48">
          <cell r="H48">
            <v>7116</v>
          </cell>
        </row>
        <row r="49">
          <cell r="H49">
            <v>9055</v>
          </cell>
        </row>
        <row r="50">
          <cell r="H50">
            <v>2990</v>
          </cell>
        </row>
        <row r="51">
          <cell r="H51">
            <v>5558</v>
          </cell>
        </row>
        <row r="52">
          <cell r="H52">
            <v>1898</v>
          </cell>
        </row>
        <row r="53">
          <cell r="H53">
            <v>5635</v>
          </cell>
        </row>
        <row r="54">
          <cell r="H54">
            <v>6325</v>
          </cell>
        </row>
        <row r="55">
          <cell r="H55">
            <v>3307</v>
          </cell>
        </row>
        <row r="56">
          <cell r="H56">
            <v>4052</v>
          </cell>
        </row>
        <row r="57">
          <cell r="H57">
            <v>3914</v>
          </cell>
        </row>
        <row r="58">
          <cell r="H58">
            <v>2780</v>
          </cell>
        </row>
        <row r="59">
          <cell r="H59">
            <v>2</v>
          </cell>
        </row>
        <row r="60">
          <cell r="H60">
            <v>4634</v>
          </cell>
        </row>
        <row r="61">
          <cell r="H61">
            <v>6013</v>
          </cell>
        </row>
        <row r="62">
          <cell r="H62">
            <v>2473</v>
          </cell>
        </row>
        <row r="63">
          <cell r="H63">
            <v>4720</v>
          </cell>
        </row>
        <row r="64">
          <cell r="H64">
            <v>9412</v>
          </cell>
        </row>
        <row r="65">
          <cell r="H65">
            <v>56678</v>
          </cell>
        </row>
        <row r="73">
          <cell r="H73">
            <v>66336</v>
          </cell>
        </row>
        <row r="81">
          <cell r="H81">
            <v>8526</v>
          </cell>
        </row>
        <row r="82">
          <cell r="H82">
            <v>8763</v>
          </cell>
        </row>
        <row r="83">
          <cell r="H83">
            <v>1842</v>
          </cell>
        </row>
        <row r="84">
          <cell r="H84">
            <v>1157</v>
          </cell>
        </row>
        <row r="85">
          <cell r="H85">
            <v>2260</v>
          </cell>
        </row>
        <row r="86">
          <cell r="H86">
            <v>3003</v>
          </cell>
        </row>
        <row r="87">
          <cell r="H87">
            <v>3668</v>
          </cell>
        </row>
        <row r="88">
          <cell r="H88">
            <v>4012</v>
          </cell>
        </row>
        <row r="89">
          <cell r="H89">
            <v>2350</v>
          </cell>
        </row>
        <row r="90">
          <cell r="H90">
            <v>8151</v>
          </cell>
        </row>
        <row r="91">
          <cell r="H91">
            <v>6338</v>
          </cell>
        </row>
        <row r="92">
          <cell r="H92">
            <v>4987</v>
          </cell>
        </row>
        <row r="93">
          <cell r="H93">
            <v>4168</v>
          </cell>
        </row>
        <row r="94">
          <cell r="H94">
            <v>4346</v>
          </cell>
        </row>
        <row r="95">
          <cell r="H95">
            <v>1342</v>
          </cell>
        </row>
        <row r="96">
          <cell r="D96">
            <v>420</v>
          </cell>
          <cell r="E96">
            <v>96107</v>
          </cell>
          <cell r="F96">
            <v>389757</v>
          </cell>
          <cell r="G96">
            <v>1983</v>
          </cell>
        </row>
        <row r="99">
          <cell r="C99">
            <v>10059</v>
          </cell>
          <cell r="F99">
            <v>20304</v>
          </cell>
        </row>
        <row r="100">
          <cell r="C100">
            <v>262</v>
          </cell>
          <cell r="F100">
            <v>469</v>
          </cell>
        </row>
        <row r="101">
          <cell r="C101">
            <v>0</v>
          </cell>
          <cell r="F101">
            <v>15605</v>
          </cell>
        </row>
        <row r="102">
          <cell r="C102">
            <v>4833</v>
          </cell>
          <cell r="F102">
            <v>1201</v>
          </cell>
        </row>
        <row r="103">
          <cell r="C103">
            <v>17408</v>
          </cell>
          <cell r="F103">
            <v>0</v>
          </cell>
        </row>
        <row r="104">
          <cell r="C104">
            <v>0</v>
          </cell>
          <cell r="F104">
            <v>17891</v>
          </cell>
        </row>
        <row r="105">
          <cell r="C105">
            <v>0</v>
          </cell>
          <cell r="F105">
            <v>1208</v>
          </cell>
        </row>
        <row r="106">
          <cell r="C106">
            <v>2022</v>
          </cell>
        </row>
        <row r="107">
          <cell r="C107">
            <v>17371</v>
          </cell>
        </row>
        <row r="108">
          <cell r="C108">
            <v>1134</v>
          </cell>
        </row>
        <row r="109">
          <cell r="C109">
            <v>7636</v>
          </cell>
        </row>
        <row r="113">
          <cell r="C113">
            <v>12409</v>
          </cell>
        </row>
        <row r="114">
          <cell r="C114">
            <v>66</v>
          </cell>
        </row>
        <row r="115">
          <cell r="C115">
            <v>20057</v>
          </cell>
        </row>
        <row r="116">
          <cell r="C116">
            <v>26724</v>
          </cell>
        </row>
        <row r="117">
          <cell r="C117">
            <v>6515</v>
          </cell>
        </row>
        <row r="118">
          <cell r="C118">
            <v>565</v>
          </cell>
        </row>
        <row r="119">
          <cell r="C119">
            <v>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62792</v>
          </cell>
        </row>
        <row r="23">
          <cell r="D23">
            <v>2899</v>
          </cell>
        </row>
        <row r="24">
          <cell r="D24">
            <v>6157</v>
          </cell>
          <cell r="G24">
            <v>8453</v>
          </cell>
        </row>
        <row r="25">
          <cell r="D25">
            <v>6604</v>
          </cell>
          <cell r="G25">
            <v>347</v>
          </cell>
        </row>
        <row r="26">
          <cell r="D26">
            <v>8114</v>
          </cell>
          <cell r="G26">
            <v>0</v>
          </cell>
        </row>
        <row r="27">
          <cell r="D27">
            <v>2305</v>
          </cell>
          <cell r="G27">
            <v>20962</v>
          </cell>
        </row>
        <row r="28">
          <cell r="D28">
            <v>9324</v>
          </cell>
          <cell r="G28">
            <v>208</v>
          </cell>
        </row>
        <row r="29">
          <cell r="D29">
            <v>15288</v>
          </cell>
          <cell r="G29">
            <v>0</v>
          </cell>
        </row>
        <row r="30">
          <cell r="D30">
            <v>9535</v>
          </cell>
          <cell r="G30">
            <v>0</v>
          </cell>
        </row>
        <row r="31">
          <cell r="D31">
            <v>2393</v>
          </cell>
          <cell r="G31">
            <v>19056</v>
          </cell>
        </row>
        <row r="32">
          <cell r="D32">
            <v>4582</v>
          </cell>
          <cell r="G32">
            <v>214</v>
          </cell>
        </row>
        <row r="33">
          <cell r="D33">
            <v>5044</v>
          </cell>
          <cell r="G33">
            <v>13402</v>
          </cell>
        </row>
        <row r="34">
          <cell r="D34">
            <v>8523</v>
          </cell>
          <cell r="G34">
            <v>150</v>
          </cell>
        </row>
        <row r="35">
          <cell r="D35">
            <v>6424</v>
          </cell>
        </row>
        <row r="36">
          <cell r="D36">
            <v>2193</v>
          </cell>
        </row>
        <row r="37">
          <cell r="D37">
            <v>5115</v>
          </cell>
        </row>
        <row r="38">
          <cell r="D38">
            <v>7530</v>
          </cell>
          <cell r="G38">
            <v>11416</v>
          </cell>
        </row>
        <row r="39">
          <cell r="D39">
            <v>0</v>
          </cell>
          <cell r="G39">
            <v>601</v>
          </cell>
        </row>
        <row r="40">
          <cell r="D40">
            <v>7329</v>
          </cell>
          <cell r="G40">
            <v>805</v>
          </cell>
        </row>
        <row r="41">
          <cell r="D41">
            <v>4573</v>
          </cell>
          <cell r="G41">
            <v>20606</v>
          </cell>
        </row>
        <row r="42">
          <cell r="D42">
            <v>9601</v>
          </cell>
          <cell r="G42">
            <v>0</v>
          </cell>
        </row>
        <row r="43">
          <cell r="D43">
            <v>4164</v>
          </cell>
          <cell r="G43">
            <v>403</v>
          </cell>
        </row>
        <row r="44">
          <cell r="D44">
            <v>16698</v>
          </cell>
          <cell r="G44">
            <v>13286</v>
          </cell>
        </row>
        <row r="45">
          <cell r="D45">
            <v>8265</v>
          </cell>
        </row>
        <row r="46">
          <cell r="D46">
            <v>9283</v>
          </cell>
        </row>
        <row r="47">
          <cell r="D47">
            <v>2513</v>
          </cell>
        </row>
        <row r="48">
          <cell r="D48">
            <v>7834</v>
          </cell>
          <cell r="G48">
            <v>13063</v>
          </cell>
        </row>
        <row r="49">
          <cell r="D49">
            <v>9138</v>
          </cell>
          <cell r="G49">
            <v>160</v>
          </cell>
        </row>
        <row r="50">
          <cell r="D50">
            <v>3231</v>
          </cell>
          <cell r="G50">
            <v>254</v>
          </cell>
        </row>
        <row r="51">
          <cell r="D51">
            <v>6034</v>
          </cell>
          <cell r="G51">
            <v>394</v>
          </cell>
        </row>
        <row r="52">
          <cell r="D52">
            <v>1811</v>
          </cell>
          <cell r="G52">
            <v>34325</v>
          </cell>
        </row>
        <row r="53">
          <cell r="D53">
            <v>5787</v>
          </cell>
          <cell r="G53">
            <v>18359</v>
          </cell>
        </row>
        <row r="54">
          <cell r="D54">
            <v>7385</v>
          </cell>
          <cell r="G54">
            <v>0</v>
          </cell>
        </row>
        <row r="55">
          <cell r="D55">
            <v>3255</v>
          </cell>
        </row>
        <row r="56">
          <cell r="D56">
            <v>4733</v>
          </cell>
        </row>
        <row r="57">
          <cell r="D57">
            <v>3222</v>
          </cell>
        </row>
        <row r="58">
          <cell r="D58">
            <v>245</v>
          </cell>
        </row>
        <row r="59">
          <cell r="D59">
            <v>2798</v>
          </cell>
        </row>
        <row r="60">
          <cell r="D60">
            <v>5586</v>
          </cell>
        </row>
        <row r="61">
          <cell r="D61">
            <v>6404</v>
          </cell>
        </row>
        <row r="62">
          <cell r="D62">
            <v>1814</v>
          </cell>
        </row>
        <row r="63">
          <cell r="D63">
            <v>4123</v>
          </cell>
        </row>
        <row r="64">
          <cell r="D64">
            <v>14145</v>
          </cell>
        </row>
        <row r="65">
          <cell r="D65">
            <v>47117</v>
          </cell>
        </row>
        <row r="73">
          <cell r="D73">
            <v>66555</v>
          </cell>
        </row>
        <row r="81">
          <cell r="D81">
            <v>6518</v>
          </cell>
        </row>
        <row r="82">
          <cell r="D82">
            <v>9200</v>
          </cell>
        </row>
        <row r="83">
          <cell r="D83">
            <v>1267</v>
          </cell>
        </row>
        <row r="84">
          <cell r="D84">
            <v>1228</v>
          </cell>
        </row>
        <row r="85">
          <cell r="D85">
            <v>1360</v>
          </cell>
        </row>
        <row r="86">
          <cell r="D86">
            <v>3158</v>
          </cell>
        </row>
        <row r="87">
          <cell r="D87">
            <v>4038</v>
          </cell>
        </row>
        <row r="88">
          <cell r="D88">
            <v>4422</v>
          </cell>
        </row>
        <row r="89">
          <cell r="D89">
            <v>2673</v>
          </cell>
        </row>
        <row r="90">
          <cell r="D90">
            <v>8772</v>
          </cell>
        </row>
        <row r="91">
          <cell r="D91">
            <v>7320</v>
          </cell>
        </row>
        <row r="92">
          <cell r="D92">
            <v>5017</v>
          </cell>
        </row>
        <row r="93">
          <cell r="D93">
            <v>4887</v>
          </cell>
        </row>
        <row r="94">
          <cell r="D94">
            <v>5312</v>
          </cell>
        </row>
        <row r="95">
          <cell r="D95">
            <v>1367</v>
          </cell>
        </row>
        <row r="96">
          <cell r="D96">
            <v>495004</v>
          </cell>
        </row>
      </sheetData>
      <sheetData sheetId="1">
        <row r="11">
          <cell r="H11">
            <v>61720</v>
          </cell>
        </row>
        <row r="23">
          <cell r="H23">
            <v>5089</v>
          </cell>
        </row>
        <row r="24">
          <cell r="H24">
            <v>3541</v>
          </cell>
        </row>
        <row r="25">
          <cell r="H25">
            <v>10578</v>
          </cell>
        </row>
        <row r="26">
          <cell r="H26">
            <v>4296</v>
          </cell>
        </row>
        <row r="27">
          <cell r="H27">
            <v>2941</v>
          </cell>
        </row>
        <row r="28">
          <cell r="H28">
            <v>11357</v>
          </cell>
        </row>
        <row r="29">
          <cell r="H29">
            <v>17104</v>
          </cell>
        </row>
        <row r="30">
          <cell r="H30">
            <v>10040</v>
          </cell>
        </row>
        <row r="31">
          <cell r="H31">
            <v>2878</v>
          </cell>
        </row>
        <row r="32">
          <cell r="H32">
            <v>4332</v>
          </cell>
        </row>
        <row r="33">
          <cell r="H33">
            <v>7627</v>
          </cell>
        </row>
        <row r="34">
          <cell r="H34">
            <v>7728</v>
          </cell>
        </row>
        <row r="35">
          <cell r="H35">
            <v>7092</v>
          </cell>
        </row>
        <row r="36">
          <cell r="H36">
            <v>2128</v>
          </cell>
        </row>
        <row r="37">
          <cell r="H37">
            <v>4951</v>
          </cell>
        </row>
        <row r="38">
          <cell r="H38">
            <v>6991</v>
          </cell>
        </row>
        <row r="39">
          <cell r="H39">
            <v>0</v>
          </cell>
        </row>
        <row r="40">
          <cell r="H40">
            <v>7287</v>
          </cell>
        </row>
        <row r="41">
          <cell r="H41">
            <v>4436</v>
          </cell>
        </row>
        <row r="42">
          <cell r="H42">
            <v>8719</v>
          </cell>
        </row>
        <row r="43">
          <cell r="H43">
            <v>3358</v>
          </cell>
        </row>
        <row r="44">
          <cell r="H44">
            <v>14745</v>
          </cell>
        </row>
        <row r="45">
          <cell r="H45">
            <v>6534</v>
          </cell>
        </row>
        <row r="46">
          <cell r="H46">
            <v>8894</v>
          </cell>
        </row>
        <row r="47">
          <cell r="H47">
            <v>2195</v>
          </cell>
        </row>
        <row r="48">
          <cell r="H48">
            <v>7397</v>
          </cell>
        </row>
        <row r="49">
          <cell r="H49">
            <v>9431</v>
          </cell>
        </row>
        <row r="50">
          <cell r="H50">
            <v>3055</v>
          </cell>
        </row>
        <row r="51">
          <cell r="H51">
            <v>5906</v>
          </cell>
        </row>
        <row r="52">
          <cell r="H52">
            <v>1874</v>
          </cell>
        </row>
        <row r="53">
          <cell r="H53">
            <v>5963</v>
          </cell>
        </row>
        <row r="54">
          <cell r="H54">
            <v>6827</v>
          </cell>
        </row>
        <row r="55">
          <cell r="H55">
            <v>3325</v>
          </cell>
        </row>
        <row r="56">
          <cell r="H56">
            <v>4323</v>
          </cell>
        </row>
        <row r="57">
          <cell r="H57">
            <v>4084</v>
          </cell>
        </row>
        <row r="58">
          <cell r="H58">
            <v>2908</v>
          </cell>
        </row>
        <row r="59">
          <cell r="H59">
            <v>0</v>
          </cell>
        </row>
        <row r="60">
          <cell r="H60">
            <v>4889</v>
          </cell>
        </row>
        <row r="61">
          <cell r="H61">
            <v>6087</v>
          </cell>
        </row>
        <row r="62">
          <cell r="H62">
            <v>2465</v>
          </cell>
        </row>
        <row r="63">
          <cell r="H63">
            <v>4705</v>
          </cell>
        </row>
        <row r="64">
          <cell r="H64">
            <v>9208</v>
          </cell>
        </row>
        <row r="65">
          <cell r="H65">
            <v>57151</v>
          </cell>
        </row>
        <row r="73">
          <cell r="H73">
            <v>68289</v>
          </cell>
        </row>
        <row r="81">
          <cell r="H81">
            <v>8691</v>
          </cell>
        </row>
        <row r="82">
          <cell r="H82">
            <v>9094</v>
          </cell>
        </row>
        <row r="83">
          <cell r="H83">
            <v>2071</v>
          </cell>
        </row>
        <row r="84">
          <cell r="H84">
            <v>1527</v>
          </cell>
        </row>
        <row r="85">
          <cell r="H85">
            <v>2404</v>
          </cell>
        </row>
        <row r="86">
          <cell r="H86">
            <v>2984</v>
          </cell>
        </row>
        <row r="87">
          <cell r="H87">
            <v>3751</v>
          </cell>
        </row>
        <row r="88">
          <cell r="H88">
            <v>4401</v>
          </cell>
        </row>
        <row r="89">
          <cell r="H89">
            <v>2497</v>
          </cell>
        </row>
        <row r="90">
          <cell r="H90">
            <v>8062</v>
          </cell>
        </row>
        <row r="91">
          <cell r="H91">
            <v>6812</v>
          </cell>
        </row>
        <row r="92">
          <cell r="H92">
            <v>5276</v>
          </cell>
        </row>
        <row r="93">
          <cell r="H93">
            <v>4634</v>
          </cell>
        </row>
        <row r="94">
          <cell r="H94">
            <v>4596</v>
          </cell>
        </row>
        <row r="95">
          <cell r="H95">
            <v>1331</v>
          </cell>
        </row>
        <row r="96">
          <cell r="D96">
            <v>395</v>
          </cell>
          <cell r="E96">
            <v>99090</v>
          </cell>
          <cell r="F96">
            <v>400908</v>
          </cell>
          <cell r="G96">
            <v>2186</v>
          </cell>
        </row>
        <row r="99">
          <cell r="C99">
            <v>10224</v>
          </cell>
          <cell r="F99">
            <v>20180</v>
          </cell>
        </row>
        <row r="100">
          <cell r="C100">
            <v>157</v>
          </cell>
          <cell r="F100">
            <v>469</v>
          </cell>
        </row>
        <row r="101">
          <cell r="C101">
            <v>0</v>
          </cell>
          <cell r="F101">
            <v>16613</v>
          </cell>
        </row>
        <row r="102">
          <cell r="C102">
            <v>5050</v>
          </cell>
          <cell r="F102">
            <v>1019</v>
          </cell>
        </row>
        <row r="103">
          <cell r="C103">
            <v>17535</v>
          </cell>
          <cell r="F103">
            <v>0</v>
          </cell>
        </row>
        <row r="104">
          <cell r="C104">
            <v>0</v>
          </cell>
          <cell r="F104">
            <v>17668</v>
          </cell>
        </row>
        <row r="105">
          <cell r="C105">
            <v>0</v>
          </cell>
          <cell r="F105">
            <v>1202</v>
          </cell>
        </row>
        <row r="106">
          <cell r="C106">
            <v>2514</v>
          </cell>
        </row>
        <row r="107">
          <cell r="C107">
            <v>17321</v>
          </cell>
        </row>
        <row r="108">
          <cell r="C108">
            <v>1292</v>
          </cell>
        </row>
        <row r="109">
          <cell r="C109">
            <v>7627</v>
          </cell>
        </row>
        <row r="113">
          <cell r="C113">
            <v>12866</v>
          </cell>
        </row>
        <row r="114">
          <cell r="C114">
            <v>64</v>
          </cell>
        </row>
        <row r="115">
          <cell r="C115">
            <v>20888</v>
          </cell>
        </row>
        <row r="116">
          <cell r="C116">
            <v>27900</v>
          </cell>
        </row>
        <row r="117">
          <cell r="C117">
            <v>5973</v>
          </cell>
        </row>
        <row r="118">
          <cell r="C118">
            <v>598</v>
          </cell>
        </row>
        <row r="119">
          <cell r="C119">
            <v>0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61933</v>
          </cell>
        </row>
        <row r="23">
          <cell r="D23">
            <v>2963</v>
          </cell>
        </row>
        <row r="24">
          <cell r="D24">
            <v>5587</v>
          </cell>
          <cell r="G24">
            <v>8345</v>
          </cell>
        </row>
        <row r="25">
          <cell r="D25">
            <v>6683</v>
          </cell>
          <cell r="G25">
            <v>301</v>
          </cell>
        </row>
        <row r="26">
          <cell r="D26">
            <v>8175</v>
          </cell>
          <cell r="G26">
            <v>0</v>
          </cell>
        </row>
        <row r="27">
          <cell r="D27">
            <v>2242</v>
          </cell>
          <cell r="G27">
            <v>21011</v>
          </cell>
        </row>
        <row r="28">
          <cell r="D28">
            <v>9087</v>
          </cell>
          <cell r="G28">
            <v>234</v>
          </cell>
        </row>
        <row r="29">
          <cell r="D29">
            <v>15939</v>
          </cell>
          <cell r="G29">
            <v>0</v>
          </cell>
        </row>
        <row r="30">
          <cell r="D30">
            <v>10447</v>
          </cell>
          <cell r="G30">
            <v>0</v>
          </cell>
        </row>
        <row r="31">
          <cell r="D31">
            <v>2427</v>
          </cell>
          <cell r="G31">
            <v>17851</v>
          </cell>
        </row>
        <row r="32">
          <cell r="D32">
            <v>4680</v>
          </cell>
          <cell r="G32">
            <v>286</v>
          </cell>
        </row>
        <row r="33">
          <cell r="D33">
            <v>5238</v>
          </cell>
          <cell r="G33">
            <v>13755</v>
          </cell>
        </row>
        <row r="34">
          <cell r="D34">
            <v>8597</v>
          </cell>
          <cell r="G34">
            <v>150</v>
          </cell>
        </row>
        <row r="35">
          <cell r="D35">
            <v>6526</v>
          </cell>
        </row>
        <row r="36">
          <cell r="D36">
            <v>2197</v>
          </cell>
        </row>
        <row r="37">
          <cell r="D37">
            <v>5052</v>
          </cell>
        </row>
        <row r="38">
          <cell r="D38">
            <v>7577</v>
          </cell>
          <cell r="G38">
            <v>11689</v>
          </cell>
        </row>
        <row r="39">
          <cell r="D39">
            <v>0</v>
          </cell>
          <cell r="G39">
            <v>531</v>
          </cell>
        </row>
        <row r="40">
          <cell r="D40">
            <v>7638</v>
          </cell>
          <cell r="G40">
            <v>838</v>
          </cell>
        </row>
        <row r="41">
          <cell r="D41">
            <v>4427</v>
          </cell>
          <cell r="G41">
            <v>20393</v>
          </cell>
        </row>
        <row r="42">
          <cell r="D42">
            <v>8476</v>
          </cell>
          <cell r="G42">
            <v>0</v>
          </cell>
        </row>
        <row r="43">
          <cell r="D43">
            <v>3918</v>
          </cell>
          <cell r="G43">
            <v>350</v>
          </cell>
        </row>
        <row r="44">
          <cell r="D44">
            <v>16774</v>
          </cell>
          <cell r="G44">
            <v>13057</v>
          </cell>
        </row>
        <row r="45">
          <cell r="D45">
            <v>8277</v>
          </cell>
        </row>
        <row r="46">
          <cell r="D46">
            <v>9417</v>
          </cell>
        </row>
        <row r="47">
          <cell r="D47">
            <v>2489</v>
          </cell>
        </row>
        <row r="48">
          <cell r="D48">
            <v>7613</v>
          </cell>
          <cell r="G48">
            <v>12778</v>
          </cell>
        </row>
        <row r="49">
          <cell r="D49">
            <v>9235</v>
          </cell>
          <cell r="G49">
            <v>120</v>
          </cell>
        </row>
        <row r="50">
          <cell r="D50">
            <v>3403</v>
          </cell>
          <cell r="G50">
            <v>247</v>
          </cell>
        </row>
        <row r="51">
          <cell r="D51">
            <v>5963</v>
          </cell>
          <cell r="G51">
            <v>385</v>
          </cell>
        </row>
        <row r="52">
          <cell r="D52">
            <v>1763</v>
          </cell>
          <cell r="G52">
            <v>34709</v>
          </cell>
        </row>
        <row r="53">
          <cell r="D53">
            <v>5735</v>
          </cell>
          <cell r="G53">
            <v>18420</v>
          </cell>
        </row>
        <row r="54">
          <cell r="D54">
            <v>7087</v>
          </cell>
          <cell r="G54">
            <v>0</v>
          </cell>
        </row>
        <row r="55">
          <cell r="D55">
            <v>3112</v>
          </cell>
        </row>
        <row r="56">
          <cell r="D56">
            <v>5030</v>
          </cell>
        </row>
        <row r="57">
          <cell r="D57">
            <v>3171</v>
          </cell>
        </row>
        <row r="58">
          <cell r="D58">
            <v>218</v>
          </cell>
        </row>
        <row r="59">
          <cell r="D59">
            <v>2930</v>
          </cell>
        </row>
        <row r="60">
          <cell r="D60">
            <v>5383</v>
          </cell>
        </row>
        <row r="61">
          <cell r="D61">
            <v>6416</v>
          </cell>
        </row>
        <row r="62">
          <cell r="D62">
            <v>1827</v>
          </cell>
        </row>
        <row r="63">
          <cell r="D63">
            <v>4036</v>
          </cell>
        </row>
        <row r="64">
          <cell r="D64">
            <v>14279</v>
          </cell>
        </row>
        <row r="65">
          <cell r="D65">
            <v>46858</v>
          </cell>
        </row>
        <row r="73">
          <cell r="D73">
            <v>66659</v>
          </cell>
        </row>
        <row r="81">
          <cell r="D81">
            <v>6602</v>
          </cell>
        </row>
        <row r="82">
          <cell r="D82">
            <v>9205</v>
          </cell>
        </row>
        <row r="83">
          <cell r="D83">
            <v>1173</v>
          </cell>
        </row>
        <row r="84">
          <cell r="D84">
            <v>1266</v>
          </cell>
        </row>
        <row r="85">
          <cell r="D85">
            <v>1383</v>
          </cell>
        </row>
        <row r="86">
          <cell r="D86">
            <v>3206</v>
          </cell>
        </row>
        <row r="87">
          <cell r="D87">
            <v>4072</v>
          </cell>
        </row>
        <row r="88">
          <cell r="D88">
            <v>4477</v>
          </cell>
        </row>
        <row r="89">
          <cell r="D89">
            <v>2640</v>
          </cell>
        </row>
        <row r="90">
          <cell r="D90">
            <v>9078</v>
          </cell>
        </row>
        <row r="91">
          <cell r="D91">
            <v>7266</v>
          </cell>
        </row>
        <row r="92">
          <cell r="D92">
            <v>5256</v>
          </cell>
        </row>
        <row r="93">
          <cell r="D93">
            <v>5618</v>
          </cell>
        </row>
        <row r="94">
          <cell r="D94">
            <v>5381</v>
          </cell>
        </row>
        <row r="95">
          <cell r="D95">
            <v>1343</v>
          </cell>
        </row>
        <row r="96">
          <cell r="D96">
            <v>495450</v>
          </cell>
        </row>
      </sheetData>
      <sheetData sheetId="1">
        <row r="11">
          <cell r="H11">
            <v>62918</v>
          </cell>
        </row>
        <row r="23">
          <cell r="H23">
            <v>5264</v>
          </cell>
        </row>
        <row r="24">
          <cell r="H24">
            <v>3531</v>
          </cell>
        </row>
        <row r="25">
          <cell r="H25">
            <v>10752</v>
          </cell>
        </row>
        <row r="26">
          <cell r="H26">
            <v>4319</v>
          </cell>
        </row>
        <row r="27">
          <cell r="H27">
            <v>2775</v>
          </cell>
        </row>
        <row r="28">
          <cell r="H28">
            <v>11591</v>
          </cell>
        </row>
        <row r="29">
          <cell r="H29">
            <v>16973</v>
          </cell>
        </row>
        <row r="30">
          <cell r="H30">
            <v>10283</v>
          </cell>
        </row>
        <row r="31">
          <cell r="H31">
            <v>2741</v>
          </cell>
        </row>
        <row r="32">
          <cell r="H32">
            <v>4363</v>
          </cell>
        </row>
        <row r="33">
          <cell r="H33">
            <v>7294</v>
          </cell>
        </row>
        <row r="34">
          <cell r="H34">
            <v>7888</v>
          </cell>
        </row>
        <row r="35">
          <cell r="H35">
            <v>7163</v>
          </cell>
        </row>
        <row r="36">
          <cell r="H36">
            <v>2165</v>
          </cell>
        </row>
        <row r="37">
          <cell r="H37">
            <v>5004</v>
          </cell>
        </row>
        <row r="38">
          <cell r="H38">
            <v>7101</v>
          </cell>
        </row>
        <row r="39">
          <cell r="H39">
            <v>0</v>
          </cell>
        </row>
        <row r="40">
          <cell r="H40">
            <v>7449</v>
          </cell>
        </row>
        <row r="41">
          <cell r="H41">
            <v>4201</v>
          </cell>
        </row>
        <row r="42">
          <cell r="H42">
            <v>8140</v>
          </cell>
        </row>
        <row r="43">
          <cell r="H43">
            <v>3093</v>
          </cell>
        </row>
        <row r="44">
          <cell r="H44">
            <v>14878</v>
          </cell>
        </row>
        <row r="45">
          <cell r="H45">
            <v>6542</v>
          </cell>
        </row>
        <row r="46">
          <cell r="H46">
            <v>9246</v>
          </cell>
        </row>
        <row r="47">
          <cell r="H47">
            <v>2211</v>
          </cell>
        </row>
        <row r="48">
          <cell r="H48">
            <v>7305</v>
          </cell>
        </row>
        <row r="49">
          <cell r="H49">
            <v>9698</v>
          </cell>
        </row>
        <row r="50">
          <cell r="H50">
            <v>3140</v>
          </cell>
        </row>
        <row r="51">
          <cell r="H51">
            <v>5946</v>
          </cell>
        </row>
        <row r="52">
          <cell r="H52">
            <v>1962</v>
          </cell>
        </row>
        <row r="53">
          <cell r="H53">
            <v>5869</v>
          </cell>
        </row>
        <row r="54">
          <cell r="H54">
            <v>6601</v>
          </cell>
        </row>
        <row r="55">
          <cell r="H55">
            <v>3411</v>
          </cell>
        </row>
        <row r="56">
          <cell r="H56">
            <v>4225</v>
          </cell>
        </row>
        <row r="57">
          <cell r="H57">
            <v>4072</v>
          </cell>
        </row>
        <row r="58">
          <cell r="H58">
            <v>2838</v>
          </cell>
        </row>
        <row r="59">
          <cell r="H59">
            <v>1</v>
          </cell>
        </row>
        <row r="60">
          <cell r="H60">
            <v>4797</v>
          </cell>
        </row>
        <row r="61">
          <cell r="H61">
            <v>6185</v>
          </cell>
        </row>
        <row r="62">
          <cell r="H62">
            <v>2415</v>
          </cell>
        </row>
        <row r="63">
          <cell r="H63">
            <v>4796</v>
          </cell>
        </row>
        <row r="64">
          <cell r="H64">
            <v>9654</v>
          </cell>
        </row>
        <row r="65">
          <cell r="H65">
            <v>56843</v>
          </cell>
        </row>
        <row r="73">
          <cell r="H73">
            <v>68690</v>
          </cell>
        </row>
        <row r="81">
          <cell r="H81">
            <v>8867</v>
          </cell>
        </row>
        <row r="82">
          <cell r="H82">
            <v>9038</v>
          </cell>
        </row>
        <row r="83">
          <cell r="H83">
            <v>2050</v>
          </cell>
        </row>
        <row r="84">
          <cell r="H84">
            <v>1420</v>
          </cell>
        </row>
        <row r="85">
          <cell r="H85">
            <v>2354</v>
          </cell>
        </row>
        <row r="86">
          <cell r="H86">
            <v>3010</v>
          </cell>
        </row>
        <row r="87">
          <cell r="H87">
            <v>3786</v>
          </cell>
        </row>
        <row r="88">
          <cell r="H88">
            <v>4173</v>
          </cell>
        </row>
        <row r="89">
          <cell r="H89">
            <v>2498</v>
          </cell>
        </row>
        <row r="90">
          <cell r="H90">
            <v>8423</v>
          </cell>
        </row>
        <row r="91">
          <cell r="H91">
            <v>6720</v>
          </cell>
        </row>
        <row r="92">
          <cell r="H92">
            <v>5111</v>
          </cell>
        </row>
        <row r="93">
          <cell r="H93">
            <v>5115</v>
          </cell>
        </row>
        <row r="94">
          <cell r="H94">
            <v>4668</v>
          </cell>
        </row>
        <row r="95">
          <cell r="H95">
            <v>1402</v>
          </cell>
        </row>
        <row r="96">
          <cell r="D96">
            <v>440</v>
          </cell>
          <cell r="E96">
            <v>100556</v>
          </cell>
          <cell r="F96">
            <v>401804</v>
          </cell>
          <cell r="G96">
            <v>2168</v>
          </cell>
        </row>
        <row r="99">
          <cell r="C99">
            <v>10359</v>
          </cell>
          <cell r="F99">
            <v>20464</v>
          </cell>
        </row>
        <row r="100">
          <cell r="C100">
            <v>220</v>
          </cell>
          <cell r="F100">
            <v>392</v>
          </cell>
        </row>
        <row r="101">
          <cell r="C101">
            <v>0</v>
          </cell>
          <cell r="F101">
            <v>16212</v>
          </cell>
        </row>
        <row r="102">
          <cell r="C102">
            <v>5082</v>
          </cell>
          <cell r="F102">
            <v>772</v>
          </cell>
        </row>
        <row r="103">
          <cell r="C103">
            <v>17781</v>
          </cell>
          <cell r="F103">
            <v>0</v>
          </cell>
        </row>
        <row r="104">
          <cell r="C104">
            <v>0</v>
          </cell>
          <cell r="F104">
            <v>17565</v>
          </cell>
        </row>
        <row r="105">
          <cell r="C105">
            <v>0</v>
          </cell>
          <cell r="F105">
            <v>1438</v>
          </cell>
        </row>
        <row r="106">
          <cell r="C106">
            <v>2472</v>
          </cell>
        </row>
        <row r="107">
          <cell r="C107">
            <v>17694</v>
          </cell>
        </row>
        <row r="108">
          <cell r="C108">
            <v>1370</v>
          </cell>
        </row>
        <row r="109">
          <cell r="C109">
            <v>7940</v>
          </cell>
        </row>
        <row r="113">
          <cell r="C113">
            <v>13307</v>
          </cell>
        </row>
        <row r="114">
          <cell r="C114">
            <v>51</v>
          </cell>
        </row>
        <row r="115">
          <cell r="C115">
            <v>20863</v>
          </cell>
        </row>
        <row r="116">
          <cell r="C116">
            <v>28372</v>
          </cell>
        </row>
        <row r="117">
          <cell r="C117">
            <v>5625</v>
          </cell>
        </row>
        <row r="118">
          <cell r="C118">
            <v>472</v>
          </cell>
        </row>
        <row r="119">
          <cell r="C119">
            <v>0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62684</v>
          </cell>
        </row>
        <row r="23">
          <cell r="D23">
            <v>2872</v>
          </cell>
        </row>
        <row r="24">
          <cell r="D24">
            <v>5752</v>
          </cell>
          <cell r="G24">
            <v>8232</v>
          </cell>
        </row>
        <row r="25">
          <cell r="D25">
            <v>6491</v>
          </cell>
          <cell r="G25">
            <v>313</v>
          </cell>
        </row>
        <row r="26">
          <cell r="D26">
            <v>8170</v>
          </cell>
          <cell r="G26">
            <v>0</v>
          </cell>
        </row>
        <row r="27">
          <cell r="D27">
            <v>2307</v>
          </cell>
          <cell r="G27">
            <v>20945</v>
          </cell>
        </row>
        <row r="28">
          <cell r="D28">
            <v>8693</v>
          </cell>
          <cell r="G28">
            <v>251</v>
          </cell>
        </row>
        <row r="29">
          <cell r="D29">
            <v>14344</v>
          </cell>
          <cell r="G29">
            <v>0</v>
          </cell>
        </row>
        <row r="30">
          <cell r="D30">
            <v>10237</v>
          </cell>
          <cell r="G30">
            <v>0</v>
          </cell>
        </row>
        <row r="31">
          <cell r="D31">
            <v>2379</v>
          </cell>
          <cell r="G31">
            <v>19072</v>
          </cell>
        </row>
        <row r="32">
          <cell r="D32">
            <v>4539</v>
          </cell>
          <cell r="G32">
            <v>217</v>
          </cell>
        </row>
        <row r="33">
          <cell r="D33">
            <v>5203</v>
          </cell>
          <cell r="G33">
            <v>13526</v>
          </cell>
        </row>
        <row r="34">
          <cell r="D34">
            <v>8484</v>
          </cell>
          <cell r="G34">
            <v>128</v>
          </cell>
        </row>
        <row r="35">
          <cell r="D35">
            <v>6404</v>
          </cell>
        </row>
        <row r="36">
          <cell r="D36">
            <v>2272</v>
          </cell>
        </row>
        <row r="37">
          <cell r="D37">
            <v>5279</v>
          </cell>
        </row>
        <row r="38">
          <cell r="D38">
            <v>7495</v>
          </cell>
          <cell r="G38">
            <v>11084</v>
          </cell>
        </row>
        <row r="39">
          <cell r="D39">
            <v>0</v>
          </cell>
          <cell r="G39">
            <v>484</v>
          </cell>
        </row>
        <row r="40">
          <cell r="D40">
            <v>7773</v>
          </cell>
          <cell r="G40">
            <v>887</v>
          </cell>
        </row>
        <row r="41">
          <cell r="D41">
            <v>4550</v>
          </cell>
          <cell r="G41">
            <v>20648</v>
          </cell>
        </row>
        <row r="42">
          <cell r="D42">
            <v>8589</v>
          </cell>
          <cell r="G42">
            <v>0</v>
          </cell>
        </row>
        <row r="43">
          <cell r="D43">
            <v>4246</v>
          </cell>
          <cell r="G43">
            <v>400</v>
          </cell>
        </row>
        <row r="44">
          <cell r="D44">
            <v>17498</v>
          </cell>
          <cell r="G44">
            <v>13802</v>
          </cell>
        </row>
        <row r="45">
          <cell r="D45">
            <v>8238</v>
          </cell>
        </row>
        <row r="46">
          <cell r="D46">
            <v>9325</v>
          </cell>
        </row>
        <row r="47">
          <cell r="D47">
            <v>2438</v>
          </cell>
        </row>
        <row r="48">
          <cell r="D48">
            <v>7682</v>
          </cell>
          <cell r="G48">
            <v>12530</v>
          </cell>
        </row>
        <row r="49">
          <cell r="D49">
            <v>9505</v>
          </cell>
          <cell r="G49">
            <v>104</v>
          </cell>
        </row>
        <row r="50">
          <cell r="D50">
            <v>3482</v>
          </cell>
          <cell r="G50">
            <v>268</v>
          </cell>
        </row>
        <row r="51">
          <cell r="D51">
            <v>6054</v>
          </cell>
          <cell r="G51">
            <v>374</v>
          </cell>
        </row>
        <row r="52">
          <cell r="D52">
            <v>1750</v>
          </cell>
          <cell r="G52">
            <v>33979</v>
          </cell>
        </row>
        <row r="53">
          <cell r="D53">
            <v>5698</v>
          </cell>
          <cell r="G53">
            <v>17841</v>
          </cell>
        </row>
        <row r="54">
          <cell r="D54">
            <v>6977</v>
          </cell>
          <cell r="G54">
            <v>0</v>
          </cell>
        </row>
        <row r="55">
          <cell r="D55">
            <v>3254</v>
          </cell>
        </row>
        <row r="56">
          <cell r="D56">
            <v>4713</v>
          </cell>
        </row>
        <row r="57">
          <cell r="D57">
            <v>3273</v>
          </cell>
        </row>
        <row r="58">
          <cell r="D58">
            <v>207</v>
          </cell>
        </row>
        <row r="59">
          <cell r="D59">
            <v>2871</v>
          </cell>
        </row>
        <row r="60">
          <cell r="D60">
            <v>5592</v>
          </cell>
        </row>
        <row r="61">
          <cell r="D61">
            <v>6154</v>
          </cell>
        </row>
        <row r="62">
          <cell r="D62">
            <v>1810</v>
          </cell>
        </row>
        <row r="63">
          <cell r="D63">
            <v>4220</v>
          </cell>
        </row>
        <row r="64">
          <cell r="D64">
            <v>14167</v>
          </cell>
        </row>
        <row r="65">
          <cell r="D65">
            <v>47305</v>
          </cell>
        </row>
        <row r="73">
          <cell r="D73">
            <v>65096</v>
          </cell>
        </row>
        <row r="81">
          <cell r="D81">
            <v>6507</v>
          </cell>
        </row>
        <row r="82">
          <cell r="D82">
            <v>9225</v>
          </cell>
        </row>
        <row r="83">
          <cell r="D83">
            <v>1211</v>
          </cell>
        </row>
        <row r="84">
          <cell r="D84">
            <v>1405</v>
          </cell>
        </row>
        <row r="85">
          <cell r="D85">
            <v>1397</v>
          </cell>
        </row>
        <row r="86">
          <cell r="D86">
            <v>3196</v>
          </cell>
        </row>
        <row r="87">
          <cell r="D87">
            <v>3915</v>
          </cell>
        </row>
        <row r="88">
          <cell r="D88">
            <v>4340</v>
          </cell>
        </row>
        <row r="89">
          <cell r="D89">
            <v>2584</v>
          </cell>
        </row>
        <row r="90">
          <cell r="D90">
            <v>8999</v>
          </cell>
        </row>
        <row r="91">
          <cell r="D91">
            <v>7369</v>
          </cell>
        </row>
        <row r="92">
          <cell r="D92">
            <v>5074</v>
          </cell>
        </row>
        <row r="93">
          <cell r="D93">
            <v>5044</v>
          </cell>
        </row>
        <row r="94">
          <cell r="D94">
            <v>5107</v>
          </cell>
        </row>
        <row r="95">
          <cell r="D95">
            <v>1434</v>
          </cell>
        </row>
        <row r="96">
          <cell r="D96">
            <v>492879</v>
          </cell>
        </row>
      </sheetData>
      <sheetData sheetId="1">
        <row r="11">
          <cell r="H11">
            <v>62022</v>
          </cell>
        </row>
        <row r="23">
          <cell r="H23">
            <v>5223</v>
          </cell>
        </row>
        <row r="24">
          <cell r="H24">
            <v>3590</v>
          </cell>
        </row>
        <row r="25">
          <cell r="H25">
            <v>10511</v>
          </cell>
        </row>
        <row r="26">
          <cell r="H26">
            <v>4294</v>
          </cell>
        </row>
        <row r="27">
          <cell r="H27">
            <v>2911</v>
          </cell>
        </row>
        <row r="28">
          <cell r="H28">
            <v>11366</v>
          </cell>
        </row>
        <row r="29">
          <cell r="H29">
            <v>17303</v>
          </cell>
        </row>
        <row r="30">
          <cell r="H30">
            <v>10089</v>
          </cell>
        </row>
        <row r="31">
          <cell r="H31">
            <v>2749</v>
          </cell>
        </row>
        <row r="32">
          <cell r="H32">
            <v>4368</v>
          </cell>
        </row>
        <row r="33">
          <cell r="H33">
            <v>7238</v>
          </cell>
        </row>
        <row r="34">
          <cell r="H34">
            <v>7617</v>
          </cell>
        </row>
        <row r="35">
          <cell r="H35">
            <v>7126</v>
          </cell>
        </row>
        <row r="36">
          <cell r="H36">
            <v>1999</v>
          </cell>
        </row>
        <row r="37">
          <cell r="H37">
            <v>4912</v>
          </cell>
        </row>
        <row r="38">
          <cell r="H38">
            <v>7001</v>
          </cell>
        </row>
        <row r="39">
          <cell r="H39">
            <v>0</v>
          </cell>
        </row>
        <row r="40">
          <cell r="H40">
            <v>7206</v>
          </cell>
        </row>
        <row r="41">
          <cell r="H41">
            <v>4232</v>
          </cell>
        </row>
        <row r="42">
          <cell r="H42">
            <v>8417</v>
          </cell>
        </row>
        <row r="43">
          <cell r="H43">
            <v>3197</v>
          </cell>
        </row>
        <row r="44">
          <cell r="H44">
            <v>15109</v>
          </cell>
        </row>
        <row r="45">
          <cell r="H45">
            <v>6400</v>
          </cell>
        </row>
        <row r="46">
          <cell r="H46">
            <v>8914</v>
          </cell>
        </row>
        <row r="47">
          <cell r="H47">
            <v>2183</v>
          </cell>
        </row>
        <row r="48">
          <cell r="H48">
            <v>7237</v>
          </cell>
        </row>
        <row r="49">
          <cell r="H49">
            <v>9435</v>
          </cell>
        </row>
        <row r="50">
          <cell r="H50">
            <v>3088</v>
          </cell>
        </row>
        <row r="51">
          <cell r="H51">
            <v>5876</v>
          </cell>
        </row>
        <row r="52">
          <cell r="H52">
            <v>1971</v>
          </cell>
        </row>
        <row r="53">
          <cell r="H53">
            <v>6021</v>
          </cell>
        </row>
        <row r="54">
          <cell r="H54">
            <v>6622</v>
          </cell>
        </row>
        <row r="55">
          <cell r="H55">
            <v>3472</v>
          </cell>
        </row>
        <row r="56">
          <cell r="H56">
            <v>4129</v>
          </cell>
        </row>
        <row r="57">
          <cell r="H57">
            <v>4179</v>
          </cell>
        </row>
        <row r="58">
          <cell r="H58">
            <v>2767</v>
          </cell>
        </row>
        <row r="59">
          <cell r="H59">
            <v>3</v>
          </cell>
        </row>
        <row r="60">
          <cell r="H60">
            <v>5009</v>
          </cell>
        </row>
        <row r="61">
          <cell r="H61">
            <v>6183</v>
          </cell>
        </row>
        <row r="62">
          <cell r="H62">
            <v>2494</v>
          </cell>
        </row>
        <row r="63">
          <cell r="H63">
            <v>4915</v>
          </cell>
        </row>
        <row r="64">
          <cell r="H64">
            <v>10036</v>
          </cell>
        </row>
        <row r="65">
          <cell r="H65">
            <v>58453</v>
          </cell>
        </row>
        <row r="73">
          <cell r="H73">
            <v>68365</v>
          </cell>
        </row>
        <row r="81">
          <cell r="H81">
            <v>8850</v>
          </cell>
        </row>
        <row r="82">
          <cell r="H82">
            <v>9120</v>
          </cell>
        </row>
        <row r="83">
          <cell r="H83">
            <v>1880</v>
          </cell>
        </row>
        <row r="84">
          <cell r="H84">
            <v>1291</v>
          </cell>
        </row>
        <row r="85">
          <cell r="H85">
            <v>2314</v>
          </cell>
        </row>
        <row r="86">
          <cell r="H86">
            <v>3007</v>
          </cell>
        </row>
        <row r="87">
          <cell r="H87">
            <v>3763</v>
          </cell>
        </row>
        <row r="88">
          <cell r="H88">
            <v>4112</v>
          </cell>
        </row>
        <row r="89">
          <cell r="H89">
            <v>2449</v>
          </cell>
        </row>
        <row r="90">
          <cell r="H90">
            <v>8152</v>
          </cell>
        </row>
        <row r="91">
          <cell r="H91">
            <v>6470</v>
          </cell>
        </row>
        <row r="92">
          <cell r="H92">
            <v>5049</v>
          </cell>
        </row>
        <row r="93">
          <cell r="H93">
            <v>4686</v>
          </cell>
        </row>
        <row r="94">
          <cell r="H94">
            <v>4415</v>
          </cell>
        </row>
        <row r="95">
          <cell r="H95">
            <v>1366</v>
          </cell>
        </row>
        <row r="96">
          <cell r="D96">
            <v>379</v>
          </cell>
          <cell r="E96">
            <v>100790</v>
          </cell>
          <cell r="F96">
            <v>399804</v>
          </cell>
          <cell r="G96">
            <v>2183</v>
          </cell>
        </row>
        <row r="99">
          <cell r="C99">
            <v>10286</v>
          </cell>
          <cell r="F99">
            <v>21462</v>
          </cell>
        </row>
        <row r="100">
          <cell r="C100">
            <v>260</v>
          </cell>
          <cell r="F100">
            <v>461</v>
          </cell>
        </row>
        <row r="101">
          <cell r="C101">
            <v>0</v>
          </cell>
          <cell r="F101">
            <v>16315</v>
          </cell>
        </row>
        <row r="102">
          <cell r="C102">
            <v>5022</v>
          </cell>
          <cell r="F102">
            <v>1099</v>
          </cell>
        </row>
        <row r="103">
          <cell r="C103">
            <v>17847</v>
          </cell>
          <cell r="F103">
            <v>0</v>
          </cell>
        </row>
        <row r="104">
          <cell r="C104">
            <v>0</v>
          </cell>
          <cell r="F104">
            <v>17535</v>
          </cell>
        </row>
        <row r="105">
          <cell r="C105">
            <v>0</v>
          </cell>
          <cell r="F105">
            <v>1581</v>
          </cell>
        </row>
        <row r="106">
          <cell r="C106">
            <v>2533</v>
          </cell>
        </row>
        <row r="107">
          <cell r="C107">
            <v>17043</v>
          </cell>
        </row>
        <row r="108">
          <cell r="C108">
            <v>1354</v>
          </cell>
        </row>
        <row r="109">
          <cell r="C109">
            <v>7677</v>
          </cell>
        </row>
        <row r="113">
          <cell r="C113">
            <v>12787</v>
          </cell>
        </row>
        <row r="114">
          <cell r="C114">
            <v>47</v>
          </cell>
        </row>
        <row r="115">
          <cell r="C115">
            <v>20106</v>
          </cell>
        </row>
        <row r="116">
          <cell r="C116">
            <v>28911</v>
          </cell>
        </row>
        <row r="117">
          <cell r="C117">
            <v>5939</v>
          </cell>
        </row>
        <row r="118">
          <cell r="C118">
            <v>575</v>
          </cell>
        </row>
        <row r="119">
          <cell r="C119">
            <v>0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58949</v>
          </cell>
        </row>
        <row r="23">
          <cell r="D23">
            <v>2813</v>
          </cell>
        </row>
        <row r="24">
          <cell r="D24">
            <v>6134</v>
          </cell>
          <cell r="G24">
            <v>8063</v>
          </cell>
        </row>
        <row r="25">
          <cell r="D25">
            <v>6303</v>
          </cell>
          <cell r="G25">
            <v>325</v>
          </cell>
        </row>
        <row r="26">
          <cell r="D26">
            <v>8042</v>
          </cell>
          <cell r="G26">
            <v>0</v>
          </cell>
        </row>
        <row r="27">
          <cell r="D27">
            <v>2187</v>
          </cell>
          <cell r="G27">
            <v>19150</v>
          </cell>
        </row>
        <row r="28">
          <cell r="D28">
            <v>9116</v>
          </cell>
          <cell r="G28">
            <v>252</v>
          </cell>
        </row>
        <row r="29">
          <cell r="D29">
            <v>16574</v>
          </cell>
          <cell r="G29">
            <v>0</v>
          </cell>
        </row>
        <row r="30">
          <cell r="D30">
            <v>10480</v>
          </cell>
          <cell r="G30">
            <v>0</v>
          </cell>
        </row>
        <row r="31">
          <cell r="D31">
            <v>2419</v>
          </cell>
          <cell r="G31">
            <v>17807</v>
          </cell>
        </row>
        <row r="32">
          <cell r="D32">
            <v>5348</v>
          </cell>
          <cell r="G32">
            <v>249</v>
          </cell>
        </row>
        <row r="33">
          <cell r="D33">
            <v>5440</v>
          </cell>
          <cell r="G33">
            <v>12986</v>
          </cell>
        </row>
        <row r="34">
          <cell r="D34">
            <v>8689</v>
          </cell>
          <cell r="G34">
            <v>117</v>
          </cell>
        </row>
        <row r="35">
          <cell r="D35">
            <v>6469</v>
          </cell>
        </row>
        <row r="36">
          <cell r="D36">
            <v>2212</v>
          </cell>
        </row>
        <row r="37">
          <cell r="D37">
            <v>5303</v>
          </cell>
        </row>
        <row r="38">
          <cell r="D38">
            <v>7477</v>
          </cell>
          <cell r="G38">
            <v>11176</v>
          </cell>
        </row>
        <row r="39">
          <cell r="D39">
            <v>0</v>
          </cell>
          <cell r="G39">
            <v>490</v>
          </cell>
        </row>
        <row r="40">
          <cell r="D40">
            <v>7694</v>
          </cell>
          <cell r="G40">
            <v>866</v>
          </cell>
        </row>
        <row r="41">
          <cell r="D41">
            <v>4464</v>
          </cell>
          <cell r="G41">
            <v>20003</v>
          </cell>
        </row>
        <row r="42">
          <cell r="D42">
            <v>9369</v>
          </cell>
          <cell r="G42">
            <v>0</v>
          </cell>
        </row>
        <row r="43">
          <cell r="D43">
            <v>4262</v>
          </cell>
          <cell r="G43">
            <v>442</v>
          </cell>
        </row>
        <row r="44">
          <cell r="D44">
            <v>17481</v>
          </cell>
          <cell r="G44">
            <v>12937</v>
          </cell>
        </row>
        <row r="45">
          <cell r="D45">
            <v>8468</v>
          </cell>
        </row>
        <row r="46">
          <cell r="D46">
            <v>9719</v>
          </cell>
        </row>
        <row r="47">
          <cell r="D47">
            <v>2419</v>
          </cell>
        </row>
        <row r="48">
          <cell r="D48">
            <v>7672</v>
          </cell>
          <cell r="G48">
            <v>12752</v>
          </cell>
        </row>
        <row r="49">
          <cell r="D49">
            <v>9833</v>
          </cell>
          <cell r="G49">
            <v>82</v>
          </cell>
        </row>
        <row r="50">
          <cell r="D50">
            <v>3432</v>
          </cell>
          <cell r="G50">
            <v>210</v>
          </cell>
        </row>
        <row r="51">
          <cell r="D51">
            <v>6044</v>
          </cell>
          <cell r="G51">
            <v>406</v>
          </cell>
        </row>
        <row r="52">
          <cell r="D52">
            <v>1779</v>
          </cell>
          <cell r="G52">
            <v>32963</v>
          </cell>
        </row>
        <row r="53">
          <cell r="D53">
            <v>5832</v>
          </cell>
          <cell r="G53">
            <v>17380</v>
          </cell>
        </row>
        <row r="54">
          <cell r="D54">
            <v>6951</v>
          </cell>
          <cell r="G54">
            <v>0</v>
          </cell>
        </row>
        <row r="55">
          <cell r="D55">
            <v>3087</v>
          </cell>
        </row>
        <row r="56">
          <cell r="D56">
            <v>5324</v>
          </cell>
        </row>
        <row r="57">
          <cell r="D57">
            <v>3255</v>
          </cell>
        </row>
        <row r="58">
          <cell r="D58">
            <v>139</v>
          </cell>
        </row>
        <row r="59">
          <cell r="D59">
            <v>2761</v>
          </cell>
        </row>
        <row r="60">
          <cell r="D60">
            <v>5587</v>
          </cell>
        </row>
        <row r="61">
          <cell r="D61">
            <v>6461</v>
          </cell>
        </row>
        <row r="62">
          <cell r="D62">
            <v>1826</v>
          </cell>
        </row>
        <row r="63">
          <cell r="D63">
            <v>4131</v>
          </cell>
        </row>
        <row r="64">
          <cell r="D64">
            <v>14428</v>
          </cell>
        </row>
        <row r="65">
          <cell r="D65">
            <v>45914</v>
          </cell>
        </row>
        <row r="73">
          <cell r="D73">
            <v>63793</v>
          </cell>
        </row>
        <row r="81">
          <cell r="D81">
            <v>6336</v>
          </cell>
        </row>
        <row r="82">
          <cell r="D82">
            <v>9124</v>
          </cell>
        </row>
        <row r="83">
          <cell r="D83">
            <v>1181</v>
          </cell>
        </row>
        <row r="84">
          <cell r="D84">
            <v>1227</v>
          </cell>
        </row>
        <row r="85">
          <cell r="D85">
            <v>1419</v>
          </cell>
        </row>
        <row r="86">
          <cell r="D86">
            <v>3127</v>
          </cell>
        </row>
        <row r="87">
          <cell r="D87">
            <v>4089</v>
          </cell>
        </row>
        <row r="88">
          <cell r="D88">
            <v>4690</v>
          </cell>
        </row>
        <row r="89">
          <cell r="D89">
            <v>2629</v>
          </cell>
        </row>
        <row r="90">
          <cell r="D90">
            <v>9090</v>
          </cell>
        </row>
        <row r="91">
          <cell r="D91">
            <v>7384</v>
          </cell>
        </row>
        <row r="92">
          <cell r="D92">
            <v>5134</v>
          </cell>
        </row>
        <row r="93">
          <cell r="D93">
            <v>5789</v>
          </cell>
        </row>
        <row r="94">
          <cell r="D94">
            <v>5340</v>
          </cell>
        </row>
        <row r="95">
          <cell r="D95">
            <v>1407</v>
          </cell>
        </row>
        <row r="96">
          <cell r="D96">
            <v>494046</v>
          </cell>
        </row>
      </sheetData>
      <sheetData sheetId="1">
        <row r="11">
          <cell r="H11">
            <v>63155</v>
          </cell>
        </row>
        <row r="23">
          <cell r="H23">
            <v>5231</v>
          </cell>
        </row>
        <row r="24">
          <cell r="H24">
            <v>3608</v>
          </cell>
        </row>
        <row r="25">
          <cell r="H25">
            <v>10785</v>
          </cell>
        </row>
        <row r="26">
          <cell r="H26">
            <v>4369</v>
          </cell>
        </row>
        <row r="27">
          <cell r="H27">
            <v>2842</v>
          </cell>
        </row>
        <row r="28">
          <cell r="H28">
            <v>11650</v>
          </cell>
        </row>
        <row r="29">
          <cell r="H29">
            <v>17263</v>
          </cell>
        </row>
        <row r="30">
          <cell r="H30">
            <v>10242</v>
          </cell>
        </row>
        <row r="31">
          <cell r="H31">
            <v>2819</v>
          </cell>
        </row>
        <row r="32">
          <cell r="H32">
            <v>4307</v>
          </cell>
        </row>
        <row r="33">
          <cell r="H33">
            <v>7352</v>
          </cell>
        </row>
        <row r="34">
          <cell r="H34">
            <v>7816</v>
          </cell>
        </row>
        <row r="35">
          <cell r="H35">
            <v>7088</v>
          </cell>
        </row>
        <row r="36">
          <cell r="H36">
            <v>2016</v>
          </cell>
        </row>
        <row r="37">
          <cell r="H37">
            <v>4863</v>
          </cell>
        </row>
        <row r="38">
          <cell r="H38">
            <v>6942</v>
          </cell>
        </row>
        <row r="39">
          <cell r="H39">
            <v>0</v>
          </cell>
        </row>
        <row r="40">
          <cell r="H40">
            <v>7111</v>
          </cell>
        </row>
        <row r="41">
          <cell r="H41">
            <v>3955</v>
          </cell>
        </row>
        <row r="42">
          <cell r="H42">
            <v>8601</v>
          </cell>
        </row>
        <row r="43">
          <cell r="H43">
            <v>3311</v>
          </cell>
        </row>
        <row r="44">
          <cell r="H44">
            <v>14939</v>
          </cell>
        </row>
        <row r="45">
          <cell r="H45">
            <v>6300</v>
          </cell>
        </row>
        <row r="46">
          <cell r="H46">
            <v>9069</v>
          </cell>
        </row>
        <row r="47">
          <cell r="H47">
            <v>2174</v>
          </cell>
        </row>
        <row r="48">
          <cell r="H48">
            <v>7009</v>
          </cell>
        </row>
        <row r="49">
          <cell r="H49">
            <v>9843</v>
          </cell>
        </row>
        <row r="50">
          <cell r="H50">
            <v>3105</v>
          </cell>
        </row>
        <row r="51">
          <cell r="H51">
            <v>6049</v>
          </cell>
        </row>
        <row r="52">
          <cell r="H52">
            <v>1991</v>
          </cell>
        </row>
        <row r="53">
          <cell r="H53">
            <v>6041</v>
          </cell>
        </row>
        <row r="54">
          <cell r="H54">
            <v>6632</v>
          </cell>
        </row>
        <row r="55">
          <cell r="H55">
            <v>3350</v>
          </cell>
        </row>
        <row r="56">
          <cell r="H56">
            <v>4562</v>
          </cell>
        </row>
        <row r="57">
          <cell r="H57">
            <v>4163</v>
          </cell>
        </row>
        <row r="58">
          <cell r="H58">
            <v>2939</v>
          </cell>
        </row>
        <row r="59">
          <cell r="H59">
            <v>1</v>
          </cell>
        </row>
        <row r="60">
          <cell r="H60">
            <v>4955</v>
          </cell>
        </row>
        <row r="61">
          <cell r="H61">
            <v>6154</v>
          </cell>
        </row>
        <row r="62">
          <cell r="H62">
            <v>2411</v>
          </cell>
        </row>
        <row r="63">
          <cell r="H63">
            <v>5076</v>
          </cell>
        </row>
        <row r="64">
          <cell r="H64">
            <v>9916</v>
          </cell>
        </row>
        <row r="65">
          <cell r="H65">
            <v>58084</v>
          </cell>
        </row>
        <row r="73">
          <cell r="H73">
            <v>69538</v>
          </cell>
        </row>
        <row r="81">
          <cell r="H81">
            <v>9095</v>
          </cell>
        </row>
        <row r="82">
          <cell r="H82">
            <v>9124</v>
          </cell>
        </row>
        <row r="83">
          <cell r="H83">
            <v>2023</v>
          </cell>
        </row>
        <row r="84">
          <cell r="H84">
            <v>1301</v>
          </cell>
        </row>
        <row r="85">
          <cell r="H85">
            <v>2421</v>
          </cell>
        </row>
        <row r="86">
          <cell r="H86">
            <v>3015</v>
          </cell>
        </row>
        <row r="87">
          <cell r="H87">
            <v>3917</v>
          </cell>
        </row>
        <row r="88">
          <cell r="H88">
            <v>4431</v>
          </cell>
        </row>
        <row r="89">
          <cell r="H89">
            <v>2442</v>
          </cell>
        </row>
        <row r="90">
          <cell r="H90">
            <v>8198</v>
          </cell>
        </row>
        <row r="91">
          <cell r="H91">
            <v>6623</v>
          </cell>
        </row>
        <row r="92">
          <cell r="H92">
            <v>5269</v>
          </cell>
        </row>
        <row r="93">
          <cell r="H93">
            <v>4834</v>
          </cell>
        </row>
        <row r="94">
          <cell r="H94">
            <v>4612</v>
          </cell>
        </row>
        <row r="95">
          <cell r="H95">
            <v>1357</v>
          </cell>
        </row>
        <row r="96">
          <cell r="D96">
            <v>348</v>
          </cell>
          <cell r="E96">
            <v>99224</v>
          </cell>
          <cell r="F96">
            <v>406525</v>
          </cell>
          <cell r="G96">
            <v>2192</v>
          </cell>
        </row>
        <row r="99">
          <cell r="C99">
            <v>10234</v>
          </cell>
          <cell r="F99">
            <v>21269</v>
          </cell>
        </row>
        <row r="100">
          <cell r="C100">
            <v>244</v>
          </cell>
          <cell r="F100">
            <v>419</v>
          </cell>
        </row>
        <row r="101">
          <cell r="C101">
            <v>0</v>
          </cell>
          <cell r="F101">
            <v>15527</v>
          </cell>
        </row>
        <row r="102">
          <cell r="C102">
            <v>5290</v>
          </cell>
          <cell r="F102">
            <v>1067</v>
          </cell>
        </row>
        <row r="103">
          <cell r="C103">
            <v>18056</v>
          </cell>
          <cell r="F103">
            <v>0</v>
          </cell>
        </row>
        <row r="104">
          <cell r="C104">
            <v>0</v>
          </cell>
          <cell r="F104">
            <v>18287</v>
          </cell>
        </row>
        <row r="105">
          <cell r="C105">
            <v>0</v>
          </cell>
          <cell r="F105">
            <v>1515</v>
          </cell>
        </row>
        <row r="106">
          <cell r="C106">
            <v>2620</v>
          </cell>
        </row>
        <row r="107">
          <cell r="C107">
            <v>17320</v>
          </cell>
        </row>
        <row r="108">
          <cell r="C108">
            <v>1393</v>
          </cell>
        </row>
        <row r="109">
          <cell r="C109">
            <v>7998</v>
          </cell>
        </row>
        <row r="113">
          <cell r="C113">
            <v>12904</v>
          </cell>
        </row>
        <row r="114">
          <cell r="C114">
            <v>57</v>
          </cell>
        </row>
        <row r="115">
          <cell r="C115">
            <v>21171</v>
          </cell>
        </row>
        <row r="116">
          <cell r="C116">
            <v>29171</v>
          </cell>
        </row>
        <row r="117">
          <cell r="C117">
            <v>5666</v>
          </cell>
        </row>
        <row r="118">
          <cell r="C118">
            <v>569</v>
          </cell>
        </row>
        <row r="119">
          <cell r="C119">
            <v>0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</sheetNames>
    <sheetDataSet>
      <sheetData sheetId="0">
        <row r="11">
          <cell r="D11">
            <v>42866</v>
          </cell>
        </row>
        <row r="23">
          <cell r="D23">
            <v>2840</v>
          </cell>
        </row>
        <row r="24">
          <cell r="D24">
            <v>5291</v>
          </cell>
          <cell r="G24">
            <v>6338</v>
          </cell>
        </row>
        <row r="25">
          <cell r="D25">
            <v>4609</v>
          </cell>
          <cell r="G25">
            <v>128</v>
          </cell>
        </row>
        <row r="26">
          <cell r="D26">
            <v>5659</v>
          </cell>
          <cell r="G26">
            <v>0</v>
          </cell>
        </row>
        <row r="27">
          <cell r="D27">
            <v>1801</v>
          </cell>
          <cell r="G27">
            <v>14900</v>
          </cell>
        </row>
        <row r="28">
          <cell r="D28">
            <v>6110</v>
          </cell>
          <cell r="G28">
            <v>182</v>
          </cell>
        </row>
        <row r="29">
          <cell r="D29">
            <v>10829</v>
          </cell>
          <cell r="G29">
            <v>0</v>
          </cell>
        </row>
        <row r="30">
          <cell r="D30">
            <v>4922</v>
          </cell>
          <cell r="G30">
            <v>0</v>
          </cell>
        </row>
        <row r="31">
          <cell r="D31">
            <v>1509</v>
          </cell>
          <cell r="G31">
            <v>12891</v>
          </cell>
        </row>
        <row r="32">
          <cell r="D32">
            <v>4048</v>
          </cell>
          <cell r="G32">
            <v>206</v>
          </cell>
        </row>
        <row r="33">
          <cell r="D33">
            <v>3935</v>
          </cell>
          <cell r="G33">
            <v>8118</v>
          </cell>
        </row>
        <row r="34">
          <cell r="D34">
            <v>6357</v>
          </cell>
          <cell r="G34">
            <v>103</v>
          </cell>
        </row>
        <row r="35">
          <cell r="D35">
            <v>4335</v>
          </cell>
        </row>
        <row r="36">
          <cell r="D36">
            <v>1312</v>
          </cell>
        </row>
        <row r="37">
          <cell r="D37">
            <v>3679</v>
          </cell>
        </row>
        <row r="38">
          <cell r="D38">
            <v>5251</v>
          </cell>
          <cell r="G38">
            <v>9775</v>
          </cell>
        </row>
        <row r="39">
          <cell r="D39">
            <v>0</v>
          </cell>
          <cell r="G39">
            <v>384</v>
          </cell>
        </row>
        <row r="40">
          <cell r="D40">
            <v>5670</v>
          </cell>
          <cell r="G40">
            <v>704</v>
          </cell>
        </row>
        <row r="41">
          <cell r="D41">
            <v>3635</v>
          </cell>
          <cell r="G41">
            <v>15733</v>
          </cell>
        </row>
        <row r="42">
          <cell r="D42">
            <v>8510</v>
          </cell>
          <cell r="G42">
            <v>0</v>
          </cell>
        </row>
        <row r="43">
          <cell r="D43">
            <v>2357</v>
          </cell>
          <cell r="G43">
            <v>352</v>
          </cell>
        </row>
        <row r="44">
          <cell r="D44">
            <v>6782</v>
          </cell>
          <cell r="G44">
            <v>10264</v>
          </cell>
        </row>
        <row r="45">
          <cell r="D45">
            <v>4460</v>
          </cell>
        </row>
        <row r="46">
          <cell r="D46">
            <v>4961</v>
          </cell>
        </row>
        <row r="47">
          <cell r="D47">
            <v>1710</v>
          </cell>
        </row>
        <row r="48">
          <cell r="D48">
            <v>3471</v>
          </cell>
          <cell r="G48">
            <v>11175</v>
          </cell>
        </row>
        <row r="49">
          <cell r="D49">
            <v>7996</v>
          </cell>
          <cell r="G49">
            <v>145</v>
          </cell>
        </row>
        <row r="50">
          <cell r="D50">
            <v>2063</v>
          </cell>
          <cell r="G50">
            <v>244</v>
          </cell>
        </row>
        <row r="51">
          <cell r="D51">
            <v>4635</v>
          </cell>
          <cell r="G51">
            <v>384</v>
          </cell>
        </row>
        <row r="52">
          <cell r="D52">
            <v>1318</v>
          </cell>
          <cell r="G52">
            <v>22611</v>
          </cell>
        </row>
        <row r="53">
          <cell r="D53">
            <v>4977</v>
          </cell>
          <cell r="G53">
            <v>12603</v>
          </cell>
        </row>
        <row r="54">
          <cell r="D54">
            <v>5429</v>
          </cell>
          <cell r="G54">
            <v>0</v>
          </cell>
        </row>
        <row r="55">
          <cell r="D55">
            <v>2310</v>
          </cell>
        </row>
        <row r="56">
          <cell r="D56">
            <v>6510</v>
          </cell>
        </row>
        <row r="57">
          <cell r="D57">
            <v>2458</v>
          </cell>
        </row>
        <row r="58">
          <cell r="D58">
            <v>152</v>
          </cell>
        </row>
        <row r="59">
          <cell r="D59">
            <v>1724</v>
          </cell>
        </row>
        <row r="60">
          <cell r="D60">
            <v>4857</v>
          </cell>
        </row>
        <row r="61">
          <cell r="D61">
            <v>5100</v>
          </cell>
        </row>
        <row r="62">
          <cell r="D62">
            <v>1351</v>
          </cell>
        </row>
        <row r="63">
          <cell r="D63">
            <v>3085</v>
          </cell>
        </row>
        <row r="64">
          <cell r="D64">
            <v>10002</v>
          </cell>
        </row>
        <row r="65">
          <cell r="D65">
            <v>37212</v>
          </cell>
        </row>
        <row r="73">
          <cell r="D73">
            <v>47162</v>
          </cell>
        </row>
        <row r="81">
          <cell r="D81">
            <v>4675</v>
          </cell>
        </row>
        <row r="82">
          <cell r="D82">
            <v>6866</v>
          </cell>
        </row>
        <row r="83">
          <cell r="D83">
            <v>882</v>
          </cell>
        </row>
        <row r="84">
          <cell r="D84">
            <v>1078</v>
          </cell>
        </row>
        <row r="85">
          <cell r="D85">
            <v>1015</v>
          </cell>
        </row>
        <row r="86">
          <cell r="D86">
            <v>2307</v>
          </cell>
        </row>
        <row r="87">
          <cell r="D87">
            <v>2698</v>
          </cell>
        </row>
        <row r="88">
          <cell r="D88">
            <v>3066</v>
          </cell>
        </row>
        <row r="89">
          <cell r="D89">
            <v>1591</v>
          </cell>
        </row>
        <row r="90">
          <cell r="D90">
            <v>4755</v>
          </cell>
        </row>
        <row r="91">
          <cell r="D91">
            <v>4147</v>
          </cell>
        </row>
        <row r="92">
          <cell r="D92">
            <v>3121</v>
          </cell>
        </row>
        <row r="93">
          <cell r="D93">
            <v>3597</v>
          </cell>
        </row>
        <row r="94">
          <cell r="D94">
            <v>3020</v>
          </cell>
        </row>
        <row r="95">
          <cell r="D95">
            <v>942</v>
          </cell>
        </row>
        <row r="96">
          <cell r="D96">
            <v>349010</v>
          </cell>
        </row>
      </sheetData>
      <sheetData sheetId="1">
        <row r="11">
          <cell r="H11">
            <v>45275</v>
          </cell>
        </row>
        <row r="23">
          <cell r="H23">
            <v>4304</v>
          </cell>
        </row>
        <row r="24">
          <cell r="H24">
            <v>3096</v>
          </cell>
        </row>
        <row r="25">
          <cell r="H25">
            <v>7214</v>
          </cell>
        </row>
        <row r="26">
          <cell r="H26">
            <v>3071</v>
          </cell>
        </row>
        <row r="27">
          <cell r="H27">
            <v>1955</v>
          </cell>
        </row>
        <row r="28">
          <cell r="H28">
            <v>6851</v>
          </cell>
        </row>
        <row r="29">
          <cell r="H29">
            <v>13584</v>
          </cell>
        </row>
        <row r="30">
          <cell r="H30">
            <v>5929</v>
          </cell>
        </row>
        <row r="31">
          <cell r="H31">
            <v>1763</v>
          </cell>
        </row>
        <row r="32">
          <cell r="H32">
            <v>3233</v>
          </cell>
        </row>
        <row r="33">
          <cell r="H33">
            <v>5224</v>
          </cell>
        </row>
        <row r="34">
          <cell r="H34">
            <v>5041</v>
          </cell>
        </row>
        <row r="35">
          <cell r="H35">
            <v>4798</v>
          </cell>
        </row>
        <row r="36">
          <cell r="H36">
            <v>1101</v>
          </cell>
        </row>
        <row r="37">
          <cell r="H37">
            <v>3191</v>
          </cell>
        </row>
        <row r="38">
          <cell r="H38">
            <v>5130</v>
          </cell>
        </row>
        <row r="39">
          <cell r="H39">
            <v>0</v>
          </cell>
        </row>
        <row r="40">
          <cell r="H40">
            <v>4921</v>
          </cell>
        </row>
        <row r="41">
          <cell r="H41">
            <v>3547</v>
          </cell>
        </row>
        <row r="42">
          <cell r="H42">
            <v>7632</v>
          </cell>
        </row>
        <row r="43">
          <cell r="H43">
            <v>1883</v>
          </cell>
        </row>
        <row r="44">
          <cell r="H44">
            <v>6252</v>
          </cell>
        </row>
        <row r="45">
          <cell r="H45">
            <v>4161</v>
          </cell>
        </row>
        <row r="46">
          <cell r="H46">
            <v>5120</v>
          </cell>
        </row>
        <row r="47">
          <cell r="H47">
            <v>1628</v>
          </cell>
        </row>
        <row r="48">
          <cell r="H48">
            <v>3224</v>
          </cell>
        </row>
        <row r="49">
          <cell r="H49">
            <v>7083</v>
          </cell>
        </row>
        <row r="50">
          <cell r="H50">
            <v>1754</v>
          </cell>
        </row>
        <row r="51">
          <cell r="H51">
            <v>4632</v>
          </cell>
        </row>
        <row r="52">
          <cell r="H52">
            <v>1330</v>
          </cell>
        </row>
        <row r="53">
          <cell r="H53">
            <v>4686</v>
          </cell>
        </row>
        <row r="54">
          <cell r="H54">
            <v>4737</v>
          </cell>
        </row>
        <row r="55">
          <cell r="H55">
            <v>2414</v>
          </cell>
        </row>
        <row r="56">
          <cell r="H56">
            <v>5369</v>
          </cell>
        </row>
        <row r="57">
          <cell r="H57">
            <v>2685</v>
          </cell>
        </row>
        <row r="58">
          <cell r="H58">
            <v>1797</v>
          </cell>
        </row>
        <row r="59">
          <cell r="H59">
            <v>3</v>
          </cell>
        </row>
        <row r="60">
          <cell r="H60">
            <v>3782</v>
          </cell>
        </row>
        <row r="61">
          <cell r="H61">
            <v>4585</v>
          </cell>
        </row>
        <row r="62">
          <cell r="H62">
            <v>1571</v>
          </cell>
        </row>
        <row r="63">
          <cell r="H63">
            <v>3542</v>
          </cell>
        </row>
        <row r="64">
          <cell r="H64">
            <v>7392</v>
          </cell>
        </row>
        <row r="65">
          <cell r="H65">
            <v>41387</v>
          </cell>
        </row>
        <row r="73">
          <cell r="H73">
            <v>47908</v>
          </cell>
        </row>
        <row r="81">
          <cell r="H81">
            <v>5765</v>
          </cell>
        </row>
        <row r="82">
          <cell r="H82">
            <v>6498</v>
          </cell>
        </row>
        <row r="83">
          <cell r="H83">
            <v>1261</v>
          </cell>
        </row>
        <row r="84">
          <cell r="H84">
            <v>969</v>
          </cell>
        </row>
        <row r="85">
          <cell r="H85">
            <v>1424</v>
          </cell>
        </row>
        <row r="86">
          <cell r="H86">
            <v>2162</v>
          </cell>
        </row>
        <row r="87">
          <cell r="H87">
            <v>2672</v>
          </cell>
        </row>
        <row r="88">
          <cell r="H88">
            <v>3195</v>
          </cell>
        </row>
        <row r="89">
          <cell r="H89">
            <v>1459</v>
          </cell>
        </row>
        <row r="90">
          <cell r="H90">
            <v>4351</v>
          </cell>
        </row>
        <row r="91">
          <cell r="H91">
            <v>3572</v>
          </cell>
        </row>
        <row r="92">
          <cell r="H92">
            <v>3167</v>
          </cell>
        </row>
        <row r="93">
          <cell r="H93">
            <v>3432</v>
          </cell>
        </row>
        <row r="94">
          <cell r="H94">
            <v>2521</v>
          </cell>
        </row>
        <row r="95">
          <cell r="H95">
            <v>765</v>
          </cell>
        </row>
        <row r="96">
          <cell r="D96">
            <v>307</v>
          </cell>
          <cell r="E96">
            <v>57847</v>
          </cell>
          <cell r="F96">
            <v>289645</v>
          </cell>
          <cell r="G96">
            <v>1199</v>
          </cell>
        </row>
        <row r="99">
          <cell r="C99">
            <v>7377</v>
          </cell>
          <cell r="F99">
            <v>14072</v>
          </cell>
        </row>
        <row r="100">
          <cell r="C100">
            <v>155</v>
          </cell>
          <cell r="F100">
            <v>313</v>
          </cell>
        </row>
        <row r="101">
          <cell r="C101">
            <v>0</v>
          </cell>
          <cell r="F101">
            <v>11186</v>
          </cell>
        </row>
        <row r="102">
          <cell r="C102">
            <v>1675</v>
          </cell>
          <cell r="F102">
            <v>207</v>
          </cell>
        </row>
        <row r="103">
          <cell r="C103">
            <v>14430</v>
          </cell>
          <cell r="F103">
            <v>0</v>
          </cell>
        </row>
        <row r="104">
          <cell r="C104">
            <v>0</v>
          </cell>
          <cell r="F104">
            <v>15512</v>
          </cell>
        </row>
        <row r="105">
          <cell r="C105">
            <v>0</v>
          </cell>
          <cell r="F105">
            <v>97</v>
          </cell>
        </row>
        <row r="106">
          <cell r="C106">
            <v>899</v>
          </cell>
        </row>
        <row r="107">
          <cell r="C107">
            <v>13781</v>
          </cell>
        </row>
        <row r="108">
          <cell r="C108">
            <v>733</v>
          </cell>
        </row>
        <row r="109">
          <cell r="C109">
            <v>6225</v>
          </cell>
        </row>
        <row r="113">
          <cell r="C113">
            <v>9704</v>
          </cell>
        </row>
        <row r="114">
          <cell r="C114">
            <v>39</v>
          </cell>
        </row>
        <row r="115">
          <cell r="C115">
            <v>16105</v>
          </cell>
        </row>
        <row r="116">
          <cell r="C116">
            <v>19758</v>
          </cell>
        </row>
        <row r="117">
          <cell r="C117">
            <v>2286</v>
          </cell>
        </row>
        <row r="118">
          <cell r="C118">
            <v>16</v>
          </cell>
        </row>
        <row r="119">
          <cell r="C119">
            <v>0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idas"/>
      <sheetName val="entradas"/>
      <sheetName val="ALIMENTADORES"/>
    </sheetNames>
    <sheetDataSet>
      <sheetData sheetId="0">
        <row r="11">
          <cell r="D11">
            <v>19923</v>
          </cell>
        </row>
        <row r="23">
          <cell r="D23">
            <v>849</v>
          </cell>
        </row>
        <row r="24">
          <cell r="D24">
            <v>1737</v>
          </cell>
          <cell r="G24">
            <v>2911</v>
          </cell>
        </row>
        <row r="25">
          <cell r="D25">
            <v>2231</v>
          </cell>
          <cell r="G25">
            <v>103</v>
          </cell>
        </row>
        <row r="26">
          <cell r="D26">
            <v>2885</v>
          </cell>
          <cell r="G26">
            <v>0</v>
          </cell>
        </row>
        <row r="27">
          <cell r="D27">
            <v>706</v>
          </cell>
          <cell r="G27">
            <v>6422</v>
          </cell>
        </row>
        <row r="28">
          <cell r="D28">
            <v>2390</v>
          </cell>
          <cell r="G28">
            <v>133</v>
          </cell>
        </row>
        <row r="29">
          <cell r="D29">
            <v>4881</v>
          </cell>
          <cell r="G29">
            <v>0</v>
          </cell>
        </row>
        <row r="30">
          <cell r="D30">
            <v>2007</v>
          </cell>
          <cell r="G30">
            <v>0</v>
          </cell>
        </row>
        <row r="31">
          <cell r="D31">
            <v>484</v>
          </cell>
          <cell r="G31">
            <v>6052</v>
          </cell>
        </row>
        <row r="32">
          <cell r="D32">
            <v>1435</v>
          </cell>
          <cell r="G32">
            <v>157</v>
          </cell>
        </row>
        <row r="33">
          <cell r="D33">
            <v>1521</v>
          </cell>
          <cell r="G33">
            <v>4094</v>
          </cell>
        </row>
        <row r="34">
          <cell r="D34">
            <v>2382</v>
          </cell>
          <cell r="G34">
            <v>51</v>
          </cell>
        </row>
        <row r="35">
          <cell r="D35">
            <v>1607</v>
          </cell>
        </row>
        <row r="36">
          <cell r="D36">
            <v>433</v>
          </cell>
        </row>
        <row r="37">
          <cell r="D37">
            <v>961</v>
          </cell>
        </row>
        <row r="38">
          <cell r="D38">
            <v>1815</v>
          </cell>
          <cell r="G38">
            <v>4659</v>
          </cell>
        </row>
        <row r="39">
          <cell r="D39">
            <v>0</v>
          </cell>
          <cell r="G39">
            <v>232</v>
          </cell>
        </row>
        <row r="40">
          <cell r="D40">
            <v>1333</v>
          </cell>
          <cell r="G40">
            <v>562</v>
          </cell>
        </row>
        <row r="41">
          <cell r="D41">
            <v>1193</v>
          </cell>
          <cell r="G41">
            <v>7033</v>
          </cell>
        </row>
        <row r="42">
          <cell r="D42">
            <v>4556</v>
          </cell>
          <cell r="G42">
            <v>0</v>
          </cell>
        </row>
        <row r="43">
          <cell r="D43">
            <v>506</v>
          </cell>
          <cell r="G43">
            <v>296</v>
          </cell>
        </row>
        <row r="44">
          <cell r="D44">
            <v>846</v>
          </cell>
          <cell r="G44">
            <v>4855</v>
          </cell>
        </row>
        <row r="45">
          <cell r="D45">
            <v>1641</v>
          </cell>
        </row>
        <row r="46">
          <cell r="D46">
            <v>3444</v>
          </cell>
        </row>
        <row r="47">
          <cell r="D47">
            <v>748</v>
          </cell>
        </row>
        <row r="48">
          <cell r="D48">
            <v>1024</v>
          </cell>
          <cell r="G48">
            <v>5070</v>
          </cell>
        </row>
        <row r="49">
          <cell r="D49">
            <v>1986</v>
          </cell>
          <cell r="G49">
            <v>75</v>
          </cell>
        </row>
        <row r="50">
          <cell r="D50">
            <v>664</v>
          </cell>
          <cell r="G50">
            <v>186</v>
          </cell>
        </row>
        <row r="51">
          <cell r="D51">
            <v>1778</v>
          </cell>
          <cell r="G51">
            <v>296</v>
          </cell>
        </row>
        <row r="52">
          <cell r="D52">
            <v>485</v>
          </cell>
          <cell r="G52">
            <v>12034</v>
          </cell>
        </row>
        <row r="53">
          <cell r="D53">
            <v>2448</v>
          </cell>
          <cell r="G53">
            <v>6364</v>
          </cell>
        </row>
        <row r="54">
          <cell r="D54">
            <v>2070</v>
          </cell>
          <cell r="G54">
            <v>0</v>
          </cell>
        </row>
        <row r="55">
          <cell r="D55">
            <v>897</v>
          </cell>
        </row>
        <row r="56">
          <cell r="D56">
            <v>4189</v>
          </cell>
        </row>
        <row r="57">
          <cell r="D57">
            <v>1214</v>
          </cell>
        </row>
        <row r="58">
          <cell r="D58">
            <v>92</v>
          </cell>
        </row>
        <row r="59">
          <cell r="D59">
            <v>707</v>
          </cell>
        </row>
        <row r="60">
          <cell r="D60">
            <v>1605</v>
          </cell>
        </row>
        <row r="61">
          <cell r="D61">
            <v>2364</v>
          </cell>
        </row>
        <row r="62">
          <cell r="D62">
            <v>488</v>
          </cell>
        </row>
        <row r="63">
          <cell r="D63">
            <v>1133</v>
          </cell>
        </row>
        <row r="64">
          <cell r="D64">
            <v>3625</v>
          </cell>
        </row>
        <row r="65">
          <cell r="D65">
            <v>17637</v>
          </cell>
        </row>
        <row r="73">
          <cell r="D73">
            <v>24025</v>
          </cell>
        </row>
        <row r="81">
          <cell r="D81">
            <v>1755</v>
          </cell>
        </row>
        <row r="82">
          <cell r="D82">
            <v>3324</v>
          </cell>
        </row>
        <row r="83">
          <cell r="D83">
            <v>380</v>
          </cell>
        </row>
        <row r="84">
          <cell r="D84">
            <v>467</v>
          </cell>
        </row>
        <row r="85">
          <cell r="D85">
            <v>406</v>
          </cell>
        </row>
        <row r="86">
          <cell r="D86">
            <v>916</v>
          </cell>
        </row>
        <row r="87">
          <cell r="D87">
            <v>765</v>
          </cell>
        </row>
        <row r="88">
          <cell r="D88">
            <v>1104</v>
          </cell>
        </row>
        <row r="89">
          <cell r="D89">
            <v>489</v>
          </cell>
        </row>
        <row r="90">
          <cell r="D90">
            <v>1558</v>
          </cell>
        </row>
        <row r="91">
          <cell r="D91">
            <v>1135</v>
          </cell>
        </row>
        <row r="92">
          <cell r="D92">
            <v>957</v>
          </cell>
        </row>
        <row r="93">
          <cell r="D93">
            <v>2091</v>
          </cell>
        </row>
        <row r="94">
          <cell r="D94">
            <v>935</v>
          </cell>
        </row>
        <row r="95">
          <cell r="D95">
            <v>295</v>
          </cell>
        </row>
        <row r="96">
          <cell r="D96">
            <v>147522</v>
          </cell>
        </row>
      </sheetData>
      <sheetData sheetId="1">
        <row r="11">
          <cell r="H11">
            <v>17939</v>
          </cell>
        </row>
        <row r="23">
          <cell r="H23">
            <v>1450</v>
          </cell>
        </row>
        <row r="24">
          <cell r="H24">
            <v>1196</v>
          </cell>
        </row>
        <row r="25">
          <cell r="H25">
            <v>2815</v>
          </cell>
        </row>
        <row r="26">
          <cell r="H26">
            <v>1346</v>
          </cell>
        </row>
        <row r="27">
          <cell r="H27">
            <v>653</v>
          </cell>
        </row>
        <row r="28">
          <cell r="H28">
            <v>2387</v>
          </cell>
        </row>
        <row r="29">
          <cell r="H29">
            <v>5400</v>
          </cell>
        </row>
        <row r="30">
          <cell r="H30">
            <v>1626</v>
          </cell>
        </row>
        <row r="31">
          <cell r="H31">
            <v>555</v>
          </cell>
        </row>
        <row r="32">
          <cell r="H32">
            <v>1315</v>
          </cell>
        </row>
        <row r="33">
          <cell r="H33">
            <v>1750</v>
          </cell>
        </row>
        <row r="34">
          <cell r="H34">
            <v>1693</v>
          </cell>
        </row>
        <row r="35">
          <cell r="H35">
            <v>1861</v>
          </cell>
        </row>
        <row r="36">
          <cell r="H36">
            <v>372</v>
          </cell>
        </row>
        <row r="37">
          <cell r="H37">
            <v>798</v>
          </cell>
        </row>
        <row r="38">
          <cell r="H38">
            <v>1842</v>
          </cell>
        </row>
        <row r="39">
          <cell r="H39">
            <v>0</v>
          </cell>
        </row>
        <row r="40">
          <cell r="H40">
            <v>1417</v>
          </cell>
        </row>
        <row r="41">
          <cell r="H41">
            <v>1151</v>
          </cell>
        </row>
        <row r="42">
          <cell r="H42">
            <v>3810</v>
          </cell>
        </row>
        <row r="43">
          <cell r="H43">
            <v>493</v>
          </cell>
        </row>
        <row r="44">
          <cell r="H44">
            <v>908</v>
          </cell>
        </row>
        <row r="45">
          <cell r="H45">
            <v>1389</v>
          </cell>
        </row>
        <row r="46">
          <cell r="H46">
            <v>3387</v>
          </cell>
        </row>
        <row r="47">
          <cell r="H47">
            <v>658</v>
          </cell>
        </row>
        <row r="48">
          <cell r="H48">
            <v>949</v>
          </cell>
        </row>
        <row r="49">
          <cell r="H49">
            <v>1725</v>
          </cell>
        </row>
        <row r="50">
          <cell r="H50">
            <v>300</v>
          </cell>
        </row>
        <row r="51">
          <cell r="H51">
            <v>1716</v>
          </cell>
        </row>
        <row r="52">
          <cell r="H52">
            <v>476</v>
          </cell>
        </row>
        <row r="53">
          <cell r="H53">
            <v>2063</v>
          </cell>
        </row>
        <row r="54">
          <cell r="H54">
            <v>1786</v>
          </cell>
        </row>
        <row r="55">
          <cell r="H55">
            <v>866</v>
          </cell>
        </row>
        <row r="56">
          <cell r="H56">
            <v>3799</v>
          </cell>
        </row>
        <row r="57">
          <cell r="H57">
            <v>1106</v>
          </cell>
        </row>
        <row r="58">
          <cell r="H58">
            <v>568</v>
          </cell>
        </row>
        <row r="59">
          <cell r="H59">
            <v>2</v>
          </cell>
        </row>
        <row r="60">
          <cell r="H60">
            <v>1491</v>
          </cell>
        </row>
        <row r="61">
          <cell r="H61">
            <v>2040</v>
          </cell>
        </row>
        <row r="62">
          <cell r="H62">
            <v>545</v>
          </cell>
        </row>
        <row r="63">
          <cell r="H63">
            <v>1364</v>
          </cell>
        </row>
        <row r="64">
          <cell r="H64">
            <v>2346</v>
          </cell>
        </row>
        <row r="65">
          <cell r="H65">
            <v>16910</v>
          </cell>
        </row>
        <row r="73">
          <cell r="H73">
            <v>19599</v>
          </cell>
        </row>
        <row r="81">
          <cell r="H81">
            <v>1703</v>
          </cell>
        </row>
        <row r="82">
          <cell r="H82">
            <v>2504</v>
          </cell>
        </row>
        <row r="83">
          <cell r="H83">
            <v>478</v>
          </cell>
        </row>
        <row r="84">
          <cell r="H84">
            <v>393</v>
          </cell>
        </row>
        <row r="85">
          <cell r="H85">
            <v>440</v>
          </cell>
        </row>
        <row r="86">
          <cell r="H86">
            <v>799</v>
          </cell>
        </row>
        <row r="87">
          <cell r="H87">
            <v>646</v>
          </cell>
        </row>
        <row r="88">
          <cell r="H88">
            <v>1073</v>
          </cell>
        </row>
        <row r="89">
          <cell r="H89">
            <v>471</v>
          </cell>
        </row>
        <row r="90">
          <cell r="H90">
            <v>1498</v>
          </cell>
        </row>
        <row r="91">
          <cell r="H91">
            <v>1033</v>
          </cell>
        </row>
        <row r="92">
          <cell r="H92">
            <v>1164</v>
          </cell>
        </row>
        <row r="93">
          <cell r="H93">
            <v>2001</v>
          </cell>
        </row>
        <row r="94">
          <cell r="H94">
            <v>804</v>
          </cell>
        </row>
        <row r="95">
          <cell r="H95">
            <v>272</v>
          </cell>
        </row>
        <row r="96">
          <cell r="D96">
            <v>150</v>
          </cell>
          <cell r="E96">
            <v>16555</v>
          </cell>
          <cell r="F96">
            <v>116163</v>
          </cell>
          <cell r="G96">
            <v>273</v>
          </cell>
        </row>
        <row r="99">
          <cell r="C99">
            <v>2522</v>
          </cell>
          <cell r="F99">
            <v>6010</v>
          </cell>
        </row>
        <row r="100">
          <cell r="C100">
            <v>46</v>
          </cell>
          <cell r="F100">
            <v>74</v>
          </cell>
        </row>
        <row r="101">
          <cell r="C101">
            <v>0</v>
          </cell>
          <cell r="F101">
            <v>4504</v>
          </cell>
        </row>
        <row r="102">
          <cell r="C102">
            <v>12</v>
          </cell>
          <cell r="F102">
            <v>11</v>
          </cell>
        </row>
        <row r="103">
          <cell r="C103">
            <v>6072</v>
          </cell>
          <cell r="F103">
            <v>0</v>
          </cell>
        </row>
        <row r="104">
          <cell r="C104">
            <v>0</v>
          </cell>
          <cell r="F104">
            <v>6306</v>
          </cell>
        </row>
        <row r="105">
          <cell r="C105">
            <v>0</v>
          </cell>
          <cell r="F105">
            <v>5</v>
          </cell>
        </row>
        <row r="106">
          <cell r="C106">
            <v>13</v>
          </cell>
        </row>
        <row r="107">
          <cell r="C107">
            <v>6105</v>
          </cell>
        </row>
        <row r="108">
          <cell r="C108">
            <v>44</v>
          </cell>
        </row>
        <row r="109">
          <cell r="C109">
            <v>3125</v>
          </cell>
        </row>
        <row r="113">
          <cell r="C113">
            <v>4088</v>
          </cell>
        </row>
        <row r="114">
          <cell r="C114">
            <v>12</v>
          </cell>
        </row>
        <row r="115">
          <cell r="C115">
            <v>7516</v>
          </cell>
        </row>
        <row r="116">
          <cell r="C116">
            <v>7961</v>
          </cell>
        </row>
        <row r="117">
          <cell r="C117">
            <v>15</v>
          </cell>
        </row>
        <row r="118">
          <cell r="C118">
            <v>7</v>
          </cell>
        </row>
        <row r="119">
          <cell r="C119">
            <v>0</v>
          </cell>
        </row>
      </sheetData>
      <sheetData sheetId="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12299</v>
          </cell>
          <cell r="G10">
            <v>8038900</v>
          </cell>
          <cell r="H10">
            <v>28947200</v>
          </cell>
        </row>
        <row r="14">
          <cell r="F14">
            <v>6189</v>
          </cell>
          <cell r="G14">
            <v>2289900</v>
          </cell>
          <cell r="H14">
            <v>12811200</v>
          </cell>
        </row>
        <row r="15">
          <cell r="F15">
            <v>6562</v>
          </cell>
          <cell r="G15">
            <v>1694300</v>
          </cell>
          <cell r="H15">
            <v>12849700</v>
          </cell>
        </row>
        <row r="16">
          <cell r="F16">
            <v>6690</v>
          </cell>
          <cell r="G16">
            <v>2574900</v>
          </cell>
          <cell r="H16">
            <v>13947900</v>
          </cell>
        </row>
        <row r="17">
          <cell r="F17">
            <v>4974</v>
          </cell>
          <cell r="G17">
            <v>1940200</v>
          </cell>
          <cell r="H17">
            <v>10396000</v>
          </cell>
        </row>
        <row r="18">
          <cell r="F18">
            <v>5704</v>
          </cell>
          <cell r="G18">
            <v>3265950</v>
          </cell>
          <cell r="H18">
            <v>12962750</v>
          </cell>
        </row>
        <row r="19">
          <cell r="F19">
            <v>6529</v>
          </cell>
          <cell r="G19">
            <v>3632100</v>
          </cell>
          <cell r="H19">
            <v>14731400</v>
          </cell>
        </row>
        <row r="20">
          <cell r="F20">
            <v>3615</v>
          </cell>
          <cell r="G20">
            <v>1582400</v>
          </cell>
          <cell r="H20">
            <v>7727900</v>
          </cell>
        </row>
        <row r="21">
          <cell r="F21">
            <v>4173</v>
          </cell>
          <cell r="G21">
            <v>2837800</v>
          </cell>
          <cell r="H21">
            <v>9931900</v>
          </cell>
        </row>
        <row r="22">
          <cell r="F22">
            <v>8836</v>
          </cell>
          <cell r="G22">
            <v>4954500</v>
          </cell>
          <cell r="H22">
            <v>19975700</v>
          </cell>
        </row>
        <row r="23">
          <cell r="F23">
            <v>3756</v>
          </cell>
          <cell r="G23">
            <v>1934200</v>
          </cell>
          <cell r="H23">
            <v>8319400</v>
          </cell>
        </row>
        <row r="24">
          <cell r="F24">
            <v>3000</v>
          </cell>
          <cell r="G24">
            <v>1805200</v>
          </cell>
          <cell r="H24">
            <v>6905200</v>
          </cell>
        </row>
        <row r="25">
          <cell r="F25">
            <v>2635</v>
          </cell>
          <cell r="G25">
            <v>1837800</v>
          </cell>
          <cell r="H25">
            <v>6317300</v>
          </cell>
        </row>
        <row r="26">
          <cell r="F26">
            <v>6435</v>
          </cell>
          <cell r="G26">
            <v>2509850</v>
          </cell>
          <cell r="H26">
            <v>13449350</v>
          </cell>
        </row>
        <row r="27">
          <cell r="F27">
            <v>16427</v>
          </cell>
          <cell r="G27">
            <v>10637600</v>
          </cell>
          <cell r="H27">
            <v>38563500</v>
          </cell>
        </row>
        <row r="28">
          <cell r="F28">
            <v>13531</v>
          </cell>
          <cell r="G28">
            <v>8043700</v>
          </cell>
          <cell r="H28">
            <v>31046400</v>
          </cell>
        </row>
        <row r="29">
          <cell r="F29">
            <v>11290</v>
          </cell>
          <cell r="G29">
            <v>6929100</v>
          </cell>
          <cell r="H29">
            <v>26122100</v>
          </cell>
        </row>
        <row r="30">
          <cell r="F30">
            <v>15583</v>
          </cell>
          <cell r="G30">
            <v>6921300</v>
          </cell>
          <cell r="H30">
            <v>33412400</v>
          </cell>
        </row>
        <row r="31">
          <cell r="F31">
            <v>8940</v>
          </cell>
          <cell r="G31">
            <v>4636850</v>
          </cell>
          <cell r="H31">
            <v>19834850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11807</v>
          </cell>
          <cell r="G33">
            <v>4316900</v>
          </cell>
          <cell r="H33">
            <v>24388800</v>
          </cell>
        </row>
        <row r="34">
          <cell r="F34">
            <v>15169</v>
          </cell>
          <cell r="G34">
            <v>5963700</v>
          </cell>
          <cell r="H34">
            <v>31751000</v>
          </cell>
        </row>
        <row r="35">
          <cell r="F35">
            <v>12136</v>
          </cell>
          <cell r="G35">
            <v>7582000</v>
          </cell>
          <cell r="H35">
            <v>28213200</v>
          </cell>
        </row>
        <row r="36">
          <cell r="F36">
            <v>13678</v>
          </cell>
          <cell r="G36">
            <v>6535200</v>
          </cell>
          <cell r="H36">
            <v>29787800</v>
          </cell>
        </row>
        <row r="37">
          <cell r="F37">
            <v>4014</v>
          </cell>
          <cell r="G37">
            <v>3210100</v>
          </cell>
          <cell r="H37">
            <v>10033900</v>
          </cell>
        </row>
        <row r="38">
          <cell r="F38">
            <v>6583</v>
          </cell>
          <cell r="G38">
            <v>3802400</v>
          </cell>
          <cell r="H38">
            <v>14993500</v>
          </cell>
        </row>
        <row r="39">
          <cell r="F39">
            <v>2853</v>
          </cell>
          <cell r="G39">
            <v>3157900</v>
          </cell>
          <cell r="H39">
            <v>8008000</v>
          </cell>
        </row>
        <row r="40">
          <cell r="F40">
            <v>12721</v>
          </cell>
          <cell r="G40">
            <v>8492400</v>
          </cell>
          <cell r="H40">
            <v>30118100</v>
          </cell>
        </row>
        <row r="41">
          <cell r="F41">
            <v>6446</v>
          </cell>
          <cell r="G41">
            <v>2627000</v>
          </cell>
          <cell r="H41">
            <v>13585200</v>
          </cell>
        </row>
        <row r="42">
          <cell r="F42">
            <v>2298</v>
          </cell>
          <cell r="G42">
            <v>2265400</v>
          </cell>
          <cell r="H42">
            <v>6172000</v>
          </cell>
        </row>
        <row r="43">
          <cell r="F43">
            <v>3967</v>
          </cell>
          <cell r="G43">
            <v>1834900</v>
          </cell>
          <cell r="H43">
            <v>8578800</v>
          </cell>
        </row>
        <row r="44">
          <cell r="F44">
            <v>1540</v>
          </cell>
          <cell r="G44">
            <v>833650</v>
          </cell>
          <cell r="H44">
            <v>3451650</v>
          </cell>
        </row>
        <row r="45">
          <cell r="F45">
            <v>14944</v>
          </cell>
          <cell r="G45">
            <v>6209550</v>
          </cell>
          <cell r="H45">
            <v>31614350</v>
          </cell>
        </row>
        <row r="46">
          <cell r="F46">
            <v>3284</v>
          </cell>
          <cell r="G46">
            <v>3235600</v>
          </cell>
          <cell r="H46">
            <v>8818400</v>
          </cell>
        </row>
        <row r="47">
          <cell r="F47">
            <v>22834</v>
          </cell>
          <cell r="G47">
            <v>8093600</v>
          </cell>
          <cell r="H47">
            <v>46911400</v>
          </cell>
        </row>
        <row r="52">
          <cell r="F52">
            <v>8994</v>
          </cell>
          <cell r="G52">
            <v>4324400</v>
          </cell>
          <cell r="H52">
            <v>19614200</v>
          </cell>
        </row>
        <row r="53">
          <cell r="F53">
            <v>7932</v>
          </cell>
          <cell r="G53">
            <v>5295800</v>
          </cell>
          <cell r="H53">
            <v>18780200</v>
          </cell>
        </row>
        <row r="54">
          <cell r="F54">
            <v>14584</v>
          </cell>
          <cell r="G54">
            <v>6764500</v>
          </cell>
          <cell r="H54">
            <v>31557300</v>
          </cell>
        </row>
        <row r="55">
          <cell r="F55">
            <v>4760</v>
          </cell>
          <cell r="G55">
            <v>3076100</v>
          </cell>
          <cell r="H55">
            <v>11168100</v>
          </cell>
        </row>
        <row r="56">
          <cell r="F56">
            <v>5689</v>
          </cell>
          <cell r="G56">
            <v>1913101</v>
          </cell>
          <cell r="H56">
            <v>11584401</v>
          </cell>
        </row>
        <row r="57">
          <cell r="F57">
            <v>10501</v>
          </cell>
          <cell r="G57">
            <v>5176000</v>
          </cell>
          <cell r="H57">
            <v>23027700</v>
          </cell>
        </row>
        <row r="58">
          <cell r="F58">
            <v>14428</v>
          </cell>
          <cell r="G58">
            <v>5928700</v>
          </cell>
          <cell r="H58">
            <v>30456300</v>
          </cell>
        </row>
        <row r="59">
          <cell r="F59">
            <v>7258</v>
          </cell>
          <cell r="G59">
            <v>3201400</v>
          </cell>
          <cell r="H59">
            <v>15540000</v>
          </cell>
        </row>
        <row r="60">
          <cell r="F60">
            <v>8117</v>
          </cell>
          <cell r="G60">
            <v>3777950</v>
          </cell>
          <cell r="H60">
            <v>17576850</v>
          </cell>
        </row>
        <row r="61">
          <cell r="F61">
            <v>5126</v>
          </cell>
          <cell r="G61">
            <v>2432100</v>
          </cell>
          <cell r="H61">
            <v>11146300</v>
          </cell>
        </row>
        <row r="62">
          <cell r="F62">
            <v>15080</v>
          </cell>
          <cell r="G62">
            <v>6652500</v>
          </cell>
          <cell r="H62">
            <v>32288500</v>
          </cell>
        </row>
        <row r="63">
          <cell r="F63">
            <v>11757</v>
          </cell>
          <cell r="G63">
            <v>5237450</v>
          </cell>
          <cell r="H63">
            <v>25224350</v>
          </cell>
        </row>
        <row r="64">
          <cell r="F64">
            <v>9287</v>
          </cell>
          <cell r="G64">
            <v>5062150</v>
          </cell>
          <cell r="H64">
            <v>20850050</v>
          </cell>
        </row>
        <row r="65">
          <cell r="F65">
            <v>5565</v>
          </cell>
          <cell r="G65">
            <v>3683000</v>
          </cell>
          <cell r="H65">
            <v>13143500</v>
          </cell>
        </row>
        <row r="66">
          <cell r="F66">
            <v>9294</v>
          </cell>
          <cell r="G66">
            <v>6127600</v>
          </cell>
          <cell r="H66">
            <v>21927400</v>
          </cell>
        </row>
        <row r="67">
          <cell r="F67">
            <v>5323</v>
          </cell>
          <cell r="G67">
            <v>3418101</v>
          </cell>
          <cell r="H67">
            <v>12467201</v>
          </cell>
        </row>
        <row r="68">
          <cell r="F68">
            <v>9165</v>
          </cell>
          <cell r="G68">
            <v>4424100</v>
          </cell>
          <cell r="H68">
            <v>20004600</v>
          </cell>
        </row>
        <row r="69">
          <cell r="F69">
            <v>6914</v>
          </cell>
          <cell r="G69">
            <v>3500200</v>
          </cell>
          <cell r="H69">
            <v>15254000</v>
          </cell>
        </row>
        <row r="70">
          <cell r="F70">
            <v>12111</v>
          </cell>
          <cell r="G70">
            <v>6761550</v>
          </cell>
          <cell r="H70">
            <v>27350250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5811</v>
          </cell>
          <cell r="G72">
            <v>2736000</v>
          </cell>
          <cell r="H72">
            <v>12614700</v>
          </cell>
        </row>
        <row r="73">
          <cell r="F73">
            <v>3891</v>
          </cell>
          <cell r="G73">
            <v>1039000</v>
          </cell>
          <cell r="H73">
            <v>7653700</v>
          </cell>
        </row>
        <row r="74">
          <cell r="F74">
            <v>13105</v>
          </cell>
          <cell r="G74">
            <v>4520000</v>
          </cell>
          <cell r="H74">
            <v>26798500</v>
          </cell>
        </row>
        <row r="75">
          <cell r="F75">
            <v>6252</v>
          </cell>
          <cell r="G75">
            <v>2576500</v>
          </cell>
          <cell r="H75">
            <v>13204900</v>
          </cell>
        </row>
        <row r="76">
          <cell r="F76">
            <v>21006</v>
          </cell>
          <cell r="G76">
            <v>7855300</v>
          </cell>
          <cell r="H76">
            <v>43565500</v>
          </cell>
        </row>
        <row r="77">
          <cell r="F77">
            <v>9260</v>
          </cell>
          <cell r="G77">
            <v>2080100</v>
          </cell>
          <cell r="H77">
            <v>17822100</v>
          </cell>
        </row>
        <row r="78">
          <cell r="F78">
            <v>7378</v>
          </cell>
          <cell r="G78">
            <v>2983000</v>
          </cell>
          <cell r="H78">
            <v>15525600</v>
          </cell>
        </row>
        <row r="79">
          <cell r="F79">
            <v>2424</v>
          </cell>
          <cell r="G79">
            <v>415200</v>
          </cell>
          <cell r="H79">
            <v>4536000</v>
          </cell>
        </row>
        <row r="80">
          <cell r="F80">
            <v>4310</v>
          </cell>
          <cell r="G80">
            <v>1249000</v>
          </cell>
          <cell r="H80">
            <v>8576000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3018</v>
          </cell>
          <cell r="G84">
            <v>1286600</v>
          </cell>
          <cell r="H84">
            <v>6417200</v>
          </cell>
        </row>
        <row r="85">
          <cell r="F85">
            <v>1463</v>
          </cell>
          <cell r="G85">
            <v>440600</v>
          </cell>
          <cell r="H85">
            <v>2927700</v>
          </cell>
        </row>
        <row r="86">
          <cell r="F86">
            <v>4145</v>
          </cell>
          <cell r="G86">
            <v>2003500</v>
          </cell>
          <cell r="H86">
            <v>9050000</v>
          </cell>
        </row>
        <row r="87">
          <cell r="F87">
            <v>3456</v>
          </cell>
          <cell r="G87">
            <v>1217400</v>
          </cell>
          <cell r="H87">
            <v>7092600</v>
          </cell>
        </row>
        <row r="88">
          <cell r="F88">
            <v>5661</v>
          </cell>
          <cell r="G88">
            <v>2540000</v>
          </cell>
          <cell r="H88">
            <v>12163700</v>
          </cell>
        </row>
        <row r="89">
          <cell r="F89">
            <v>2062</v>
          </cell>
          <cell r="G89">
            <v>1738400</v>
          </cell>
          <cell r="H89">
            <v>5243800</v>
          </cell>
        </row>
        <row r="90">
          <cell r="F90">
            <v>2879</v>
          </cell>
          <cell r="G90">
            <v>1896700</v>
          </cell>
          <cell r="H90">
            <v>6791000</v>
          </cell>
        </row>
        <row r="91">
          <cell r="F91">
            <v>5082</v>
          </cell>
          <cell r="G91">
            <v>2859400</v>
          </cell>
          <cell r="H91">
            <v>11498800</v>
          </cell>
        </row>
        <row r="92">
          <cell r="F92">
            <v>2450</v>
          </cell>
          <cell r="G92">
            <v>1839600</v>
          </cell>
          <cell r="H92">
            <v>6004600</v>
          </cell>
        </row>
        <row r="93">
          <cell r="F93">
            <v>2894</v>
          </cell>
          <cell r="G93">
            <v>2444200</v>
          </cell>
          <cell r="H93">
            <v>7364000</v>
          </cell>
        </row>
        <row r="94">
          <cell r="F94">
            <v>591</v>
          </cell>
          <cell r="G94">
            <v>349200</v>
          </cell>
          <cell r="H94">
            <v>1353900</v>
          </cell>
        </row>
        <row r="95">
          <cell r="F95">
            <v>2945</v>
          </cell>
          <cell r="G95">
            <v>2019700</v>
          </cell>
          <cell r="H95">
            <v>7026200</v>
          </cell>
        </row>
        <row r="96">
          <cell r="F96">
            <v>3226</v>
          </cell>
          <cell r="G96">
            <v>845500</v>
          </cell>
          <cell r="H96">
            <v>6329700</v>
          </cell>
        </row>
        <row r="97">
          <cell r="F97">
            <v>6909</v>
          </cell>
          <cell r="G97">
            <v>1795900</v>
          </cell>
          <cell r="H97">
            <v>13541200</v>
          </cell>
        </row>
        <row r="98">
          <cell r="F98">
            <v>3309</v>
          </cell>
          <cell r="G98">
            <v>1425000</v>
          </cell>
          <cell r="H98">
            <v>7050300</v>
          </cell>
        </row>
        <row r="99">
          <cell r="F99">
            <v>7407</v>
          </cell>
          <cell r="G99">
            <v>2758000</v>
          </cell>
          <cell r="H99">
            <v>15349900</v>
          </cell>
        </row>
        <row r="100">
          <cell r="F100">
            <v>8431</v>
          </cell>
          <cell r="G100">
            <v>2529200</v>
          </cell>
          <cell r="H100">
            <v>16861900</v>
          </cell>
        </row>
        <row r="101">
          <cell r="F101">
            <v>2321</v>
          </cell>
          <cell r="G101">
            <v>642900</v>
          </cell>
          <cell r="H101">
            <v>4588600</v>
          </cell>
        </row>
        <row r="102">
          <cell r="F102">
            <v>12949</v>
          </cell>
          <cell r="G102">
            <v>2780100</v>
          </cell>
          <cell r="H102">
            <v>24793400</v>
          </cell>
        </row>
        <row r="103">
          <cell r="F103">
            <v>12265</v>
          </cell>
          <cell r="G103">
            <v>4019100</v>
          </cell>
          <cell r="H103">
            <v>24869600</v>
          </cell>
        </row>
        <row r="104">
          <cell r="F104">
            <v>5472</v>
          </cell>
          <cell r="G104">
            <v>2887200</v>
          </cell>
          <cell r="H104">
            <v>12189600</v>
          </cell>
        </row>
        <row r="105">
          <cell r="F105">
            <v>3890</v>
          </cell>
          <cell r="G105">
            <v>2050200</v>
          </cell>
          <cell r="H105">
            <v>8663200</v>
          </cell>
        </row>
        <row r="106">
          <cell r="F106">
            <v>3371</v>
          </cell>
          <cell r="G106">
            <v>1387900</v>
          </cell>
          <cell r="H106">
            <v>7118600</v>
          </cell>
        </row>
        <row r="107">
          <cell r="F107">
            <v>5524</v>
          </cell>
          <cell r="G107">
            <v>1993100</v>
          </cell>
          <cell r="H107">
            <v>11383900</v>
          </cell>
        </row>
        <row r="108">
          <cell r="F108">
            <v>5052</v>
          </cell>
          <cell r="G108">
            <v>2053200</v>
          </cell>
          <cell r="H108">
            <v>10641600</v>
          </cell>
        </row>
        <row r="109">
          <cell r="F109">
            <v>3423</v>
          </cell>
          <cell r="G109">
            <v>2010400</v>
          </cell>
          <cell r="H109">
            <v>7829500</v>
          </cell>
        </row>
        <row r="110">
          <cell r="F110">
            <v>2323</v>
          </cell>
          <cell r="G110">
            <v>733100</v>
          </cell>
          <cell r="H110">
            <v>4682200</v>
          </cell>
        </row>
        <row r="111">
          <cell r="F111">
            <v>6405</v>
          </cell>
          <cell r="G111">
            <v>2572900</v>
          </cell>
          <cell r="H111">
            <v>13461400</v>
          </cell>
        </row>
        <row r="112">
          <cell r="F112">
            <v>4464</v>
          </cell>
          <cell r="G112">
            <v>1823900</v>
          </cell>
          <cell r="H112">
            <v>9412700</v>
          </cell>
        </row>
        <row r="113">
          <cell r="F113">
            <v>4339</v>
          </cell>
          <cell r="G113">
            <v>3881450</v>
          </cell>
          <cell r="H113">
            <v>11257750</v>
          </cell>
        </row>
        <row r="114">
          <cell r="F114">
            <v>464</v>
          </cell>
          <cell r="G114">
            <v>238200</v>
          </cell>
          <cell r="H114">
            <v>1027000</v>
          </cell>
        </row>
        <row r="115">
          <cell r="F115">
            <v>2227</v>
          </cell>
          <cell r="G115">
            <v>580700</v>
          </cell>
          <cell r="H115">
            <v>4366600</v>
          </cell>
        </row>
        <row r="116">
          <cell r="F116">
            <v>471</v>
          </cell>
          <cell r="G116">
            <v>289800</v>
          </cell>
          <cell r="H116">
            <v>1090500</v>
          </cell>
        </row>
        <row r="117">
          <cell r="F117">
            <v>2250</v>
          </cell>
          <cell r="G117">
            <v>416200</v>
          </cell>
          <cell r="H117">
            <v>4241200</v>
          </cell>
        </row>
        <row r="118">
          <cell r="F118">
            <v>2662</v>
          </cell>
          <cell r="G118">
            <v>2010000</v>
          </cell>
          <cell r="H118">
            <v>6535400</v>
          </cell>
        </row>
        <row r="121">
          <cell r="F121">
            <v>40104</v>
          </cell>
          <cell r="G121">
            <v>6703750</v>
          </cell>
        </row>
        <row r="122">
          <cell r="F122">
            <v>9575</v>
          </cell>
          <cell r="G122">
            <v>18014900</v>
          </cell>
          <cell r="H122">
            <v>34292400</v>
          </cell>
        </row>
        <row r="133">
          <cell r="F133">
            <v>178111</v>
          </cell>
          <cell r="G133">
            <v>88554050</v>
          </cell>
          <cell r="H133">
            <v>391342750</v>
          </cell>
        </row>
        <row r="135">
          <cell r="F135">
            <v>305</v>
          </cell>
          <cell r="G135">
            <v>1229800</v>
          </cell>
          <cell r="H135">
            <v>1748300</v>
          </cell>
        </row>
        <row r="136">
          <cell r="F136">
            <v>6046</v>
          </cell>
          <cell r="G136">
            <v>6420450</v>
          </cell>
          <cell r="H136">
            <v>16698650</v>
          </cell>
        </row>
        <row r="137">
          <cell r="F137">
            <v>373</v>
          </cell>
          <cell r="G137">
            <v>1117600</v>
          </cell>
          <cell r="H137">
            <v>1751700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237</v>
          </cell>
          <cell r="G139">
            <v>1061100</v>
          </cell>
          <cell r="H139">
            <v>1464000</v>
          </cell>
        </row>
        <row r="140">
          <cell r="F140">
            <v>899</v>
          </cell>
          <cell r="G140">
            <v>1933500</v>
          </cell>
          <cell r="H140">
            <v>3461800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430</v>
          </cell>
          <cell r="G142">
            <v>855700</v>
          </cell>
          <cell r="H142">
            <v>1586700</v>
          </cell>
        </row>
        <row r="143">
          <cell r="F143">
            <v>505</v>
          </cell>
          <cell r="G143">
            <v>1210400</v>
          </cell>
          <cell r="H143">
            <v>2068900</v>
          </cell>
        </row>
        <row r="144">
          <cell r="F144">
            <v>310</v>
          </cell>
          <cell r="G144">
            <v>644500</v>
          </cell>
          <cell r="H144">
            <v>1171500</v>
          </cell>
          <cell r="M144">
            <v>1270539.3540000001</v>
          </cell>
        </row>
        <row r="145">
          <cell r="F145">
            <v>80</v>
          </cell>
          <cell r="G145">
            <v>407400</v>
          </cell>
          <cell r="H145">
            <v>543400</v>
          </cell>
        </row>
        <row r="146">
          <cell r="F146">
            <v>229</v>
          </cell>
          <cell r="G146">
            <v>598500</v>
          </cell>
          <cell r="H146">
            <v>987800</v>
          </cell>
        </row>
        <row r="147">
          <cell r="F147">
            <v>361</v>
          </cell>
          <cell r="G147">
            <v>1581100</v>
          </cell>
          <cell r="H147">
            <v>2194800</v>
          </cell>
        </row>
        <row r="148">
          <cell r="F148">
            <v>876</v>
          </cell>
          <cell r="G148">
            <v>2211600</v>
          </cell>
          <cell r="H148">
            <v>3700800</v>
          </cell>
        </row>
        <row r="149">
          <cell r="F149">
            <v>365</v>
          </cell>
          <cell r="G149">
            <v>1336400</v>
          </cell>
          <cell r="H149">
            <v>1956900</v>
          </cell>
        </row>
        <row r="150">
          <cell r="F150">
            <v>554</v>
          </cell>
          <cell r="G150">
            <v>1370400</v>
          </cell>
          <cell r="H150">
            <v>2312200</v>
          </cell>
        </row>
        <row r="153">
          <cell r="F153">
            <v>0</v>
          </cell>
          <cell r="G153">
            <v>140000</v>
          </cell>
          <cell r="H153">
            <v>140000</v>
          </cell>
        </row>
        <row r="154">
          <cell r="F154">
            <v>0</v>
          </cell>
          <cell r="G154">
            <v>361000</v>
          </cell>
          <cell r="H154">
            <v>361000</v>
          </cell>
        </row>
        <row r="155">
          <cell r="F155">
            <v>0</v>
          </cell>
          <cell r="G155">
            <v>321000</v>
          </cell>
          <cell r="H155">
            <v>321000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10000</v>
          </cell>
          <cell r="H157">
            <v>10000</v>
          </cell>
        </row>
        <row r="158">
          <cell r="F158">
            <v>0</v>
          </cell>
          <cell r="G158">
            <v>2419000</v>
          </cell>
          <cell r="H158">
            <v>2419000</v>
          </cell>
        </row>
        <row r="159">
          <cell r="F159">
            <v>0</v>
          </cell>
          <cell r="G159">
            <v>1940000</v>
          </cell>
          <cell r="H159">
            <v>1940000</v>
          </cell>
        </row>
        <row r="160">
          <cell r="F160">
            <v>0</v>
          </cell>
          <cell r="G160">
            <v>2028000</v>
          </cell>
          <cell r="H160">
            <v>2028000</v>
          </cell>
        </row>
        <row r="161">
          <cell r="F161">
            <v>0</v>
          </cell>
          <cell r="G161">
            <v>2993000</v>
          </cell>
          <cell r="H161">
            <v>2993000</v>
          </cell>
        </row>
        <row r="162">
          <cell r="F162">
            <v>0</v>
          </cell>
          <cell r="G162">
            <v>1771000</v>
          </cell>
          <cell r="H162">
            <v>1771000</v>
          </cell>
        </row>
        <row r="163">
          <cell r="F163">
            <v>0</v>
          </cell>
          <cell r="G163">
            <v>1423000</v>
          </cell>
          <cell r="H163">
            <v>1423000</v>
          </cell>
        </row>
        <row r="164">
          <cell r="F164">
            <v>0</v>
          </cell>
          <cell r="G164">
            <v>518000</v>
          </cell>
          <cell r="H164">
            <v>518000</v>
          </cell>
        </row>
        <row r="165">
          <cell r="F165">
            <v>0</v>
          </cell>
          <cell r="G165">
            <v>1634000</v>
          </cell>
          <cell r="H165">
            <v>1634000</v>
          </cell>
        </row>
        <row r="166">
          <cell r="F166">
            <v>0</v>
          </cell>
          <cell r="G166">
            <v>89000</v>
          </cell>
          <cell r="H166">
            <v>89000</v>
          </cell>
        </row>
        <row r="167">
          <cell r="F167">
            <v>0</v>
          </cell>
          <cell r="G167">
            <v>317000</v>
          </cell>
          <cell r="H167">
            <v>317000</v>
          </cell>
        </row>
        <row r="168">
          <cell r="F168">
            <v>0</v>
          </cell>
          <cell r="G168">
            <v>42000</v>
          </cell>
          <cell r="H168">
            <v>42000</v>
          </cell>
        </row>
        <row r="169">
          <cell r="F169">
            <v>0</v>
          </cell>
          <cell r="G169">
            <v>106000</v>
          </cell>
          <cell r="H169">
            <v>106000</v>
          </cell>
        </row>
        <row r="170">
          <cell r="F170">
            <v>0</v>
          </cell>
          <cell r="G170">
            <v>148000</v>
          </cell>
          <cell r="H170">
            <v>148000</v>
          </cell>
        </row>
        <row r="171">
          <cell r="F171">
            <v>0</v>
          </cell>
          <cell r="G171">
            <v>104000</v>
          </cell>
          <cell r="H171">
            <v>104000</v>
          </cell>
        </row>
        <row r="172">
          <cell r="F172">
            <v>0</v>
          </cell>
          <cell r="G172">
            <v>137000</v>
          </cell>
          <cell r="H172">
            <v>137000</v>
          </cell>
        </row>
        <row r="173">
          <cell r="F173">
            <v>0</v>
          </cell>
          <cell r="G173">
            <v>85000</v>
          </cell>
          <cell r="H173">
            <v>85000</v>
          </cell>
        </row>
        <row r="174">
          <cell r="F174">
            <v>0</v>
          </cell>
          <cell r="G174">
            <v>4000</v>
          </cell>
          <cell r="H174">
            <v>4000</v>
          </cell>
        </row>
        <row r="175">
          <cell r="F175">
            <v>0</v>
          </cell>
          <cell r="G175">
            <v>187000</v>
          </cell>
          <cell r="H175">
            <v>187000</v>
          </cell>
        </row>
        <row r="176">
          <cell r="F176">
            <v>0</v>
          </cell>
          <cell r="G176">
            <v>41000</v>
          </cell>
          <cell r="H176">
            <v>41000</v>
          </cell>
        </row>
        <row r="177">
          <cell r="F177">
            <v>0</v>
          </cell>
          <cell r="G177">
            <v>446000</v>
          </cell>
          <cell r="H177">
            <v>446000</v>
          </cell>
        </row>
        <row r="178">
          <cell r="F178">
            <v>0</v>
          </cell>
          <cell r="G178">
            <v>472000</v>
          </cell>
          <cell r="H178">
            <v>472000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78000</v>
          </cell>
          <cell r="H181">
            <v>78000</v>
          </cell>
        </row>
        <row r="182">
          <cell r="F182">
            <v>0</v>
          </cell>
          <cell r="G182">
            <v>65000</v>
          </cell>
          <cell r="H182">
            <v>65000</v>
          </cell>
        </row>
        <row r="183">
          <cell r="F183">
            <v>0</v>
          </cell>
          <cell r="G183">
            <v>414000</v>
          </cell>
          <cell r="H183">
            <v>414000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81000</v>
          </cell>
          <cell r="H186">
            <v>81000</v>
          </cell>
        </row>
        <row r="187">
          <cell r="F187">
            <v>0</v>
          </cell>
          <cell r="G187">
            <v>431000</v>
          </cell>
          <cell r="H187">
            <v>431000</v>
          </cell>
        </row>
        <row r="188">
          <cell r="F188">
            <v>0</v>
          </cell>
          <cell r="G188">
            <v>5000</v>
          </cell>
          <cell r="H188">
            <v>5000</v>
          </cell>
        </row>
        <row r="189">
          <cell r="F189">
            <v>0</v>
          </cell>
          <cell r="G189">
            <v>176000</v>
          </cell>
          <cell r="H189">
            <v>176000</v>
          </cell>
        </row>
        <row r="190">
          <cell r="F190">
            <v>0</v>
          </cell>
          <cell r="G190">
            <v>81000</v>
          </cell>
          <cell r="H190">
            <v>81000</v>
          </cell>
        </row>
        <row r="191">
          <cell r="F191">
            <v>0</v>
          </cell>
          <cell r="G191">
            <v>57000</v>
          </cell>
          <cell r="H191">
            <v>57000</v>
          </cell>
        </row>
        <row r="192">
          <cell r="F192">
            <v>0</v>
          </cell>
          <cell r="G192">
            <v>166000</v>
          </cell>
          <cell r="H192">
            <v>166000</v>
          </cell>
        </row>
        <row r="193">
          <cell r="F193">
            <v>0</v>
          </cell>
          <cell r="G193">
            <v>266000</v>
          </cell>
          <cell r="H193">
            <v>266000</v>
          </cell>
        </row>
        <row r="194">
          <cell r="F194">
            <v>0</v>
          </cell>
          <cell r="G194">
            <v>159000</v>
          </cell>
          <cell r="H194">
            <v>159000</v>
          </cell>
        </row>
        <row r="195">
          <cell r="F195">
            <v>0</v>
          </cell>
          <cell r="G195">
            <v>132000</v>
          </cell>
          <cell r="H195">
            <v>132000</v>
          </cell>
        </row>
        <row r="196">
          <cell r="F196">
            <v>0</v>
          </cell>
          <cell r="G196">
            <v>203000</v>
          </cell>
          <cell r="H196">
            <v>203000</v>
          </cell>
        </row>
        <row r="197">
          <cell r="F197">
            <v>0</v>
          </cell>
          <cell r="G197">
            <v>27000</v>
          </cell>
          <cell r="H197">
            <v>27000</v>
          </cell>
        </row>
        <row r="198">
          <cell r="F198">
            <v>0</v>
          </cell>
          <cell r="G198">
            <v>349000</v>
          </cell>
          <cell r="H198">
            <v>349000</v>
          </cell>
        </row>
        <row r="199">
          <cell r="F199">
            <v>0</v>
          </cell>
          <cell r="G199">
            <v>19000</v>
          </cell>
          <cell r="H199">
            <v>19000</v>
          </cell>
        </row>
        <row r="200">
          <cell r="F200">
            <v>0</v>
          </cell>
          <cell r="G200">
            <v>85000</v>
          </cell>
          <cell r="H200">
            <v>85000</v>
          </cell>
        </row>
        <row r="201">
          <cell r="F201">
            <v>0</v>
          </cell>
          <cell r="G201">
            <v>222000</v>
          </cell>
          <cell r="H201">
            <v>222000</v>
          </cell>
        </row>
        <row r="202">
          <cell r="F202">
            <v>0</v>
          </cell>
          <cell r="G202">
            <v>207000</v>
          </cell>
          <cell r="H202">
            <v>207000</v>
          </cell>
        </row>
        <row r="203">
          <cell r="F203">
            <v>0</v>
          </cell>
          <cell r="G203">
            <v>48000</v>
          </cell>
          <cell r="H203">
            <v>48000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608000</v>
          </cell>
          <cell r="H205">
            <v>608000</v>
          </cell>
        </row>
        <row r="206">
          <cell r="F206">
            <v>0</v>
          </cell>
          <cell r="G206">
            <v>206000</v>
          </cell>
          <cell r="H206">
            <v>206000</v>
          </cell>
        </row>
        <row r="207">
          <cell r="F207">
            <v>0</v>
          </cell>
          <cell r="G207">
            <v>358000</v>
          </cell>
          <cell r="H207">
            <v>358000</v>
          </cell>
        </row>
        <row r="208">
          <cell r="F208">
            <v>0</v>
          </cell>
          <cell r="G208">
            <v>59000</v>
          </cell>
          <cell r="H208">
            <v>59000</v>
          </cell>
        </row>
        <row r="209">
          <cell r="F209">
            <v>0</v>
          </cell>
          <cell r="G209">
            <v>443000</v>
          </cell>
          <cell r="H209">
            <v>443000</v>
          </cell>
        </row>
        <row r="210">
          <cell r="F210">
            <v>0</v>
          </cell>
          <cell r="G210">
            <v>941000</v>
          </cell>
          <cell r="H210">
            <v>941000</v>
          </cell>
        </row>
        <row r="211">
          <cell r="F211">
            <v>0</v>
          </cell>
          <cell r="G211">
            <v>5000</v>
          </cell>
          <cell r="H211">
            <v>5000</v>
          </cell>
        </row>
        <row r="212">
          <cell r="F212">
            <v>0</v>
          </cell>
          <cell r="G212">
            <v>20000</v>
          </cell>
          <cell r="H212">
            <v>20000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158000</v>
          </cell>
          <cell r="H214">
            <v>158000</v>
          </cell>
        </row>
        <row r="215">
          <cell r="F215">
            <v>0</v>
          </cell>
          <cell r="G215">
            <v>47000</v>
          </cell>
          <cell r="H215">
            <v>47000</v>
          </cell>
        </row>
        <row r="216">
          <cell r="F216">
            <v>0</v>
          </cell>
          <cell r="G216">
            <v>801000</v>
          </cell>
          <cell r="H216">
            <v>801000</v>
          </cell>
        </row>
        <row r="217">
          <cell r="F217">
            <v>0</v>
          </cell>
          <cell r="G217">
            <v>225000</v>
          </cell>
          <cell r="H217">
            <v>225000</v>
          </cell>
        </row>
        <row r="218">
          <cell r="F218">
            <v>0</v>
          </cell>
          <cell r="G218">
            <v>423000</v>
          </cell>
          <cell r="H218">
            <v>423000</v>
          </cell>
        </row>
        <row r="219">
          <cell r="F219">
            <v>0</v>
          </cell>
          <cell r="G219">
            <v>153000</v>
          </cell>
          <cell r="H219">
            <v>153000</v>
          </cell>
        </row>
        <row r="220">
          <cell r="F220">
            <v>0</v>
          </cell>
          <cell r="G220">
            <v>99000</v>
          </cell>
          <cell r="H220">
            <v>99000</v>
          </cell>
        </row>
        <row r="223">
          <cell r="F223">
            <v>282</v>
          </cell>
          <cell r="G223">
            <v>3721000</v>
          </cell>
          <cell r="H223">
            <v>4200400</v>
          </cell>
        </row>
        <row r="224">
          <cell r="F224">
            <v>0</v>
          </cell>
          <cell r="G224">
            <v>4243500</v>
          </cell>
          <cell r="H224">
            <v>4243500</v>
          </cell>
        </row>
        <row r="225">
          <cell r="F225">
            <v>716</v>
          </cell>
          <cell r="G225">
            <v>2073000</v>
          </cell>
          <cell r="H225">
            <v>3290200</v>
          </cell>
        </row>
        <row r="226">
          <cell r="F226">
            <v>1288</v>
          </cell>
          <cell r="G226">
            <v>1524250</v>
          </cell>
          <cell r="H226">
            <v>3713850</v>
          </cell>
        </row>
        <row r="227">
          <cell r="F227">
            <v>534</v>
          </cell>
          <cell r="G227">
            <v>1194300</v>
          </cell>
          <cell r="H227">
            <v>2102100</v>
          </cell>
        </row>
        <row r="228">
          <cell r="F228">
            <v>382</v>
          </cell>
          <cell r="G228">
            <v>1919300</v>
          </cell>
          <cell r="H228">
            <v>2568700</v>
          </cell>
        </row>
        <row r="229">
          <cell r="F229">
            <v>940</v>
          </cell>
          <cell r="G229">
            <v>2481800</v>
          </cell>
          <cell r="H229">
            <v>4079800</v>
          </cell>
        </row>
        <row r="230">
          <cell r="F230">
            <v>1798</v>
          </cell>
          <cell r="G230">
            <v>1399200</v>
          </cell>
          <cell r="H230">
            <v>4455800</v>
          </cell>
        </row>
        <row r="231">
          <cell r="F231">
            <v>0</v>
          </cell>
          <cell r="G231">
            <v>5361100</v>
          </cell>
          <cell r="H231">
            <v>5361100</v>
          </cell>
        </row>
        <row r="232">
          <cell r="F232">
            <v>4</v>
          </cell>
          <cell r="G232">
            <v>3435000</v>
          </cell>
          <cell r="H232">
            <v>3441800</v>
          </cell>
        </row>
        <row r="233">
          <cell r="F233">
            <v>1216</v>
          </cell>
          <cell r="G233">
            <v>1670100</v>
          </cell>
          <cell r="H233">
            <v>3737300</v>
          </cell>
        </row>
        <row r="234">
          <cell r="F234">
            <v>1353</v>
          </cell>
          <cell r="G234">
            <v>1306800</v>
          </cell>
          <cell r="H234">
            <v>3606900</v>
          </cell>
        </row>
        <row r="235">
          <cell r="F235">
            <v>10</v>
          </cell>
          <cell r="G235">
            <v>1016500</v>
          </cell>
          <cell r="H235">
            <v>1033500</v>
          </cell>
        </row>
        <row r="236">
          <cell r="F236">
            <v>0</v>
          </cell>
          <cell r="G236">
            <v>865500</v>
          </cell>
          <cell r="H236">
            <v>865500</v>
          </cell>
        </row>
        <row r="237">
          <cell r="F237">
            <v>259</v>
          </cell>
          <cell r="G237">
            <v>1923900</v>
          </cell>
          <cell r="H237">
            <v>2364200</v>
          </cell>
        </row>
        <row r="238">
          <cell r="F238">
            <v>816</v>
          </cell>
          <cell r="G238">
            <v>1662650</v>
          </cell>
          <cell r="H238">
            <v>3049850</v>
          </cell>
        </row>
        <row r="239">
          <cell r="F239">
            <v>386</v>
          </cell>
          <cell r="G239">
            <v>3519000</v>
          </cell>
          <cell r="H239">
            <v>4175200</v>
          </cell>
        </row>
        <row r="240">
          <cell r="F240">
            <v>783</v>
          </cell>
          <cell r="G240">
            <v>2253100</v>
          </cell>
          <cell r="H240">
            <v>3584200</v>
          </cell>
        </row>
        <row r="241">
          <cell r="F241">
            <v>789</v>
          </cell>
          <cell r="G241">
            <v>2424100</v>
          </cell>
          <cell r="H241">
            <v>3765400</v>
          </cell>
        </row>
        <row r="242">
          <cell r="F242">
            <v>1190</v>
          </cell>
          <cell r="G242">
            <v>2896300</v>
          </cell>
          <cell r="H242">
            <v>4919300</v>
          </cell>
        </row>
        <row r="243">
          <cell r="F243">
            <v>976</v>
          </cell>
          <cell r="G243">
            <v>1815100</v>
          </cell>
          <cell r="H243">
            <v>3474300</v>
          </cell>
        </row>
        <row r="244">
          <cell r="F244">
            <v>339</v>
          </cell>
          <cell r="G244">
            <v>1152100</v>
          </cell>
          <cell r="H244">
            <v>1728400</v>
          </cell>
        </row>
        <row r="245">
          <cell r="F245">
            <v>1052</v>
          </cell>
          <cell r="G245">
            <v>413100</v>
          </cell>
          <cell r="H245">
            <v>2201500</v>
          </cell>
        </row>
        <row r="246">
          <cell r="F246">
            <v>1129</v>
          </cell>
          <cell r="G246">
            <v>4633800</v>
          </cell>
          <cell r="H246">
            <v>6553100</v>
          </cell>
        </row>
        <row r="247">
          <cell r="F247">
            <v>470</v>
          </cell>
          <cell r="G247">
            <v>1796300</v>
          </cell>
          <cell r="H247">
            <v>2595300</v>
          </cell>
        </row>
        <row r="248">
          <cell r="F248">
            <v>113</v>
          </cell>
          <cell r="G248">
            <v>3024200</v>
          </cell>
          <cell r="H248">
            <v>3216300</v>
          </cell>
        </row>
        <row r="249">
          <cell r="F249">
            <v>130</v>
          </cell>
          <cell r="G249">
            <v>3770000</v>
          </cell>
          <cell r="H249">
            <v>3991000</v>
          </cell>
        </row>
        <row r="250">
          <cell r="F250">
            <v>182</v>
          </cell>
          <cell r="G250">
            <v>4849600</v>
          </cell>
          <cell r="H250">
            <v>5159000</v>
          </cell>
        </row>
        <row r="251">
          <cell r="F251">
            <v>175</v>
          </cell>
          <cell r="G251">
            <v>3330700</v>
          </cell>
          <cell r="H251">
            <v>3628200</v>
          </cell>
        </row>
        <row r="252">
          <cell r="F252">
            <v>159</v>
          </cell>
          <cell r="G252">
            <v>1891000</v>
          </cell>
          <cell r="H252">
            <v>2161300</v>
          </cell>
        </row>
        <row r="253">
          <cell r="F253">
            <v>107</v>
          </cell>
          <cell r="G253">
            <v>5100550</v>
          </cell>
          <cell r="H253">
            <v>5282450</v>
          </cell>
        </row>
        <row r="254">
          <cell r="F254">
            <v>720</v>
          </cell>
          <cell r="G254">
            <v>2552000</v>
          </cell>
          <cell r="H254">
            <v>3776000</v>
          </cell>
        </row>
        <row r="255">
          <cell r="F255">
            <v>540</v>
          </cell>
          <cell r="G255">
            <v>1618000</v>
          </cell>
          <cell r="H255">
            <v>2536000</v>
          </cell>
        </row>
        <row r="256">
          <cell r="F256">
            <v>531</v>
          </cell>
          <cell r="G256">
            <v>4121900</v>
          </cell>
          <cell r="H256">
            <v>5024600</v>
          </cell>
        </row>
        <row r="257">
          <cell r="F257">
            <v>470</v>
          </cell>
          <cell r="G257">
            <v>1125600</v>
          </cell>
          <cell r="H257">
            <v>1924600</v>
          </cell>
        </row>
        <row r="260">
          <cell r="G260">
            <v>80000</v>
          </cell>
          <cell r="H260">
            <v>80000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12153</v>
          </cell>
          <cell r="G10">
            <v>6669700</v>
          </cell>
          <cell r="H10">
            <v>27329800</v>
          </cell>
        </row>
        <row r="14">
          <cell r="F14">
            <v>5952</v>
          </cell>
          <cell r="G14">
            <v>2197000</v>
          </cell>
          <cell r="H14">
            <v>12315400</v>
          </cell>
        </row>
        <row r="15">
          <cell r="F15">
            <v>5573</v>
          </cell>
          <cell r="G15">
            <v>1647100</v>
          </cell>
          <cell r="H15">
            <v>11121200</v>
          </cell>
        </row>
        <row r="16">
          <cell r="F16">
            <v>6842</v>
          </cell>
          <cell r="G16">
            <v>2590600</v>
          </cell>
          <cell r="H16">
            <v>14222000</v>
          </cell>
        </row>
        <row r="17">
          <cell r="F17">
            <v>4799</v>
          </cell>
          <cell r="G17">
            <v>2151050</v>
          </cell>
          <cell r="H17">
            <v>10309350</v>
          </cell>
        </row>
        <row r="18">
          <cell r="F18">
            <v>5625</v>
          </cell>
          <cell r="G18">
            <v>2424800</v>
          </cell>
          <cell r="H18">
            <v>11987300</v>
          </cell>
        </row>
        <row r="19">
          <cell r="F19">
            <v>6215</v>
          </cell>
          <cell r="G19">
            <v>3066900</v>
          </cell>
          <cell r="H19">
            <v>13632400</v>
          </cell>
        </row>
        <row r="20">
          <cell r="F20">
            <v>3497</v>
          </cell>
          <cell r="G20">
            <v>1391300</v>
          </cell>
          <cell r="H20">
            <v>7336200</v>
          </cell>
        </row>
        <row r="21">
          <cell r="F21">
            <v>4073</v>
          </cell>
          <cell r="G21">
            <v>1805200</v>
          </cell>
          <cell r="H21">
            <v>8729300</v>
          </cell>
        </row>
        <row r="22">
          <cell r="F22">
            <v>8759</v>
          </cell>
          <cell r="G22">
            <v>4195500</v>
          </cell>
          <cell r="H22">
            <v>19085800</v>
          </cell>
        </row>
        <row r="23">
          <cell r="F23">
            <v>3730</v>
          </cell>
          <cell r="G23">
            <v>1379100</v>
          </cell>
          <cell r="H23">
            <v>7720100</v>
          </cell>
        </row>
        <row r="24">
          <cell r="F24">
            <v>3079</v>
          </cell>
          <cell r="G24">
            <v>1533300</v>
          </cell>
          <cell r="H24">
            <v>6767600</v>
          </cell>
        </row>
        <row r="25">
          <cell r="F25">
            <v>2543</v>
          </cell>
          <cell r="G25">
            <v>1197800</v>
          </cell>
          <cell r="H25">
            <v>5520900</v>
          </cell>
        </row>
        <row r="26">
          <cell r="F26">
            <v>6318</v>
          </cell>
          <cell r="G26">
            <v>2516300</v>
          </cell>
          <cell r="H26">
            <v>13256900</v>
          </cell>
        </row>
        <row r="27">
          <cell r="F27">
            <v>15422</v>
          </cell>
          <cell r="G27">
            <v>9209450</v>
          </cell>
          <cell r="H27">
            <v>35426850</v>
          </cell>
        </row>
        <row r="28">
          <cell r="F28">
            <v>13041</v>
          </cell>
          <cell r="G28">
            <v>5123100</v>
          </cell>
          <cell r="H28">
            <v>27292800</v>
          </cell>
        </row>
        <row r="29">
          <cell r="F29">
            <v>10647</v>
          </cell>
          <cell r="G29">
            <v>4692300</v>
          </cell>
          <cell r="H29">
            <v>22792200</v>
          </cell>
        </row>
        <row r="30">
          <cell r="F30">
            <v>15979</v>
          </cell>
          <cell r="G30">
            <v>5842200</v>
          </cell>
          <cell r="H30">
            <v>33006500</v>
          </cell>
        </row>
        <row r="31">
          <cell r="F31">
            <v>8804</v>
          </cell>
          <cell r="G31">
            <v>5457400</v>
          </cell>
          <cell r="H31">
            <v>20424200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11577</v>
          </cell>
          <cell r="G33">
            <v>3670400</v>
          </cell>
          <cell r="H33">
            <v>23351300</v>
          </cell>
        </row>
        <row r="34">
          <cell r="F34">
            <v>14531</v>
          </cell>
          <cell r="G34">
            <v>4810000</v>
          </cell>
          <cell r="H34">
            <v>29512700</v>
          </cell>
        </row>
        <row r="35">
          <cell r="F35">
            <v>12344</v>
          </cell>
          <cell r="G35">
            <v>5156000</v>
          </cell>
          <cell r="H35">
            <v>26140800</v>
          </cell>
        </row>
        <row r="36">
          <cell r="F36">
            <v>13409</v>
          </cell>
          <cell r="G36">
            <v>4991250</v>
          </cell>
          <cell r="H36">
            <v>27786550</v>
          </cell>
        </row>
        <row r="37">
          <cell r="F37">
            <v>4485</v>
          </cell>
          <cell r="G37">
            <v>3282100</v>
          </cell>
          <cell r="H37">
            <v>10906600</v>
          </cell>
        </row>
        <row r="38">
          <cell r="F38">
            <v>6754</v>
          </cell>
          <cell r="G38">
            <v>3563150</v>
          </cell>
          <cell r="H38">
            <v>15044950</v>
          </cell>
        </row>
        <row r="39">
          <cell r="F39">
            <v>2646</v>
          </cell>
          <cell r="G39">
            <v>2864200</v>
          </cell>
          <cell r="H39">
            <v>7362400</v>
          </cell>
        </row>
        <row r="40">
          <cell r="F40">
            <v>13399</v>
          </cell>
          <cell r="G40">
            <v>7389300</v>
          </cell>
          <cell r="H40">
            <v>30167600</v>
          </cell>
        </row>
        <row r="41">
          <cell r="F41">
            <v>5956</v>
          </cell>
          <cell r="G41">
            <v>2221300</v>
          </cell>
          <cell r="H41">
            <v>12346500</v>
          </cell>
        </row>
        <row r="42">
          <cell r="F42">
            <v>2414</v>
          </cell>
          <cell r="G42">
            <v>1367900</v>
          </cell>
          <cell r="H42">
            <v>5471700</v>
          </cell>
        </row>
        <row r="43">
          <cell r="F43">
            <v>4093</v>
          </cell>
          <cell r="G43">
            <v>1558000</v>
          </cell>
          <cell r="H43">
            <v>8516100</v>
          </cell>
        </row>
        <row r="44">
          <cell r="F44">
            <v>1093</v>
          </cell>
          <cell r="G44">
            <v>638500</v>
          </cell>
          <cell r="H44">
            <v>2496600</v>
          </cell>
        </row>
        <row r="45">
          <cell r="F45">
            <v>15290</v>
          </cell>
          <cell r="G45">
            <v>5081700</v>
          </cell>
          <cell r="H45">
            <v>31074700</v>
          </cell>
        </row>
        <row r="46">
          <cell r="F46">
            <v>2632</v>
          </cell>
          <cell r="G46">
            <v>2972400</v>
          </cell>
          <cell r="H46">
            <v>7446800</v>
          </cell>
        </row>
        <row r="47">
          <cell r="F47">
            <v>23299</v>
          </cell>
          <cell r="G47">
            <v>7511900</v>
          </cell>
          <cell r="H47">
            <v>47120200</v>
          </cell>
        </row>
        <row r="52">
          <cell r="F52">
            <v>8930</v>
          </cell>
          <cell r="G52">
            <v>3787200</v>
          </cell>
          <cell r="H52">
            <v>18968200</v>
          </cell>
        </row>
        <row r="53">
          <cell r="F53">
            <v>8100</v>
          </cell>
          <cell r="G53">
            <v>4737700</v>
          </cell>
          <cell r="H53">
            <v>18507700</v>
          </cell>
        </row>
        <row r="54">
          <cell r="F54">
            <v>13844</v>
          </cell>
          <cell r="G54">
            <v>5135500</v>
          </cell>
          <cell r="H54">
            <v>28670300</v>
          </cell>
        </row>
        <row r="55">
          <cell r="F55">
            <v>4787</v>
          </cell>
          <cell r="G55">
            <v>2709800</v>
          </cell>
          <cell r="H55">
            <v>10847700</v>
          </cell>
        </row>
        <row r="56">
          <cell r="F56">
            <v>5172</v>
          </cell>
          <cell r="G56">
            <v>1588300</v>
          </cell>
          <cell r="H56">
            <v>10380700</v>
          </cell>
        </row>
        <row r="57">
          <cell r="F57">
            <v>10289</v>
          </cell>
          <cell r="G57">
            <v>3823900</v>
          </cell>
          <cell r="H57">
            <v>21315200</v>
          </cell>
        </row>
        <row r="58">
          <cell r="F58">
            <v>14564</v>
          </cell>
          <cell r="G58">
            <v>4362400</v>
          </cell>
          <cell r="H58">
            <v>29121200</v>
          </cell>
        </row>
        <row r="59">
          <cell r="F59">
            <v>7052</v>
          </cell>
          <cell r="G59">
            <v>2417000</v>
          </cell>
          <cell r="H59">
            <v>14405400</v>
          </cell>
        </row>
        <row r="60">
          <cell r="F60">
            <v>7919</v>
          </cell>
          <cell r="G60">
            <v>2960900</v>
          </cell>
          <cell r="H60">
            <v>16423200</v>
          </cell>
        </row>
        <row r="61">
          <cell r="F61">
            <v>5062</v>
          </cell>
          <cell r="G61">
            <v>1921300</v>
          </cell>
          <cell r="H61">
            <v>10526700</v>
          </cell>
        </row>
        <row r="62">
          <cell r="F62">
            <v>13002</v>
          </cell>
          <cell r="G62">
            <v>5634100</v>
          </cell>
          <cell r="H62">
            <v>27737500</v>
          </cell>
        </row>
        <row r="63">
          <cell r="F63">
            <v>11620</v>
          </cell>
          <cell r="G63">
            <v>5185550</v>
          </cell>
          <cell r="H63">
            <v>24939550</v>
          </cell>
        </row>
        <row r="64">
          <cell r="F64">
            <v>8453</v>
          </cell>
          <cell r="G64">
            <v>4069600</v>
          </cell>
          <cell r="H64">
            <v>18439700</v>
          </cell>
        </row>
        <row r="65">
          <cell r="F65">
            <v>5487</v>
          </cell>
          <cell r="G65">
            <v>3231700</v>
          </cell>
          <cell r="H65">
            <v>12559600</v>
          </cell>
        </row>
        <row r="66">
          <cell r="F66">
            <v>9344</v>
          </cell>
          <cell r="G66">
            <v>4040600</v>
          </cell>
          <cell r="H66">
            <v>19925400</v>
          </cell>
        </row>
        <row r="67">
          <cell r="F67">
            <v>5417</v>
          </cell>
          <cell r="G67">
            <v>2882900</v>
          </cell>
          <cell r="H67">
            <v>12091800</v>
          </cell>
        </row>
        <row r="68">
          <cell r="F68">
            <v>8969</v>
          </cell>
          <cell r="G68">
            <v>4255100</v>
          </cell>
          <cell r="H68">
            <v>19502400</v>
          </cell>
        </row>
        <row r="69">
          <cell r="F69">
            <v>6794</v>
          </cell>
          <cell r="G69">
            <v>3224800</v>
          </cell>
          <cell r="H69">
            <v>14774600</v>
          </cell>
        </row>
        <row r="70">
          <cell r="F70">
            <v>11062</v>
          </cell>
          <cell r="G70">
            <v>5056600</v>
          </cell>
          <cell r="H70">
            <v>23862000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5915</v>
          </cell>
          <cell r="G72">
            <v>2294450</v>
          </cell>
          <cell r="H72">
            <v>12349950</v>
          </cell>
        </row>
        <row r="73">
          <cell r="F73">
            <v>3851</v>
          </cell>
          <cell r="G73">
            <v>865400</v>
          </cell>
          <cell r="H73">
            <v>7412100</v>
          </cell>
        </row>
        <row r="74">
          <cell r="F74">
            <v>12585</v>
          </cell>
          <cell r="G74">
            <v>3399050</v>
          </cell>
          <cell r="H74">
            <v>24793550</v>
          </cell>
        </row>
        <row r="75">
          <cell r="F75">
            <v>5837</v>
          </cell>
          <cell r="G75">
            <v>2262900</v>
          </cell>
          <cell r="H75">
            <v>12185800</v>
          </cell>
        </row>
        <row r="76">
          <cell r="F76">
            <v>20961</v>
          </cell>
          <cell r="G76">
            <v>7203000</v>
          </cell>
          <cell r="H76">
            <v>42836700</v>
          </cell>
        </row>
        <row r="77">
          <cell r="F77">
            <v>9967</v>
          </cell>
          <cell r="G77">
            <v>1915800</v>
          </cell>
          <cell r="H77">
            <v>18859700</v>
          </cell>
        </row>
        <row r="78">
          <cell r="F78">
            <v>6680</v>
          </cell>
          <cell r="G78">
            <v>2211800</v>
          </cell>
          <cell r="H78">
            <v>13567800</v>
          </cell>
        </row>
        <row r="79">
          <cell r="F79">
            <v>2176</v>
          </cell>
          <cell r="G79">
            <v>719400</v>
          </cell>
          <cell r="H79">
            <v>4418600</v>
          </cell>
        </row>
        <row r="80">
          <cell r="F80">
            <v>4719</v>
          </cell>
          <cell r="G80">
            <v>935900</v>
          </cell>
          <cell r="H80">
            <v>8958200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2942</v>
          </cell>
          <cell r="G84">
            <v>826800</v>
          </cell>
          <cell r="H84">
            <v>5828200</v>
          </cell>
        </row>
        <row r="85">
          <cell r="F85">
            <v>1362</v>
          </cell>
          <cell r="G85">
            <v>279600</v>
          </cell>
          <cell r="H85">
            <v>2595000</v>
          </cell>
        </row>
        <row r="86">
          <cell r="F86">
            <v>3556</v>
          </cell>
          <cell r="G86">
            <v>1491550</v>
          </cell>
          <cell r="H86">
            <v>7536750</v>
          </cell>
        </row>
        <row r="87">
          <cell r="F87">
            <v>3563</v>
          </cell>
          <cell r="G87">
            <v>1263400</v>
          </cell>
          <cell r="H87">
            <v>7320500</v>
          </cell>
        </row>
        <row r="88">
          <cell r="F88">
            <v>5262</v>
          </cell>
          <cell r="G88">
            <v>2268300</v>
          </cell>
          <cell r="H88">
            <v>11213700</v>
          </cell>
        </row>
        <row r="89">
          <cell r="F89">
            <v>2115</v>
          </cell>
          <cell r="G89">
            <v>1206700</v>
          </cell>
          <cell r="H89">
            <v>4802200</v>
          </cell>
        </row>
        <row r="90">
          <cell r="F90">
            <v>2497</v>
          </cell>
          <cell r="G90">
            <v>1611500</v>
          </cell>
          <cell r="H90">
            <v>5856400</v>
          </cell>
        </row>
        <row r="91">
          <cell r="F91">
            <v>4603</v>
          </cell>
          <cell r="G91">
            <v>2575550</v>
          </cell>
          <cell r="H91">
            <v>10400650</v>
          </cell>
        </row>
        <row r="92">
          <cell r="F92">
            <v>2388</v>
          </cell>
          <cell r="G92">
            <v>1465000</v>
          </cell>
          <cell r="H92">
            <v>5524600</v>
          </cell>
        </row>
        <row r="93">
          <cell r="F93">
            <v>2754</v>
          </cell>
          <cell r="G93">
            <v>2007200</v>
          </cell>
          <cell r="H93">
            <v>6689000</v>
          </cell>
        </row>
        <row r="94">
          <cell r="F94">
            <v>522</v>
          </cell>
          <cell r="G94">
            <v>307150</v>
          </cell>
          <cell r="H94">
            <v>1194550</v>
          </cell>
        </row>
        <row r="95">
          <cell r="F95">
            <v>2801</v>
          </cell>
          <cell r="G95">
            <v>1539400</v>
          </cell>
          <cell r="H95">
            <v>6301100</v>
          </cell>
        </row>
        <row r="96">
          <cell r="F96">
            <v>3150</v>
          </cell>
          <cell r="G96">
            <v>568400</v>
          </cell>
          <cell r="H96">
            <v>5923400</v>
          </cell>
        </row>
        <row r="97">
          <cell r="F97">
            <v>6361</v>
          </cell>
          <cell r="G97">
            <v>1508300</v>
          </cell>
          <cell r="H97">
            <v>12322000</v>
          </cell>
        </row>
        <row r="98">
          <cell r="F98">
            <v>3076</v>
          </cell>
          <cell r="G98">
            <v>859200</v>
          </cell>
          <cell r="H98">
            <v>6088400</v>
          </cell>
        </row>
        <row r="99">
          <cell r="F99">
            <v>6835</v>
          </cell>
          <cell r="G99">
            <v>2179200</v>
          </cell>
          <cell r="H99">
            <v>13798700</v>
          </cell>
        </row>
        <row r="100">
          <cell r="F100">
            <v>7751</v>
          </cell>
          <cell r="G100">
            <v>2597200</v>
          </cell>
          <cell r="H100">
            <v>15773900</v>
          </cell>
        </row>
        <row r="101">
          <cell r="F101">
            <v>2316</v>
          </cell>
          <cell r="G101">
            <v>644100</v>
          </cell>
          <cell r="H101">
            <v>4581300</v>
          </cell>
        </row>
        <row r="102">
          <cell r="F102">
            <v>12704</v>
          </cell>
          <cell r="G102">
            <v>2560500</v>
          </cell>
          <cell r="H102">
            <v>24157300</v>
          </cell>
        </row>
        <row r="103">
          <cell r="F103">
            <v>12010</v>
          </cell>
          <cell r="G103">
            <v>3381700</v>
          </cell>
          <cell r="H103">
            <v>23798700</v>
          </cell>
        </row>
        <row r="104">
          <cell r="F104">
            <v>5404</v>
          </cell>
          <cell r="G104">
            <v>1946500</v>
          </cell>
          <cell r="H104">
            <v>11133300</v>
          </cell>
        </row>
        <row r="105">
          <cell r="F105">
            <v>3603</v>
          </cell>
          <cell r="G105">
            <v>1338600</v>
          </cell>
          <cell r="H105">
            <v>7463700</v>
          </cell>
        </row>
        <row r="106">
          <cell r="F106">
            <v>3401</v>
          </cell>
          <cell r="G106">
            <v>1264700</v>
          </cell>
          <cell r="H106">
            <v>7046400</v>
          </cell>
        </row>
        <row r="107">
          <cell r="F107">
            <v>5132</v>
          </cell>
          <cell r="G107">
            <v>1605400</v>
          </cell>
          <cell r="H107">
            <v>10329800</v>
          </cell>
        </row>
        <row r="108">
          <cell r="F108">
            <v>5088</v>
          </cell>
          <cell r="G108">
            <v>1438300</v>
          </cell>
          <cell r="H108">
            <v>10087900</v>
          </cell>
        </row>
        <row r="109">
          <cell r="F109">
            <v>3305</v>
          </cell>
          <cell r="G109">
            <v>1400050</v>
          </cell>
          <cell r="H109">
            <v>7018550</v>
          </cell>
        </row>
        <row r="110">
          <cell r="F110">
            <v>2179</v>
          </cell>
          <cell r="G110">
            <v>509300</v>
          </cell>
          <cell r="H110">
            <v>4213600</v>
          </cell>
        </row>
        <row r="111">
          <cell r="F111">
            <v>5928</v>
          </cell>
          <cell r="G111">
            <v>1802100</v>
          </cell>
          <cell r="H111">
            <v>11879700</v>
          </cell>
        </row>
        <row r="112">
          <cell r="F112">
            <v>3965</v>
          </cell>
          <cell r="G112">
            <v>1429900</v>
          </cell>
          <cell r="H112">
            <v>8170400</v>
          </cell>
        </row>
        <row r="113">
          <cell r="F113">
            <v>4444</v>
          </cell>
          <cell r="G113">
            <v>4018000</v>
          </cell>
          <cell r="H113">
            <v>11572800</v>
          </cell>
        </row>
        <row r="114">
          <cell r="F114">
            <v>400</v>
          </cell>
          <cell r="G114">
            <v>203700</v>
          </cell>
          <cell r="H114">
            <v>883700</v>
          </cell>
        </row>
        <row r="115">
          <cell r="F115">
            <v>2286</v>
          </cell>
          <cell r="G115">
            <v>406300</v>
          </cell>
          <cell r="H115">
            <v>4292500</v>
          </cell>
        </row>
        <row r="116">
          <cell r="F116">
            <v>392</v>
          </cell>
          <cell r="G116">
            <v>125400</v>
          </cell>
          <cell r="H116">
            <v>791800</v>
          </cell>
        </row>
        <row r="117">
          <cell r="F117">
            <v>2103</v>
          </cell>
          <cell r="G117">
            <v>421700</v>
          </cell>
          <cell r="H117">
            <v>3996800</v>
          </cell>
        </row>
        <row r="118">
          <cell r="F118">
            <v>2974</v>
          </cell>
          <cell r="G118">
            <v>1196800</v>
          </cell>
          <cell r="H118">
            <v>6252600</v>
          </cell>
        </row>
        <row r="121">
          <cell r="F121">
            <v>44386</v>
          </cell>
          <cell r="G121">
            <v>6180700</v>
          </cell>
        </row>
        <row r="122">
          <cell r="F122">
            <v>9615</v>
          </cell>
          <cell r="G122">
            <v>15747650</v>
          </cell>
          <cell r="H122">
            <v>32093150</v>
          </cell>
        </row>
        <row r="133">
          <cell r="F133">
            <v>173966</v>
          </cell>
          <cell r="G133">
            <v>73383150</v>
          </cell>
          <cell r="H133">
            <v>369125350</v>
          </cell>
        </row>
        <row r="135">
          <cell r="F135">
            <v>281</v>
          </cell>
          <cell r="G135">
            <v>547500</v>
          </cell>
          <cell r="H135">
            <v>1025200</v>
          </cell>
        </row>
        <row r="136">
          <cell r="F136">
            <v>5947</v>
          </cell>
          <cell r="G136">
            <v>4510500</v>
          </cell>
          <cell r="H136">
            <v>14620400</v>
          </cell>
        </row>
        <row r="137">
          <cell r="F137">
            <v>483</v>
          </cell>
          <cell r="G137">
            <v>664500</v>
          </cell>
          <cell r="H137">
            <v>1485600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457</v>
          </cell>
          <cell r="G139">
            <v>586100</v>
          </cell>
          <cell r="H139">
            <v>1363000</v>
          </cell>
        </row>
        <row r="140">
          <cell r="F140">
            <v>982</v>
          </cell>
          <cell r="G140">
            <v>1931500</v>
          </cell>
          <cell r="H140">
            <v>3600900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283</v>
          </cell>
          <cell r="G142">
            <v>871600</v>
          </cell>
          <cell r="H142">
            <v>1352700</v>
          </cell>
        </row>
        <row r="143">
          <cell r="F143">
            <v>552</v>
          </cell>
          <cell r="G143">
            <v>868700</v>
          </cell>
          <cell r="H143">
            <v>1807100</v>
          </cell>
        </row>
        <row r="144">
          <cell r="F144">
            <v>406</v>
          </cell>
          <cell r="G144">
            <v>835300</v>
          </cell>
          <cell r="H144">
            <v>1525500</v>
          </cell>
          <cell r="M144">
            <v>1194533.088</v>
          </cell>
        </row>
        <row r="145">
          <cell r="F145">
            <v>94</v>
          </cell>
          <cell r="G145">
            <v>308700</v>
          </cell>
          <cell r="H145">
            <v>468500</v>
          </cell>
        </row>
        <row r="146">
          <cell r="F146">
            <v>324</v>
          </cell>
          <cell r="G146">
            <v>414300</v>
          </cell>
          <cell r="H146">
            <v>965100</v>
          </cell>
        </row>
        <row r="147">
          <cell r="F147">
            <v>425</v>
          </cell>
          <cell r="G147">
            <v>663900</v>
          </cell>
          <cell r="H147">
            <v>1386400</v>
          </cell>
        </row>
        <row r="148">
          <cell r="F148">
            <v>951</v>
          </cell>
          <cell r="G148">
            <v>1989200</v>
          </cell>
          <cell r="H148">
            <v>3605900</v>
          </cell>
        </row>
        <row r="149">
          <cell r="F149">
            <v>366</v>
          </cell>
          <cell r="G149">
            <v>896100</v>
          </cell>
          <cell r="H149">
            <v>1518300</v>
          </cell>
        </row>
        <row r="150">
          <cell r="F150">
            <v>377</v>
          </cell>
          <cell r="G150">
            <v>546400</v>
          </cell>
          <cell r="H150">
            <v>1187300</v>
          </cell>
        </row>
        <row r="153">
          <cell r="F153">
            <v>0</v>
          </cell>
          <cell r="G153">
            <v>128000</v>
          </cell>
          <cell r="H153">
            <v>128000</v>
          </cell>
        </row>
        <row r="154">
          <cell r="F154">
            <v>0</v>
          </cell>
          <cell r="G154">
            <v>260000</v>
          </cell>
          <cell r="H154">
            <v>260000</v>
          </cell>
        </row>
        <row r="155">
          <cell r="F155">
            <v>0</v>
          </cell>
          <cell r="G155">
            <v>309000</v>
          </cell>
          <cell r="H155">
            <v>309000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1000</v>
          </cell>
          <cell r="H157">
            <v>1000</v>
          </cell>
        </row>
        <row r="158">
          <cell r="F158">
            <v>0</v>
          </cell>
          <cell r="G158">
            <v>2047000</v>
          </cell>
          <cell r="H158">
            <v>2047000</v>
          </cell>
        </row>
        <row r="159">
          <cell r="F159">
            <v>0</v>
          </cell>
          <cell r="G159">
            <v>2305000</v>
          </cell>
          <cell r="H159">
            <v>2305000</v>
          </cell>
        </row>
        <row r="160">
          <cell r="F160">
            <v>0</v>
          </cell>
          <cell r="G160">
            <v>1831000</v>
          </cell>
          <cell r="H160">
            <v>1831000</v>
          </cell>
        </row>
        <row r="161">
          <cell r="F161">
            <v>0</v>
          </cell>
          <cell r="G161">
            <v>3588000</v>
          </cell>
          <cell r="H161">
            <v>3588000</v>
          </cell>
        </row>
        <row r="162">
          <cell r="F162">
            <v>0</v>
          </cell>
          <cell r="G162">
            <v>1293000</v>
          </cell>
          <cell r="H162">
            <v>1293000</v>
          </cell>
        </row>
        <row r="163">
          <cell r="F163">
            <v>0</v>
          </cell>
          <cell r="G163">
            <v>970000</v>
          </cell>
          <cell r="H163">
            <v>970000</v>
          </cell>
        </row>
        <row r="164">
          <cell r="F164">
            <v>0</v>
          </cell>
          <cell r="G164">
            <v>320000</v>
          </cell>
          <cell r="H164">
            <v>320000</v>
          </cell>
        </row>
        <row r="165">
          <cell r="F165">
            <v>0</v>
          </cell>
          <cell r="G165">
            <v>1107000</v>
          </cell>
          <cell r="H165">
            <v>1107000</v>
          </cell>
        </row>
        <row r="166">
          <cell r="F166">
            <v>0</v>
          </cell>
          <cell r="G166">
            <v>146000</v>
          </cell>
          <cell r="H166">
            <v>146000</v>
          </cell>
        </row>
        <row r="167">
          <cell r="F167">
            <v>0</v>
          </cell>
          <cell r="G167">
            <v>299000</v>
          </cell>
          <cell r="H167">
            <v>299000</v>
          </cell>
        </row>
        <row r="168">
          <cell r="F168">
            <v>0</v>
          </cell>
          <cell r="G168">
            <v>57000</v>
          </cell>
          <cell r="H168">
            <v>57000</v>
          </cell>
        </row>
        <row r="169">
          <cell r="F169">
            <v>0</v>
          </cell>
          <cell r="G169">
            <v>95000</v>
          </cell>
          <cell r="H169">
            <v>95000</v>
          </cell>
        </row>
        <row r="170">
          <cell r="F170">
            <v>0</v>
          </cell>
          <cell r="G170">
            <v>120000</v>
          </cell>
          <cell r="H170">
            <v>120000</v>
          </cell>
        </row>
        <row r="171">
          <cell r="F171">
            <v>0</v>
          </cell>
          <cell r="G171">
            <v>124000</v>
          </cell>
          <cell r="H171">
            <v>124000</v>
          </cell>
        </row>
        <row r="172">
          <cell r="F172">
            <v>0</v>
          </cell>
          <cell r="G172">
            <v>77000</v>
          </cell>
          <cell r="H172">
            <v>77000</v>
          </cell>
        </row>
        <row r="173">
          <cell r="F173">
            <v>0</v>
          </cell>
          <cell r="G173">
            <v>68000</v>
          </cell>
          <cell r="H173">
            <v>68000</v>
          </cell>
        </row>
        <row r="174">
          <cell r="F174">
            <v>0</v>
          </cell>
          <cell r="G174">
            <v>26000</v>
          </cell>
          <cell r="H174">
            <v>26000</v>
          </cell>
        </row>
        <row r="175">
          <cell r="F175">
            <v>0</v>
          </cell>
          <cell r="G175">
            <v>325000</v>
          </cell>
          <cell r="H175">
            <v>325000</v>
          </cell>
        </row>
        <row r="176">
          <cell r="F176">
            <v>0</v>
          </cell>
          <cell r="G176">
            <v>53000</v>
          </cell>
          <cell r="H176">
            <v>53000</v>
          </cell>
        </row>
        <row r="177">
          <cell r="F177">
            <v>0</v>
          </cell>
          <cell r="G177">
            <v>603000</v>
          </cell>
          <cell r="H177">
            <v>603000</v>
          </cell>
        </row>
        <row r="178">
          <cell r="F178">
            <v>0</v>
          </cell>
          <cell r="G178">
            <v>291000</v>
          </cell>
          <cell r="H178">
            <v>291000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42000</v>
          </cell>
          <cell r="H180">
            <v>42000</v>
          </cell>
        </row>
        <row r="181">
          <cell r="F181">
            <v>0</v>
          </cell>
          <cell r="G181">
            <v>0</v>
          </cell>
          <cell r="H181">
            <v>0</v>
          </cell>
        </row>
        <row r="182">
          <cell r="F182">
            <v>0</v>
          </cell>
          <cell r="G182">
            <v>44000</v>
          </cell>
          <cell r="H182">
            <v>44000</v>
          </cell>
        </row>
        <row r="183">
          <cell r="F183">
            <v>0</v>
          </cell>
          <cell r="G183">
            <v>270000</v>
          </cell>
          <cell r="H183">
            <v>270000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2000</v>
          </cell>
          <cell r="H185">
            <v>2000</v>
          </cell>
        </row>
        <row r="186">
          <cell r="F186">
            <v>0</v>
          </cell>
          <cell r="G186">
            <v>79000</v>
          </cell>
          <cell r="H186">
            <v>79000</v>
          </cell>
        </row>
        <row r="187">
          <cell r="F187">
            <v>0</v>
          </cell>
          <cell r="G187">
            <v>488000</v>
          </cell>
          <cell r="H187">
            <v>488000</v>
          </cell>
        </row>
        <row r="188">
          <cell r="F188">
            <v>0</v>
          </cell>
          <cell r="G188">
            <v>40000</v>
          </cell>
          <cell r="H188">
            <v>40000</v>
          </cell>
        </row>
        <row r="189">
          <cell r="F189">
            <v>0</v>
          </cell>
          <cell r="G189">
            <v>118000</v>
          </cell>
          <cell r="H189">
            <v>118000</v>
          </cell>
        </row>
        <row r="190">
          <cell r="F190">
            <v>0</v>
          </cell>
          <cell r="G190">
            <v>126000</v>
          </cell>
          <cell r="H190">
            <v>126000</v>
          </cell>
        </row>
        <row r="191">
          <cell r="F191">
            <v>0</v>
          </cell>
          <cell r="G191">
            <v>49000</v>
          </cell>
          <cell r="H191">
            <v>49000</v>
          </cell>
        </row>
        <row r="192">
          <cell r="F192">
            <v>0</v>
          </cell>
          <cell r="G192">
            <v>112000</v>
          </cell>
          <cell r="H192">
            <v>112000</v>
          </cell>
        </row>
        <row r="193">
          <cell r="F193">
            <v>0</v>
          </cell>
          <cell r="G193">
            <v>230000</v>
          </cell>
          <cell r="H193">
            <v>230000</v>
          </cell>
        </row>
        <row r="194">
          <cell r="F194">
            <v>0</v>
          </cell>
          <cell r="G194">
            <v>83000</v>
          </cell>
          <cell r="H194">
            <v>83000</v>
          </cell>
        </row>
        <row r="195">
          <cell r="F195">
            <v>0</v>
          </cell>
          <cell r="G195">
            <v>107000</v>
          </cell>
          <cell r="H195">
            <v>107000</v>
          </cell>
        </row>
        <row r="196">
          <cell r="F196">
            <v>0</v>
          </cell>
          <cell r="G196">
            <v>155000</v>
          </cell>
          <cell r="H196">
            <v>155000</v>
          </cell>
        </row>
        <row r="197">
          <cell r="F197">
            <v>0</v>
          </cell>
          <cell r="G197">
            <v>33000</v>
          </cell>
          <cell r="H197">
            <v>33000</v>
          </cell>
        </row>
        <row r="198">
          <cell r="F198">
            <v>0</v>
          </cell>
          <cell r="G198">
            <v>126000</v>
          </cell>
          <cell r="H198">
            <v>126000</v>
          </cell>
        </row>
        <row r="199">
          <cell r="F199">
            <v>0</v>
          </cell>
          <cell r="G199">
            <v>26000</v>
          </cell>
          <cell r="H199">
            <v>26000</v>
          </cell>
        </row>
        <row r="200">
          <cell r="F200">
            <v>0</v>
          </cell>
          <cell r="G200">
            <v>13000</v>
          </cell>
          <cell r="H200">
            <v>13000</v>
          </cell>
        </row>
        <row r="201">
          <cell r="F201">
            <v>0</v>
          </cell>
          <cell r="G201">
            <v>145000</v>
          </cell>
          <cell r="H201">
            <v>145000</v>
          </cell>
        </row>
        <row r="202">
          <cell r="F202">
            <v>0</v>
          </cell>
          <cell r="G202">
            <v>127000</v>
          </cell>
          <cell r="H202">
            <v>127000</v>
          </cell>
        </row>
        <row r="203">
          <cell r="F203">
            <v>0</v>
          </cell>
          <cell r="G203">
            <v>25000</v>
          </cell>
          <cell r="H203">
            <v>25000</v>
          </cell>
        </row>
        <row r="204">
          <cell r="F204">
            <v>0</v>
          </cell>
          <cell r="G204">
            <v>201000</v>
          </cell>
          <cell r="H204">
            <v>201000</v>
          </cell>
        </row>
        <row r="205">
          <cell r="F205">
            <v>0</v>
          </cell>
          <cell r="G205">
            <v>244000</v>
          </cell>
          <cell r="H205">
            <v>244000</v>
          </cell>
        </row>
        <row r="206">
          <cell r="F206">
            <v>0</v>
          </cell>
          <cell r="G206">
            <v>108000</v>
          </cell>
          <cell r="H206">
            <v>108000</v>
          </cell>
        </row>
        <row r="207">
          <cell r="F207">
            <v>0</v>
          </cell>
          <cell r="G207">
            <v>248000</v>
          </cell>
          <cell r="H207">
            <v>248000</v>
          </cell>
        </row>
        <row r="208">
          <cell r="F208">
            <v>0</v>
          </cell>
          <cell r="G208">
            <v>220000</v>
          </cell>
          <cell r="H208">
            <v>220000</v>
          </cell>
        </row>
        <row r="209">
          <cell r="F209">
            <v>0</v>
          </cell>
          <cell r="G209">
            <v>318000</v>
          </cell>
          <cell r="H209">
            <v>318000</v>
          </cell>
        </row>
        <row r="210">
          <cell r="F210">
            <v>0</v>
          </cell>
          <cell r="G210">
            <v>670000</v>
          </cell>
          <cell r="H210">
            <v>670000</v>
          </cell>
        </row>
        <row r="211">
          <cell r="F211">
            <v>0</v>
          </cell>
          <cell r="G211">
            <v>22000</v>
          </cell>
          <cell r="H211">
            <v>22000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17000</v>
          </cell>
          <cell r="H213">
            <v>17000</v>
          </cell>
        </row>
        <row r="214">
          <cell r="F214">
            <v>0</v>
          </cell>
          <cell r="G214">
            <v>136000</v>
          </cell>
          <cell r="H214">
            <v>136000</v>
          </cell>
        </row>
        <row r="215">
          <cell r="F215">
            <v>0</v>
          </cell>
          <cell r="G215">
            <v>24000</v>
          </cell>
          <cell r="H215">
            <v>24000</v>
          </cell>
        </row>
        <row r="216">
          <cell r="F216">
            <v>0</v>
          </cell>
          <cell r="G216">
            <v>617000</v>
          </cell>
          <cell r="H216">
            <v>617000</v>
          </cell>
        </row>
        <row r="217">
          <cell r="F217">
            <v>0</v>
          </cell>
          <cell r="G217">
            <v>67000</v>
          </cell>
          <cell r="H217">
            <v>67000</v>
          </cell>
        </row>
        <row r="218">
          <cell r="F218">
            <v>0</v>
          </cell>
          <cell r="G218">
            <v>286000</v>
          </cell>
          <cell r="H218">
            <v>286000</v>
          </cell>
        </row>
        <row r="219">
          <cell r="F219">
            <v>0</v>
          </cell>
          <cell r="G219">
            <v>133000</v>
          </cell>
          <cell r="H219">
            <v>133000</v>
          </cell>
        </row>
        <row r="220">
          <cell r="F220">
            <v>0</v>
          </cell>
          <cell r="G220">
            <v>145000</v>
          </cell>
          <cell r="H220">
            <v>145000</v>
          </cell>
        </row>
        <row r="223">
          <cell r="F223">
            <v>247</v>
          </cell>
          <cell r="G223">
            <v>4349200</v>
          </cell>
          <cell r="H223">
            <v>4769100</v>
          </cell>
        </row>
        <row r="224">
          <cell r="F224">
            <v>0</v>
          </cell>
          <cell r="G224">
            <v>3550000</v>
          </cell>
          <cell r="H224">
            <v>3550000</v>
          </cell>
        </row>
        <row r="225">
          <cell r="F225">
            <v>696</v>
          </cell>
          <cell r="G225">
            <v>2054600</v>
          </cell>
          <cell r="H225">
            <v>3237800</v>
          </cell>
        </row>
        <row r="226">
          <cell r="F226">
            <v>1342</v>
          </cell>
          <cell r="G226">
            <v>1401200</v>
          </cell>
          <cell r="H226">
            <v>3682600</v>
          </cell>
        </row>
        <row r="227">
          <cell r="F227">
            <v>750</v>
          </cell>
          <cell r="G227">
            <v>1232100</v>
          </cell>
          <cell r="H227">
            <v>2507100</v>
          </cell>
        </row>
        <row r="228">
          <cell r="F228">
            <v>314</v>
          </cell>
          <cell r="G228">
            <v>1959700</v>
          </cell>
          <cell r="H228">
            <v>2493500</v>
          </cell>
        </row>
        <row r="229">
          <cell r="F229">
            <v>774</v>
          </cell>
          <cell r="G229">
            <v>1843400</v>
          </cell>
          <cell r="H229">
            <v>3159200</v>
          </cell>
        </row>
        <row r="230">
          <cell r="F230">
            <v>2004</v>
          </cell>
          <cell r="G230">
            <v>2042650</v>
          </cell>
          <cell r="H230">
            <v>5449450</v>
          </cell>
        </row>
        <row r="231">
          <cell r="F231">
            <v>0</v>
          </cell>
          <cell r="G231">
            <v>3783000</v>
          </cell>
          <cell r="H231">
            <v>3783000</v>
          </cell>
        </row>
        <row r="232">
          <cell r="F232">
            <v>0</v>
          </cell>
          <cell r="G232">
            <v>2507300</v>
          </cell>
          <cell r="H232">
            <v>2507300</v>
          </cell>
        </row>
        <row r="233">
          <cell r="F233">
            <v>1161</v>
          </cell>
          <cell r="G233">
            <v>1164700</v>
          </cell>
          <cell r="H233">
            <v>3138400</v>
          </cell>
        </row>
        <row r="234">
          <cell r="F234">
            <v>1435</v>
          </cell>
          <cell r="G234">
            <v>1087000</v>
          </cell>
          <cell r="H234">
            <v>3526500</v>
          </cell>
        </row>
        <row r="235">
          <cell r="F235">
            <v>2</v>
          </cell>
          <cell r="G235">
            <v>768400</v>
          </cell>
          <cell r="H235">
            <v>771800</v>
          </cell>
        </row>
        <row r="236">
          <cell r="F236">
            <v>0</v>
          </cell>
          <cell r="G236">
            <v>709550</v>
          </cell>
          <cell r="H236">
            <v>709550</v>
          </cell>
        </row>
        <row r="237">
          <cell r="F237">
            <v>532</v>
          </cell>
          <cell r="G237">
            <v>1207000</v>
          </cell>
          <cell r="H237">
            <v>2111400</v>
          </cell>
        </row>
        <row r="238">
          <cell r="F238">
            <v>756</v>
          </cell>
          <cell r="G238">
            <v>1480400</v>
          </cell>
          <cell r="H238">
            <v>2765600</v>
          </cell>
        </row>
        <row r="239">
          <cell r="F239">
            <v>269</v>
          </cell>
          <cell r="G239">
            <v>2550200</v>
          </cell>
          <cell r="H239">
            <v>3007500</v>
          </cell>
        </row>
        <row r="240">
          <cell r="F240">
            <v>727</v>
          </cell>
          <cell r="G240">
            <v>1444600</v>
          </cell>
          <cell r="H240">
            <v>2680500</v>
          </cell>
        </row>
        <row r="241">
          <cell r="F241">
            <v>844</v>
          </cell>
          <cell r="G241">
            <v>1437000</v>
          </cell>
          <cell r="H241">
            <v>2871800</v>
          </cell>
        </row>
        <row r="242">
          <cell r="F242">
            <v>781</v>
          </cell>
          <cell r="G242">
            <v>2057201</v>
          </cell>
          <cell r="H242">
            <v>3384901</v>
          </cell>
        </row>
        <row r="243">
          <cell r="F243">
            <v>819</v>
          </cell>
          <cell r="G243">
            <v>1460800</v>
          </cell>
          <cell r="H243">
            <v>2853100</v>
          </cell>
        </row>
        <row r="244">
          <cell r="F244">
            <v>587</v>
          </cell>
          <cell r="G244">
            <v>1064850</v>
          </cell>
          <cell r="H244">
            <v>2062750</v>
          </cell>
        </row>
        <row r="245">
          <cell r="F245">
            <v>454</v>
          </cell>
          <cell r="G245">
            <v>316200</v>
          </cell>
          <cell r="H245">
            <v>1088000</v>
          </cell>
        </row>
        <row r="246">
          <cell r="F246">
            <v>1023</v>
          </cell>
          <cell r="G246">
            <v>3456550</v>
          </cell>
          <cell r="H246">
            <v>5195650</v>
          </cell>
        </row>
        <row r="247">
          <cell r="F247">
            <v>1275</v>
          </cell>
          <cell r="G247">
            <v>548500</v>
          </cell>
          <cell r="H247">
            <v>2716000</v>
          </cell>
        </row>
        <row r="248">
          <cell r="F248">
            <v>160</v>
          </cell>
          <cell r="G248">
            <v>2303400</v>
          </cell>
          <cell r="H248">
            <v>2575400</v>
          </cell>
        </row>
        <row r="249">
          <cell r="F249">
            <v>189</v>
          </cell>
          <cell r="G249">
            <v>3276600</v>
          </cell>
          <cell r="H249">
            <v>3597900</v>
          </cell>
        </row>
        <row r="250">
          <cell r="F250">
            <v>182</v>
          </cell>
          <cell r="G250">
            <v>3978200</v>
          </cell>
          <cell r="H250">
            <v>4287600</v>
          </cell>
        </row>
        <row r="251">
          <cell r="F251">
            <v>143</v>
          </cell>
          <cell r="G251">
            <v>2699600</v>
          </cell>
          <cell r="H251">
            <v>2942700</v>
          </cell>
        </row>
        <row r="252">
          <cell r="F252">
            <v>179</v>
          </cell>
          <cell r="G252">
            <v>819700</v>
          </cell>
          <cell r="H252">
            <v>1124000</v>
          </cell>
        </row>
        <row r="253">
          <cell r="F253">
            <v>65</v>
          </cell>
          <cell r="G253">
            <v>3922650</v>
          </cell>
          <cell r="H253">
            <v>4033150</v>
          </cell>
        </row>
        <row r="254">
          <cell r="F254">
            <v>721</v>
          </cell>
          <cell r="G254">
            <v>2211800</v>
          </cell>
          <cell r="H254">
            <v>3437500</v>
          </cell>
        </row>
        <row r="255">
          <cell r="F255">
            <v>431</v>
          </cell>
          <cell r="G255">
            <v>1450600</v>
          </cell>
          <cell r="H255">
            <v>2183300</v>
          </cell>
        </row>
        <row r="256">
          <cell r="F256">
            <v>373</v>
          </cell>
          <cell r="G256">
            <v>3458050</v>
          </cell>
          <cell r="H256">
            <v>4092150</v>
          </cell>
        </row>
        <row r="257">
          <cell r="F257">
            <v>922</v>
          </cell>
          <cell r="G257">
            <v>1104100</v>
          </cell>
          <cell r="H257">
            <v>2671500</v>
          </cell>
        </row>
        <row r="260">
          <cell r="G260">
            <v>108000</v>
          </cell>
          <cell r="H260">
            <v>108000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9688</v>
          </cell>
          <cell r="G10">
            <v>4837100</v>
          </cell>
          <cell r="H10">
            <v>21306700</v>
          </cell>
        </row>
        <row r="14">
          <cell r="F14">
            <v>4966</v>
          </cell>
          <cell r="G14">
            <v>1104800</v>
          </cell>
          <cell r="H14">
            <v>9547000</v>
          </cell>
        </row>
        <row r="15">
          <cell r="F15">
            <v>5117</v>
          </cell>
          <cell r="G15">
            <v>995800</v>
          </cell>
          <cell r="H15">
            <v>9694700</v>
          </cell>
        </row>
        <row r="16">
          <cell r="F16">
            <v>5850</v>
          </cell>
          <cell r="G16">
            <v>1870200</v>
          </cell>
          <cell r="H16">
            <v>11815200</v>
          </cell>
        </row>
        <row r="17">
          <cell r="F17">
            <v>3876</v>
          </cell>
          <cell r="G17">
            <v>1304900</v>
          </cell>
          <cell r="H17">
            <v>7894100</v>
          </cell>
        </row>
        <row r="18">
          <cell r="F18">
            <v>5022</v>
          </cell>
          <cell r="G18">
            <v>1669100</v>
          </cell>
          <cell r="H18">
            <v>10206500</v>
          </cell>
        </row>
        <row r="19">
          <cell r="F19">
            <v>5701</v>
          </cell>
          <cell r="G19">
            <v>2583750</v>
          </cell>
          <cell r="H19">
            <v>12275450</v>
          </cell>
        </row>
        <row r="20">
          <cell r="F20">
            <v>3285</v>
          </cell>
          <cell r="G20">
            <v>1440500</v>
          </cell>
          <cell r="H20">
            <v>7025000</v>
          </cell>
        </row>
        <row r="21">
          <cell r="F21">
            <v>3594</v>
          </cell>
          <cell r="G21">
            <v>1542800</v>
          </cell>
          <cell r="H21">
            <v>7652600</v>
          </cell>
        </row>
        <row r="22">
          <cell r="F22">
            <v>7188</v>
          </cell>
          <cell r="G22">
            <v>3179600</v>
          </cell>
          <cell r="H22">
            <v>15399200</v>
          </cell>
        </row>
        <row r="23">
          <cell r="F23">
            <v>3377</v>
          </cell>
          <cell r="G23">
            <v>981900</v>
          </cell>
          <cell r="H23">
            <v>6722800</v>
          </cell>
        </row>
        <row r="24">
          <cell r="F24">
            <v>2700</v>
          </cell>
          <cell r="G24">
            <v>1040600</v>
          </cell>
          <cell r="H24">
            <v>5630600</v>
          </cell>
        </row>
        <row r="25">
          <cell r="F25">
            <v>2221</v>
          </cell>
          <cell r="G25">
            <v>520400</v>
          </cell>
          <cell r="H25">
            <v>4296100</v>
          </cell>
        </row>
        <row r="26">
          <cell r="F26">
            <v>5158</v>
          </cell>
          <cell r="G26">
            <v>1313100</v>
          </cell>
          <cell r="H26">
            <v>10081700</v>
          </cell>
        </row>
        <row r="27">
          <cell r="F27">
            <v>13044</v>
          </cell>
          <cell r="G27">
            <v>6320700</v>
          </cell>
          <cell r="H27">
            <v>28495500</v>
          </cell>
        </row>
        <row r="28">
          <cell r="F28">
            <v>10656</v>
          </cell>
          <cell r="G28">
            <v>5100800</v>
          </cell>
          <cell r="H28">
            <v>23216000</v>
          </cell>
        </row>
        <row r="29">
          <cell r="F29">
            <v>8376</v>
          </cell>
          <cell r="G29">
            <v>4237700</v>
          </cell>
          <cell r="H29">
            <v>18476900</v>
          </cell>
        </row>
        <row r="30">
          <cell r="F30">
            <v>13706</v>
          </cell>
          <cell r="G30">
            <v>4535500</v>
          </cell>
          <cell r="H30">
            <v>27835700</v>
          </cell>
        </row>
        <row r="31">
          <cell r="F31">
            <v>7345</v>
          </cell>
          <cell r="G31">
            <v>3230450</v>
          </cell>
          <cell r="H31">
            <v>15716950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10003</v>
          </cell>
          <cell r="G33">
            <v>2828300</v>
          </cell>
          <cell r="H33">
            <v>19833400</v>
          </cell>
        </row>
        <row r="34">
          <cell r="F34">
            <v>12270</v>
          </cell>
          <cell r="G34">
            <v>3589300</v>
          </cell>
          <cell r="H34">
            <v>24448300</v>
          </cell>
        </row>
        <row r="35">
          <cell r="F35">
            <v>10563</v>
          </cell>
          <cell r="G35">
            <v>3864300</v>
          </cell>
          <cell r="H35">
            <v>21821400</v>
          </cell>
        </row>
        <row r="36">
          <cell r="F36">
            <v>12207</v>
          </cell>
          <cell r="G36">
            <v>3670000</v>
          </cell>
          <cell r="H36">
            <v>24421900</v>
          </cell>
        </row>
        <row r="37">
          <cell r="F37">
            <v>3466</v>
          </cell>
          <cell r="G37">
            <v>2301000</v>
          </cell>
          <cell r="H37">
            <v>8193200</v>
          </cell>
        </row>
        <row r="38">
          <cell r="F38">
            <v>6054</v>
          </cell>
          <cell r="G38">
            <v>2938300</v>
          </cell>
          <cell r="H38">
            <v>13230100</v>
          </cell>
        </row>
        <row r="39">
          <cell r="F39">
            <v>2261</v>
          </cell>
          <cell r="G39">
            <v>2055100</v>
          </cell>
          <cell r="H39">
            <v>5898800</v>
          </cell>
        </row>
        <row r="40">
          <cell r="F40">
            <v>11978</v>
          </cell>
          <cell r="G40">
            <v>5606400</v>
          </cell>
          <cell r="H40">
            <v>25969000</v>
          </cell>
        </row>
        <row r="41">
          <cell r="F41">
            <v>5833</v>
          </cell>
          <cell r="G41">
            <v>2241400</v>
          </cell>
          <cell r="H41">
            <v>12157500</v>
          </cell>
        </row>
        <row r="42">
          <cell r="F42">
            <v>1959</v>
          </cell>
          <cell r="G42">
            <v>1236100</v>
          </cell>
          <cell r="H42">
            <v>4566400</v>
          </cell>
        </row>
        <row r="43">
          <cell r="F43">
            <v>3781</v>
          </cell>
          <cell r="G43">
            <v>1211400</v>
          </cell>
          <cell r="H43">
            <v>7639100</v>
          </cell>
        </row>
        <row r="44">
          <cell r="F44">
            <v>1170</v>
          </cell>
          <cell r="G44">
            <v>498700</v>
          </cell>
          <cell r="H44">
            <v>2487700</v>
          </cell>
        </row>
        <row r="45">
          <cell r="F45">
            <v>13781</v>
          </cell>
          <cell r="G45">
            <v>4769600</v>
          </cell>
          <cell r="H45">
            <v>28197300</v>
          </cell>
        </row>
        <row r="46">
          <cell r="F46">
            <v>1955</v>
          </cell>
          <cell r="G46">
            <v>1726000</v>
          </cell>
          <cell r="H46">
            <v>5049500</v>
          </cell>
        </row>
        <row r="47">
          <cell r="F47">
            <v>19215</v>
          </cell>
          <cell r="G47">
            <v>5620600</v>
          </cell>
          <cell r="H47">
            <v>38286100</v>
          </cell>
        </row>
        <row r="52">
          <cell r="F52">
            <v>7747</v>
          </cell>
          <cell r="G52">
            <v>2450000</v>
          </cell>
          <cell r="H52">
            <v>15619900</v>
          </cell>
        </row>
        <row r="53">
          <cell r="F53">
            <v>7099</v>
          </cell>
          <cell r="G53">
            <v>3604400</v>
          </cell>
          <cell r="H53">
            <v>15672700</v>
          </cell>
        </row>
        <row r="54">
          <cell r="F54">
            <v>11924</v>
          </cell>
          <cell r="G54">
            <v>3950700</v>
          </cell>
          <cell r="H54">
            <v>24221500</v>
          </cell>
        </row>
        <row r="55">
          <cell r="F55">
            <v>4103</v>
          </cell>
          <cell r="G55">
            <v>2116800</v>
          </cell>
          <cell r="H55">
            <v>9091900</v>
          </cell>
        </row>
        <row r="56">
          <cell r="F56">
            <v>4187</v>
          </cell>
          <cell r="G56">
            <v>1107200</v>
          </cell>
          <cell r="H56">
            <v>8225100</v>
          </cell>
        </row>
        <row r="57">
          <cell r="F57">
            <v>8952</v>
          </cell>
          <cell r="G57">
            <v>3056000</v>
          </cell>
          <cell r="H57">
            <v>18274400</v>
          </cell>
        </row>
        <row r="58">
          <cell r="F58">
            <v>12821</v>
          </cell>
          <cell r="G58">
            <v>3844900</v>
          </cell>
          <cell r="H58">
            <v>25640600</v>
          </cell>
        </row>
        <row r="59">
          <cell r="F59">
            <v>6326</v>
          </cell>
          <cell r="G59">
            <v>2247500</v>
          </cell>
          <cell r="H59">
            <v>13001700</v>
          </cell>
        </row>
        <row r="60">
          <cell r="F60">
            <v>7093</v>
          </cell>
          <cell r="G60">
            <v>2565500</v>
          </cell>
          <cell r="H60">
            <v>14623600</v>
          </cell>
        </row>
        <row r="61">
          <cell r="F61">
            <v>4715</v>
          </cell>
          <cell r="G61">
            <v>1342650</v>
          </cell>
          <cell r="H61">
            <v>9358150</v>
          </cell>
        </row>
        <row r="62">
          <cell r="F62">
            <v>11824</v>
          </cell>
          <cell r="G62">
            <v>3722950</v>
          </cell>
          <cell r="H62">
            <v>23823750</v>
          </cell>
        </row>
        <row r="63">
          <cell r="F63">
            <v>9814</v>
          </cell>
          <cell r="G63">
            <v>3127500</v>
          </cell>
          <cell r="H63">
            <v>19811300</v>
          </cell>
        </row>
        <row r="64">
          <cell r="F64">
            <v>8157</v>
          </cell>
          <cell r="G64">
            <v>2874000</v>
          </cell>
          <cell r="H64">
            <v>16740900</v>
          </cell>
        </row>
        <row r="65">
          <cell r="F65">
            <v>5121</v>
          </cell>
          <cell r="G65">
            <v>2126300</v>
          </cell>
          <cell r="H65">
            <v>10832000</v>
          </cell>
        </row>
        <row r="66">
          <cell r="F66">
            <v>7331</v>
          </cell>
          <cell r="G66">
            <v>3750500</v>
          </cell>
          <cell r="H66">
            <v>16213200</v>
          </cell>
        </row>
        <row r="67">
          <cell r="F67">
            <v>4474</v>
          </cell>
          <cell r="G67">
            <v>2161000</v>
          </cell>
          <cell r="H67">
            <v>9766800</v>
          </cell>
        </row>
        <row r="68">
          <cell r="F68">
            <v>7623</v>
          </cell>
          <cell r="G68">
            <v>3118700</v>
          </cell>
          <cell r="H68">
            <v>16077800</v>
          </cell>
        </row>
        <row r="69">
          <cell r="F69">
            <v>5863</v>
          </cell>
          <cell r="G69">
            <v>2668300</v>
          </cell>
          <cell r="H69">
            <v>12635400</v>
          </cell>
        </row>
        <row r="70">
          <cell r="F70">
            <v>9993</v>
          </cell>
          <cell r="G70">
            <v>4286800</v>
          </cell>
          <cell r="H70">
            <v>21274900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5121</v>
          </cell>
          <cell r="G72">
            <v>1774200</v>
          </cell>
          <cell r="H72">
            <v>10479900</v>
          </cell>
        </row>
        <row r="73">
          <cell r="F73">
            <v>3671</v>
          </cell>
          <cell r="G73">
            <v>907500</v>
          </cell>
          <cell r="H73">
            <v>7148200</v>
          </cell>
        </row>
        <row r="74">
          <cell r="F74">
            <v>11312</v>
          </cell>
          <cell r="G74">
            <v>2786400</v>
          </cell>
          <cell r="H74">
            <v>22016800</v>
          </cell>
        </row>
        <row r="75">
          <cell r="F75">
            <v>5238</v>
          </cell>
          <cell r="G75">
            <v>1944600</v>
          </cell>
          <cell r="H75">
            <v>10849200</v>
          </cell>
        </row>
        <row r="76">
          <cell r="F76">
            <v>17818</v>
          </cell>
          <cell r="G76">
            <v>5544650</v>
          </cell>
          <cell r="H76">
            <v>35835250</v>
          </cell>
        </row>
        <row r="77">
          <cell r="F77">
            <v>8094</v>
          </cell>
          <cell r="G77">
            <v>1312000</v>
          </cell>
          <cell r="H77">
            <v>15071800</v>
          </cell>
        </row>
        <row r="78">
          <cell r="F78">
            <v>5464</v>
          </cell>
          <cell r="G78">
            <v>1634600</v>
          </cell>
          <cell r="H78">
            <v>10923400</v>
          </cell>
        </row>
        <row r="79">
          <cell r="F79">
            <v>2085</v>
          </cell>
          <cell r="G79">
            <v>439150</v>
          </cell>
          <cell r="H79">
            <v>3983650</v>
          </cell>
        </row>
        <row r="80">
          <cell r="F80">
            <v>3910</v>
          </cell>
          <cell r="G80">
            <v>999500</v>
          </cell>
          <cell r="H80">
            <v>7646500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2602</v>
          </cell>
          <cell r="G84">
            <v>722500</v>
          </cell>
          <cell r="H84">
            <v>5145900</v>
          </cell>
        </row>
        <row r="85">
          <cell r="F85">
            <v>1224</v>
          </cell>
          <cell r="G85">
            <v>284100</v>
          </cell>
          <cell r="H85">
            <v>2364900</v>
          </cell>
        </row>
        <row r="86">
          <cell r="F86">
            <v>2851</v>
          </cell>
          <cell r="G86">
            <v>893050</v>
          </cell>
          <cell r="H86">
            <v>5739750</v>
          </cell>
        </row>
        <row r="87">
          <cell r="F87">
            <v>2971</v>
          </cell>
          <cell r="G87">
            <v>668300</v>
          </cell>
          <cell r="H87">
            <v>5719000</v>
          </cell>
        </row>
        <row r="88">
          <cell r="F88">
            <v>4955</v>
          </cell>
          <cell r="G88">
            <v>1362500</v>
          </cell>
          <cell r="H88">
            <v>9786000</v>
          </cell>
        </row>
        <row r="89">
          <cell r="F89">
            <v>1596</v>
          </cell>
          <cell r="G89">
            <v>1017800</v>
          </cell>
          <cell r="H89">
            <v>3731000</v>
          </cell>
        </row>
        <row r="90">
          <cell r="F90">
            <v>2427</v>
          </cell>
          <cell r="G90">
            <v>1071700</v>
          </cell>
          <cell r="H90">
            <v>5197600</v>
          </cell>
        </row>
        <row r="91">
          <cell r="F91">
            <v>4362</v>
          </cell>
          <cell r="G91">
            <v>2040000</v>
          </cell>
          <cell r="H91">
            <v>9455400</v>
          </cell>
        </row>
        <row r="92">
          <cell r="F92">
            <v>1966</v>
          </cell>
          <cell r="G92">
            <v>888700</v>
          </cell>
          <cell r="H92">
            <v>4230900</v>
          </cell>
        </row>
        <row r="93">
          <cell r="F93">
            <v>2255</v>
          </cell>
          <cell r="G93">
            <v>1295700</v>
          </cell>
          <cell r="H93">
            <v>5129200</v>
          </cell>
        </row>
        <row r="94">
          <cell r="F94">
            <v>492</v>
          </cell>
          <cell r="G94">
            <v>239700</v>
          </cell>
          <cell r="H94">
            <v>1076100</v>
          </cell>
        </row>
        <row r="95">
          <cell r="F95">
            <v>2761</v>
          </cell>
          <cell r="G95">
            <v>1081100</v>
          </cell>
          <cell r="H95">
            <v>5774800</v>
          </cell>
        </row>
        <row r="96">
          <cell r="F96">
            <v>2762</v>
          </cell>
          <cell r="G96">
            <v>481150</v>
          </cell>
          <cell r="H96">
            <v>5176550</v>
          </cell>
        </row>
        <row r="97">
          <cell r="F97">
            <v>5806</v>
          </cell>
          <cell r="G97">
            <v>1137600</v>
          </cell>
          <cell r="H97">
            <v>11007800</v>
          </cell>
        </row>
        <row r="98">
          <cell r="F98">
            <v>2842</v>
          </cell>
          <cell r="G98">
            <v>755700</v>
          </cell>
          <cell r="H98">
            <v>5587100</v>
          </cell>
        </row>
        <row r="99">
          <cell r="F99">
            <v>6041</v>
          </cell>
          <cell r="G99">
            <v>1486200</v>
          </cell>
          <cell r="H99">
            <v>11755900</v>
          </cell>
        </row>
        <row r="100">
          <cell r="F100">
            <v>7156</v>
          </cell>
          <cell r="G100">
            <v>1591300</v>
          </cell>
          <cell r="H100">
            <v>13756500</v>
          </cell>
        </row>
        <row r="101">
          <cell r="F101">
            <v>2226</v>
          </cell>
          <cell r="G101">
            <v>462900</v>
          </cell>
          <cell r="H101">
            <v>4247100</v>
          </cell>
        </row>
        <row r="102">
          <cell r="F102">
            <v>11455</v>
          </cell>
          <cell r="G102">
            <v>1400000</v>
          </cell>
          <cell r="H102">
            <v>20873500</v>
          </cell>
        </row>
        <row r="103">
          <cell r="F103">
            <v>10175</v>
          </cell>
          <cell r="G103">
            <v>2027700</v>
          </cell>
          <cell r="H103">
            <v>19325200</v>
          </cell>
        </row>
        <row r="104">
          <cell r="F104">
            <v>4805</v>
          </cell>
          <cell r="G104">
            <v>1700100</v>
          </cell>
          <cell r="H104">
            <v>9868600</v>
          </cell>
        </row>
        <row r="105">
          <cell r="F105">
            <v>2991</v>
          </cell>
          <cell r="G105">
            <v>924300</v>
          </cell>
          <cell r="H105">
            <v>6009000</v>
          </cell>
        </row>
        <row r="106">
          <cell r="F106">
            <v>2874</v>
          </cell>
          <cell r="G106">
            <v>1015700</v>
          </cell>
          <cell r="H106">
            <v>5901500</v>
          </cell>
        </row>
        <row r="107">
          <cell r="F107">
            <v>4694</v>
          </cell>
          <cell r="G107">
            <v>1040900</v>
          </cell>
          <cell r="H107">
            <v>9020700</v>
          </cell>
        </row>
        <row r="108">
          <cell r="F108">
            <v>4460</v>
          </cell>
          <cell r="G108">
            <v>1305950</v>
          </cell>
          <cell r="H108">
            <v>8887950</v>
          </cell>
        </row>
        <row r="109">
          <cell r="F109">
            <v>3046</v>
          </cell>
          <cell r="G109">
            <v>947200</v>
          </cell>
          <cell r="H109">
            <v>6125400</v>
          </cell>
        </row>
        <row r="110">
          <cell r="F110">
            <v>1928</v>
          </cell>
          <cell r="G110">
            <v>519000</v>
          </cell>
          <cell r="H110">
            <v>3796600</v>
          </cell>
        </row>
        <row r="111">
          <cell r="F111">
            <v>5104</v>
          </cell>
          <cell r="G111">
            <v>1079700</v>
          </cell>
          <cell r="H111">
            <v>9756500</v>
          </cell>
        </row>
        <row r="112">
          <cell r="F112">
            <v>2958</v>
          </cell>
          <cell r="G112">
            <v>1263800</v>
          </cell>
          <cell r="H112">
            <v>6292400</v>
          </cell>
        </row>
        <row r="113">
          <cell r="F113">
            <v>3491</v>
          </cell>
          <cell r="G113">
            <v>2148800</v>
          </cell>
          <cell r="H113">
            <v>8083500</v>
          </cell>
        </row>
        <row r="114">
          <cell r="F114">
            <v>306</v>
          </cell>
          <cell r="G114">
            <v>100800</v>
          </cell>
          <cell r="H114">
            <v>621000</v>
          </cell>
        </row>
        <row r="115">
          <cell r="F115">
            <v>1979</v>
          </cell>
          <cell r="G115">
            <v>660200</v>
          </cell>
          <cell r="H115">
            <v>4024500</v>
          </cell>
        </row>
        <row r="116">
          <cell r="F116">
            <v>239</v>
          </cell>
          <cell r="G116">
            <v>95600</v>
          </cell>
          <cell r="H116">
            <v>501900</v>
          </cell>
        </row>
        <row r="117">
          <cell r="F117">
            <v>1956</v>
          </cell>
          <cell r="G117">
            <v>306400</v>
          </cell>
          <cell r="H117">
            <v>3631600</v>
          </cell>
        </row>
        <row r="118">
          <cell r="F118">
            <v>2365</v>
          </cell>
          <cell r="G118">
            <v>1016900</v>
          </cell>
          <cell r="H118">
            <v>5037400</v>
          </cell>
        </row>
        <row r="121">
          <cell r="F121">
            <v>43120</v>
          </cell>
          <cell r="G121">
            <v>5976900</v>
          </cell>
        </row>
        <row r="122">
          <cell r="F122">
            <v>8945</v>
          </cell>
          <cell r="G122">
            <v>12782350</v>
          </cell>
          <cell r="H122">
            <v>27988850</v>
          </cell>
        </row>
        <row r="133">
          <cell r="F133">
            <v>153437</v>
          </cell>
          <cell r="G133">
            <v>51344950</v>
          </cell>
          <cell r="H133">
            <v>312187850</v>
          </cell>
        </row>
        <row r="135">
          <cell r="F135">
            <v>165</v>
          </cell>
          <cell r="G135">
            <v>534300</v>
          </cell>
          <cell r="H135">
            <v>814800</v>
          </cell>
        </row>
        <row r="136">
          <cell r="F136">
            <v>4518</v>
          </cell>
          <cell r="G136">
            <v>2944700</v>
          </cell>
          <cell r="H136">
            <v>10625300</v>
          </cell>
        </row>
        <row r="137">
          <cell r="F137">
            <v>339</v>
          </cell>
          <cell r="G137">
            <v>446200</v>
          </cell>
          <cell r="H137">
            <v>1022500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194</v>
          </cell>
          <cell r="G139">
            <v>246700</v>
          </cell>
          <cell r="H139">
            <v>576500</v>
          </cell>
        </row>
        <row r="140">
          <cell r="F140">
            <v>435</v>
          </cell>
          <cell r="G140">
            <v>876800</v>
          </cell>
          <cell r="H140">
            <v>1616300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240</v>
          </cell>
          <cell r="G142">
            <v>542400</v>
          </cell>
          <cell r="H142">
            <v>950400</v>
          </cell>
        </row>
        <row r="143">
          <cell r="F143">
            <v>359</v>
          </cell>
          <cell r="G143">
            <v>710800</v>
          </cell>
          <cell r="H143">
            <v>1321100</v>
          </cell>
        </row>
        <row r="144">
          <cell r="F144">
            <v>208</v>
          </cell>
          <cell r="G144">
            <v>640000</v>
          </cell>
          <cell r="H144">
            <v>993600</v>
          </cell>
          <cell r="M144">
            <v>1006977.205</v>
          </cell>
        </row>
        <row r="145">
          <cell r="F145">
            <v>113</v>
          </cell>
          <cell r="G145">
            <v>548500</v>
          </cell>
          <cell r="H145">
            <v>740600</v>
          </cell>
        </row>
        <row r="146">
          <cell r="F146">
            <v>199</v>
          </cell>
          <cell r="G146">
            <v>245600</v>
          </cell>
          <cell r="H146">
            <v>583900</v>
          </cell>
        </row>
        <row r="147">
          <cell r="F147">
            <v>415</v>
          </cell>
          <cell r="G147">
            <v>422900</v>
          </cell>
          <cell r="H147">
            <v>1128400</v>
          </cell>
        </row>
        <row r="148">
          <cell r="F148">
            <v>810</v>
          </cell>
          <cell r="G148">
            <v>1179600</v>
          </cell>
          <cell r="H148">
            <v>2556600</v>
          </cell>
        </row>
        <row r="149">
          <cell r="F149">
            <v>266</v>
          </cell>
          <cell r="G149">
            <v>329200</v>
          </cell>
          <cell r="H149">
            <v>781400</v>
          </cell>
        </row>
        <row r="150">
          <cell r="F150">
            <v>420</v>
          </cell>
          <cell r="G150">
            <v>612800</v>
          </cell>
          <cell r="H150">
            <v>1326800</v>
          </cell>
        </row>
        <row r="153">
          <cell r="F153">
            <v>0</v>
          </cell>
          <cell r="G153">
            <v>26000</v>
          </cell>
          <cell r="H153">
            <v>26000</v>
          </cell>
        </row>
        <row r="154">
          <cell r="F154">
            <v>0</v>
          </cell>
          <cell r="G154">
            <v>163000</v>
          </cell>
          <cell r="H154">
            <v>163000</v>
          </cell>
        </row>
        <row r="155">
          <cell r="F155">
            <v>0</v>
          </cell>
          <cell r="G155">
            <v>200000</v>
          </cell>
          <cell r="H155">
            <v>200000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2000</v>
          </cell>
          <cell r="H157">
            <v>2000</v>
          </cell>
        </row>
        <row r="158">
          <cell r="F158">
            <v>0</v>
          </cell>
          <cell r="G158">
            <v>1046000</v>
          </cell>
          <cell r="H158">
            <v>1046000</v>
          </cell>
        </row>
        <row r="159">
          <cell r="F159">
            <v>0</v>
          </cell>
          <cell r="G159">
            <v>1759000</v>
          </cell>
          <cell r="H159">
            <v>1759000</v>
          </cell>
        </row>
        <row r="160">
          <cell r="F160">
            <v>0</v>
          </cell>
          <cell r="G160">
            <v>1830000</v>
          </cell>
          <cell r="H160">
            <v>1830000</v>
          </cell>
        </row>
        <row r="161">
          <cell r="F161">
            <v>0</v>
          </cell>
          <cell r="G161">
            <v>2875000</v>
          </cell>
          <cell r="H161">
            <v>2875000</v>
          </cell>
        </row>
        <row r="162">
          <cell r="F162">
            <v>0</v>
          </cell>
          <cell r="G162">
            <v>1183000</v>
          </cell>
          <cell r="H162">
            <v>1183000</v>
          </cell>
        </row>
        <row r="163">
          <cell r="F163">
            <v>0</v>
          </cell>
          <cell r="G163">
            <v>1105000</v>
          </cell>
          <cell r="H163">
            <v>1105000</v>
          </cell>
        </row>
        <row r="164">
          <cell r="F164">
            <v>0</v>
          </cell>
          <cell r="G164">
            <v>249000</v>
          </cell>
          <cell r="H164">
            <v>249000</v>
          </cell>
        </row>
        <row r="165">
          <cell r="F165">
            <v>0</v>
          </cell>
          <cell r="G165">
            <v>265000</v>
          </cell>
          <cell r="H165">
            <v>265000</v>
          </cell>
        </row>
        <row r="166">
          <cell r="F166">
            <v>0</v>
          </cell>
          <cell r="G166">
            <v>82000</v>
          </cell>
          <cell r="H166">
            <v>82000</v>
          </cell>
        </row>
        <row r="167">
          <cell r="F167">
            <v>0</v>
          </cell>
          <cell r="G167">
            <v>216000</v>
          </cell>
          <cell r="H167">
            <v>216000</v>
          </cell>
        </row>
        <row r="168">
          <cell r="F168">
            <v>0</v>
          </cell>
          <cell r="G168">
            <v>46000</v>
          </cell>
          <cell r="H168">
            <v>46000</v>
          </cell>
        </row>
        <row r="169">
          <cell r="F169">
            <v>0</v>
          </cell>
          <cell r="G169">
            <v>84000</v>
          </cell>
          <cell r="H169">
            <v>84000</v>
          </cell>
        </row>
        <row r="170">
          <cell r="F170">
            <v>0</v>
          </cell>
          <cell r="G170">
            <v>54000</v>
          </cell>
          <cell r="H170">
            <v>54000</v>
          </cell>
        </row>
        <row r="171">
          <cell r="F171">
            <v>0</v>
          </cell>
          <cell r="G171">
            <v>177000</v>
          </cell>
          <cell r="H171">
            <v>177000</v>
          </cell>
        </row>
        <row r="172">
          <cell r="F172">
            <v>0</v>
          </cell>
          <cell r="G172">
            <v>80000</v>
          </cell>
          <cell r="H172">
            <v>80000</v>
          </cell>
        </row>
        <row r="173">
          <cell r="F173">
            <v>0</v>
          </cell>
          <cell r="G173">
            <v>19000</v>
          </cell>
          <cell r="H173">
            <v>19000</v>
          </cell>
        </row>
        <row r="174">
          <cell r="F174">
            <v>0</v>
          </cell>
          <cell r="G174">
            <v>19000</v>
          </cell>
          <cell r="H174">
            <v>19000</v>
          </cell>
        </row>
        <row r="175">
          <cell r="F175">
            <v>0</v>
          </cell>
          <cell r="G175">
            <v>134000</v>
          </cell>
          <cell r="H175">
            <v>134000</v>
          </cell>
        </row>
        <row r="176">
          <cell r="F176">
            <v>0</v>
          </cell>
          <cell r="G176">
            <v>28000</v>
          </cell>
          <cell r="H176">
            <v>28000</v>
          </cell>
        </row>
        <row r="177">
          <cell r="F177">
            <v>0</v>
          </cell>
          <cell r="G177">
            <v>432000</v>
          </cell>
          <cell r="H177">
            <v>432000</v>
          </cell>
        </row>
        <row r="178">
          <cell r="F178">
            <v>0</v>
          </cell>
          <cell r="G178">
            <v>355000</v>
          </cell>
          <cell r="H178">
            <v>355000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15000</v>
          </cell>
          <cell r="H180">
            <v>15000</v>
          </cell>
        </row>
        <row r="181">
          <cell r="F181">
            <v>0</v>
          </cell>
          <cell r="G181">
            <v>0</v>
          </cell>
          <cell r="H181">
            <v>0</v>
          </cell>
        </row>
        <row r="182">
          <cell r="F182">
            <v>0</v>
          </cell>
          <cell r="G182">
            <v>39000</v>
          </cell>
          <cell r="H182">
            <v>39000</v>
          </cell>
        </row>
        <row r="183">
          <cell r="F183">
            <v>0</v>
          </cell>
          <cell r="G183">
            <v>177000</v>
          </cell>
          <cell r="H183">
            <v>177000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40000</v>
          </cell>
          <cell r="H185">
            <v>40000</v>
          </cell>
        </row>
        <row r="186">
          <cell r="F186">
            <v>0</v>
          </cell>
          <cell r="G186">
            <v>55000</v>
          </cell>
          <cell r="H186">
            <v>55000</v>
          </cell>
        </row>
        <row r="187">
          <cell r="F187">
            <v>0</v>
          </cell>
          <cell r="G187">
            <v>290000</v>
          </cell>
          <cell r="H187">
            <v>290000</v>
          </cell>
        </row>
        <row r="188">
          <cell r="F188">
            <v>0</v>
          </cell>
          <cell r="G188">
            <v>10000</v>
          </cell>
          <cell r="H188">
            <v>10000</v>
          </cell>
        </row>
        <row r="189">
          <cell r="F189">
            <v>0</v>
          </cell>
          <cell r="G189">
            <v>100000</v>
          </cell>
          <cell r="H189">
            <v>100000</v>
          </cell>
        </row>
        <row r="190">
          <cell r="F190">
            <v>0</v>
          </cell>
          <cell r="G190">
            <v>100000</v>
          </cell>
          <cell r="H190">
            <v>100000</v>
          </cell>
        </row>
        <row r="191">
          <cell r="F191">
            <v>0</v>
          </cell>
          <cell r="G191">
            <v>42000</v>
          </cell>
          <cell r="H191">
            <v>42000</v>
          </cell>
        </row>
        <row r="192">
          <cell r="F192">
            <v>0</v>
          </cell>
          <cell r="G192">
            <v>44000</v>
          </cell>
          <cell r="H192">
            <v>44000</v>
          </cell>
        </row>
        <row r="193">
          <cell r="F193">
            <v>0</v>
          </cell>
          <cell r="G193">
            <v>172000</v>
          </cell>
          <cell r="H193">
            <v>172000</v>
          </cell>
        </row>
        <row r="194">
          <cell r="F194">
            <v>0</v>
          </cell>
          <cell r="G194">
            <v>42000</v>
          </cell>
          <cell r="H194">
            <v>42000</v>
          </cell>
        </row>
        <row r="195">
          <cell r="F195">
            <v>0</v>
          </cell>
          <cell r="G195">
            <v>70000</v>
          </cell>
          <cell r="H195">
            <v>70000</v>
          </cell>
        </row>
        <row r="196">
          <cell r="F196">
            <v>0</v>
          </cell>
          <cell r="G196">
            <v>105000</v>
          </cell>
          <cell r="H196">
            <v>105000</v>
          </cell>
        </row>
        <row r="197">
          <cell r="F197">
            <v>0</v>
          </cell>
          <cell r="G197">
            <v>58000</v>
          </cell>
          <cell r="H197">
            <v>58000</v>
          </cell>
        </row>
        <row r="198">
          <cell r="F198">
            <v>0</v>
          </cell>
          <cell r="G198">
            <v>292000</v>
          </cell>
          <cell r="H198">
            <v>292000</v>
          </cell>
        </row>
        <row r="199">
          <cell r="F199">
            <v>0</v>
          </cell>
          <cell r="G199">
            <v>29000</v>
          </cell>
          <cell r="H199">
            <v>29000</v>
          </cell>
        </row>
        <row r="200">
          <cell r="F200">
            <v>0</v>
          </cell>
          <cell r="G200">
            <v>8000</v>
          </cell>
          <cell r="H200">
            <v>8000</v>
          </cell>
        </row>
        <row r="201">
          <cell r="F201">
            <v>0</v>
          </cell>
          <cell r="G201">
            <v>233000</v>
          </cell>
          <cell r="H201">
            <v>233000</v>
          </cell>
        </row>
        <row r="202">
          <cell r="F202">
            <v>0</v>
          </cell>
          <cell r="G202">
            <v>103000</v>
          </cell>
          <cell r="H202">
            <v>103000</v>
          </cell>
        </row>
        <row r="203">
          <cell r="F203">
            <v>0</v>
          </cell>
          <cell r="G203">
            <v>65000</v>
          </cell>
          <cell r="H203">
            <v>65000</v>
          </cell>
        </row>
        <row r="204">
          <cell r="F204">
            <v>0</v>
          </cell>
          <cell r="G204">
            <v>70000</v>
          </cell>
          <cell r="H204">
            <v>70000</v>
          </cell>
        </row>
        <row r="205">
          <cell r="F205">
            <v>0</v>
          </cell>
          <cell r="G205">
            <v>127000</v>
          </cell>
          <cell r="H205">
            <v>127000</v>
          </cell>
        </row>
        <row r="206">
          <cell r="F206">
            <v>0</v>
          </cell>
          <cell r="G206">
            <v>116000</v>
          </cell>
          <cell r="H206">
            <v>116000</v>
          </cell>
        </row>
        <row r="207">
          <cell r="F207">
            <v>0</v>
          </cell>
          <cell r="G207">
            <v>306000</v>
          </cell>
          <cell r="H207">
            <v>306000</v>
          </cell>
        </row>
        <row r="208">
          <cell r="F208">
            <v>0</v>
          </cell>
          <cell r="G208">
            <v>120000</v>
          </cell>
          <cell r="H208">
            <v>120000</v>
          </cell>
        </row>
        <row r="209">
          <cell r="F209">
            <v>0</v>
          </cell>
          <cell r="G209">
            <v>144000</v>
          </cell>
          <cell r="H209">
            <v>144000</v>
          </cell>
        </row>
        <row r="210">
          <cell r="F210">
            <v>0</v>
          </cell>
          <cell r="G210">
            <v>551000</v>
          </cell>
          <cell r="H210">
            <v>551000</v>
          </cell>
        </row>
        <row r="211">
          <cell r="F211">
            <v>0</v>
          </cell>
          <cell r="G211">
            <v>24000</v>
          </cell>
          <cell r="H211">
            <v>24000</v>
          </cell>
        </row>
        <row r="212">
          <cell r="F212">
            <v>0</v>
          </cell>
          <cell r="G212">
            <v>5000</v>
          </cell>
          <cell r="H212">
            <v>5000</v>
          </cell>
        </row>
        <row r="213">
          <cell r="F213">
            <v>0</v>
          </cell>
          <cell r="G213">
            <v>22000</v>
          </cell>
          <cell r="H213">
            <v>22000</v>
          </cell>
        </row>
        <row r="214">
          <cell r="F214">
            <v>0</v>
          </cell>
          <cell r="G214">
            <v>11000</v>
          </cell>
          <cell r="H214">
            <v>11000</v>
          </cell>
        </row>
        <row r="215">
          <cell r="F215">
            <v>0</v>
          </cell>
          <cell r="G215">
            <v>36000</v>
          </cell>
          <cell r="H215">
            <v>36000</v>
          </cell>
        </row>
        <row r="216">
          <cell r="F216">
            <v>0</v>
          </cell>
          <cell r="G216">
            <v>484000</v>
          </cell>
          <cell r="H216">
            <v>484000</v>
          </cell>
        </row>
        <row r="217">
          <cell r="F217">
            <v>0</v>
          </cell>
          <cell r="G217">
            <v>89000</v>
          </cell>
          <cell r="H217">
            <v>89000</v>
          </cell>
        </row>
        <row r="218">
          <cell r="F218">
            <v>0</v>
          </cell>
          <cell r="G218">
            <v>253000</v>
          </cell>
          <cell r="H218">
            <v>253000</v>
          </cell>
        </row>
        <row r="219">
          <cell r="F219">
            <v>0</v>
          </cell>
          <cell r="G219">
            <v>144000</v>
          </cell>
          <cell r="H219">
            <v>144000</v>
          </cell>
        </row>
        <row r="220">
          <cell r="F220">
            <v>0</v>
          </cell>
          <cell r="G220">
            <v>93000</v>
          </cell>
          <cell r="H220">
            <v>93000</v>
          </cell>
        </row>
        <row r="223">
          <cell r="F223">
            <v>275</v>
          </cell>
          <cell r="G223">
            <v>3005200</v>
          </cell>
          <cell r="H223">
            <v>3472700</v>
          </cell>
        </row>
        <row r="224">
          <cell r="F224">
            <v>0</v>
          </cell>
          <cell r="G224">
            <v>2437800</v>
          </cell>
          <cell r="H224">
            <v>2437800</v>
          </cell>
        </row>
        <row r="225">
          <cell r="F225">
            <v>441</v>
          </cell>
          <cell r="G225">
            <v>1779600</v>
          </cell>
          <cell r="H225">
            <v>2529300</v>
          </cell>
        </row>
        <row r="226">
          <cell r="F226">
            <v>1309</v>
          </cell>
          <cell r="G226">
            <v>1473100</v>
          </cell>
          <cell r="H226">
            <v>3698400</v>
          </cell>
        </row>
        <row r="227">
          <cell r="F227">
            <v>520</v>
          </cell>
          <cell r="G227">
            <v>958400</v>
          </cell>
          <cell r="H227">
            <v>1842400</v>
          </cell>
        </row>
        <row r="228">
          <cell r="F228">
            <v>221</v>
          </cell>
          <cell r="G228">
            <v>861100</v>
          </cell>
          <cell r="H228">
            <v>1236800</v>
          </cell>
        </row>
        <row r="229">
          <cell r="F229">
            <v>610</v>
          </cell>
          <cell r="G229">
            <v>1434300</v>
          </cell>
          <cell r="H229">
            <v>2471300</v>
          </cell>
        </row>
        <row r="230">
          <cell r="F230">
            <v>1827</v>
          </cell>
          <cell r="G230">
            <v>1568950</v>
          </cell>
          <cell r="H230">
            <v>4674850</v>
          </cell>
        </row>
        <row r="231">
          <cell r="F231">
            <v>0</v>
          </cell>
          <cell r="G231">
            <v>2618300</v>
          </cell>
          <cell r="H231">
            <v>2618300</v>
          </cell>
        </row>
        <row r="232">
          <cell r="F232">
            <v>0</v>
          </cell>
          <cell r="G232">
            <v>2588500</v>
          </cell>
          <cell r="H232">
            <v>2588500</v>
          </cell>
        </row>
        <row r="233">
          <cell r="F233">
            <v>1156</v>
          </cell>
          <cell r="G233">
            <v>1024050</v>
          </cell>
          <cell r="H233">
            <v>2989250</v>
          </cell>
        </row>
        <row r="234">
          <cell r="F234">
            <v>1374</v>
          </cell>
          <cell r="G234">
            <v>795200</v>
          </cell>
          <cell r="H234">
            <v>3131000</v>
          </cell>
        </row>
        <row r="235">
          <cell r="F235">
            <v>0</v>
          </cell>
          <cell r="G235">
            <v>734200</v>
          </cell>
          <cell r="H235">
            <v>734200</v>
          </cell>
        </row>
        <row r="236">
          <cell r="F236">
            <v>0</v>
          </cell>
          <cell r="G236">
            <v>926100</v>
          </cell>
          <cell r="H236">
            <v>926100</v>
          </cell>
        </row>
        <row r="237">
          <cell r="F237">
            <v>95</v>
          </cell>
          <cell r="G237">
            <v>1115300</v>
          </cell>
          <cell r="H237">
            <v>1276800</v>
          </cell>
        </row>
        <row r="238">
          <cell r="F238">
            <v>513</v>
          </cell>
          <cell r="G238">
            <v>679400</v>
          </cell>
          <cell r="H238">
            <v>1551500</v>
          </cell>
        </row>
        <row r="239">
          <cell r="F239">
            <v>179</v>
          </cell>
          <cell r="G239">
            <v>2043200</v>
          </cell>
          <cell r="H239">
            <v>2347500</v>
          </cell>
        </row>
        <row r="240">
          <cell r="F240">
            <v>703</v>
          </cell>
          <cell r="G240">
            <v>1195900</v>
          </cell>
          <cell r="H240">
            <v>2391000</v>
          </cell>
        </row>
        <row r="241">
          <cell r="F241">
            <v>548</v>
          </cell>
          <cell r="G241">
            <v>1248200</v>
          </cell>
          <cell r="H241">
            <v>2179800</v>
          </cell>
        </row>
        <row r="242">
          <cell r="F242">
            <v>750</v>
          </cell>
          <cell r="G242">
            <v>1650200</v>
          </cell>
          <cell r="H242">
            <v>2925200</v>
          </cell>
        </row>
        <row r="243">
          <cell r="F243">
            <v>702</v>
          </cell>
          <cell r="G243">
            <v>1375700</v>
          </cell>
          <cell r="H243">
            <v>2569100</v>
          </cell>
        </row>
        <row r="244">
          <cell r="F244">
            <v>425</v>
          </cell>
          <cell r="G244">
            <v>1050700</v>
          </cell>
          <cell r="H244">
            <v>1773200</v>
          </cell>
        </row>
        <row r="245">
          <cell r="F245">
            <v>413</v>
          </cell>
          <cell r="G245">
            <v>812600</v>
          </cell>
          <cell r="H245">
            <v>1514700</v>
          </cell>
        </row>
        <row r="246">
          <cell r="F246">
            <v>881</v>
          </cell>
          <cell r="G246">
            <v>2619400</v>
          </cell>
          <cell r="H246">
            <v>4117100</v>
          </cell>
        </row>
        <row r="247">
          <cell r="F247">
            <v>1321</v>
          </cell>
          <cell r="G247">
            <v>498700</v>
          </cell>
          <cell r="H247">
            <v>2744400</v>
          </cell>
        </row>
        <row r="248">
          <cell r="F248">
            <v>201</v>
          </cell>
          <cell r="G248">
            <v>1395000</v>
          </cell>
          <cell r="H248">
            <v>1736700</v>
          </cell>
        </row>
        <row r="249">
          <cell r="F249">
            <v>135</v>
          </cell>
          <cell r="G249">
            <v>1858400</v>
          </cell>
          <cell r="H249">
            <v>2087900</v>
          </cell>
        </row>
        <row r="250">
          <cell r="F250">
            <v>77</v>
          </cell>
          <cell r="G250">
            <v>2674100</v>
          </cell>
          <cell r="H250">
            <v>2805000</v>
          </cell>
        </row>
        <row r="251">
          <cell r="F251">
            <v>204</v>
          </cell>
          <cell r="G251">
            <v>1274700</v>
          </cell>
          <cell r="H251">
            <v>1621500</v>
          </cell>
        </row>
        <row r="252">
          <cell r="F252">
            <v>124</v>
          </cell>
          <cell r="G252">
            <v>596900</v>
          </cell>
          <cell r="H252">
            <v>807700</v>
          </cell>
        </row>
        <row r="253">
          <cell r="F253">
            <v>17</v>
          </cell>
          <cell r="G253">
            <v>2831200</v>
          </cell>
          <cell r="H253">
            <v>2860100</v>
          </cell>
        </row>
        <row r="254">
          <cell r="F254">
            <v>367</v>
          </cell>
          <cell r="G254">
            <v>1311400</v>
          </cell>
          <cell r="H254">
            <v>1935300</v>
          </cell>
        </row>
        <row r="255">
          <cell r="F255">
            <v>273</v>
          </cell>
          <cell r="G255">
            <v>991700</v>
          </cell>
          <cell r="H255">
            <v>1455800</v>
          </cell>
        </row>
        <row r="256">
          <cell r="F256">
            <v>479</v>
          </cell>
          <cell r="G256">
            <v>1943800</v>
          </cell>
          <cell r="H256">
            <v>2758100</v>
          </cell>
        </row>
        <row r="257">
          <cell r="F257">
            <v>551</v>
          </cell>
          <cell r="G257">
            <v>893400</v>
          </cell>
          <cell r="H257">
            <v>1830100</v>
          </cell>
        </row>
        <row r="260">
          <cell r="G260">
            <v>30000</v>
          </cell>
          <cell r="H260">
            <v>30000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10335</v>
          </cell>
          <cell r="G10">
            <v>3776900</v>
          </cell>
          <cell r="H10">
            <v>21346400</v>
          </cell>
        </row>
        <row r="14">
          <cell r="F14">
            <v>4970</v>
          </cell>
          <cell r="G14">
            <v>1080300</v>
          </cell>
          <cell r="H14">
            <v>9529300</v>
          </cell>
        </row>
        <row r="15">
          <cell r="F15">
            <v>5033</v>
          </cell>
          <cell r="G15">
            <v>1048200</v>
          </cell>
          <cell r="H15">
            <v>9604300</v>
          </cell>
        </row>
        <row r="16">
          <cell r="F16">
            <v>5893</v>
          </cell>
          <cell r="G16">
            <v>1646800</v>
          </cell>
          <cell r="H16">
            <v>11664900</v>
          </cell>
        </row>
        <row r="17">
          <cell r="F17">
            <v>3309</v>
          </cell>
          <cell r="G17">
            <v>993950</v>
          </cell>
          <cell r="H17">
            <v>6619250</v>
          </cell>
        </row>
        <row r="18">
          <cell r="F18">
            <v>4396</v>
          </cell>
          <cell r="G18">
            <v>1528700</v>
          </cell>
          <cell r="H18">
            <v>9001900</v>
          </cell>
        </row>
        <row r="19">
          <cell r="F19">
            <v>5595</v>
          </cell>
          <cell r="G19">
            <v>2065400</v>
          </cell>
          <cell r="H19">
            <v>11576900</v>
          </cell>
        </row>
        <row r="20">
          <cell r="F20">
            <v>2976</v>
          </cell>
          <cell r="G20">
            <v>1097950</v>
          </cell>
          <cell r="H20">
            <v>6157150</v>
          </cell>
        </row>
        <row r="21">
          <cell r="F21">
            <v>3707</v>
          </cell>
          <cell r="G21">
            <v>1275700</v>
          </cell>
          <cell r="H21">
            <v>7577600</v>
          </cell>
        </row>
        <row r="22">
          <cell r="F22">
            <v>7332</v>
          </cell>
          <cell r="G22">
            <v>2704650</v>
          </cell>
          <cell r="H22">
            <v>15169050</v>
          </cell>
        </row>
        <row r="23">
          <cell r="F23">
            <v>3324</v>
          </cell>
          <cell r="G23">
            <v>802700</v>
          </cell>
          <cell r="H23">
            <v>6453500</v>
          </cell>
        </row>
        <row r="24">
          <cell r="F24">
            <v>2788</v>
          </cell>
          <cell r="G24">
            <v>1140600</v>
          </cell>
          <cell r="H24">
            <v>5880200</v>
          </cell>
        </row>
        <row r="25">
          <cell r="F25">
            <v>2187</v>
          </cell>
          <cell r="G25">
            <v>770900</v>
          </cell>
          <cell r="H25">
            <v>4488800</v>
          </cell>
        </row>
        <row r="26">
          <cell r="F26">
            <v>5251</v>
          </cell>
          <cell r="G26">
            <v>1827100</v>
          </cell>
          <cell r="H26">
            <v>10753800</v>
          </cell>
        </row>
        <row r="27">
          <cell r="F27">
            <v>12875</v>
          </cell>
          <cell r="G27">
            <v>6143800</v>
          </cell>
          <cell r="H27">
            <v>28031300</v>
          </cell>
        </row>
        <row r="28">
          <cell r="F28">
            <v>10563</v>
          </cell>
          <cell r="G28">
            <v>4182100</v>
          </cell>
          <cell r="H28">
            <v>22139200</v>
          </cell>
        </row>
        <row r="29">
          <cell r="F29">
            <v>8358</v>
          </cell>
          <cell r="G29">
            <v>3593700</v>
          </cell>
          <cell r="H29">
            <v>17802300</v>
          </cell>
        </row>
        <row r="30">
          <cell r="F30">
            <v>14117</v>
          </cell>
          <cell r="G30">
            <v>3721200</v>
          </cell>
          <cell r="H30">
            <v>27720100</v>
          </cell>
        </row>
        <row r="31">
          <cell r="F31">
            <v>7692</v>
          </cell>
          <cell r="G31">
            <v>3113700</v>
          </cell>
          <cell r="H31">
            <v>16190100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9575</v>
          </cell>
          <cell r="G33">
            <v>2520900</v>
          </cell>
          <cell r="H33">
            <v>18798400</v>
          </cell>
        </row>
        <row r="34">
          <cell r="F34">
            <v>12433</v>
          </cell>
          <cell r="G34">
            <v>3031800</v>
          </cell>
          <cell r="H34">
            <v>24167900</v>
          </cell>
        </row>
        <row r="35">
          <cell r="F35">
            <v>10562</v>
          </cell>
          <cell r="G35">
            <v>3765400</v>
          </cell>
          <cell r="H35">
            <v>21720800</v>
          </cell>
        </row>
        <row r="36">
          <cell r="F36">
            <v>11882</v>
          </cell>
          <cell r="G36">
            <v>3737000</v>
          </cell>
          <cell r="H36">
            <v>23936400</v>
          </cell>
        </row>
        <row r="37">
          <cell r="F37">
            <v>3182</v>
          </cell>
          <cell r="G37">
            <v>1706600</v>
          </cell>
          <cell r="H37">
            <v>7116000</v>
          </cell>
        </row>
        <row r="38">
          <cell r="F38">
            <v>5774</v>
          </cell>
          <cell r="G38">
            <v>2511000</v>
          </cell>
          <cell r="H38">
            <v>12326800</v>
          </cell>
        </row>
        <row r="39">
          <cell r="F39">
            <v>2125</v>
          </cell>
          <cell r="G39">
            <v>1985200</v>
          </cell>
          <cell r="H39">
            <v>5597700</v>
          </cell>
        </row>
        <row r="40">
          <cell r="F40">
            <v>11306</v>
          </cell>
          <cell r="G40">
            <v>4655200</v>
          </cell>
          <cell r="H40">
            <v>23875400</v>
          </cell>
        </row>
        <row r="41">
          <cell r="F41">
            <v>5398</v>
          </cell>
          <cell r="G41">
            <v>1663900</v>
          </cell>
          <cell r="H41">
            <v>10840500</v>
          </cell>
        </row>
        <row r="42">
          <cell r="F42">
            <v>1432</v>
          </cell>
          <cell r="G42">
            <v>953000</v>
          </cell>
          <cell r="H42">
            <v>3387400</v>
          </cell>
        </row>
        <row r="43">
          <cell r="F43">
            <v>3580</v>
          </cell>
          <cell r="G43">
            <v>918200</v>
          </cell>
          <cell r="H43">
            <v>7004200</v>
          </cell>
        </row>
        <row r="44">
          <cell r="F44">
            <v>731</v>
          </cell>
          <cell r="G44">
            <v>302800</v>
          </cell>
          <cell r="H44">
            <v>1545500</v>
          </cell>
        </row>
        <row r="45">
          <cell r="F45">
            <v>12967</v>
          </cell>
          <cell r="G45">
            <v>2900400</v>
          </cell>
          <cell r="H45">
            <v>24944300</v>
          </cell>
        </row>
        <row r="46">
          <cell r="F46">
            <v>1696</v>
          </cell>
          <cell r="G46">
            <v>1118600</v>
          </cell>
          <cell r="H46">
            <v>4001800</v>
          </cell>
        </row>
        <row r="47">
          <cell r="F47">
            <v>21759</v>
          </cell>
          <cell r="G47">
            <v>4502600</v>
          </cell>
          <cell r="H47">
            <v>41492900</v>
          </cell>
        </row>
        <row r="52">
          <cell r="F52">
            <v>7940</v>
          </cell>
          <cell r="G52">
            <v>2239500</v>
          </cell>
          <cell r="H52">
            <v>15737500</v>
          </cell>
        </row>
        <row r="53">
          <cell r="F53">
            <v>6955</v>
          </cell>
          <cell r="G53">
            <v>3071100</v>
          </cell>
          <cell r="H53">
            <v>14894600</v>
          </cell>
        </row>
        <row r="54">
          <cell r="F54">
            <v>12505</v>
          </cell>
          <cell r="G54">
            <v>3398500</v>
          </cell>
          <cell r="H54">
            <v>24657000</v>
          </cell>
        </row>
        <row r="55">
          <cell r="F55">
            <v>3945</v>
          </cell>
          <cell r="G55">
            <v>1686000</v>
          </cell>
          <cell r="H55">
            <v>8392500</v>
          </cell>
        </row>
        <row r="56">
          <cell r="F56">
            <v>4125</v>
          </cell>
          <cell r="G56">
            <v>1265200</v>
          </cell>
          <cell r="H56">
            <v>8277700</v>
          </cell>
        </row>
        <row r="57">
          <cell r="F57">
            <v>9327</v>
          </cell>
          <cell r="G57">
            <v>2731200</v>
          </cell>
          <cell r="H57">
            <v>18587100</v>
          </cell>
        </row>
        <row r="58">
          <cell r="F58">
            <v>12799</v>
          </cell>
          <cell r="G58">
            <v>3523300</v>
          </cell>
          <cell r="H58">
            <v>25281600</v>
          </cell>
        </row>
        <row r="59">
          <cell r="F59">
            <v>6188</v>
          </cell>
          <cell r="G59">
            <v>1837500</v>
          </cell>
          <cell r="H59">
            <v>12357100</v>
          </cell>
        </row>
        <row r="60">
          <cell r="F60">
            <v>6706</v>
          </cell>
          <cell r="G60">
            <v>1885400</v>
          </cell>
          <cell r="H60">
            <v>13285600</v>
          </cell>
        </row>
        <row r="61">
          <cell r="F61">
            <v>4950</v>
          </cell>
          <cell r="G61">
            <v>1241250</v>
          </cell>
          <cell r="H61">
            <v>9656250</v>
          </cell>
        </row>
        <row r="62">
          <cell r="F62">
            <v>11606</v>
          </cell>
          <cell r="G62">
            <v>3107800</v>
          </cell>
          <cell r="H62">
            <v>22838000</v>
          </cell>
        </row>
        <row r="63">
          <cell r="F63">
            <v>9586</v>
          </cell>
          <cell r="G63">
            <v>2600400</v>
          </cell>
          <cell r="H63">
            <v>18896600</v>
          </cell>
        </row>
        <row r="64">
          <cell r="F64">
            <v>8819</v>
          </cell>
          <cell r="G64">
            <v>2355000</v>
          </cell>
          <cell r="H64">
            <v>17347300</v>
          </cell>
        </row>
        <row r="65">
          <cell r="F65">
            <v>5165</v>
          </cell>
          <cell r="G65">
            <v>1609800</v>
          </cell>
          <cell r="H65">
            <v>10390300</v>
          </cell>
        </row>
        <row r="66">
          <cell r="F66">
            <v>7098</v>
          </cell>
          <cell r="G66">
            <v>2372200</v>
          </cell>
          <cell r="H66">
            <v>14438800</v>
          </cell>
        </row>
        <row r="67">
          <cell r="F67">
            <v>4520</v>
          </cell>
          <cell r="G67">
            <v>1865000</v>
          </cell>
          <cell r="H67">
            <v>9549000</v>
          </cell>
        </row>
        <row r="68">
          <cell r="F68">
            <v>7636</v>
          </cell>
          <cell r="G68">
            <v>2425300</v>
          </cell>
          <cell r="H68">
            <v>15406500</v>
          </cell>
        </row>
        <row r="69">
          <cell r="F69">
            <v>6021</v>
          </cell>
          <cell r="G69">
            <v>1635300</v>
          </cell>
          <cell r="H69">
            <v>11871000</v>
          </cell>
        </row>
        <row r="70">
          <cell r="F70">
            <v>10470</v>
          </cell>
          <cell r="G70">
            <v>3535400</v>
          </cell>
          <cell r="H70">
            <v>21334400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5734</v>
          </cell>
          <cell r="G72">
            <v>1710400</v>
          </cell>
          <cell r="H72">
            <v>11458200</v>
          </cell>
        </row>
        <row r="73">
          <cell r="F73">
            <v>3582</v>
          </cell>
          <cell r="G73">
            <v>559500</v>
          </cell>
          <cell r="H73">
            <v>6648900</v>
          </cell>
        </row>
        <row r="74">
          <cell r="F74">
            <v>12344</v>
          </cell>
          <cell r="G74">
            <v>2821350</v>
          </cell>
          <cell r="H74">
            <v>23806150</v>
          </cell>
        </row>
        <row r="75">
          <cell r="F75">
            <v>5317</v>
          </cell>
          <cell r="G75">
            <v>1782900</v>
          </cell>
          <cell r="H75">
            <v>10821800</v>
          </cell>
        </row>
        <row r="76">
          <cell r="F76">
            <v>17047</v>
          </cell>
          <cell r="G76">
            <v>4700450</v>
          </cell>
          <cell r="H76">
            <v>33680350</v>
          </cell>
        </row>
        <row r="77">
          <cell r="F77">
            <v>8366</v>
          </cell>
          <cell r="G77">
            <v>1212100</v>
          </cell>
          <cell r="H77">
            <v>15434300</v>
          </cell>
        </row>
        <row r="78">
          <cell r="F78">
            <v>5793</v>
          </cell>
          <cell r="G78">
            <v>1562300</v>
          </cell>
          <cell r="H78">
            <v>11410400</v>
          </cell>
        </row>
        <row r="79">
          <cell r="F79">
            <v>2072</v>
          </cell>
          <cell r="G79">
            <v>279000</v>
          </cell>
          <cell r="H79">
            <v>3801400</v>
          </cell>
        </row>
        <row r="80">
          <cell r="F80">
            <v>4120</v>
          </cell>
          <cell r="G80">
            <v>777300</v>
          </cell>
          <cell r="H80">
            <v>7781300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2340</v>
          </cell>
          <cell r="G84">
            <v>420900</v>
          </cell>
          <cell r="H84">
            <v>4398900</v>
          </cell>
        </row>
        <row r="85">
          <cell r="F85">
            <v>1262</v>
          </cell>
          <cell r="G85">
            <v>198000</v>
          </cell>
          <cell r="H85">
            <v>2343400</v>
          </cell>
        </row>
        <row r="86">
          <cell r="F86">
            <v>2864</v>
          </cell>
          <cell r="G86">
            <v>1019150</v>
          </cell>
          <cell r="H86">
            <v>5887950</v>
          </cell>
        </row>
        <row r="87">
          <cell r="F87">
            <v>3011</v>
          </cell>
          <cell r="G87">
            <v>746600</v>
          </cell>
          <cell r="H87">
            <v>5865300</v>
          </cell>
        </row>
        <row r="88">
          <cell r="F88">
            <v>4494</v>
          </cell>
          <cell r="G88">
            <v>1316400</v>
          </cell>
          <cell r="H88">
            <v>8956200</v>
          </cell>
        </row>
        <row r="89">
          <cell r="F89">
            <v>2015</v>
          </cell>
          <cell r="G89">
            <v>953500</v>
          </cell>
          <cell r="H89">
            <v>4379000</v>
          </cell>
        </row>
        <row r="90">
          <cell r="F90">
            <v>2280</v>
          </cell>
          <cell r="G90">
            <v>916500</v>
          </cell>
          <cell r="H90">
            <v>4792500</v>
          </cell>
        </row>
        <row r="91">
          <cell r="F91">
            <v>2344</v>
          </cell>
          <cell r="G91">
            <v>1208900</v>
          </cell>
          <cell r="H91">
            <v>5193700</v>
          </cell>
        </row>
        <row r="92">
          <cell r="F92">
            <v>1463</v>
          </cell>
          <cell r="G92">
            <v>428300</v>
          </cell>
          <cell r="H92">
            <v>2915400</v>
          </cell>
        </row>
        <row r="93">
          <cell r="F93">
            <v>2527</v>
          </cell>
          <cell r="G93">
            <v>1130800</v>
          </cell>
          <cell r="H93">
            <v>5426700</v>
          </cell>
        </row>
        <row r="94">
          <cell r="F94">
            <v>1035</v>
          </cell>
          <cell r="G94">
            <v>336700</v>
          </cell>
          <cell r="H94">
            <v>2096200</v>
          </cell>
        </row>
        <row r="95">
          <cell r="F95">
            <v>2324</v>
          </cell>
          <cell r="G95">
            <v>938200</v>
          </cell>
          <cell r="H95">
            <v>4889000</v>
          </cell>
        </row>
        <row r="96">
          <cell r="F96">
            <v>2785</v>
          </cell>
          <cell r="G96">
            <v>438600</v>
          </cell>
          <cell r="H96">
            <v>5173100</v>
          </cell>
        </row>
        <row r="97">
          <cell r="F97">
            <v>5795</v>
          </cell>
          <cell r="G97">
            <v>911900</v>
          </cell>
          <cell r="H97">
            <v>10763400</v>
          </cell>
        </row>
        <row r="98">
          <cell r="F98">
            <v>2799</v>
          </cell>
          <cell r="G98">
            <v>744700</v>
          </cell>
          <cell r="H98">
            <v>5503000</v>
          </cell>
        </row>
        <row r="99">
          <cell r="F99">
            <v>6173</v>
          </cell>
          <cell r="G99">
            <v>1179850</v>
          </cell>
          <cell r="H99">
            <v>11673950</v>
          </cell>
        </row>
        <row r="100">
          <cell r="F100">
            <v>7031</v>
          </cell>
          <cell r="G100">
            <v>1411300</v>
          </cell>
          <cell r="H100">
            <v>13364000</v>
          </cell>
        </row>
        <row r="101">
          <cell r="F101">
            <v>2251</v>
          </cell>
          <cell r="G101">
            <v>527300</v>
          </cell>
          <cell r="H101">
            <v>4354000</v>
          </cell>
        </row>
        <row r="102">
          <cell r="F102">
            <v>12576</v>
          </cell>
          <cell r="G102">
            <v>1747800</v>
          </cell>
          <cell r="H102">
            <v>23127000</v>
          </cell>
        </row>
        <row r="103">
          <cell r="F103">
            <v>10078</v>
          </cell>
          <cell r="G103">
            <v>1890850</v>
          </cell>
          <cell r="H103">
            <v>19023450</v>
          </cell>
        </row>
        <row r="104">
          <cell r="F104">
            <v>4833</v>
          </cell>
          <cell r="G104">
            <v>1400650</v>
          </cell>
          <cell r="H104">
            <v>9616750</v>
          </cell>
        </row>
        <row r="105">
          <cell r="F105">
            <v>2904</v>
          </cell>
          <cell r="G105">
            <v>840500</v>
          </cell>
          <cell r="H105">
            <v>5777300</v>
          </cell>
        </row>
        <row r="106">
          <cell r="F106">
            <v>2754</v>
          </cell>
          <cell r="G106">
            <v>648500</v>
          </cell>
          <cell r="H106">
            <v>5330300</v>
          </cell>
        </row>
        <row r="107">
          <cell r="F107">
            <v>4599</v>
          </cell>
          <cell r="G107">
            <v>947200</v>
          </cell>
          <cell r="H107">
            <v>8765500</v>
          </cell>
        </row>
        <row r="108">
          <cell r="F108">
            <v>4441</v>
          </cell>
          <cell r="G108">
            <v>868500</v>
          </cell>
          <cell r="H108">
            <v>8418200</v>
          </cell>
        </row>
        <row r="109">
          <cell r="F109">
            <v>2918</v>
          </cell>
          <cell r="G109">
            <v>940300</v>
          </cell>
          <cell r="H109">
            <v>5900900</v>
          </cell>
        </row>
        <row r="110">
          <cell r="F110">
            <v>1824</v>
          </cell>
          <cell r="G110">
            <v>368400</v>
          </cell>
          <cell r="H110">
            <v>3469200</v>
          </cell>
        </row>
        <row r="111">
          <cell r="F111">
            <v>4746</v>
          </cell>
          <cell r="G111">
            <v>983600</v>
          </cell>
          <cell r="H111">
            <v>9051800</v>
          </cell>
        </row>
        <row r="112">
          <cell r="F112">
            <v>3372</v>
          </cell>
          <cell r="G112">
            <v>947100</v>
          </cell>
          <cell r="H112">
            <v>6679500</v>
          </cell>
        </row>
        <row r="113">
          <cell r="F113">
            <v>3642</v>
          </cell>
          <cell r="G113">
            <v>1922000</v>
          </cell>
          <cell r="H113">
            <v>8113400</v>
          </cell>
        </row>
        <row r="114">
          <cell r="F114">
            <v>292</v>
          </cell>
          <cell r="G114">
            <v>127100</v>
          </cell>
          <cell r="H114">
            <v>623500</v>
          </cell>
        </row>
        <row r="115">
          <cell r="F115">
            <v>1919</v>
          </cell>
          <cell r="G115">
            <v>286400</v>
          </cell>
          <cell r="H115">
            <v>3548700</v>
          </cell>
        </row>
        <row r="116">
          <cell r="F116">
            <v>312</v>
          </cell>
          <cell r="G116">
            <v>53200</v>
          </cell>
          <cell r="H116">
            <v>583600</v>
          </cell>
        </row>
        <row r="117">
          <cell r="F117">
            <v>2093</v>
          </cell>
          <cell r="G117">
            <v>423100</v>
          </cell>
          <cell r="H117">
            <v>3981200</v>
          </cell>
        </row>
        <row r="118">
          <cell r="F118">
            <v>2936</v>
          </cell>
          <cell r="G118">
            <v>809900</v>
          </cell>
          <cell r="H118">
            <v>5801100</v>
          </cell>
        </row>
        <row r="121">
          <cell r="F121">
            <v>41774</v>
          </cell>
          <cell r="G121">
            <v>4465400</v>
          </cell>
        </row>
        <row r="122">
          <cell r="F122">
            <v>9691</v>
          </cell>
          <cell r="G122">
            <v>13141400</v>
          </cell>
          <cell r="H122">
            <v>29616100</v>
          </cell>
        </row>
        <row r="133">
          <cell r="F133">
            <v>154950</v>
          </cell>
          <cell r="G133">
            <v>45955050</v>
          </cell>
          <cell r="H133">
            <v>309370050</v>
          </cell>
        </row>
        <row r="135">
          <cell r="F135">
            <v>187</v>
          </cell>
          <cell r="G135">
            <v>609000</v>
          </cell>
          <cell r="H135">
            <v>926900</v>
          </cell>
        </row>
        <row r="136">
          <cell r="F136">
            <v>4226</v>
          </cell>
          <cell r="G136">
            <v>2701350</v>
          </cell>
          <cell r="H136">
            <v>9885550</v>
          </cell>
        </row>
        <row r="137">
          <cell r="F137">
            <v>202</v>
          </cell>
          <cell r="G137">
            <v>355600</v>
          </cell>
          <cell r="H137">
            <v>699000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276</v>
          </cell>
          <cell r="G139">
            <v>299100</v>
          </cell>
          <cell r="H139">
            <v>768300</v>
          </cell>
        </row>
        <row r="140">
          <cell r="F140">
            <v>495</v>
          </cell>
          <cell r="G140">
            <v>486900</v>
          </cell>
          <cell r="H140">
            <v>1328400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228</v>
          </cell>
          <cell r="G142">
            <v>499800</v>
          </cell>
          <cell r="H142">
            <v>887400</v>
          </cell>
        </row>
        <row r="143">
          <cell r="F143">
            <v>342</v>
          </cell>
          <cell r="G143">
            <v>472700</v>
          </cell>
          <cell r="H143">
            <v>1054100</v>
          </cell>
        </row>
        <row r="144">
          <cell r="F144">
            <v>236</v>
          </cell>
          <cell r="G144">
            <v>433400</v>
          </cell>
          <cell r="H144">
            <v>834600</v>
          </cell>
          <cell r="M144">
            <v>979983.17599999998</v>
          </cell>
        </row>
        <row r="145">
          <cell r="F145">
            <v>93</v>
          </cell>
          <cell r="G145">
            <v>125700</v>
          </cell>
          <cell r="H145">
            <v>283800</v>
          </cell>
        </row>
        <row r="146">
          <cell r="F146">
            <v>82</v>
          </cell>
          <cell r="G146">
            <v>199800</v>
          </cell>
          <cell r="H146">
            <v>339200</v>
          </cell>
        </row>
        <row r="147">
          <cell r="F147">
            <v>277</v>
          </cell>
          <cell r="G147">
            <v>355200</v>
          </cell>
          <cell r="H147">
            <v>826100</v>
          </cell>
        </row>
        <row r="148">
          <cell r="F148">
            <v>508</v>
          </cell>
          <cell r="G148">
            <v>1082300</v>
          </cell>
          <cell r="H148">
            <v>1945900</v>
          </cell>
        </row>
        <row r="149">
          <cell r="F149">
            <v>117</v>
          </cell>
          <cell r="G149">
            <v>303800</v>
          </cell>
          <cell r="H149">
            <v>502700</v>
          </cell>
        </row>
        <row r="150">
          <cell r="F150">
            <v>245</v>
          </cell>
          <cell r="G150">
            <v>419900</v>
          </cell>
          <cell r="H150">
            <v>836400</v>
          </cell>
        </row>
        <row r="153">
          <cell r="F153">
            <v>0</v>
          </cell>
          <cell r="G153">
            <v>20000</v>
          </cell>
          <cell r="H153">
            <v>20000</v>
          </cell>
        </row>
        <row r="154">
          <cell r="F154">
            <v>0</v>
          </cell>
          <cell r="G154">
            <v>60000</v>
          </cell>
          <cell r="H154">
            <v>60000</v>
          </cell>
        </row>
        <row r="155">
          <cell r="F155">
            <v>0</v>
          </cell>
          <cell r="G155">
            <v>197000</v>
          </cell>
          <cell r="H155">
            <v>197000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67000</v>
          </cell>
          <cell r="H157">
            <v>67000</v>
          </cell>
        </row>
        <row r="158">
          <cell r="F158">
            <v>0</v>
          </cell>
          <cell r="G158">
            <v>1571000</v>
          </cell>
          <cell r="H158">
            <v>1571000</v>
          </cell>
        </row>
        <row r="159">
          <cell r="F159">
            <v>0</v>
          </cell>
          <cell r="G159">
            <v>1718000</v>
          </cell>
          <cell r="H159">
            <v>1718000</v>
          </cell>
        </row>
        <row r="160">
          <cell r="F160">
            <v>0</v>
          </cell>
          <cell r="G160">
            <v>1467000</v>
          </cell>
          <cell r="H160">
            <v>1467000</v>
          </cell>
        </row>
        <row r="161">
          <cell r="F161">
            <v>0</v>
          </cell>
          <cell r="G161">
            <v>2549000</v>
          </cell>
          <cell r="H161">
            <v>2549000</v>
          </cell>
        </row>
        <row r="162">
          <cell r="F162">
            <v>0</v>
          </cell>
          <cell r="G162">
            <v>1085000</v>
          </cell>
          <cell r="H162">
            <v>1085000</v>
          </cell>
        </row>
        <row r="163">
          <cell r="F163">
            <v>0</v>
          </cell>
          <cell r="G163">
            <v>959000</v>
          </cell>
          <cell r="H163">
            <v>959000</v>
          </cell>
        </row>
        <row r="164">
          <cell r="F164">
            <v>0</v>
          </cell>
          <cell r="G164">
            <v>332000</v>
          </cell>
          <cell r="H164">
            <v>332000</v>
          </cell>
        </row>
        <row r="165">
          <cell r="F165">
            <v>0</v>
          </cell>
          <cell r="G165">
            <v>172000</v>
          </cell>
          <cell r="H165">
            <v>172000</v>
          </cell>
        </row>
        <row r="166">
          <cell r="F166">
            <v>0</v>
          </cell>
          <cell r="G166">
            <v>63000</v>
          </cell>
          <cell r="H166">
            <v>63000</v>
          </cell>
        </row>
        <row r="167">
          <cell r="F167">
            <v>0</v>
          </cell>
          <cell r="G167">
            <v>114000</v>
          </cell>
          <cell r="H167">
            <v>114000</v>
          </cell>
        </row>
        <row r="168">
          <cell r="F168">
            <v>0</v>
          </cell>
          <cell r="G168">
            <v>46000</v>
          </cell>
          <cell r="H168">
            <v>46000</v>
          </cell>
        </row>
        <row r="169">
          <cell r="F169">
            <v>0</v>
          </cell>
          <cell r="G169">
            <v>29000</v>
          </cell>
          <cell r="H169">
            <v>29000</v>
          </cell>
        </row>
        <row r="170">
          <cell r="F170">
            <v>0</v>
          </cell>
          <cell r="G170">
            <v>84000</v>
          </cell>
          <cell r="H170">
            <v>84000</v>
          </cell>
        </row>
        <row r="171">
          <cell r="F171">
            <v>0</v>
          </cell>
          <cell r="G171">
            <v>108000</v>
          </cell>
          <cell r="H171">
            <v>108000</v>
          </cell>
        </row>
        <row r="172">
          <cell r="F172">
            <v>0</v>
          </cell>
          <cell r="G172">
            <v>39000</v>
          </cell>
          <cell r="H172">
            <v>39000</v>
          </cell>
        </row>
        <row r="173">
          <cell r="F173">
            <v>0</v>
          </cell>
          <cell r="G173">
            <v>63000</v>
          </cell>
          <cell r="H173">
            <v>63000</v>
          </cell>
        </row>
        <row r="174">
          <cell r="F174">
            <v>0</v>
          </cell>
          <cell r="G174">
            <v>26000</v>
          </cell>
          <cell r="H174">
            <v>26000</v>
          </cell>
        </row>
        <row r="175">
          <cell r="F175">
            <v>0</v>
          </cell>
          <cell r="G175">
            <v>84000</v>
          </cell>
          <cell r="H175">
            <v>84000</v>
          </cell>
        </row>
        <row r="176">
          <cell r="F176">
            <v>0</v>
          </cell>
          <cell r="G176">
            <v>21000</v>
          </cell>
          <cell r="H176">
            <v>21000</v>
          </cell>
        </row>
        <row r="177">
          <cell r="F177">
            <v>0</v>
          </cell>
          <cell r="G177">
            <v>308000</v>
          </cell>
          <cell r="H177">
            <v>308000</v>
          </cell>
        </row>
        <row r="178">
          <cell r="F178">
            <v>0</v>
          </cell>
          <cell r="G178">
            <v>355000</v>
          </cell>
          <cell r="H178">
            <v>355000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4000</v>
          </cell>
          <cell r="H181">
            <v>4000</v>
          </cell>
        </row>
        <row r="182">
          <cell r="F182">
            <v>0</v>
          </cell>
          <cell r="G182">
            <v>29000</v>
          </cell>
          <cell r="H182">
            <v>29000</v>
          </cell>
        </row>
        <row r="183">
          <cell r="F183">
            <v>0</v>
          </cell>
          <cell r="G183">
            <v>183000</v>
          </cell>
          <cell r="H183">
            <v>183000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96000</v>
          </cell>
          <cell r="H186">
            <v>96000</v>
          </cell>
        </row>
        <row r="187">
          <cell r="F187">
            <v>0</v>
          </cell>
          <cell r="G187">
            <v>272000</v>
          </cell>
          <cell r="H187">
            <v>272000</v>
          </cell>
        </row>
        <row r="188">
          <cell r="F188">
            <v>0</v>
          </cell>
          <cell r="G188">
            <v>5000</v>
          </cell>
          <cell r="H188">
            <v>5000</v>
          </cell>
        </row>
        <row r="189">
          <cell r="F189">
            <v>0</v>
          </cell>
          <cell r="G189">
            <v>61000</v>
          </cell>
          <cell r="H189">
            <v>61000</v>
          </cell>
        </row>
        <row r="190">
          <cell r="F190">
            <v>0</v>
          </cell>
          <cell r="G190">
            <v>126000</v>
          </cell>
          <cell r="H190">
            <v>126000</v>
          </cell>
        </row>
        <row r="191">
          <cell r="F191">
            <v>0</v>
          </cell>
          <cell r="G191">
            <v>19000</v>
          </cell>
          <cell r="H191">
            <v>19000</v>
          </cell>
        </row>
        <row r="192">
          <cell r="F192">
            <v>0</v>
          </cell>
          <cell r="G192">
            <v>60000</v>
          </cell>
          <cell r="H192">
            <v>60000</v>
          </cell>
        </row>
        <row r="193">
          <cell r="F193">
            <v>0</v>
          </cell>
          <cell r="G193">
            <v>119000</v>
          </cell>
          <cell r="H193">
            <v>119000</v>
          </cell>
        </row>
        <row r="194">
          <cell r="F194">
            <v>0</v>
          </cell>
          <cell r="G194">
            <v>19000</v>
          </cell>
          <cell r="H194">
            <v>19000</v>
          </cell>
        </row>
        <row r="195">
          <cell r="F195">
            <v>0</v>
          </cell>
          <cell r="G195">
            <v>96000</v>
          </cell>
          <cell r="H195">
            <v>96000</v>
          </cell>
        </row>
        <row r="196">
          <cell r="F196">
            <v>0</v>
          </cell>
          <cell r="G196">
            <v>174000</v>
          </cell>
          <cell r="H196">
            <v>174000</v>
          </cell>
        </row>
        <row r="197">
          <cell r="F197">
            <v>0</v>
          </cell>
          <cell r="G197">
            <v>14000</v>
          </cell>
          <cell r="H197">
            <v>14000</v>
          </cell>
        </row>
        <row r="198">
          <cell r="F198">
            <v>0</v>
          </cell>
          <cell r="G198">
            <v>103000</v>
          </cell>
          <cell r="H198">
            <v>103000</v>
          </cell>
        </row>
        <row r="199">
          <cell r="F199">
            <v>0</v>
          </cell>
          <cell r="G199">
            <v>17000</v>
          </cell>
          <cell r="H199">
            <v>17000</v>
          </cell>
        </row>
        <row r="200">
          <cell r="F200">
            <v>0</v>
          </cell>
          <cell r="G200">
            <v>5000</v>
          </cell>
          <cell r="H200">
            <v>5000</v>
          </cell>
        </row>
        <row r="201">
          <cell r="F201">
            <v>0</v>
          </cell>
          <cell r="G201">
            <v>99000</v>
          </cell>
          <cell r="H201">
            <v>99000</v>
          </cell>
        </row>
        <row r="202">
          <cell r="F202">
            <v>0</v>
          </cell>
          <cell r="G202">
            <v>111000</v>
          </cell>
          <cell r="H202">
            <v>111000</v>
          </cell>
        </row>
        <row r="203">
          <cell r="F203">
            <v>0</v>
          </cell>
          <cell r="G203">
            <v>12000</v>
          </cell>
          <cell r="H203">
            <v>12000</v>
          </cell>
        </row>
        <row r="204">
          <cell r="F204">
            <v>0</v>
          </cell>
          <cell r="G204">
            <v>132000</v>
          </cell>
          <cell r="H204">
            <v>132000</v>
          </cell>
        </row>
        <row r="205">
          <cell r="F205">
            <v>0</v>
          </cell>
          <cell r="G205">
            <v>105000</v>
          </cell>
          <cell r="H205">
            <v>105000</v>
          </cell>
        </row>
        <row r="206">
          <cell r="F206">
            <v>0</v>
          </cell>
          <cell r="G206">
            <v>143000</v>
          </cell>
          <cell r="H206">
            <v>143000</v>
          </cell>
        </row>
        <row r="207">
          <cell r="F207">
            <v>0</v>
          </cell>
          <cell r="G207">
            <v>173000</v>
          </cell>
          <cell r="H207">
            <v>173000</v>
          </cell>
        </row>
        <row r="208">
          <cell r="F208">
            <v>0</v>
          </cell>
          <cell r="G208">
            <v>36000</v>
          </cell>
          <cell r="H208">
            <v>36000</v>
          </cell>
        </row>
        <row r="209">
          <cell r="F209">
            <v>0</v>
          </cell>
          <cell r="G209">
            <v>385000</v>
          </cell>
          <cell r="H209">
            <v>385000</v>
          </cell>
        </row>
        <row r="210">
          <cell r="F210">
            <v>0</v>
          </cell>
          <cell r="G210">
            <v>456000</v>
          </cell>
          <cell r="H210">
            <v>456000</v>
          </cell>
        </row>
        <row r="211">
          <cell r="F211">
            <v>0</v>
          </cell>
          <cell r="G211">
            <v>5000</v>
          </cell>
          <cell r="H211">
            <v>5000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20000</v>
          </cell>
          <cell r="H213">
            <v>20000</v>
          </cell>
        </row>
        <row r="214">
          <cell r="F214">
            <v>0</v>
          </cell>
          <cell r="G214">
            <v>49000</v>
          </cell>
          <cell r="H214">
            <v>49000</v>
          </cell>
        </row>
        <row r="215">
          <cell r="F215">
            <v>0</v>
          </cell>
          <cell r="G215">
            <v>16000</v>
          </cell>
          <cell r="H215">
            <v>16000</v>
          </cell>
        </row>
        <row r="216">
          <cell r="F216">
            <v>0</v>
          </cell>
          <cell r="G216">
            <v>358000</v>
          </cell>
          <cell r="H216">
            <v>358000</v>
          </cell>
        </row>
        <row r="217">
          <cell r="F217">
            <v>0</v>
          </cell>
          <cell r="G217">
            <v>122000</v>
          </cell>
          <cell r="H217">
            <v>122000</v>
          </cell>
        </row>
        <row r="218">
          <cell r="F218">
            <v>0</v>
          </cell>
          <cell r="G218">
            <v>132000</v>
          </cell>
          <cell r="H218">
            <v>132000</v>
          </cell>
        </row>
        <row r="219">
          <cell r="F219">
            <v>0</v>
          </cell>
          <cell r="G219">
            <v>64000</v>
          </cell>
          <cell r="H219">
            <v>64000</v>
          </cell>
        </row>
        <row r="220">
          <cell r="F220">
            <v>0</v>
          </cell>
          <cell r="G220">
            <v>66000</v>
          </cell>
          <cell r="H220">
            <v>66000</v>
          </cell>
        </row>
        <row r="223">
          <cell r="F223">
            <v>166</v>
          </cell>
          <cell r="G223">
            <v>2679600</v>
          </cell>
          <cell r="H223">
            <v>2961800</v>
          </cell>
        </row>
        <row r="224">
          <cell r="F224">
            <v>0</v>
          </cell>
          <cell r="G224">
            <v>2344800</v>
          </cell>
          <cell r="H224">
            <v>2344800</v>
          </cell>
        </row>
        <row r="225">
          <cell r="F225">
            <v>435</v>
          </cell>
          <cell r="G225">
            <v>1107800</v>
          </cell>
          <cell r="H225">
            <v>1847300</v>
          </cell>
        </row>
        <row r="226">
          <cell r="F226">
            <v>1306</v>
          </cell>
          <cell r="G226">
            <v>994300</v>
          </cell>
          <cell r="H226">
            <v>3214500</v>
          </cell>
        </row>
        <row r="227">
          <cell r="F227">
            <v>733</v>
          </cell>
          <cell r="G227">
            <v>864600</v>
          </cell>
          <cell r="H227">
            <v>2110700</v>
          </cell>
        </row>
        <row r="228">
          <cell r="F228">
            <v>314</v>
          </cell>
          <cell r="G228">
            <v>1028000</v>
          </cell>
          <cell r="H228">
            <v>1561800</v>
          </cell>
        </row>
        <row r="229">
          <cell r="F229">
            <v>696</v>
          </cell>
          <cell r="G229">
            <v>1478600</v>
          </cell>
          <cell r="H229">
            <v>2661800</v>
          </cell>
        </row>
        <row r="230">
          <cell r="F230">
            <v>1508</v>
          </cell>
          <cell r="G230">
            <v>1183200</v>
          </cell>
          <cell r="H230">
            <v>3746800</v>
          </cell>
        </row>
        <row r="231">
          <cell r="F231">
            <v>0</v>
          </cell>
          <cell r="G231">
            <v>3151900</v>
          </cell>
          <cell r="H231">
            <v>3151900</v>
          </cell>
        </row>
        <row r="232">
          <cell r="F232">
            <v>0</v>
          </cell>
          <cell r="G232">
            <v>1682300</v>
          </cell>
          <cell r="H232">
            <v>1682300</v>
          </cell>
        </row>
        <row r="233">
          <cell r="F233">
            <v>1328</v>
          </cell>
          <cell r="G233">
            <v>1324000</v>
          </cell>
          <cell r="H233">
            <v>3581600</v>
          </cell>
        </row>
        <row r="234">
          <cell r="F234">
            <v>1242</v>
          </cell>
          <cell r="G234">
            <v>851200</v>
          </cell>
          <cell r="H234">
            <v>2962600</v>
          </cell>
        </row>
        <row r="235">
          <cell r="F235">
            <v>30</v>
          </cell>
          <cell r="G235">
            <v>1017100</v>
          </cell>
          <cell r="H235">
            <v>1068100</v>
          </cell>
        </row>
        <row r="236">
          <cell r="F236">
            <v>0</v>
          </cell>
          <cell r="G236">
            <v>539500</v>
          </cell>
          <cell r="H236">
            <v>539500</v>
          </cell>
        </row>
        <row r="237">
          <cell r="F237">
            <v>17</v>
          </cell>
          <cell r="G237">
            <v>1193200</v>
          </cell>
          <cell r="H237">
            <v>1222100</v>
          </cell>
        </row>
        <row r="238">
          <cell r="F238">
            <v>637</v>
          </cell>
          <cell r="G238">
            <v>927700</v>
          </cell>
          <cell r="H238">
            <v>2010600</v>
          </cell>
        </row>
        <row r="239">
          <cell r="F239">
            <v>328</v>
          </cell>
          <cell r="G239">
            <v>1635200</v>
          </cell>
          <cell r="H239">
            <v>2192800</v>
          </cell>
        </row>
        <row r="240">
          <cell r="F240">
            <v>914</v>
          </cell>
          <cell r="G240">
            <v>979100</v>
          </cell>
          <cell r="H240">
            <v>2532900</v>
          </cell>
        </row>
        <row r="241">
          <cell r="F241">
            <v>808</v>
          </cell>
          <cell r="G241">
            <v>1042500</v>
          </cell>
          <cell r="H241">
            <v>2416100</v>
          </cell>
        </row>
        <row r="242">
          <cell r="F242">
            <v>759</v>
          </cell>
          <cell r="G242">
            <v>1329900</v>
          </cell>
          <cell r="H242">
            <v>2620200</v>
          </cell>
        </row>
        <row r="243">
          <cell r="F243">
            <v>880</v>
          </cell>
          <cell r="G243">
            <v>1136400</v>
          </cell>
          <cell r="H243">
            <v>2632400</v>
          </cell>
        </row>
        <row r="244">
          <cell r="F244">
            <v>662</v>
          </cell>
          <cell r="G244">
            <v>656600</v>
          </cell>
          <cell r="H244">
            <v>1782000</v>
          </cell>
        </row>
        <row r="245">
          <cell r="F245">
            <v>315</v>
          </cell>
          <cell r="G245">
            <v>255300</v>
          </cell>
          <cell r="H245">
            <v>790800</v>
          </cell>
        </row>
        <row r="246">
          <cell r="F246">
            <v>752</v>
          </cell>
          <cell r="G246">
            <v>2049600</v>
          </cell>
          <cell r="H246">
            <v>3328000</v>
          </cell>
        </row>
        <row r="247">
          <cell r="F247">
            <v>1198</v>
          </cell>
          <cell r="G247">
            <v>539200</v>
          </cell>
          <cell r="H247">
            <v>2575800</v>
          </cell>
        </row>
        <row r="248">
          <cell r="F248">
            <v>156</v>
          </cell>
          <cell r="G248">
            <v>1584900</v>
          </cell>
          <cell r="H248">
            <v>1850100</v>
          </cell>
        </row>
        <row r="249">
          <cell r="F249">
            <v>128</v>
          </cell>
          <cell r="G249">
            <v>1820800</v>
          </cell>
          <cell r="H249">
            <v>2038400</v>
          </cell>
        </row>
        <row r="250">
          <cell r="F250">
            <v>117</v>
          </cell>
          <cell r="G250">
            <v>2337600</v>
          </cell>
          <cell r="H250">
            <v>2536500</v>
          </cell>
        </row>
        <row r="251">
          <cell r="F251">
            <v>74</v>
          </cell>
          <cell r="G251">
            <v>1542600</v>
          </cell>
          <cell r="H251">
            <v>1668400</v>
          </cell>
        </row>
        <row r="252">
          <cell r="F252">
            <v>163</v>
          </cell>
          <cell r="G252">
            <v>532700</v>
          </cell>
          <cell r="H252">
            <v>809800</v>
          </cell>
        </row>
        <row r="253">
          <cell r="F253">
            <v>28</v>
          </cell>
          <cell r="G253">
            <v>2774500</v>
          </cell>
          <cell r="H253">
            <v>2822100</v>
          </cell>
        </row>
        <row r="254">
          <cell r="F254">
            <v>475</v>
          </cell>
          <cell r="G254">
            <v>1144050</v>
          </cell>
          <cell r="H254">
            <v>1951550</v>
          </cell>
        </row>
        <row r="255">
          <cell r="F255">
            <v>343</v>
          </cell>
          <cell r="G255">
            <v>593300</v>
          </cell>
          <cell r="H255">
            <v>1176400</v>
          </cell>
        </row>
        <row r="256">
          <cell r="F256">
            <v>447</v>
          </cell>
          <cell r="G256">
            <v>2281200</v>
          </cell>
          <cell r="H256">
            <v>3041100</v>
          </cell>
        </row>
        <row r="257">
          <cell r="F257">
            <v>216</v>
          </cell>
          <cell r="G257">
            <v>418750</v>
          </cell>
          <cell r="H257">
            <v>785950</v>
          </cell>
        </row>
        <row r="260">
          <cell r="G260">
            <v>102000</v>
          </cell>
          <cell r="H260">
            <v>102000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9078</v>
          </cell>
          <cell r="G10">
            <v>3294800</v>
          </cell>
          <cell r="H10">
            <v>18727400</v>
          </cell>
        </row>
        <row r="14">
          <cell r="F14">
            <v>3895</v>
          </cell>
          <cell r="G14">
            <v>1002400</v>
          </cell>
          <cell r="H14">
            <v>7623900</v>
          </cell>
        </row>
        <row r="15">
          <cell r="F15">
            <v>3547</v>
          </cell>
          <cell r="G15">
            <v>889600</v>
          </cell>
          <cell r="H15">
            <v>6919500</v>
          </cell>
        </row>
        <row r="16">
          <cell r="F16">
            <v>4357</v>
          </cell>
          <cell r="G16">
            <v>1044300</v>
          </cell>
          <cell r="H16">
            <v>8451200</v>
          </cell>
        </row>
        <row r="17">
          <cell r="F17">
            <v>3060</v>
          </cell>
          <cell r="G17">
            <v>985850</v>
          </cell>
          <cell r="H17">
            <v>6187850</v>
          </cell>
        </row>
        <row r="18">
          <cell r="F18">
            <v>3812</v>
          </cell>
          <cell r="G18">
            <v>1386000</v>
          </cell>
          <cell r="H18">
            <v>7866400</v>
          </cell>
        </row>
        <row r="19">
          <cell r="F19">
            <v>3689</v>
          </cell>
          <cell r="G19">
            <v>1410000</v>
          </cell>
          <cell r="H19">
            <v>7681300</v>
          </cell>
        </row>
        <row r="20">
          <cell r="F20">
            <v>2051</v>
          </cell>
          <cell r="G20">
            <v>609400</v>
          </cell>
          <cell r="H20">
            <v>4096100</v>
          </cell>
        </row>
        <row r="21">
          <cell r="F21">
            <v>3014</v>
          </cell>
          <cell r="G21">
            <v>1104500</v>
          </cell>
          <cell r="H21">
            <v>6228300</v>
          </cell>
        </row>
        <row r="22">
          <cell r="F22">
            <v>5546</v>
          </cell>
          <cell r="G22">
            <v>1938300</v>
          </cell>
          <cell r="H22">
            <v>11366500</v>
          </cell>
        </row>
        <row r="23">
          <cell r="F23">
            <v>2284</v>
          </cell>
          <cell r="G23">
            <v>636200</v>
          </cell>
          <cell r="H23">
            <v>4519000</v>
          </cell>
        </row>
        <row r="24">
          <cell r="F24">
            <v>2011</v>
          </cell>
          <cell r="G24">
            <v>660700</v>
          </cell>
          <cell r="H24">
            <v>4079400</v>
          </cell>
        </row>
        <row r="25">
          <cell r="F25">
            <v>2056</v>
          </cell>
          <cell r="G25">
            <v>600200</v>
          </cell>
          <cell r="H25">
            <v>4095400</v>
          </cell>
        </row>
        <row r="26">
          <cell r="F26">
            <v>4143</v>
          </cell>
          <cell r="G26">
            <v>1380300</v>
          </cell>
          <cell r="H26">
            <v>8423400</v>
          </cell>
        </row>
        <row r="27">
          <cell r="F27">
            <v>7847</v>
          </cell>
          <cell r="G27">
            <v>3907900</v>
          </cell>
          <cell r="H27">
            <v>17247800</v>
          </cell>
        </row>
        <row r="28">
          <cell r="F28">
            <v>6425</v>
          </cell>
          <cell r="G28">
            <v>3037500</v>
          </cell>
          <cell r="H28">
            <v>13960000</v>
          </cell>
        </row>
        <row r="29">
          <cell r="F29">
            <v>4929</v>
          </cell>
          <cell r="G29">
            <v>2330900</v>
          </cell>
          <cell r="H29">
            <v>10710200</v>
          </cell>
        </row>
        <row r="30">
          <cell r="F30">
            <v>9064</v>
          </cell>
          <cell r="G30">
            <v>2449300</v>
          </cell>
          <cell r="H30">
            <v>17858100</v>
          </cell>
        </row>
        <row r="31">
          <cell r="F31">
            <v>4017</v>
          </cell>
          <cell r="G31">
            <v>1725400</v>
          </cell>
          <cell r="H31">
            <v>8554300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5761</v>
          </cell>
          <cell r="G33">
            <v>1857800</v>
          </cell>
          <cell r="H33">
            <v>11651500</v>
          </cell>
        </row>
        <row r="34">
          <cell r="F34">
            <v>8513</v>
          </cell>
          <cell r="G34">
            <v>2546600</v>
          </cell>
          <cell r="H34">
            <v>17018700</v>
          </cell>
        </row>
        <row r="35">
          <cell r="F35">
            <v>8522</v>
          </cell>
          <cell r="G35">
            <v>3514500</v>
          </cell>
          <cell r="H35">
            <v>18001900</v>
          </cell>
        </row>
        <row r="36">
          <cell r="F36">
            <v>8236</v>
          </cell>
          <cell r="G36">
            <v>2814500</v>
          </cell>
          <cell r="H36">
            <v>16815700</v>
          </cell>
        </row>
        <row r="37">
          <cell r="F37">
            <v>2179</v>
          </cell>
          <cell r="G37">
            <v>821400</v>
          </cell>
          <cell r="H37">
            <v>4525700</v>
          </cell>
        </row>
        <row r="38">
          <cell r="F38">
            <v>4750</v>
          </cell>
          <cell r="G38">
            <v>2068200</v>
          </cell>
          <cell r="H38">
            <v>10143200</v>
          </cell>
        </row>
        <row r="39">
          <cell r="F39">
            <v>1201</v>
          </cell>
          <cell r="G39">
            <v>864000</v>
          </cell>
          <cell r="H39">
            <v>2905700</v>
          </cell>
        </row>
        <row r="40">
          <cell r="F40">
            <v>8086</v>
          </cell>
          <cell r="G40">
            <v>3263600</v>
          </cell>
          <cell r="H40">
            <v>17009800</v>
          </cell>
        </row>
        <row r="41">
          <cell r="F41">
            <v>3964</v>
          </cell>
          <cell r="G41">
            <v>1348300</v>
          </cell>
          <cell r="H41">
            <v>8087100</v>
          </cell>
        </row>
        <row r="42">
          <cell r="F42">
            <v>1062</v>
          </cell>
          <cell r="G42">
            <v>540000</v>
          </cell>
          <cell r="H42">
            <v>2345400</v>
          </cell>
        </row>
        <row r="43">
          <cell r="F43">
            <v>2496</v>
          </cell>
          <cell r="G43">
            <v>685800</v>
          </cell>
          <cell r="H43">
            <v>4929000</v>
          </cell>
        </row>
        <row r="44">
          <cell r="F44">
            <v>527</v>
          </cell>
          <cell r="G44">
            <v>338900</v>
          </cell>
          <cell r="H44">
            <v>1234800</v>
          </cell>
        </row>
        <row r="45">
          <cell r="F45">
            <v>8679</v>
          </cell>
          <cell r="G45">
            <v>2650900</v>
          </cell>
          <cell r="H45">
            <v>17405200</v>
          </cell>
        </row>
        <row r="46">
          <cell r="F46">
            <v>825</v>
          </cell>
          <cell r="G46">
            <v>558800</v>
          </cell>
          <cell r="H46">
            <v>1961300</v>
          </cell>
        </row>
        <row r="47">
          <cell r="F47">
            <v>19065</v>
          </cell>
          <cell r="G47">
            <v>4544900</v>
          </cell>
          <cell r="H47">
            <v>36955400</v>
          </cell>
        </row>
        <row r="52">
          <cell r="F52">
            <v>5062</v>
          </cell>
          <cell r="G52">
            <v>1578400</v>
          </cell>
          <cell r="H52">
            <v>10183800</v>
          </cell>
        </row>
        <row r="53">
          <cell r="F53">
            <v>3431</v>
          </cell>
          <cell r="G53">
            <v>1330600</v>
          </cell>
          <cell r="H53">
            <v>7163300</v>
          </cell>
        </row>
        <row r="54">
          <cell r="F54">
            <v>8730</v>
          </cell>
          <cell r="G54">
            <v>2829400</v>
          </cell>
          <cell r="H54">
            <v>17670400</v>
          </cell>
        </row>
        <row r="55">
          <cell r="F55">
            <v>1850</v>
          </cell>
          <cell r="G55">
            <v>974300</v>
          </cell>
          <cell r="H55">
            <v>4119300</v>
          </cell>
        </row>
        <row r="56">
          <cell r="F56">
            <v>2259</v>
          </cell>
          <cell r="G56">
            <v>544500</v>
          </cell>
          <cell r="H56">
            <v>4384800</v>
          </cell>
        </row>
        <row r="57">
          <cell r="F57">
            <v>6246</v>
          </cell>
          <cell r="G57">
            <v>2086200</v>
          </cell>
          <cell r="H57">
            <v>12704400</v>
          </cell>
        </row>
        <row r="58">
          <cell r="F58">
            <v>10948</v>
          </cell>
          <cell r="G58">
            <v>2834100</v>
          </cell>
          <cell r="H58">
            <v>21445700</v>
          </cell>
        </row>
        <row r="59">
          <cell r="F59">
            <v>4928</v>
          </cell>
          <cell r="G59">
            <v>1659000</v>
          </cell>
          <cell r="H59">
            <v>10036600</v>
          </cell>
        </row>
        <row r="60">
          <cell r="F60">
            <v>4772</v>
          </cell>
          <cell r="G60">
            <v>1571500</v>
          </cell>
          <cell r="H60">
            <v>9683900</v>
          </cell>
        </row>
        <row r="61">
          <cell r="F61">
            <v>3300</v>
          </cell>
          <cell r="G61">
            <v>886600</v>
          </cell>
          <cell r="H61">
            <v>6496600</v>
          </cell>
        </row>
        <row r="62">
          <cell r="F62">
            <v>8124</v>
          </cell>
          <cell r="G62">
            <v>2558900</v>
          </cell>
          <cell r="H62">
            <v>16369700</v>
          </cell>
        </row>
        <row r="63">
          <cell r="F63">
            <v>6430</v>
          </cell>
          <cell r="G63">
            <v>2220400</v>
          </cell>
          <cell r="H63">
            <v>13151400</v>
          </cell>
        </row>
        <row r="64">
          <cell r="F64">
            <v>5842</v>
          </cell>
          <cell r="G64">
            <v>1860500</v>
          </cell>
          <cell r="H64">
            <v>11791900</v>
          </cell>
        </row>
        <row r="65">
          <cell r="F65">
            <v>3183</v>
          </cell>
          <cell r="G65">
            <v>1347600</v>
          </cell>
          <cell r="H65">
            <v>6758700</v>
          </cell>
        </row>
        <row r="66">
          <cell r="F66">
            <v>3772</v>
          </cell>
          <cell r="G66">
            <v>1182600</v>
          </cell>
          <cell r="H66">
            <v>7595000</v>
          </cell>
        </row>
        <row r="67">
          <cell r="F67">
            <v>1587</v>
          </cell>
          <cell r="G67">
            <v>688100</v>
          </cell>
          <cell r="H67">
            <v>3386000</v>
          </cell>
        </row>
        <row r="68">
          <cell r="F68">
            <v>4485</v>
          </cell>
          <cell r="G68">
            <v>1155500</v>
          </cell>
          <cell r="H68">
            <v>8780000</v>
          </cell>
        </row>
        <row r="69">
          <cell r="F69">
            <v>3261</v>
          </cell>
          <cell r="G69">
            <v>857200</v>
          </cell>
          <cell r="H69">
            <v>6400900</v>
          </cell>
        </row>
        <row r="70">
          <cell r="F70">
            <v>4340</v>
          </cell>
          <cell r="G70">
            <v>1510200</v>
          </cell>
          <cell r="H70">
            <v>8888200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3206</v>
          </cell>
          <cell r="G72">
            <v>621800</v>
          </cell>
          <cell r="H72">
            <v>6072000</v>
          </cell>
        </row>
        <row r="73">
          <cell r="F73">
            <v>2772</v>
          </cell>
          <cell r="G73">
            <v>632100</v>
          </cell>
          <cell r="H73">
            <v>5344500</v>
          </cell>
        </row>
        <row r="74">
          <cell r="F74">
            <v>8690</v>
          </cell>
          <cell r="G74">
            <v>2158700</v>
          </cell>
          <cell r="H74">
            <v>16931700</v>
          </cell>
        </row>
        <row r="75">
          <cell r="F75">
            <v>3615</v>
          </cell>
          <cell r="G75">
            <v>748500</v>
          </cell>
          <cell r="H75">
            <v>6894000</v>
          </cell>
        </row>
        <row r="76">
          <cell r="F76">
            <v>14230</v>
          </cell>
          <cell r="G76">
            <v>3256250</v>
          </cell>
          <cell r="H76">
            <v>27447250</v>
          </cell>
        </row>
        <row r="77">
          <cell r="F77">
            <v>9308</v>
          </cell>
          <cell r="G77">
            <v>1416100</v>
          </cell>
          <cell r="H77">
            <v>17239700</v>
          </cell>
        </row>
        <row r="78">
          <cell r="F78">
            <v>5367</v>
          </cell>
          <cell r="G78">
            <v>1116800</v>
          </cell>
          <cell r="H78">
            <v>10240700</v>
          </cell>
        </row>
        <row r="79">
          <cell r="F79">
            <v>1500</v>
          </cell>
          <cell r="G79">
            <v>152200</v>
          </cell>
          <cell r="H79">
            <v>2702200</v>
          </cell>
        </row>
        <row r="80">
          <cell r="F80">
            <v>3439</v>
          </cell>
          <cell r="G80">
            <v>492900</v>
          </cell>
          <cell r="H80">
            <v>6339200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1966</v>
          </cell>
          <cell r="G84">
            <v>460700</v>
          </cell>
          <cell r="H84">
            <v>3802900</v>
          </cell>
        </row>
        <row r="85">
          <cell r="F85">
            <v>1190</v>
          </cell>
          <cell r="G85">
            <v>184300</v>
          </cell>
          <cell r="H85">
            <v>2207300</v>
          </cell>
        </row>
        <row r="86">
          <cell r="F86">
            <v>2555</v>
          </cell>
          <cell r="G86">
            <v>785700</v>
          </cell>
          <cell r="H86">
            <v>5129200</v>
          </cell>
        </row>
        <row r="87">
          <cell r="F87">
            <v>3120</v>
          </cell>
          <cell r="G87">
            <v>859400</v>
          </cell>
          <cell r="H87">
            <v>6163400</v>
          </cell>
        </row>
        <row r="88">
          <cell r="F88">
            <v>3074</v>
          </cell>
          <cell r="G88">
            <v>956900</v>
          </cell>
          <cell r="H88">
            <v>6182700</v>
          </cell>
        </row>
        <row r="89">
          <cell r="F89">
            <v>672</v>
          </cell>
          <cell r="G89">
            <v>336900</v>
          </cell>
          <cell r="H89">
            <v>1479300</v>
          </cell>
        </row>
        <row r="90">
          <cell r="F90">
            <v>1013</v>
          </cell>
          <cell r="G90">
            <v>323500</v>
          </cell>
          <cell r="H90">
            <v>2045600</v>
          </cell>
        </row>
        <row r="91">
          <cell r="F91">
            <v>2980</v>
          </cell>
          <cell r="G91">
            <v>991600</v>
          </cell>
          <cell r="H91">
            <v>6057600</v>
          </cell>
        </row>
        <row r="92">
          <cell r="F92">
            <v>1116</v>
          </cell>
          <cell r="G92">
            <v>423300</v>
          </cell>
          <cell r="H92">
            <v>2320500</v>
          </cell>
        </row>
        <row r="93">
          <cell r="F93">
            <v>1144</v>
          </cell>
          <cell r="G93">
            <v>443600</v>
          </cell>
          <cell r="H93">
            <v>2388400</v>
          </cell>
        </row>
        <row r="94">
          <cell r="F94">
            <v>198</v>
          </cell>
          <cell r="G94">
            <v>70700</v>
          </cell>
          <cell r="H94">
            <v>407300</v>
          </cell>
        </row>
        <row r="95">
          <cell r="F95">
            <v>1369</v>
          </cell>
          <cell r="G95">
            <v>445600</v>
          </cell>
          <cell r="H95">
            <v>2772900</v>
          </cell>
        </row>
        <row r="96">
          <cell r="F96">
            <v>2231</v>
          </cell>
          <cell r="G96">
            <v>495500</v>
          </cell>
          <cell r="H96">
            <v>4288200</v>
          </cell>
        </row>
        <row r="97">
          <cell r="F97">
            <v>3945</v>
          </cell>
          <cell r="G97">
            <v>669300</v>
          </cell>
          <cell r="H97">
            <v>7375800</v>
          </cell>
        </row>
        <row r="98">
          <cell r="F98">
            <v>2212</v>
          </cell>
          <cell r="G98">
            <v>370000</v>
          </cell>
          <cell r="H98">
            <v>4130400</v>
          </cell>
        </row>
        <row r="99">
          <cell r="F99">
            <v>4787</v>
          </cell>
          <cell r="G99">
            <v>975400</v>
          </cell>
          <cell r="H99">
            <v>9113300</v>
          </cell>
        </row>
        <row r="100">
          <cell r="F100">
            <v>6022</v>
          </cell>
          <cell r="G100">
            <v>1609300</v>
          </cell>
          <cell r="H100">
            <v>11846700</v>
          </cell>
        </row>
        <row r="101">
          <cell r="F101">
            <v>1903</v>
          </cell>
          <cell r="G101">
            <v>535400</v>
          </cell>
          <cell r="H101">
            <v>3770500</v>
          </cell>
        </row>
        <row r="102">
          <cell r="F102">
            <v>11141</v>
          </cell>
          <cell r="G102">
            <v>1652500</v>
          </cell>
          <cell r="H102">
            <v>20592200</v>
          </cell>
        </row>
        <row r="103">
          <cell r="F103">
            <v>8115</v>
          </cell>
          <cell r="G103">
            <v>1301300</v>
          </cell>
          <cell r="H103">
            <v>15096800</v>
          </cell>
        </row>
        <row r="104">
          <cell r="F104">
            <v>4252</v>
          </cell>
          <cell r="G104">
            <v>1075900</v>
          </cell>
          <cell r="H104">
            <v>8304300</v>
          </cell>
        </row>
        <row r="105">
          <cell r="F105">
            <v>2127</v>
          </cell>
          <cell r="G105">
            <v>993900</v>
          </cell>
          <cell r="H105">
            <v>4609800</v>
          </cell>
        </row>
        <row r="106">
          <cell r="F106">
            <v>1877</v>
          </cell>
          <cell r="G106">
            <v>694600</v>
          </cell>
          <cell r="H106">
            <v>3885500</v>
          </cell>
        </row>
        <row r="107">
          <cell r="F107">
            <v>4193</v>
          </cell>
          <cell r="G107">
            <v>834650</v>
          </cell>
          <cell r="H107">
            <v>7962750</v>
          </cell>
        </row>
        <row r="108">
          <cell r="F108">
            <v>3881</v>
          </cell>
          <cell r="G108">
            <v>801000</v>
          </cell>
          <cell r="H108">
            <v>7398700</v>
          </cell>
        </row>
        <row r="109">
          <cell r="F109">
            <v>2354</v>
          </cell>
          <cell r="G109">
            <v>739900</v>
          </cell>
          <cell r="H109">
            <v>4741700</v>
          </cell>
        </row>
        <row r="110">
          <cell r="F110">
            <v>1441</v>
          </cell>
          <cell r="G110">
            <v>196500</v>
          </cell>
          <cell r="H110">
            <v>2646200</v>
          </cell>
        </row>
        <row r="111">
          <cell r="F111">
            <v>4194</v>
          </cell>
          <cell r="G111">
            <v>911900</v>
          </cell>
          <cell r="H111">
            <v>8041700</v>
          </cell>
        </row>
        <row r="112">
          <cell r="F112">
            <v>2390</v>
          </cell>
          <cell r="G112">
            <v>667200</v>
          </cell>
          <cell r="H112">
            <v>4730200</v>
          </cell>
        </row>
        <row r="113">
          <cell r="F113">
            <v>3149</v>
          </cell>
          <cell r="G113">
            <v>1614950</v>
          </cell>
          <cell r="H113">
            <v>6968250</v>
          </cell>
        </row>
        <row r="114">
          <cell r="F114">
            <v>173</v>
          </cell>
          <cell r="G114">
            <v>67600</v>
          </cell>
          <cell r="H114">
            <v>361700</v>
          </cell>
        </row>
        <row r="115">
          <cell r="F115">
            <v>1375</v>
          </cell>
          <cell r="G115">
            <v>255500</v>
          </cell>
          <cell r="H115">
            <v>2593000</v>
          </cell>
        </row>
        <row r="116">
          <cell r="F116">
            <v>215</v>
          </cell>
          <cell r="G116">
            <v>59000</v>
          </cell>
          <cell r="H116">
            <v>424500</v>
          </cell>
        </row>
        <row r="117">
          <cell r="F117">
            <v>1487</v>
          </cell>
          <cell r="G117">
            <v>93600</v>
          </cell>
          <cell r="H117">
            <v>2621500</v>
          </cell>
        </row>
        <row r="118">
          <cell r="F118">
            <v>2055</v>
          </cell>
          <cell r="G118">
            <v>689300</v>
          </cell>
          <cell r="H118">
            <v>4182800</v>
          </cell>
        </row>
        <row r="121">
          <cell r="F121">
            <v>27848</v>
          </cell>
          <cell r="G121">
            <v>2660300</v>
          </cell>
        </row>
        <row r="122">
          <cell r="F122">
            <v>7475</v>
          </cell>
          <cell r="G122">
            <v>8759200</v>
          </cell>
          <cell r="H122">
            <v>21466700</v>
          </cell>
        </row>
        <row r="133">
          <cell r="F133">
            <v>125074</v>
          </cell>
          <cell r="G133">
            <v>31617950</v>
          </cell>
          <cell r="H133">
            <v>244243750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2621</v>
          </cell>
          <cell r="G136">
            <v>1878500</v>
          </cell>
          <cell r="H136">
            <v>6334200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706399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336</v>
          </cell>
          <cell r="G147">
            <v>736200</v>
          </cell>
          <cell r="H147">
            <v>1307400</v>
          </cell>
        </row>
        <row r="148">
          <cell r="F148">
            <v>592</v>
          </cell>
          <cell r="G148">
            <v>1482000</v>
          </cell>
          <cell r="H148">
            <v>2488400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28000</v>
          </cell>
          <cell r="H154">
            <v>28000</v>
          </cell>
        </row>
        <row r="155">
          <cell r="F155">
            <v>0</v>
          </cell>
          <cell r="G155">
            <v>41000</v>
          </cell>
          <cell r="H155">
            <v>41000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50000</v>
          </cell>
          <cell r="H157">
            <v>50000</v>
          </cell>
        </row>
        <row r="158">
          <cell r="F158">
            <v>0</v>
          </cell>
          <cell r="G158">
            <v>967000</v>
          </cell>
          <cell r="H158">
            <v>967000</v>
          </cell>
        </row>
        <row r="159">
          <cell r="F159">
            <v>0</v>
          </cell>
          <cell r="G159">
            <v>912000</v>
          </cell>
          <cell r="H159">
            <v>912000</v>
          </cell>
        </row>
        <row r="160">
          <cell r="F160">
            <v>0</v>
          </cell>
          <cell r="G160">
            <v>1016000</v>
          </cell>
          <cell r="H160">
            <v>1016000</v>
          </cell>
        </row>
        <row r="161">
          <cell r="F161">
            <v>0</v>
          </cell>
          <cell r="G161">
            <v>1462000</v>
          </cell>
          <cell r="H161">
            <v>1462000</v>
          </cell>
        </row>
        <row r="162">
          <cell r="F162">
            <v>0</v>
          </cell>
          <cell r="G162">
            <v>615000</v>
          </cell>
          <cell r="H162">
            <v>615000</v>
          </cell>
        </row>
        <row r="163">
          <cell r="F163">
            <v>0</v>
          </cell>
          <cell r="G163">
            <v>721000</v>
          </cell>
          <cell r="H163">
            <v>721000</v>
          </cell>
        </row>
        <row r="164">
          <cell r="F164">
            <v>0</v>
          </cell>
          <cell r="G164">
            <v>159000</v>
          </cell>
          <cell r="H164">
            <v>159000</v>
          </cell>
        </row>
        <row r="165">
          <cell r="F165">
            <v>0</v>
          </cell>
          <cell r="G165">
            <v>413000</v>
          </cell>
          <cell r="H165">
            <v>413000</v>
          </cell>
        </row>
        <row r="166">
          <cell r="F166">
            <v>0</v>
          </cell>
          <cell r="G166">
            <v>51000</v>
          </cell>
          <cell r="H166">
            <v>51000</v>
          </cell>
        </row>
        <row r="167">
          <cell r="F167">
            <v>0</v>
          </cell>
          <cell r="G167">
            <v>179000</v>
          </cell>
          <cell r="H167">
            <v>179000</v>
          </cell>
        </row>
        <row r="168">
          <cell r="F168">
            <v>0</v>
          </cell>
          <cell r="G168">
            <v>10000</v>
          </cell>
          <cell r="H168">
            <v>10000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43000</v>
          </cell>
          <cell r="H170">
            <v>43000</v>
          </cell>
        </row>
        <row r="171">
          <cell r="F171">
            <v>0</v>
          </cell>
          <cell r="G171">
            <v>70000</v>
          </cell>
          <cell r="H171">
            <v>70000</v>
          </cell>
        </row>
        <row r="172">
          <cell r="F172">
            <v>0</v>
          </cell>
          <cell r="G172">
            <v>21000</v>
          </cell>
          <cell r="H172">
            <v>21000</v>
          </cell>
        </row>
        <row r="173">
          <cell r="F173">
            <v>0</v>
          </cell>
          <cell r="G173">
            <v>13000</v>
          </cell>
          <cell r="H173">
            <v>13000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35000</v>
          </cell>
          <cell r="H175">
            <v>35000</v>
          </cell>
        </row>
        <row r="176">
          <cell r="F176">
            <v>0</v>
          </cell>
          <cell r="G176">
            <v>2000</v>
          </cell>
          <cell r="H176">
            <v>2000</v>
          </cell>
        </row>
        <row r="177">
          <cell r="F177">
            <v>0</v>
          </cell>
          <cell r="G177">
            <v>262000</v>
          </cell>
          <cell r="H177">
            <v>262000</v>
          </cell>
        </row>
        <row r="178">
          <cell r="F178">
            <v>0</v>
          </cell>
          <cell r="G178">
            <v>322000</v>
          </cell>
          <cell r="H178">
            <v>322000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4000</v>
          </cell>
          <cell r="H180">
            <v>4000</v>
          </cell>
        </row>
        <row r="181">
          <cell r="F181">
            <v>0</v>
          </cell>
          <cell r="G181">
            <v>9000</v>
          </cell>
          <cell r="H181">
            <v>9000</v>
          </cell>
        </row>
        <row r="182">
          <cell r="F182">
            <v>0</v>
          </cell>
          <cell r="G182">
            <v>5000</v>
          </cell>
          <cell r="H182">
            <v>5000</v>
          </cell>
        </row>
        <row r="183">
          <cell r="F183">
            <v>0</v>
          </cell>
          <cell r="G183">
            <v>71000</v>
          </cell>
          <cell r="H183">
            <v>71000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20000</v>
          </cell>
          <cell r="H186">
            <v>20000</v>
          </cell>
        </row>
        <row r="187">
          <cell r="F187">
            <v>0</v>
          </cell>
          <cell r="G187">
            <v>22000</v>
          </cell>
          <cell r="H187">
            <v>22000</v>
          </cell>
        </row>
        <row r="188">
          <cell r="F188">
            <v>0</v>
          </cell>
          <cell r="G188">
            <v>54000</v>
          </cell>
          <cell r="H188">
            <v>54000</v>
          </cell>
        </row>
        <row r="189">
          <cell r="F189">
            <v>0</v>
          </cell>
          <cell r="G189">
            <v>48000</v>
          </cell>
          <cell r="H189">
            <v>48000</v>
          </cell>
        </row>
        <row r="190">
          <cell r="F190">
            <v>0</v>
          </cell>
          <cell r="G190">
            <v>33000</v>
          </cell>
          <cell r="H190">
            <v>33000</v>
          </cell>
        </row>
        <row r="191">
          <cell r="F191">
            <v>0</v>
          </cell>
          <cell r="G191">
            <v>70000</v>
          </cell>
          <cell r="H191">
            <v>70000</v>
          </cell>
        </row>
        <row r="192">
          <cell r="F192">
            <v>0</v>
          </cell>
          <cell r="G192">
            <v>54000</v>
          </cell>
          <cell r="H192">
            <v>54000</v>
          </cell>
        </row>
        <row r="193">
          <cell r="F193">
            <v>0</v>
          </cell>
          <cell r="G193">
            <v>11000</v>
          </cell>
          <cell r="H193">
            <v>11000</v>
          </cell>
        </row>
        <row r="194">
          <cell r="F194">
            <v>0</v>
          </cell>
          <cell r="G194">
            <v>4000</v>
          </cell>
          <cell r="H194">
            <v>4000</v>
          </cell>
        </row>
        <row r="195">
          <cell r="F195">
            <v>0</v>
          </cell>
          <cell r="G195">
            <v>62000</v>
          </cell>
          <cell r="H195">
            <v>62000</v>
          </cell>
        </row>
        <row r="196">
          <cell r="F196">
            <v>0</v>
          </cell>
          <cell r="G196">
            <v>25000</v>
          </cell>
          <cell r="H196">
            <v>25000</v>
          </cell>
        </row>
        <row r="197">
          <cell r="F197">
            <v>0</v>
          </cell>
          <cell r="G197">
            <v>7000</v>
          </cell>
          <cell r="H197">
            <v>7000</v>
          </cell>
        </row>
        <row r="198">
          <cell r="F198">
            <v>0</v>
          </cell>
          <cell r="G198">
            <v>27000</v>
          </cell>
          <cell r="H198">
            <v>27000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6000</v>
          </cell>
          <cell r="H200">
            <v>6000</v>
          </cell>
        </row>
        <row r="201">
          <cell r="F201">
            <v>0</v>
          </cell>
          <cell r="G201">
            <v>11000</v>
          </cell>
          <cell r="H201">
            <v>11000</v>
          </cell>
        </row>
        <row r="202">
          <cell r="F202">
            <v>0</v>
          </cell>
          <cell r="G202">
            <v>19000</v>
          </cell>
          <cell r="H202">
            <v>19000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40000</v>
          </cell>
          <cell r="H206">
            <v>40000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52000</v>
          </cell>
          <cell r="H208">
            <v>52000</v>
          </cell>
        </row>
        <row r="209">
          <cell r="F209">
            <v>0</v>
          </cell>
          <cell r="G209">
            <v>38000</v>
          </cell>
          <cell r="H209">
            <v>38000</v>
          </cell>
        </row>
        <row r="210">
          <cell r="F210">
            <v>0</v>
          </cell>
          <cell r="G210">
            <v>211000</v>
          </cell>
          <cell r="H210">
            <v>211000</v>
          </cell>
        </row>
        <row r="211">
          <cell r="F211">
            <v>0</v>
          </cell>
          <cell r="G211">
            <v>2000</v>
          </cell>
          <cell r="H211">
            <v>2000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11000</v>
          </cell>
          <cell r="H214">
            <v>11000</v>
          </cell>
        </row>
        <row r="215">
          <cell r="F215">
            <v>0</v>
          </cell>
          <cell r="G215">
            <v>4000</v>
          </cell>
          <cell r="H215">
            <v>4000</v>
          </cell>
        </row>
        <row r="216">
          <cell r="F216">
            <v>0</v>
          </cell>
          <cell r="G216">
            <v>67000</v>
          </cell>
          <cell r="H216">
            <v>67000</v>
          </cell>
        </row>
        <row r="217">
          <cell r="F217">
            <v>0</v>
          </cell>
          <cell r="G217">
            <v>40000</v>
          </cell>
          <cell r="H217">
            <v>40000</v>
          </cell>
        </row>
        <row r="218">
          <cell r="F218">
            <v>0</v>
          </cell>
          <cell r="G218">
            <v>96000</v>
          </cell>
          <cell r="H218">
            <v>96000</v>
          </cell>
        </row>
        <row r="219">
          <cell r="F219">
            <v>0</v>
          </cell>
          <cell r="G219">
            <v>20000</v>
          </cell>
          <cell r="H219">
            <v>20000</v>
          </cell>
        </row>
        <row r="220">
          <cell r="F220">
            <v>0</v>
          </cell>
          <cell r="G220">
            <v>110000</v>
          </cell>
          <cell r="H220">
            <v>110000</v>
          </cell>
        </row>
        <row r="223">
          <cell r="F223">
            <v>43</v>
          </cell>
          <cell r="G223">
            <v>904500</v>
          </cell>
          <cell r="H223">
            <v>977600</v>
          </cell>
        </row>
        <row r="224">
          <cell r="F224">
            <v>0</v>
          </cell>
          <cell r="G224">
            <v>549500</v>
          </cell>
          <cell r="H224">
            <v>549500</v>
          </cell>
        </row>
        <row r="225">
          <cell r="F225">
            <v>395</v>
          </cell>
          <cell r="G225">
            <v>489900</v>
          </cell>
          <cell r="H225">
            <v>1161400</v>
          </cell>
        </row>
        <row r="226">
          <cell r="F226">
            <v>633</v>
          </cell>
          <cell r="G226">
            <v>859700</v>
          </cell>
          <cell r="H226">
            <v>1935800</v>
          </cell>
        </row>
        <row r="227">
          <cell r="F227">
            <v>696</v>
          </cell>
          <cell r="G227">
            <v>361600</v>
          </cell>
          <cell r="H227">
            <v>1544800</v>
          </cell>
        </row>
        <row r="228">
          <cell r="F228">
            <v>207</v>
          </cell>
          <cell r="G228">
            <v>281000</v>
          </cell>
          <cell r="H228">
            <v>632900</v>
          </cell>
        </row>
        <row r="229">
          <cell r="F229">
            <v>333</v>
          </cell>
          <cell r="G229">
            <v>899800</v>
          </cell>
          <cell r="H229">
            <v>1465900</v>
          </cell>
        </row>
        <row r="230">
          <cell r="F230">
            <v>1539</v>
          </cell>
          <cell r="G230">
            <v>1012800</v>
          </cell>
          <cell r="H230">
            <v>3629100</v>
          </cell>
        </row>
        <row r="231">
          <cell r="F231">
            <v>0</v>
          </cell>
          <cell r="G231">
            <v>1810500</v>
          </cell>
          <cell r="H231">
            <v>1810500</v>
          </cell>
        </row>
        <row r="232">
          <cell r="F232">
            <v>0</v>
          </cell>
          <cell r="G232">
            <v>64000</v>
          </cell>
          <cell r="H232">
            <v>64000</v>
          </cell>
        </row>
        <row r="233">
          <cell r="F233">
            <v>872</v>
          </cell>
          <cell r="G233">
            <v>310500</v>
          </cell>
          <cell r="H233">
            <v>1792900</v>
          </cell>
        </row>
        <row r="234">
          <cell r="F234">
            <v>1141</v>
          </cell>
          <cell r="G234">
            <v>248000</v>
          </cell>
          <cell r="H234">
            <v>2187700</v>
          </cell>
        </row>
        <row r="235">
          <cell r="F235">
            <v>0</v>
          </cell>
          <cell r="G235">
            <v>63700</v>
          </cell>
          <cell r="H235">
            <v>63700</v>
          </cell>
        </row>
        <row r="236">
          <cell r="F236">
            <v>0</v>
          </cell>
          <cell r="G236">
            <v>546600</v>
          </cell>
          <cell r="H236">
            <v>546600</v>
          </cell>
        </row>
        <row r="237">
          <cell r="F237">
            <v>995</v>
          </cell>
          <cell r="G237">
            <v>585900</v>
          </cell>
          <cell r="H237">
            <v>2277400</v>
          </cell>
        </row>
        <row r="238">
          <cell r="F238">
            <v>209</v>
          </cell>
          <cell r="G238">
            <v>286100</v>
          </cell>
          <cell r="H238">
            <v>641400</v>
          </cell>
        </row>
        <row r="239">
          <cell r="F239">
            <v>149</v>
          </cell>
          <cell r="G239">
            <v>796000</v>
          </cell>
          <cell r="H239">
            <v>1049300</v>
          </cell>
        </row>
        <row r="240">
          <cell r="F240">
            <v>792</v>
          </cell>
          <cell r="G240">
            <v>559200</v>
          </cell>
          <cell r="H240">
            <v>1905600</v>
          </cell>
        </row>
        <row r="241">
          <cell r="F241">
            <v>483</v>
          </cell>
          <cell r="G241">
            <v>494500</v>
          </cell>
          <cell r="H241">
            <v>1315600</v>
          </cell>
        </row>
        <row r="242">
          <cell r="F242">
            <v>424</v>
          </cell>
          <cell r="G242">
            <v>973550</v>
          </cell>
          <cell r="H242">
            <v>1694350</v>
          </cell>
        </row>
        <row r="243">
          <cell r="F243">
            <v>253</v>
          </cell>
          <cell r="G243">
            <v>159100</v>
          </cell>
          <cell r="H243">
            <v>589200</v>
          </cell>
        </row>
        <row r="244">
          <cell r="F244">
            <v>410</v>
          </cell>
          <cell r="G244">
            <v>551100</v>
          </cell>
          <cell r="H244">
            <v>1248100</v>
          </cell>
        </row>
        <row r="245">
          <cell r="F245">
            <v>581</v>
          </cell>
          <cell r="G245">
            <v>582400</v>
          </cell>
          <cell r="H245">
            <v>1570100</v>
          </cell>
        </row>
        <row r="246">
          <cell r="F246">
            <v>619</v>
          </cell>
          <cell r="G246">
            <v>801700</v>
          </cell>
          <cell r="H246">
            <v>1854000</v>
          </cell>
        </row>
        <row r="247">
          <cell r="F247">
            <v>1210</v>
          </cell>
          <cell r="G247">
            <v>486100</v>
          </cell>
          <cell r="H247">
            <v>2543100</v>
          </cell>
        </row>
        <row r="248">
          <cell r="F248">
            <v>191</v>
          </cell>
          <cell r="G248">
            <v>639400</v>
          </cell>
          <cell r="H248">
            <v>964100</v>
          </cell>
        </row>
        <row r="249">
          <cell r="F249">
            <v>162</v>
          </cell>
          <cell r="G249">
            <v>778200</v>
          </cell>
          <cell r="H249">
            <v>1053600</v>
          </cell>
        </row>
        <row r="250">
          <cell r="F250">
            <v>26</v>
          </cell>
          <cell r="G250">
            <v>438850</v>
          </cell>
          <cell r="H250">
            <v>483050</v>
          </cell>
        </row>
        <row r="251">
          <cell r="F251">
            <v>369</v>
          </cell>
          <cell r="G251">
            <v>802650</v>
          </cell>
          <cell r="H251">
            <v>1429950</v>
          </cell>
        </row>
        <row r="252">
          <cell r="F252">
            <v>188</v>
          </cell>
          <cell r="G252">
            <v>593900</v>
          </cell>
          <cell r="H252">
            <v>913500</v>
          </cell>
        </row>
        <row r="253">
          <cell r="F253">
            <v>20</v>
          </cell>
          <cell r="G253">
            <v>701950</v>
          </cell>
          <cell r="H253">
            <v>735950</v>
          </cell>
        </row>
        <row r="254">
          <cell r="F254">
            <v>225</v>
          </cell>
          <cell r="G254">
            <v>825000</v>
          </cell>
          <cell r="H254">
            <v>1207500</v>
          </cell>
        </row>
        <row r="255">
          <cell r="F255">
            <v>107</v>
          </cell>
          <cell r="G255">
            <v>442300</v>
          </cell>
          <cell r="H255">
            <v>624200</v>
          </cell>
        </row>
        <row r="256">
          <cell r="F256">
            <v>323</v>
          </cell>
          <cell r="G256">
            <v>915950</v>
          </cell>
          <cell r="H256">
            <v>1465050</v>
          </cell>
        </row>
        <row r="257">
          <cell r="F257">
            <v>250</v>
          </cell>
          <cell r="G257">
            <v>276200</v>
          </cell>
          <cell r="H257">
            <v>701200</v>
          </cell>
        </row>
        <row r="260">
          <cell r="G260">
            <v>28000</v>
          </cell>
          <cell r="H260">
            <v>28000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5982</v>
          </cell>
          <cell r="G10">
            <v>2592100</v>
          </cell>
          <cell r="H10">
            <v>12761500</v>
          </cell>
        </row>
        <row r="14">
          <cell r="F14">
            <v>2135</v>
          </cell>
          <cell r="G14">
            <v>389300</v>
          </cell>
          <cell r="H14">
            <v>4018800</v>
          </cell>
        </row>
        <row r="15">
          <cell r="F15">
            <v>1709</v>
          </cell>
          <cell r="G15">
            <v>415700</v>
          </cell>
          <cell r="H15">
            <v>3321000</v>
          </cell>
        </row>
        <row r="16">
          <cell r="F16">
            <v>2011</v>
          </cell>
          <cell r="G16">
            <v>451200</v>
          </cell>
          <cell r="H16">
            <v>3869900</v>
          </cell>
        </row>
        <row r="17">
          <cell r="F17">
            <v>1550</v>
          </cell>
          <cell r="G17">
            <v>302100</v>
          </cell>
          <cell r="H17">
            <v>2937100</v>
          </cell>
        </row>
        <row r="18">
          <cell r="F18">
            <v>1684</v>
          </cell>
          <cell r="G18">
            <v>471000</v>
          </cell>
          <cell r="H18">
            <v>3333800</v>
          </cell>
        </row>
        <row r="19">
          <cell r="F19">
            <v>1781</v>
          </cell>
          <cell r="G19">
            <v>652800</v>
          </cell>
          <cell r="H19">
            <v>3680500</v>
          </cell>
        </row>
        <row r="20">
          <cell r="F20">
            <v>879</v>
          </cell>
          <cell r="G20">
            <v>219900</v>
          </cell>
          <cell r="H20">
            <v>1714200</v>
          </cell>
        </row>
        <row r="21">
          <cell r="F21">
            <v>1617</v>
          </cell>
          <cell r="G21">
            <v>411600</v>
          </cell>
          <cell r="H21">
            <v>3160500</v>
          </cell>
        </row>
        <row r="22">
          <cell r="F22">
            <v>2724</v>
          </cell>
          <cell r="G22">
            <v>968650</v>
          </cell>
          <cell r="H22">
            <v>5599450</v>
          </cell>
        </row>
        <row r="23">
          <cell r="F23">
            <v>1357</v>
          </cell>
          <cell r="G23">
            <v>194100</v>
          </cell>
          <cell r="H23">
            <v>2501000</v>
          </cell>
        </row>
        <row r="24">
          <cell r="F24">
            <v>1206</v>
          </cell>
          <cell r="G24">
            <v>390800</v>
          </cell>
          <cell r="H24">
            <v>2441000</v>
          </cell>
        </row>
        <row r="25">
          <cell r="F25">
            <v>1064</v>
          </cell>
          <cell r="G25">
            <v>297600</v>
          </cell>
          <cell r="H25">
            <v>2106400</v>
          </cell>
        </row>
        <row r="26">
          <cell r="F26">
            <v>1553</v>
          </cell>
          <cell r="G26">
            <v>302200</v>
          </cell>
          <cell r="H26">
            <v>2942300</v>
          </cell>
        </row>
        <row r="27">
          <cell r="F27">
            <v>1870</v>
          </cell>
          <cell r="G27">
            <v>823700</v>
          </cell>
          <cell r="H27">
            <v>4002700</v>
          </cell>
        </row>
        <row r="28">
          <cell r="F28">
            <v>2246</v>
          </cell>
          <cell r="G28">
            <v>926800</v>
          </cell>
          <cell r="H28">
            <v>4745000</v>
          </cell>
        </row>
        <row r="29">
          <cell r="F29">
            <v>1339</v>
          </cell>
          <cell r="G29">
            <v>478300</v>
          </cell>
          <cell r="H29">
            <v>2754600</v>
          </cell>
        </row>
        <row r="30">
          <cell r="F30">
            <v>2945</v>
          </cell>
          <cell r="G30">
            <v>1191650</v>
          </cell>
          <cell r="H30">
            <v>6198150</v>
          </cell>
        </row>
        <row r="31">
          <cell r="F31">
            <v>1568</v>
          </cell>
          <cell r="G31">
            <v>698300</v>
          </cell>
          <cell r="H31">
            <v>3363900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2373</v>
          </cell>
          <cell r="G33">
            <v>788200</v>
          </cell>
          <cell r="H33">
            <v>4822300</v>
          </cell>
        </row>
        <row r="34">
          <cell r="F34">
            <v>3480</v>
          </cell>
          <cell r="G34">
            <v>992900</v>
          </cell>
          <cell r="H34">
            <v>6908900</v>
          </cell>
        </row>
        <row r="35">
          <cell r="F35">
            <v>4551</v>
          </cell>
          <cell r="G35">
            <v>1093400</v>
          </cell>
          <cell r="H35">
            <v>8830100</v>
          </cell>
        </row>
        <row r="36">
          <cell r="F36">
            <v>3724</v>
          </cell>
          <cell r="G36">
            <v>1076050</v>
          </cell>
          <cell r="H36">
            <v>7406850</v>
          </cell>
        </row>
        <row r="37">
          <cell r="F37">
            <v>1133</v>
          </cell>
          <cell r="G37">
            <v>531450</v>
          </cell>
          <cell r="H37">
            <v>2457550</v>
          </cell>
        </row>
        <row r="38">
          <cell r="F38">
            <v>1921</v>
          </cell>
          <cell r="G38">
            <v>954550</v>
          </cell>
          <cell r="H38">
            <v>4220250</v>
          </cell>
        </row>
        <row r="39">
          <cell r="F39">
            <v>809</v>
          </cell>
          <cell r="G39">
            <v>455300</v>
          </cell>
          <cell r="H39">
            <v>1830600</v>
          </cell>
        </row>
        <row r="40">
          <cell r="F40">
            <v>4208</v>
          </cell>
          <cell r="G40">
            <v>2081900</v>
          </cell>
          <cell r="H40">
            <v>9235500</v>
          </cell>
        </row>
        <row r="41">
          <cell r="F41">
            <v>1500</v>
          </cell>
          <cell r="G41">
            <v>584600</v>
          </cell>
          <cell r="H41">
            <v>3134600</v>
          </cell>
        </row>
        <row r="42">
          <cell r="F42">
            <v>505</v>
          </cell>
          <cell r="G42">
            <v>303200</v>
          </cell>
          <cell r="H42">
            <v>1161700</v>
          </cell>
        </row>
        <row r="43">
          <cell r="F43">
            <v>1048</v>
          </cell>
          <cell r="G43">
            <v>255700</v>
          </cell>
          <cell r="H43">
            <v>2037300</v>
          </cell>
        </row>
        <row r="44">
          <cell r="F44">
            <v>344</v>
          </cell>
          <cell r="G44">
            <v>32000</v>
          </cell>
          <cell r="H44">
            <v>616800</v>
          </cell>
        </row>
        <row r="45">
          <cell r="F45">
            <v>4598</v>
          </cell>
          <cell r="G45">
            <v>1493800</v>
          </cell>
          <cell r="H45">
            <v>9310400</v>
          </cell>
        </row>
        <row r="46">
          <cell r="F46">
            <v>326</v>
          </cell>
          <cell r="G46">
            <v>66000</v>
          </cell>
          <cell r="H46">
            <v>620200</v>
          </cell>
        </row>
        <row r="47">
          <cell r="F47">
            <v>11771</v>
          </cell>
          <cell r="G47">
            <v>2697200</v>
          </cell>
          <cell r="H47">
            <v>22707900</v>
          </cell>
        </row>
        <row r="52">
          <cell r="F52">
            <v>1317</v>
          </cell>
          <cell r="G52">
            <v>468000</v>
          </cell>
          <cell r="H52">
            <v>2706900</v>
          </cell>
        </row>
        <row r="53">
          <cell r="F53">
            <v>873</v>
          </cell>
          <cell r="G53">
            <v>250600</v>
          </cell>
          <cell r="H53">
            <v>1734700</v>
          </cell>
        </row>
        <row r="54">
          <cell r="F54">
            <v>3907</v>
          </cell>
          <cell r="G54">
            <v>978500</v>
          </cell>
          <cell r="H54">
            <v>7620400</v>
          </cell>
        </row>
        <row r="55">
          <cell r="F55">
            <v>708</v>
          </cell>
          <cell r="G55">
            <v>239400</v>
          </cell>
          <cell r="H55">
            <v>1443000</v>
          </cell>
        </row>
        <row r="56">
          <cell r="F56">
            <v>757</v>
          </cell>
          <cell r="G56">
            <v>173100</v>
          </cell>
          <cell r="H56">
            <v>1460000</v>
          </cell>
        </row>
        <row r="57">
          <cell r="F57">
            <v>3044</v>
          </cell>
          <cell r="G57">
            <v>639700</v>
          </cell>
          <cell r="H57">
            <v>5814500</v>
          </cell>
        </row>
        <row r="58">
          <cell r="F58">
            <v>5013</v>
          </cell>
          <cell r="G58">
            <v>881600</v>
          </cell>
          <cell r="H58">
            <v>9403700</v>
          </cell>
        </row>
        <row r="59">
          <cell r="F59">
            <v>1721</v>
          </cell>
          <cell r="G59">
            <v>466600</v>
          </cell>
          <cell r="H59">
            <v>3392300</v>
          </cell>
        </row>
        <row r="60">
          <cell r="F60">
            <v>2020</v>
          </cell>
          <cell r="G60">
            <v>471100</v>
          </cell>
          <cell r="H60">
            <v>3905100</v>
          </cell>
        </row>
        <row r="61">
          <cell r="F61">
            <v>1398</v>
          </cell>
          <cell r="G61">
            <v>320000</v>
          </cell>
          <cell r="H61">
            <v>2696600</v>
          </cell>
        </row>
        <row r="62">
          <cell r="F62">
            <v>3246</v>
          </cell>
          <cell r="G62">
            <v>1042600</v>
          </cell>
          <cell r="H62">
            <v>6560800</v>
          </cell>
        </row>
        <row r="63">
          <cell r="F63">
            <v>2290</v>
          </cell>
          <cell r="G63">
            <v>690700</v>
          </cell>
          <cell r="H63">
            <v>4583700</v>
          </cell>
        </row>
        <row r="64">
          <cell r="F64">
            <v>2264</v>
          </cell>
          <cell r="G64">
            <v>415100</v>
          </cell>
          <cell r="H64">
            <v>4263900</v>
          </cell>
        </row>
        <row r="65">
          <cell r="F65">
            <v>1037</v>
          </cell>
          <cell r="G65">
            <v>370000</v>
          </cell>
          <cell r="H65">
            <v>2132900</v>
          </cell>
        </row>
        <row r="66">
          <cell r="F66">
            <v>1284</v>
          </cell>
          <cell r="G66">
            <v>354500</v>
          </cell>
          <cell r="H66">
            <v>2537300</v>
          </cell>
        </row>
        <row r="67">
          <cell r="F67">
            <v>433</v>
          </cell>
          <cell r="G67">
            <v>128000</v>
          </cell>
          <cell r="H67">
            <v>864100</v>
          </cell>
        </row>
        <row r="68">
          <cell r="F68">
            <v>1635</v>
          </cell>
          <cell r="G68">
            <v>408900</v>
          </cell>
          <cell r="H68">
            <v>3188400</v>
          </cell>
        </row>
        <row r="69">
          <cell r="F69">
            <v>1397</v>
          </cell>
          <cell r="G69">
            <v>354400</v>
          </cell>
          <cell r="H69">
            <v>2729300</v>
          </cell>
        </row>
        <row r="70">
          <cell r="F70">
            <v>1747</v>
          </cell>
          <cell r="G70">
            <v>598200</v>
          </cell>
          <cell r="H70">
            <v>3568100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1761</v>
          </cell>
          <cell r="G72">
            <v>253100</v>
          </cell>
          <cell r="H72">
            <v>3246800</v>
          </cell>
        </row>
        <row r="73">
          <cell r="F73">
            <v>1442</v>
          </cell>
          <cell r="G73">
            <v>163000</v>
          </cell>
          <cell r="H73">
            <v>2614400</v>
          </cell>
        </row>
        <row r="74">
          <cell r="F74">
            <v>4202</v>
          </cell>
          <cell r="G74">
            <v>675000</v>
          </cell>
          <cell r="H74">
            <v>7818400</v>
          </cell>
        </row>
        <row r="75">
          <cell r="F75">
            <v>1136</v>
          </cell>
          <cell r="G75">
            <v>382400</v>
          </cell>
          <cell r="H75">
            <v>2313600</v>
          </cell>
        </row>
        <row r="76">
          <cell r="F76">
            <v>8862</v>
          </cell>
          <cell r="G76">
            <v>1554900</v>
          </cell>
          <cell r="H76">
            <v>16620300</v>
          </cell>
        </row>
        <row r="77">
          <cell r="F77">
            <v>4025</v>
          </cell>
          <cell r="G77">
            <v>461100</v>
          </cell>
          <cell r="H77">
            <v>7303600</v>
          </cell>
        </row>
        <row r="78">
          <cell r="F78">
            <v>1759</v>
          </cell>
          <cell r="G78">
            <v>297100</v>
          </cell>
          <cell r="H78">
            <v>3287400</v>
          </cell>
        </row>
        <row r="79">
          <cell r="F79">
            <v>427</v>
          </cell>
          <cell r="G79">
            <v>97300</v>
          </cell>
          <cell r="H79">
            <v>823200</v>
          </cell>
        </row>
        <row r="80">
          <cell r="F80">
            <v>1715</v>
          </cell>
          <cell r="G80">
            <v>363200</v>
          </cell>
          <cell r="H80">
            <v>3278700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576</v>
          </cell>
          <cell r="G84">
            <v>65300</v>
          </cell>
          <cell r="H84">
            <v>1044500</v>
          </cell>
        </row>
        <row r="85">
          <cell r="F85">
            <v>391</v>
          </cell>
          <cell r="G85">
            <v>20800</v>
          </cell>
          <cell r="H85">
            <v>685500</v>
          </cell>
        </row>
        <row r="86">
          <cell r="F86">
            <v>1064</v>
          </cell>
          <cell r="G86">
            <v>153900</v>
          </cell>
          <cell r="H86">
            <v>1962700</v>
          </cell>
        </row>
        <row r="87">
          <cell r="F87">
            <v>1155</v>
          </cell>
          <cell r="G87">
            <v>228600</v>
          </cell>
          <cell r="H87">
            <v>2192100</v>
          </cell>
        </row>
        <row r="88">
          <cell r="F88">
            <v>630</v>
          </cell>
          <cell r="G88">
            <v>120100</v>
          </cell>
          <cell r="H88">
            <v>1191100</v>
          </cell>
        </row>
        <row r="89">
          <cell r="F89">
            <v>138</v>
          </cell>
          <cell r="G89">
            <v>21000</v>
          </cell>
          <cell r="H89">
            <v>255600</v>
          </cell>
        </row>
        <row r="90">
          <cell r="F90">
            <v>318</v>
          </cell>
          <cell r="G90">
            <v>81500</v>
          </cell>
          <cell r="H90">
            <v>622100</v>
          </cell>
        </row>
        <row r="91">
          <cell r="F91">
            <v>1016</v>
          </cell>
          <cell r="G91">
            <v>449400</v>
          </cell>
          <cell r="H91">
            <v>2176600</v>
          </cell>
        </row>
        <row r="92">
          <cell r="F92">
            <v>240</v>
          </cell>
          <cell r="G92">
            <v>63700</v>
          </cell>
          <cell r="H92">
            <v>471700</v>
          </cell>
        </row>
        <row r="93">
          <cell r="F93">
            <v>270</v>
          </cell>
          <cell r="G93">
            <v>100500</v>
          </cell>
          <cell r="H93">
            <v>559500</v>
          </cell>
        </row>
        <row r="94">
          <cell r="F94">
            <v>50</v>
          </cell>
          <cell r="G94">
            <v>20400</v>
          </cell>
          <cell r="H94">
            <v>105400</v>
          </cell>
        </row>
        <row r="95">
          <cell r="F95">
            <v>557</v>
          </cell>
          <cell r="G95">
            <v>109700</v>
          </cell>
          <cell r="H95">
            <v>1056600</v>
          </cell>
        </row>
        <row r="96">
          <cell r="F96">
            <v>1484</v>
          </cell>
          <cell r="G96">
            <v>354700</v>
          </cell>
          <cell r="H96">
            <v>2877500</v>
          </cell>
        </row>
        <row r="97">
          <cell r="F97">
            <v>2007</v>
          </cell>
          <cell r="G97">
            <v>234000</v>
          </cell>
          <cell r="H97">
            <v>3645900</v>
          </cell>
        </row>
        <row r="98">
          <cell r="F98">
            <v>1210</v>
          </cell>
          <cell r="G98">
            <v>169100</v>
          </cell>
          <cell r="H98">
            <v>2226100</v>
          </cell>
        </row>
        <row r="99">
          <cell r="F99">
            <v>2676</v>
          </cell>
          <cell r="G99">
            <v>393000</v>
          </cell>
          <cell r="H99">
            <v>4942200</v>
          </cell>
        </row>
        <row r="100">
          <cell r="F100">
            <v>2938</v>
          </cell>
          <cell r="G100">
            <v>628400</v>
          </cell>
          <cell r="H100">
            <v>5623000</v>
          </cell>
        </row>
        <row r="101">
          <cell r="F101">
            <v>1089</v>
          </cell>
          <cell r="G101">
            <v>153800</v>
          </cell>
          <cell r="H101">
            <v>2005100</v>
          </cell>
        </row>
        <row r="102">
          <cell r="F102">
            <v>6278</v>
          </cell>
          <cell r="G102">
            <v>887000</v>
          </cell>
          <cell r="H102">
            <v>11559600</v>
          </cell>
        </row>
        <row r="103">
          <cell r="F103">
            <v>5021</v>
          </cell>
          <cell r="G103">
            <v>1019900</v>
          </cell>
          <cell r="H103">
            <v>9555600</v>
          </cell>
        </row>
        <row r="104">
          <cell r="F104">
            <v>2689</v>
          </cell>
          <cell r="G104">
            <v>966300</v>
          </cell>
          <cell r="H104">
            <v>5537600</v>
          </cell>
        </row>
        <row r="105">
          <cell r="F105">
            <v>1201</v>
          </cell>
          <cell r="G105">
            <v>264900</v>
          </cell>
          <cell r="H105">
            <v>2306600</v>
          </cell>
        </row>
        <row r="106">
          <cell r="F106">
            <v>1057</v>
          </cell>
          <cell r="G106">
            <v>408200</v>
          </cell>
          <cell r="H106">
            <v>2205100</v>
          </cell>
        </row>
        <row r="107">
          <cell r="F107">
            <v>2443</v>
          </cell>
          <cell r="G107">
            <v>407500</v>
          </cell>
          <cell r="H107">
            <v>4560600</v>
          </cell>
        </row>
        <row r="108">
          <cell r="F108">
            <v>2608</v>
          </cell>
          <cell r="G108">
            <v>491700</v>
          </cell>
          <cell r="H108">
            <v>4925300</v>
          </cell>
        </row>
        <row r="109">
          <cell r="F109">
            <v>1266</v>
          </cell>
          <cell r="G109">
            <v>631800</v>
          </cell>
          <cell r="H109">
            <v>2784000</v>
          </cell>
        </row>
        <row r="110">
          <cell r="F110">
            <v>748</v>
          </cell>
          <cell r="G110">
            <v>106600</v>
          </cell>
          <cell r="H110">
            <v>1378200</v>
          </cell>
        </row>
        <row r="111">
          <cell r="F111">
            <v>2369</v>
          </cell>
          <cell r="G111">
            <v>608100</v>
          </cell>
          <cell r="H111">
            <v>4635400</v>
          </cell>
        </row>
        <row r="112">
          <cell r="F112">
            <v>1424</v>
          </cell>
          <cell r="G112">
            <v>227100</v>
          </cell>
          <cell r="H112">
            <v>2647900</v>
          </cell>
        </row>
        <row r="113">
          <cell r="F113">
            <v>2267</v>
          </cell>
          <cell r="G113">
            <v>1093050</v>
          </cell>
          <cell r="H113">
            <v>4946950</v>
          </cell>
        </row>
        <row r="114">
          <cell r="F114">
            <v>143</v>
          </cell>
          <cell r="G114">
            <v>86400</v>
          </cell>
          <cell r="H114">
            <v>329500</v>
          </cell>
        </row>
        <row r="115">
          <cell r="F115">
            <v>784</v>
          </cell>
          <cell r="G115">
            <v>174600</v>
          </cell>
          <cell r="H115">
            <v>1507400</v>
          </cell>
        </row>
        <row r="116">
          <cell r="F116">
            <v>123</v>
          </cell>
          <cell r="G116">
            <v>40000</v>
          </cell>
          <cell r="H116">
            <v>249100</v>
          </cell>
        </row>
        <row r="117">
          <cell r="F117">
            <v>681</v>
          </cell>
          <cell r="G117">
            <v>100900</v>
          </cell>
          <cell r="H117">
            <v>1258600</v>
          </cell>
        </row>
        <row r="118">
          <cell r="F118">
            <v>1291</v>
          </cell>
          <cell r="G118">
            <v>442100</v>
          </cell>
          <cell r="H118">
            <v>2636800</v>
          </cell>
        </row>
        <row r="121">
          <cell r="F121">
            <v>15047</v>
          </cell>
          <cell r="G121">
            <v>1354200</v>
          </cell>
        </row>
        <row r="122">
          <cell r="F122">
            <v>4100</v>
          </cell>
          <cell r="G122">
            <v>2447900</v>
          </cell>
          <cell r="H122">
            <v>9417900</v>
          </cell>
        </row>
        <row r="133">
          <cell r="F133">
            <v>68366</v>
          </cell>
          <cell r="G133">
            <v>16370150</v>
          </cell>
          <cell r="H133">
            <v>132592350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488</v>
          </cell>
          <cell r="G136">
            <v>315000</v>
          </cell>
          <cell r="H136">
            <v>1144600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326098.08799999999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362</v>
          </cell>
          <cell r="G147">
            <v>769900</v>
          </cell>
          <cell r="H147">
            <v>1385300</v>
          </cell>
        </row>
        <row r="148">
          <cell r="F148">
            <v>883</v>
          </cell>
          <cell r="G148">
            <v>1100700</v>
          </cell>
          <cell r="H148">
            <v>2601800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1000</v>
          </cell>
          <cell r="H155">
            <v>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550000</v>
          </cell>
          <cell r="H158">
            <v>550000</v>
          </cell>
        </row>
        <row r="159">
          <cell r="F159">
            <v>0</v>
          </cell>
          <cell r="G159">
            <v>669000</v>
          </cell>
          <cell r="H159">
            <v>669000</v>
          </cell>
        </row>
        <row r="160">
          <cell r="F160">
            <v>0</v>
          </cell>
          <cell r="G160">
            <v>349000</v>
          </cell>
          <cell r="H160">
            <v>349000</v>
          </cell>
        </row>
        <row r="161">
          <cell r="F161">
            <v>0</v>
          </cell>
          <cell r="G161">
            <v>910000</v>
          </cell>
          <cell r="H161">
            <v>910000</v>
          </cell>
        </row>
        <row r="162">
          <cell r="F162">
            <v>0</v>
          </cell>
          <cell r="G162">
            <v>419000</v>
          </cell>
          <cell r="H162">
            <v>419000</v>
          </cell>
        </row>
        <row r="163">
          <cell r="F163">
            <v>0</v>
          </cell>
          <cell r="G163">
            <v>259000</v>
          </cell>
          <cell r="H163">
            <v>259000</v>
          </cell>
        </row>
        <row r="164">
          <cell r="F164">
            <v>0</v>
          </cell>
          <cell r="G164">
            <v>44000</v>
          </cell>
          <cell r="H164">
            <v>44000</v>
          </cell>
        </row>
        <row r="165">
          <cell r="F165">
            <v>0</v>
          </cell>
          <cell r="G165">
            <v>191000</v>
          </cell>
          <cell r="H165">
            <v>191000</v>
          </cell>
        </row>
        <row r="166">
          <cell r="F166">
            <v>0</v>
          </cell>
          <cell r="G166">
            <v>16000</v>
          </cell>
          <cell r="H166">
            <v>16000</v>
          </cell>
        </row>
        <row r="167">
          <cell r="F167">
            <v>0</v>
          </cell>
          <cell r="G167">
            <v>20000</v>
          </cell>
          <cell r="H167">
            <v>20000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9000</v>
          </cell>
          <cell r="H170">
            <v>9000</v>
          </cell>
        </row>
        <row r="171">
          <cell r="F171">
            <v>0</v>
          </cell>
          <cell r="G171">
            <v>0</v>
          </cell>
          <cell r="H171">
            <v>0</v>
          </cell>
        </row>
        <row r="172">
          <cell r="F172">
            <v>0</v>
          </cell>
          <cell r="G172">
            <v>40000</v>
          </cell>
          <cell r="H172">
            <v>40000</v>
          </cell>
        </row>
        <row r="173">
          <cell r="F173">
            <v>0</v>
          </cell>
          <cell r="G173">
            <v>2000</v>
          </cell>
          <cell r="H173">
            <v>2000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41000</v>
          </cell>
          <cell r="H175">
            <v>41000</v>
          </cell>
        </row>
        <row r="176">
          <cell r="F176">
            <v>0</v>
          </cell>
          <cell r="G176">
            <v>0</v>
          </cell>
          <cell r="H176">
            <v>0</v>
          </cell>
        </row>
        <row r="177">
          <cell r="F177">
            <v>0</v>
          </cell>
          <cell r="G177">
            <v>136000</v>
          </cell>
          <cell r="H177">
            <v>136000</v>
          </cell>
        </row>
        <row r="178">
          <cell r="F178">
            <v>0</v>
          </cell>
          <cell r="G178">
            <v>90000</v>
          </cell>
          <cell r="H178">
            <v>90000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1000</v>
          </cell>
          <cell r="H180">
            <v>1000</v>
          </cell>
        </row>
        <row r="181">
          <cell r="F181">
            <v>0</v>
          </cell>
          <cell r="G181">
            <v>2000</v>
          </cell>
          <cell r="H181">
            <v>2000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9000</v>
          </cell>
          <cell r="H188">
            <v>9000</v>
          </cell>
        </row>
        <row r="189">
          <cell r="F189">
            <v>0</v>
          </cell>
          <cell r="G189">
            <v>32000</v>
          </cell>
          <cell r="H189">
            <v>32000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1">
          <cell r="F191">
            <v>0</v>
          </cell>
          <cell r="G191">
            <v>71000</v>
          </cell>
          <cell r="H191">
            <v>71000</v>
          </cell>
        </row>
        <row r="192">
          <cell r="F192">
            <v>0</v>
          </cell>
          <cell r="G192">
            <v>10000</v>
          </cell>
          <cell r="H192">
            <v>10000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6000</v>
          </cell>
          <cell r="H195">
            <v>6000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2000</v>
          </cell>
          <cell r="H199">
            <v>2000</v>
          </cell>
        </row>
        <row r="200">
          <cell r="F200">
            <v>0</v>
          </cell>
          <cell r="G200">
            <v>1000</v>
          </cell>
          <cell r="H200">
            <v>1000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22000</v>
          </cell>
          <cell r="H209">
            <v>22000</v>
          </cell>
        </row>
        <row r="210">
          <cell r="F210">
            <v>0</v>
          </cell>
          <cell r="G210">
            <v>20000</v>
          </cell>
          <cell r="H210">
            <v>20000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4000</v>
          </cell>
          <cell r="H213">
            <v>4000</v>
          </cell>
        </row>
        <row r="214">
          <cell r="F214">
            <v>0</v>
          </cell>
          <cell r="G214">
            <v>0</v>
          </cell>
          <cell r="H214">
            <v>0</v>
          </cell>
        </row>
        <row r="215">
          <cell r="F215">
            <v>0</v>
          </cell>
          <cell r="G215">
            <v>1000</v>
          </cell>
          <cell r="H215">
            <v>1000</v>
          </cell>
        </row>
        <row r="216">
          <cell r="F216">
            <v>0</v>
          </cell>
          <cell r="G216">
            <v>7000</v>
          </cell>
          <cell r="H216">
            <v>7000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0</v>
          </cell>
          <cell r="H218">
            <v>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14000</v>
          </cell>
          <cell r="H220">
            <v>14000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</row>
        <row r="251">
          <cell r="F251">
            <v>0</v>
          </cell>
          <cell r="G251">
            <v>0</v>
          </cell>
          <cell r="H251">
            <v>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0</v>
          </cell>
          <cell r="H253">
            <v>0</v>
          </cell>
        </row>
        <row r="254">
          <cell r="F254">
            <v>0</v>
          </cell>
          <cell r="G254">
            <v>0</v>
          </cell>
          <cell r="H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</row>
        <row r="256">
          <cell r="F256">
            <v>0</v>
          </cell>
          <cell r="G256">
            <v>0</v>
          </cell>
          <cell r="H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14000</v>
          </cell>
          <cell r="H260">
            <v>14000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12440</v>
          </cell>
          <cell r="G10">
            <v>7555200</v>
          </cell>
          <cell r="H10">
            <v>28703200</v>
          </cell>
        </row>
        <row r="14">
          <cell r="F14">
            <v>6660</v>
          </cell>
          <cell r="G14">
            <v>1948600</v>
          </cell>
          <cell r="H14">
            <v>13270600</v>
          </cell>
        </row>
        <row r="15">
          <cell r="F15">
            <v>6094</v>
          </cell>
          <cell r="G15">
            <v>1729500</v>
          </cell>
          <cell r="H15">
            <v>12089300</v>
          </cell>
        </row>
        <row r="16">
          <cell r="F16">
            <v>7532</v>
          </cell>
          <cell r="G16">
            <v>2756200</v>
          </cell>
          <cell r="H16">
            <v>15560600</v>
          </cell>
        </row>
        <row r="17">
          <cell r="F17">
            <v>5265</v>
          </cell>
          <cell r="G17">
            <v>2075800</v>
          </cell>
          <cell r="H17">
            <v>11026300</v>
          </cell>
        </row>
        <row r="18">
          <cell r="F18">
            <v>6595</v>
          </cell>
          <cell r="G18">
            <v>2807100</v>
          </cell>
          <cell r="H18">
            <v>14018600</v>
          </cell>
        </row>
        <row r="19">
          <cell r="F19">
            <v>6618</v>
          </cell>
          <cell r="G19">
            <v>3508000</v>
          </cell>
          <cell r="H19">
            <v>14758600</v>
          </cell>
        </row>
        <row r="20">
          <cell r="F20">
            <v>3930</v>
          </cell>
          <cell r="G20">
            <v>2318600</v>
          </cell>
          <cell r="H20">
            <v>8999600</v>
          </cell>
        </row>
        <row r="21">
          <cell r="F21">
            <v>4081</v>
          </cell>
          <cell r="G21">
            <v>2259100</v>
          </cell>
          <cell r="H21">
            <v>9196800</v>
          </cell>
        </row>
        <row r="22">
          <cell r="F22">
            <v>8400</v>
          </cell>
          <cell r="G22">
            <v>4590800</v>
          </cell>
          <cell r="H22">
            <v>18870800</v>
          </cell>
        </row>
        <row r="23">
          <cell r="F23">
            <v>4032</v>
          </cell>
          <cell r="G23">
            <v>1621100</v>
          </cell>
          <cell r="H23">
            <v>8475500</v>
          </cell>
        </row>
        <row r="24">
          <cell r="F24">
            <v>3104</v>
          </cell>
          <cell r="G24">
            <v>1858100</v>
          </cell>
          <cell r="H24">
            <v>7134900</v>
          </cell>
        </row>
        <row r="25">
          <cell r="F25">
            <v>2689</v>
          </cell>
          <cell r="G25">
            <v>1241100</v>
          </cell>
          <cell r="H25">
            <v>5812400</v>
          </cell>
        </row>
        <row r="26">
          <cell r="F26">
            <v>6392</v>
          </cell>
          <cell r="G26">
            <v>2232800</v>
          </cell>
          <cell r="H26">
            <v>13099200</v>
          </cell>
        </row>
        <row r="27">
          <cell r="F27">
            <v>15959</v>
          </cell>
          <cell r="G27">
            <v>7936850</v>
          </cell>
          <cell r="H27">
            <v>35067150</v>
          </cell>
        </row>
        <row r="28">
          <cell r="F28">
            <v>12357</v>
          </cell>
          <cell r="G28">
            <v>5396700</v>
          </cell>
          <cell r="H28">
            <v>26403600</v>
          </cell>
        </row>
        <row r="29">
          <cell r="F29">
            <v>10255</v>
          </cell>
          <cell r="G29">
            <v>5037700</v>
          </cell>
          <cell r="H29">
            <v>22471200</v>
          </cell>
        </row>
        <row r="30">
          <cell r="F30">
            <v>16342</v>
          </cell>
          <cell r="G30">
            <v>5560650</v>
          </cell>
          <cell r="H30">
            <v>33342050</v>
          </cell>
        </row>
        <row r="31">
          <cell r="F31">
            <v>9088</v>
          </cell>
          <cell r="G31">
            <v>3664000</v>
          </cell>
          <cell r="H31">
            <v>19113600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11809</v>
          </cell>
          <cell r="G33">
            <v>3612900</v>
          </cell>
          <cell r="H33">
            <v>23688200</v>
          </cell>
        </row>
        <row r="34">
          <cell r="F34">
            <v>15819</v>
          </cell>
          <cell r="G34">
            <v>4541500</v>
          </cell>
          <cell r="H34">
            <v>31433800</v>
          </cell>
        </row>
        <row r="35">
          <cell r="F35">
            <v>13151</v>
          </cell>
          <cell r="G35">
            <v>7014350</v>
          </cell>
          <cell r="H35">
            <v>29371050</v>
          </cell>
        </row>
        <row r="36">
          <cell r="F36">
            <v>15661</v>
          </cell>
          <cell r="G36">
            <v>6427600</v>
          </cell>
          <cell r="H36">
            <v>33051300</v>
          </cell>
        </row>
        <row r="37">
          <cell r="F37">
            <v>4329</v>
          </cell>
          <cell r="G37">
            <v>3244100</v>
          </cell>
          <cell r="H37">
            <v>10603400</v>
          </cell>
        </row>
        <row r="38">
          <cell r="F38">
            <v>7056</v>
          </cell>
          <cell r="G38">
            <v>4028600</v>
          </cell>
          <cell r="H38">
            <v>16023800</v>
          </cell>
        </row>
        <row r="39">
          <cell r="F39">
            <v>3156</v>
          </cell>
          <cell r="G39">
            <v>2618600</v>
          </cell>
          <cell r="H39">
            <v>7983800</v>
          </cell>
        </row>
        <row r="40">
          <cell r="F40">
            <v>15351</v>
          </cell>
          <cell r="G40">
            <v>9183600</v>
          </cell>
          <cell r="H40">
            <v>35280300</v>
          </cell>
        </row>
        <row r="41">
          <cell r="F41">
            <v>7114</v>
          </cell>
          <cell r="G41">
            <v>2792800</v>
          </cell>
          <cell r="H41">
            <v>14886600</v>
          </cell>
        </row>
        <row r="42">
          <cell r="F42">
            <v>2240</v>
          </cell>
          <cell r="G42">
            <v>1725100</v>
          </cell>
          <cell r="H42">
            <v>5533100</v>
          </cell>
        </row>
        <row r="43">
          <cell r="F43">
            <v>4590</v>
          </cell>
          <cell r="G43">
            <v>1586300</v>
          </cell>
          <cell r="H43">
            <v>9389300</v>
          </cell>
        </row>
        <row r="44">
          <cell r="F44">
            <v>1091</v>
          </cell>
          <cell r="G44">
            <v>695350</v>
          </cell>
          <cell r="H44">
            <v>2550050</v>
          </cell>
        </row>
        <row r="45">
          <cell r="F45">
            <v>17474</v>
          </cell>
          <cell r="G45">
            <v>5601800</v>
          </cell>
          <cell r="H45">
            <v>35307600</v>
          </cell>
        </row>
        <row r="46">
          <cell r="F46">
            <v>3089</v>
          </cell>
          <cell r="G46">
            <v>2455200</v>
          </cell>
          <cell r="H46">
            <v>7706500</v>
          </cell>
        </row>
        <row r="47">
          <cell r="F47">
            <v>26372</v>
          </cell>
          <cell r="G47">
            <v>8286100</v>
          </cell>
          <cell r="H47">
            <v>53118500</v>
          </cell>
        </row>
        <row r="52">
          <cell r="F52">
            <v>8603</v>
          </cell>
          <cell r="G52">
            <v>2920000</v>
          </cell>
          <cell r="H52">
            <v>17545100</v>
          </cell>
        </row>
        <row r="53">
          <cell r="F53">
            <v>8005</v>
          </cell>
          <cell r="G53">
            <v>4507400</v>
          </cell>
          <cell r="H53">
            <v>18115900</v>
          </cell>
        </row>
        <row r="54">
          <cell r="F54">
            <v>15490</v>
          </cell>
          <cell r="G54">
            <v>6489500</v>
          </cell>
          <cell r="H54">
            <v>32822500</v>
          </cell>
        </row>
        <row r="55">
          <cell r="F55">
            <v>6249</v>
          </cell>
          <cell r="G55">
            <v>3780200</v>
          </cell>
          <cell r="H55">
            <v>14403500</v>
          </cell>
        </row>
        <row r="56">
          <cell r="F56">
            <v>4826</v>
          </cell>
          <cell r="G56">
            <v>1352100</v>
          </cell>
          <cell r="H56">
            <v>9556300</v>
          </cell>
        </row>
        <row r="57">
          <cell r="F57">
            <v>9995</v>
          </cell>
          <cell r="G57">
            <v>3606550</v>
          </cell>
          <cell r="H57">
            <v>20598050</v>
          </cell>
        </row>
        <row r="58">
          <cell r="F58">
            <v>15688</v>
          </cell>
          <cell r="G58">
            <v>5435700</v>
          </cell>
          <cell r="H58">
            <v>32105300</v>
          </cell>
        </row>
        <row r="59">
          <cell r="F59">
            <v>8036</v>
          </cell>
          <cell r="G59">
            <v>3089300</v>
          </cell>
          <cell r="H59">
            <v>16750500</v>
          </cell>
        </row>
        <row r="60">
          <cell r="F60">
            <v>7625</v>
          </cell>
          <cell r="G60">
            <v>2637550</v>
          </cell>
          <cell r="H60">
            <v>15600050</v>
          </cell>
        </row>
        <row r="61">
          <cell r="F61">
            <v>5287</v>
          </cell>
          <cell r="G61">
            <v>2095700</v>
          </cell>
          <cell r="H61">
            <v>11083600</v>
          </cell>
        </row>
        <row r="62">
          <cell r="F62">
            <v>13417</v>
          </cell>
          <cell r="G62">
            <v>4893050</v>
          </cell>
          <cell r="H62">
            <v>27701950</v>
          </cell>
        </row>
        <row r="63">
          <cell r="F63">
            <v>11413</v>
          </cell>
          <cell r="G63">
            <v>4725850</v>
          </cell>
          <cell r="H63">
            <v>24127950</v>
          </cell>
        </row>
        <row r="64">
          <cell r="F64">
            <v>10173</v>
          </cell>
          <cell r="G64">
            <v>4251000</v>
          </cell>
          <cell r="H64">
            <v>21545100</v>
          </cell>
        </row>
        <row r="65">
          <cell r="F65">
            <v>6700</v>
          </cell>
          <cell r="G65">
            <v>3633950</v>
          </cell>
          <cell r="H65">
            <v>15023950</v>
          </cell>
        </row>
        <row r="66">
          <cell r="F66">
            <v>8633</v>
          </cell>
          <cell r="G66">
            <v>4037700</v>
          </cell>
          <cell r="H66">
            <v>18713800</v>
          </cell>
        </row>
        <row r="67">
          <cell r="F67">
            <v>5883</v>
          </cell>
          <cell r="G67">
            <v>2958700</v>
          </cell>
          <cell r="H67">
            <v>12959800</v>
          </cell>
        </row>
        <row r="68">
          <cell r="F68">
            <v>9292</v>
          </cell>
          <cell r="G68">
            <v>3183500</v>
          </cell>
          <cell r="H68">
            <v>18979900</v>
          </cell>
        </row>
        <row r="69">
          <cell r="F69">
            <v>7668</v>
          </cell>
          <cell r="G69">
            <v>3553700</v>
          </cell>
          <cell r="H69">
            <v>16589300</v>
          </cell>
        </row>
        <row r="70">
          <cell r="F70">
            <v>12499</v>
          </cell>
          <cell r="G70">
            <v>5382600</v>
          </cell>
          <cell r="H70">
            <v>26630900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5977</v>
          </cell>
          <cell r="G72">
            <v>2554150</v>
          </cell>
          <cell r="H72">
            <v>12715050</v>
          </cell>
        </row>
        <row r="73">
          <cell r="F73">
            <v>3984</v>
          </cell>
          <cell r="G73">
            <v>949900</v>
          </cell>
          <cell r="H73">
            <v>7722700</v>
          </cell>
        </row>
        <row r="74">
          <cell r="F74">
            <v>14272</v>
          </cell>
          <cell r="G74">
            <v>4401050</v>
          </cell>
          <cell r="H74">
            <v>28663450</v>
          </cell>
        </row>
        <row r="75">
          <cell r="F75">
            <v>5827</v>
          </cell>
          <cell r="G75">
            <v>2372000</v>
          </cell>
          <cell r="H75">
            <v>12277900</v>
          </cell>
        </row>
        <row r="76">
          <cell r="F76">
            <v>21495</v>
          </cell>
          <cell r="G76">
            <v>7126700</v>
          </cell>
          <cell r="H76">
            <v>43668200</v>
          </cell>
        </row>
        <row r="77">
          <cell r="F77">
            <v>8604</v>
          </cell>
          <cell r="G77">
            <v>1907100</v>
          </cell>
          <cell r="H77">
            <v>16533900</v>
          </cell>
        </row>
        <row r="78">
          <cell r="F78">
            <v>7109</v>
          </cell>
          <cell r="G78">
            <v>2230800</v>
          </cell>
          <cell r="H78">
            <v>14316100</v>
          </cell>
        </row>
        <row r="79">
          <cell r="F79">
            <v>2163</v>
          </cell>
          <cell r="G79">
            <v>663500</v>
          </cell>
          <cell r="H79">
            <v>4340600</v>
          </cell>
        </row>
        <row r="80">
          <cell r="F80">
            <v>4613</v>
          </cell>
          <cell r="G80">
            <v>1451200</v>
          </cell>
          <cell r="H80">
            <v>9293300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2682</v>
          </cell>
          <cell r="G84">
            <v>887700</v>
          </cell>
          <cell r="H84">
            <v>5447100</v>
          </cell>
        </row>
        <row r="85">
          <cell r="F85">
            <v>1311</v>
          </cell>
          <cell r="G85">
            <v>379600</v>
          </cell>
          <cell r="H85">
            <v>2608300</v>
          </cell>
        </row>
        <row r="86">
          <cell r="F86">
            <v>3739</v>
          </cell>
          <cell r="G86">
            <v>1184150</v>
          </cell>
          <cell r="H86">
            <v>7540450</v>
          </cell>
        </row>
        <row r="87">
          <cell r="F87">
            <v>3096</v>
          </cell>
          <cell r="G87">
            <v>762300</v>
          </cell>
          <cell r="H87">
            <v>6025500</v>
          </cell>
        </row>
        <row r="88">
          <cell r="F88">
            <v>4953</v>
          </cell>
          <cell r="G88">
            <v>1788800</v>
          </cell>
          <cell r="H88">
            <v>10208900</v>
          </cell>
        </row>
        <row r="89">
          <cell r="F89">
            <v>1825</v>
          </cell>
          <cell r="G89">
            <v>1164800</v>
          </cell>
          <cell r="H89">
            <v>4267300</v>
          </cell>
        </row>
        <row r="90">
          <cell r="F90">
            <v>2739</v>
          </cell>
          <cell r="G90">
            <v>1516300</v>
          </cell>
          <cell r="H90">
            <v>6172600</v>
          </cell>
        </row>
        <row r="91">
          <cell r="F91">
            <v>4600</v>
          </cell>
          <cell r="G91">
            <v>2068250</v>
          </cell>
          <cell r="H91">
            <v>9888250</v>
          </cell>
        </row>
        <row r="92">
          <cell r="F92">
            <v>2461</v>
          </cell>
          <cell r="G92">
            <v>1532400</v>
          </cell>
          <cell r="H92">
            <v>5716100</v>
          </cell>
        </row>
        <row r="93">
          <cell r="F93">
            <v>2832</v>
          </cell>
          <cell r="G93">
            <v>1648800</v>
          </cell>
          <cell r="H93">
            <v>6463200</v>
          </cell>
        </row>
        <row r="94">
          <cell r="F94">
            <v>520</v>
          </cell>
          <cell r="G94">
            <v>264100</v>
          </cell>
          <cell r="H94">
            <v>1148100</v>
          </cell>
        </row>
        <row r="95">
          <cell r="F95">
            <v>2818</v>
          </cell>
          <cell r="G95">
            <v>1231300</v>
          </cell>
          <cell r="H95">
            <v>6021900</v>
          </cell>
        </row>
        <row r="96">
          <cell r="F96">
            <v>3325</v>
          </cell>
          <cell r="G96">
            <v>828400</v>
          </cell>
          <cell r="H96">
            <v>6480900</v>
          </cell>
        </row>
        <row r="97">
          <cell r="F97">
            <v>7079</v>
          </cell>
          <cell r="G97">
            <v>1529900</v>
          </cell>
          <cell r="H97">
            <v>13564200</v>
          </cell>
        </row>
        <row r="98">
          <cell r="F98">
            <v>3551</v>
          </cell>
          <cell r="G98">
            <v>984400</v>
          </cell>
          <cell r="H98">
            <v>7021100</v>
          </cell>
        </row>
        <row r="99">
          <cell r="F99">
            <v>7313</v>
          </cell>
          <cell r="G99">
            <v>3005800</v>
          </cell>
          <cell r="H99">
            <v>15437900</v>
          </cell>
        </row>
        <row r="100">
          <cell r="F100">
            <v>8432</v>
          </cell>
          <cell r="G100">
            <v>2433300</v>
          </cell>
          <cell r="H100">
            <v>16767700</v>
          </cell>
        </row>
        <row r="101">
          <cell r="F101">
            <v>2698</v>
          </cell>
          <cell r="G101">
            <v>875800</v>
          </cell>
          <cell r="H101">
            <v>5462400</v>
          </cell>
        </row>
        <row r="102">
          <cell r="F102">
            <v>13791</v>
          </cell>
          <cell r="G102">
            <v>2615650</v>
          </cell>
          <cell r="H102">
            <v>26060350</v>
          </cell>
        </row>
        <row r="103">
          <cell r="F103">
            <v>13318</v>
          </cell>
          <cell r="G103">
            <v>2764550</v>
          </cell>
          <cell r="H103">
            <v>25405150</v>
          </cell>
        </row>
        <row r="104">
          <cell r="F104">
            <v>5703</v>
          </cell>
          <cell r="G104">
            <v>2295950</v>
          </cell>
          <cell r="H104">
            <v>11991050</v>
          </cell>
        </row>
        <row r="105">
          <cell r="F105">
            <v>3947</v>
          </cell>
          <cell r="G105">
            <v>1706000</v>
          </cell>
          <cell r="H105">
            <v>8415900</v>
          </cell>
        </row>
        <row r="106">
          <cell r="F106">
            <v>3895</v>
          </cell>
          <cell r="G106">
            <v>1411400</v>
          </cell>
          <cell r="H106">
            <v>8032900</v>
          </cell>
        </row>
        <row r="107">
          <cell r="F107">
            <v>6081</v>
          </cell>
          <cell r="G107">
            <v>1966200</v>
          </cell>
          <cell r="H107">
            <v>12303900</v>
          </cell>
        </row>
        <row r="108">
          <cell r="F108">
            <v>5698</v>
          </cell>
          <cell r="G108">
            <v>1488400</v>
          </cell>
          <cell r="H108">
            <v>11175000</v>
          </cell>
        </row>
        <row r="109">
          <cell r="F109">
            <v>3685</v>
          </cell>
          <cell r="G109">
            <v>1704000</v>
          </cell>
          <cell r="H109">
            <v>7968500</v>
          </cell>
        </row>
        <row r="110">
          <cell r="F110">
            <v>2387</v>
          </cell>
          <cell r="G110">
            <v>442900</v>
          </cell>
          <cell r="H110">
            <v>4500800</v>
          </cell>
        </row>
        <row r="111">
          <cell r="F111">
            <v>6605</v>
          </cell>
          <cell r="G111">
            <v>2016600</v>
          </cell>
          <cell r="H111">
            <v>13245100</v>
          </cell>
        </row>
        <row r="112">
          <cell r="F112">
            <v>4696</v>
          </cell>
          <cell r="G112">
            <v>1861400</v>
          </cell>
          <cell r="H112">
            <v>9844600</v>
          </cell>
        </row>
        <row r="113">
          <cell r="F113">
            <v>4436</v>
          </cell>
          <cell r="G113">
            <v>3174100</v>
          </cell>
          <cell r="H113">
            <v>10715300</v>
          </cell>
        </row>
        <row r="114">
          <cell r="F114">
            <v>530</v>
          </cell>
          <cell r="G114">
            <v>140300</v>
          </cell>
          <cell r="H114">
            <v>1041300</v>
          </cell>
        </row>
        <row r="115">
          <cell r="F115">
            <v>2605</v>
          </cell>
          <cell r="G115">
            <v>749100</v>
          </cell>
          <cell r="H115">
            <v>5177600</v>
          </cell>
        </row>
        <row r="116">
          <cell r="F116">
            <v>417</v>
          </cell>
          <cell r="G116">
            <v>186400</v>
          </cell>
          <cell r="H116">
            <v>895300</v>
          </cell>
        </row>
        <row r="117">
          <cell r="F117">
            <v>2759</v>
          </cell>
          <cell r="G117">
            <v>725700</v>
          </cell>
          <cell r="H117">
            <v>5416000</v>
          </cell>
        </row>
        <row r="118">
          <cell r="F118">
            <v>3414</v>
          </cell>
          <cell r="G118">
            <v>1904200</v>
          </cell>
          <cell r="H118">
            <v>7708000</v>
          </cell>
        </row>
        <row r="121">
          <cell r="F121">
            <v>44105</v>
          </cell>
          <cell r="G121">
            <v>7168400</v>
          </cell>
        </row>
        <row r="122">
          <cell r="F122">
            <v>9951</v>
          </cell>
          <cell r="G122">
            <v>16718300</v>
          </cell>
          <cell r="H122">
            <v>33635000</v>
          </cell>
        </row>
        <row r="133">
          <cell r="F133">
            <v>208882</v>
          </cell>
          <cell r="G133">
            <v>91717100</v>
          </cell>
          <cell r="H133">
            <v>446816500</v>
          </cell>
        </row>
        <row r="135">
          <cell r="F135">
            <v>218</v>
          </cell>
          <cell r="G135">
            <v>570600</v>
          </cell>
          <cell r="H135">
            <v>941200</v>
          </cell>
        </row>
        <row r="136">
          <cell r="F136">
            <v>5933</v>
          </cell>
          <cell r="G136">
            <v>4816850</v>
          </cell>
          <cell r="H136">
            <v>14902950</v>
          </cell>
        </row>
        <row r="137">
          <cell r="F137">
            <v>444</v>
          </cell>
          <cell r="G137">
            <v>647100</v>
          </cell>
          <cell r="H137">
            <v>1401900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450</v>
          </cell>
          <cell r="G139">
            <v>460700</v>
          </cell>
          <cell r="H139">
            <v>1225700</v>
          </cell>
        </row>
        <row r="140">
          <cell r="F140">
            <v>846</v>
          </cell>
          <cell r="G140">
            <v>1002700</v>
          </cell>
          <cell r="H140">
            <v>2440900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205</v>
          </cell>
          <cell r="G142">
            <v>414800</v>
          </cell>
          <cell r="H142">
            <v>763300</v>
          </cell>
        </row>
        <row r="143">
          <cell r="F143">
            <v>555</v>
          </cell>
          <cell r="G143">
            <v>968200</v>
          </cell>
          <cell r="H143">
            <v>1911700</v>
          </cell>
        </row>
        <row r="144">
          <cell r="F144">
            <v>517</v>
          </cell>
          <cell r="G144">
            <v>953400</v>
          </cell>
          <cell r="H144">
            <v>1832300</v>
          </cell>
          <cell r="M144">
            <v>1297631.7050000001</v>
          </cell>
        </row>
        <row r="145">
          <cell r="F145">
            <v>179</v>
          </cell>
          <cell r="G145">
            <v>451200</v>
          </cell>
          <cell r="H145">
            <v>755500</v>
          </cell>
        </row>
        <row r="146">
          <cell r="F146">
            <v>173</v>
          </cell>
          <cell r="G146">
            <v>377900</v>
          </cell>
          <cell r="H146">
            <v>672000</v>
          </cell>
        </row>
        <row r="147">
          <cell r="F147">
            <v>417</v>
          </cell>
          <cell r="G147">
            <v>680600</v>
          </cell>
          <cell r="H147">
            <v>1389500</v>
          </cell>
        </row>
        <row r="148">
          <cell r="F148">
            <v>1007</v>
          </cell>
          <cell r="G148">
            <v>1914100</v>
          </cell>
          <cell r="H148">
            <v>3626000</v>
          </cell>
        </row>
        <row r="149">
          <cell r="F149">
            <v>340</v>
          </cell>
          <cell r="G149">
            <v>802200</v>
          </cell>
          <cell r="H149">
            <v>1380200</v>
          </cell>
        </row>
        <row r="150">
          <cell r="F150">
            <v>330</v>
          </cell>
          <cell r="G150">
            <v>640100</v>
          </cell>
          <cell r="H150">
            <v>1201100</v>
          </cell>
        </row>
        <row r="153">
          <cell r="F153">
            <v>0</v>
          </cell>
          <cell r="G153">
            <v>74000</v>
          </cell>
          <cell r="H153">
            <v>74000</v>
          </cell>
        </row>
        <row r="154">
          <cell r="F154">
            <v>0</v>
          </cell>
          <cell r="G154">
            <v>228000</v>
          </cell>
          <cell r="H154">
            <v>228000</v>
          </cell>
        </row>
        <row r="155">
          <cell r="F155">
            <v>0</v>
          </cell>
          <cell r="G155">
            <v>380000</v>
          </cell>
          <cell r="H155">
            <v>380000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19000</v>
          </cell>
          <cell r="H157">
            <v>19000</v>
          </cell>
        </row>
        <row r="158">
          <cell r="F158">
            <v>0</v>
          </cell>
          <cell r="G158">
            <v>2819000</v>
          </cell>
          <cell r="H158">
            <v>2819000</v>
          </cell>
        </row>
        <row r="159">
          <cell r="F159">
            <v>0</v>
          </cell>
          <cell r="G159">
            <v>2066000</v>
          </cell>
          <cell r="H159">
            <v>2066000</v>
          </cell>
        </row>
        <row r="160">
          <cell r="F160">
            <v>0</v>
          </cell>
          <cell r="G160">
            <v>2755000</v>
          </cell>
          <cell r="H160">
            <v>2755000</v>
          </cell>
        </row>
        <row r="161">
          <cell r="F161">
            <v>0</v>
          </cell>
          <cell r="G161">
            <v>4342000</v>
          </cell>
          <cell r="H161">
            <v>4342000</v>
          </cell>
        </row>
        <row r="162">
          <cell r="F162">
            <v>0</v>
          </cell>
          <cell r="G162">
            <v>2030000</v>
          </cell>
          <cell r="H162">
            <v>2030000</v>
          </cell>
        </row>
        <row r="163">
          <cell r="F163">
            <v>0</v>
          </cell>
          <cell r="G163">
            <v>1804000</v>
          </cell>
          <cell r="H163">
            <v>1804000</v>
          </cell>
        </row>
        <row r="164">
          <cell r="F164">
            <v>0</v>
          </cell>
          <cell r="G164">
            <v>425000</v>
          </cell>
          <cell r="H164">
            <v>425000</v>
          </cell>
        </row>
        <row r="165">
          <cell r="F165">
            <v>0</v>
          </cell>
          <cell r="G165">
            <v>1214000</v>
          </cell>
          <cell r="H165">
            <v>1214000</v>
          </cell>
        </row>
        <row r="166">
          <cell r="F166">
            <v>0</v>
          </cell>
          <cell r="G166">
            <v>108000</v>
          </cell>
          <cell r="H166">
            <v>108000</v>
          </cell>
        </row>
        <row r="167">
          <cell r="F167">
            <v>0</v>
          </cell>
          <cell r="G167">
            <v>341000</v>
          </cell>
          <cell r="H167">
            <v>341000</v>
          </cell>
        </row>
        <row r="168">
          <cell r="F168">
            <v>0</v>
          </cell>
          <cell r="G168">
            <v>59000</v>
          </cell>
          <cell r="H168">
            <v>59000</v>
          </cell>
        </row>
        <row r="169">
          <cell r="F169">
            <v>0</v>
          </cell>
          <cell r="G169">
            <v>61000</v>
          </cell>
          <cell r="H169">
            <v>61000</v>
          </cell>
        </row>
        <row r="170">
          <cell r="F170">
            <v>0</v>
          </cell>
          <cell r="G170">
            <v>91000</v>
          </cell>
          <cell r="H170">
            <v>91000</v>
          </cell>
        </row>
        <row r="171">
          <cell r="F171">
            <v>0</v>
          </cell>
          <cell r="G171">
            <v>296000</v>
          </cell>
          <cell r="H171">
            <v>296000</v>
          </cell>
        </row>
        <row r="172">
          <cell r="F172">
            <v>0</v>
          </cell>
          <cell r="G172">
            <v>81000</v>
          </cell>
          <cell r="H172">
            <v>81000</v>
          </cell>
        </row>
        <row r="173">
          <cell r="F173">
            <v>0</v>
          </cell>
          <cell r="G173">
            <v>82000</v>
          </cell>
          <cell r="H173">
            <v>82000</v>
          </cell>
        </row>
        <row r="174">
          <cell r="F174">
            <v>0</v>
          </cell>
          <cell r="G174">
            <v>30000</v>
          </cell>
          <cell r="H174">
            <v>30000</v>
          </cell>
        </row>
        <row r="175">
          <cell r="F175">
            <v>0</v>
          </cell>
          <cell r="G175">
            <v>230000</v>
          </cell>
          <cell r="H175">
            <v>230000</v>
          </cell>
        </row>
        <row r="176">
          <cell r="F176">
            <v>0</v>
          </cell>
          <cell r="G176">
            <v>208000</v>
          </cell>
          <cell r="H176">
            <v>208000</v>
          </cell>
        </row>
        <row r="177">
          <cell r="F177">
            <v>0</v>
          </cell>
          <cell r="G177">
            <v>685000</v>
          </cell>
          <cell r="H177">
            <v>685000</v>
          </cell>
        </row>
        <row r="178">
          <cell r="F178">
            <v>0</v>
          </cell>
          <cell r="G178">
            <v>858000</v>
          </cell>
          <cell r="H178">
            <v>858000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51000</v>
          </cell>
          <cell r="H181">
            <v>51000</v>
          </cell>
        </row>
        <row r="182">
          <cell r="F182">
            <v>0</v>
          </cell>
          <cell r="G182">
            <v>32000</v>
          </cell>
          <cell r="H182">
            <v>32000</v>
          </cell>
        </row>
        <row r="183">
          <cell r="F183">
            <v>0</v>
          </cell>
          <cell r="G183">
            <v>265000</v>
          </cell>
          <cell r="H183">
            <v>265000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163000</v>
          </cell>
          <cell r="H185">
            <v>163000</v>
          </cell>
        </row>
        <row r="186">
          <cell r="F186">
            <v>0</v>
          </cell>
          <cell r="G186">
            <v>87000</v>
          </cell>
          <cell r="H186">
            <v>87000</v>
          </cell>
        </row>
        <row r="187">
          <cell r="F187">
            <v>0</v>
          </cell>
          <cell r="G187">
            <v>776000</v>
          </cell>
          <cell r="H187">
            <v>776000</v>
          </cell>
        </row>
        <row r="188">
          <cell r="F188">
            <v>0</v>
          </cell>
          <cell r="G188">
            <v>40000</v>
          </cell>
          <cell r="H188">
            <v>40000</v>
          </cell>
        </row>
        <row r="189">
          <cell r="F189">
            <v>0</v>
          </cell>
          <cell r="G189">
            <v>123000</v>
          </cell>
          <cell r="H189">
            <v>123000</v>
          </cell>
        </row>
        <row r="190">
          <cell r="F190">
            <v>0</v>
          </cell>
          <cell r="G190">
            <v>111000</v>
          </cell>
          <cell r="H190">
            <v>111000</v>
          </cell>
        </row>
        <row r="191">
          <cell r="F191">
            <v>0</v>
          </cell>
          <cell r="G191">
            <v>43000</v>
          </cell>
          <cell r="H191">
            <v>43000</v>
          </cell>
        </row>
        <row r="192">
          <cell r="F192">
            <v>0</v>
          </cell>
          <cell r="G192">
            <v>97000</v>
          </cell>
          <cell r="H192">
            <v>97000</v>
          </cell>
        </row>
        <row r="193">
          <cell r="F193">
            <v>0</v>
          </cell>
          <cell r="G193">
            <v>510000</v>
          </cell>
          <cell r="H193">
            <v>510000</v>
          </cell>
        </row>
        <row r="194">
          <cell r="F194">
            <v>0</v>
          </cell>
          <cell r="G194">
            <v>25000</v>
          </cell>
          <cell r="H194">
            <v>25000</v>
          </cell>
        </row>
        <row r="195">
          <cell r="F195">
            <v>0</v>
          </cell>
          <cell r="G195">
            <v>42000</v>
          </cell>
          <cell r="H195">
            <v>42000</v>
          </cell>
        </row>
        <row r="196">
          <cell r="F196">
            <v>0</v>
          </cell>
          <cell r="G196">
            <v>252000</v>
          </cell>
          <cell r="H196">
            <v>252000</v>
          </cell>
        </row>
        <row r="197">
          <cell r="F197">
            <v>0</v>
          </cell>
          <cell r="G197">
            <v>45000</v>
          </cell>
          <cell r="H197">
            <v>45000</v>
          </cell>
        </row>
        <row r="198">
          <cell r="F198">
            <v>0</v>
          </cell>
          <cell r="G198">
            <v>213000</v>
          </cell>
          <cell r="H198">
            <v>213000</v>
          </cell>
        </row>
        <row r="199">
          <cell r="F199">
            <v>0</v>
          </cell>
          <cell r="G199">
            <v>56000</v>
          </cell>
          <cell r="H199">
            <v>56000</v>
          </cell>
        </row>
        <row r="200">
          <cell r="F200">
            <v>0</v>
          </cell>
          <cell r="G200">
            <v>27000</v>
          </cell>
          <cell r="H200">
            <v>27000</v>
          </cell>
        </row>
        <row r="201">
          <cell r="F201">
            <v>0</v>
          </cell>
          <cell r="G201">
            <v>162000</v>
          </cell>
          <cell r="H201">
            <v>162000</v>
          </cell>
        </row>
        <row r="202">
          <cell r="F202">
            <v>0</v>
          </cell>
          <cell r="G202">
            <v>132000</v>
          </cell>
          <cell r="H202">
            <v>132000</v>
          </cell>
        </row>
        <row r="203">
          <cell r="F203">
            <v>0</v>
          </cell>
          <cell r="G203">
            <v>43000</v>
          </cell>
          <cell r="H203">
            <v>43000</v>
          </cell>
        </row>
        <row r="204">
          <cell r="F204">
            <v>0</v>
          </cell>
          <cell r="G204">
            <v>288000</v>
          </cell>
          <cell r="H204">
            <v>288000</v>
          </cell>
        </row>
        <row r="205">
          <cell r="F205">
            <v>0</v>
          </cell>
          <cell r="G205">
            <v>101000</v>
          </cell>
          <cell r="H205">
            <v>101000</v>
          </cell>
        </row>
        <row r="206">
          <cell r="F206">
            <v>0</v>
          </cell>
          <cell r="G206">
            <v>170000</v>
          </cell>
          <cell r="H206">
            <v>170000</v>
          </cell>
        </row>
        <row r="207">
          <cell r="F207">
            <v>0</v>
          </cell>
          <cell r="G207">
            <v>362000</v>
          </cell>
          <cell r="H207">
            <v>362000</v>
          </cell>
        </row>
        <row r="208">
          <cell r="F208">
            <v>0</v>
          </cell>
          <cell r="G208">
            <v>113000</v>
          </cell>
          <cell r="H208">
            <v>113000</v>
          </cell>
        </row>
        <row r="209">
          <cell r="F209">
            <v>0</v>
          </cell>
          <cell r="G209">
            <v>255000</v>
          </cell>
          <cell r="H209">
            <v>255000</v>
          </cell>
        </row>
        <row r="210">
          <cell r="F210">
            <v>0</v>
          </cell>
          <cell r="G210">
            <v>863000</v>
          </cell>
          <cell r="H210">
            <v>863000</v>
          </cell>
        </row>
        <row r="211">
          <cell r="F211">
            <v>0</v>
          </cell>
          <cell r="G211">
            <v>21000</v>
          </cell>
          <cell r="H211">
            <v>21000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97000</v>
          </cell>
          <cell r="H214">
            <v>97000</v>
          </cell>
        </row>
        <row r="215">
          <cell r="F215">
            <v>0</v>
          </cell>
          <cell r="G215">
            <v>75000</v>
          </cell>
          <cell r="H215">
            <v>75000</v>
          </cell>
        </row>
        <row r="216">
          <cell r="F216">
            <v>0</v>
          </cell>
          <cell r="G216">
            <v>530000</v>
          </cell>
          <cell r="H216">
            <v>530000</v>
          </cell>
        </row>
        <row r="217">
          <cell r="F217">
            <v>0</v>
          </cell>
          <cell r="G217">
            <v>184000</v>
          </cell>
          <cell r="H217">
            <v>184000</v>
          </cell>
        </row>
        <row r="218">
          <cell r="F218">
            <v>0</v>
          </cell>
          <cell r="G218">
            <v>539000</v>
          </cell>
          <cell r="H218">
            <v>539000</v>
          </cell>
        </row>
        <row r="219">
          <cell r="F219">
            <v>0</v>
          </cell>
          <cell r="G219">
            <v>272000</v>
          </cell>
          <cell r="H219">
            <v>272000</v>
          </cell>
        </row>
        <row r="220">
          <cell r="F220">
            <v>0</v>
          </cell>
          <cell r="G220">
            <v>157000</v>
          </cell>
          <cell r="H220">
            <v>157000</v>
          </cell>
        </row>
        <row r="223">
          <cell r="F223">
            <v>389</v>
          </cell>
          <cell r="G223">
            <v>5125500</v>
          </cell>
          <cell r="H223">
            <v>5786800</v>
          </cell>
        </row>
        <row r="224">
          <cell r="F224">
            <v>0</v>
          </cell>
          <cell r="G224">
            <v>4075400</v>
          </cell>
          <cell r="H224">
            <v>4075400</v>
          </cell>
        </row>
        <row r="225">
          <cell r="F225">
            <v>794</v>
          </cell>
          <cell r="G225">
            <v>2157600</v>
          </cell>
          <cell r="H225">
            <v>3507400</v>
          </cell>
        </row>
        <row r="226">
          <cell r="F226">
            <v>1204</v>
          </cell>
          <cell r="G226">
            <v>1603050</v>
          </cell>
          <cell r="H226">
            <v>3649850</v>
          </cell>
        </row>
        <row r="227">
          <cell r="F227">
            <v>721</v>
          </cell>
          <cell r="G227">
            <v>1309600</v>
          </cell>
          <cell r="H227">
            <v>2535300</v>
          </cell>
        </row>
        <row r="228">
          <cell r="F228">
            <v>414</v>
          </cell>
          <cell r="G228">
            <v>1710900</v>
          </cell>
          <cell r="H228">
            <v>2414700</v>
          </cell>
        </row>
        <row r="229">
          <cell r="F229">
            <v>991</v>
          </cell>
          <cell r="G229">
            <v>2124300</v>
          </cell>
          <cell r="H229">
            <v>3809000</v>
          </cell>
        </row>
        <row r="230">
          <cell r="F230">
            <v>1598</v>
          </cell>
          <cell r="G230">
            <v>2006700</v>
          </cell>
          <cell r="H230">
            <v>4723300</v>
          </cell>
        </row>
        <row r="231">
          <cell r="F231">
            <v>0</v>
          </cell>
          <cell r="G231">
            <v>3747600</v>
          </cell>
          <cell r="H231">
            <v>3747600</v>
          </cell>
        </row>
        <row r="232">
          <cell r="F232">
            <v>1</v>
          </cell>
          <cell r="G232">
            <v>3126600</v>
          </cell>
          <cell r="H232">
            <v>3128300</v>
          </cell>
        </row>
        <row r="233">
          <cell r="F233">
            <v>1551</v>
          </cell>
          <cell r="G233">
            <v>1572700</v>
          </cell>
          <cell r="H233">
            <v>4209400</v>
          </cell>
        </row>
        <row r="234">
          <cell r="F234">
            <v>273</v>
          </cell>
          <cell r="G234">
            <v>236300</v>
          </cell>
          <cell r="H234">
            <v>700400</v>
          </cell>
        </row>
        <row r="235">
          <cell r="F235">
            <v>17</v>
          </cell>
          <cell r="G235">
            <v>1176400</v>
          </cell>
          <cell r="H235">
            <v>1205300</v>
          </cell>
        </row>
        <row r="236">
          <cell r="F236">
            <v>14</v>
          </cell>
          <cell r="G236">
            <v>1258550</v>
          </cell>
          <cell r="H236">
            <v>1282350</v>
          </cell>
        </row>
        <row r="237">
          <cell r="F237">
            <v>15</v>
          </cell>
          <cell r="G237">
            <v>1637400</v>
          </cell>
          <cell r="H237">
            <v>1662900</v>
          </cell>
        </row>
        <row r="238">
          <cell r="F238">
            <v>1198</v>
          </cell>
          <cell r="G238">
            <v>1671100</v>
          </cell>
          <cell r="H238">
            <v>3707700</v>
          </cell>
        </row>
        <row r="239">
          <cell r="F239">
            <v>306</v>
          </cell>
          <cell r="G239">
            <v>3621700</v>
          </cell>
          <cell r="H239">
            <v>4141900</v>
          </cell>
        </row>
        <row r="240">
          <cell r="F240">
            <v>844</v>
          </cell>
          <cell r="G240">
            <v>1583400</v>
          </cell>
          <cell r="H240">
            <v>3018200</v>
          </cell>
        </row>
        <row r="241">
          <cell r="F241">
            <v>1039</v>
          </cell>
          <cell r="G241">
            <v>2023800</v>
          </cell>
          <cell r="H241">
            <v>3790100</v>
          </cell>
        </row>
        <row r="242">
          <cell r="F242">
            <v>1278</v>
          </cell>
          <cell r="G242">
            <v>2021050</v>
          </cell>
          <cell r="H242">
            <v>4193650</v>
          </cell>
        </row>
        <row r="243">
          <cell r="F243">
            <v>354</v>
          </cell>
          <cell r="G243">
            <v>373200</v>
          </cell>
          <cell r="H243">
            <v>975000</v>
          </cell>
        </row>
        <row r="244">
          <cell r="F244">
            <v>341</v>
          </cell>
          <cell r="G244">
            <v>793000</v>
          </cell>
          <cell r="H244">
            <v>1372700</v>
          </cell>
        </row>
        <row r="245">
          <cell r="F245">
            <v>435</v>
          </cell>
          <cell r="G245">
            <v>814300</v>
          </cell>
          <cell r="H245">
            <v>1553800</v>
          </cell>
        </row>
        <row r="246">
          <cell r="F246">
            <v>1173</v>
          </cell>
          <cell r="G246">
            <v>3787400</v>
          </cell>
          <cell r="H246">
            <v>5781500</v>
          </cell>
        </row>
        <row r="247">
          <cell r="F247">
            <v>1352</v>
          </cell>
          <cell r="G247">
            <v>569800</v>
          </cell>
          <cell r="H247">
            <v>2868200</v>
          </cell>
        </row>
        <row r="248">
          <cell r="F248">
            <v>287</v>
          </cell>
          <cell r="G248">
            <v>3366000</v>
          </cell>
          <cell r="H248">
            <v>3853900</v>
          </cell>
        </row>
        <row r="249">
          <cell r="F249">
            <v>188</v>
          </cell>
          <cell r="G249">
            <v>3082700</v>
          </cell>
          <cell r="H249">
            <v>3402300</v>
          </cell>
        </row>
        <row r="250">
          <cell r="F250">
            <v>165</v>
          </cell>
          <cell r="G250">
            <v>3669300</v>
          </cell>
          <cell r="H250">
            <v>3949800</v>
          </cell>
        </row>
        <row r="251">
          <cell r="F251">
            <v>573</v>
          </cell>
          <cell r="G251">
            <v>3628100</v>
          </cell>
          <cell r="H251">
            <v>4602200</v>
          </cell>
        </row>
        <row r="252">
          <cell r="F252">
            <v>163</v>
          </cell>
          <cell r="G252">
            <v>700500</v>
          </cell>
          <cell r="H252">
            <v>977600</v>
          </cell>
        </row>
        <row r="253">
          <cell r="F253">
            <v>24</v>
          </cell>
          <cell r="G253">
            <v>5618300</v>
          </cell>
          <cell r="H253">
            <v>5659100</v>
          </cell>
        </row>
        <row r="254">
          <cell r="F254">
            <v>826</v>
          </cell>
          <cell r="G254">
            <v>2541900</v>
          </cell>
          <cell r="H254">
            <v>3946100</v>
          </cell>
        </row>
        <row r="255">
          <cell r="F255">
            <v>265</v>
          </cell>
          <cell r="G255">
            <v>1097600</v>
          </cell>
          <cell r="H255">
            <v>1548100</v>
          </cell>
        </row>
        <row r="256">
          <cell r="F256">
            <v>421</v>
          </cell>
          <cell r="G256">
            <v>4514200</v>
          </cell>
          <cell r="H256">
            <v>5229900</v>
          </cell>
        </row>
        <row r="257">
          <cell r="F257">
            <v>740</v>
          </cell>
          <cell r="G257">
            <v>1615300</v>
          </cell>
          <cell r="H257">
            <v>2873300</v>
          </cell>
        </row>
        <row r="260">
          <cell r="G260">
            <v>78000</v>
          </cell>
          <cell r="H260">
            <v>78000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10846</v>
          </cell>
          <cell r="G10">
            <v>4344750</v>
          </cell>
          <cell r="H10">
            <v>22782950</v>
          </cell>
        </row>
        <row r="14">
          <cell r="F14">
            <v>5476</v>
          </cell>
          <cell r="G14">
            <v>1334500</v>
          </cell>
          <cell r="H14">
            <v>10643700</v>
          </cell>
        </row>
        <row r="15">
          <cell r="F15">
            <v>5356</v>
          </cell>
          <cell r="G15">
            <v>1576600</v>
          </cell>
          <cell r="H15">
            <v>10681800</v>
          </cell>
        </row>
        <row r="16">
          <cell r="F16">
            <v>6390</v>
          </cell>
          <cell r="G16">
            <v>1833200</v>
          </cell>
          <cell r="H16">
            <v>12696200</v>
          </cell>
        </row>
        <row r="17">
          <cell r="F17">
            <v>4486</v>
          </cell>
          <cell r="G17">
            <v>1417750</v>
          </cell>
          <cell r="H17">
            <v>9043950</v>
          </cell>
        </row>
        <row r="18">
          <cell r="F18">
            <v>5345</v>
          </cell>
          <cell r="G18">
            <v>1904800</v>
          </cell>
          <cell r="H18">
            <v>10991300</v>
          </cell>
        </row>
        <row r="19">
          <cell r="F19">
            <v>5648</v>
          </cell>
          <cell r="G19">
            <v>2603300</v>
          </cell>
          <cell r="H19">
            <v>12204900</v>
          </cell>
        </row>
        <row r="20">
          <cell r="F20">
            <v>3183</v>
          </cell>
          <cell r="G20">
            <v>1329300</v>
          </cell>
          <cell r="H20">
            <v>6740400</v>
          </cell>
        </row>
        <row r="21">
          <cell r="F21">
            <v>3614</v>
          </cell>
          <cell r="G21">
            <v>1435700</v>
          </cell>
          <cell r="H21">
            <v>7579500</v>
          </cell>
        </row>
        <row r="22">
          <cell r="F22">
            <v>7876</v>
          </cell>
          <cell r="G22">
            <v>3730000</v>
          </cell>
          <cell r="H22">
            <v>17119200</v>
          </cell>
        </row>
        <row r="23">
          <cell r="F23">
            <v>3520</v>
          </cell>
          <cell r="G23">
            <v>1090750</v>
          </cell>
          <cell r="H23">
            <v>7074750</v>
          </cell>
        </row>
        <row r="24">
          <cell r="F24">
            <v>2721</v>
          </cell>
          <cell r="G24">
            <v>1289100</v>
          </cell>
          <cell r="H24">
            <v>5914800</v>
          </cell>
        </row>
        <row r="25">
          <cell r="F25">
            <v>2379</v>
          </cell>
          <cell r="G25">
            <v>968200</v>
          </cell>
          <cell r="H25">
            <v>5012500</v>
          </cell>
        </row>
        <row r="26">
          <cell r="F26">
            <v>5780</v>
          </cell>
          <cell r="G26">
            <v>1797100</v>
          </cell>
          <cell r="H26">
            <v>11623100</v>
          </cell>
        </row>
        <row r="27">
          <cell r="F27">
            <v>14371</v>
          </cell>
          <cell r="G27">
            <v>6428400</v>
          </cell>
          <cell r="H27">
            <v>30859100</v>
          </cell>
        </row>
        <row r="28">
          <cell r="F28">
            <v>11451</v>
          </cell>
          <cell r="G28">
            <v>4159000</v>
          </cell>
          <cell r="H28">
            <v>23625700</v>
          </cell>
        </row>
        <row r="29">
          <cell r="F29">
            <v>9647</v>
          </cell>
          <cell r="G29">
            <v>3675000</v>
          </cell>
          <cell r="H29">
            <v>20074900</v>
          </cell>
        </row>
        <row r="30">
          <cell r="F30">
            <v>14579</v>
          </cell>
          <cell r="G30">
            <v>4680200</v>
          </cell>
          <cell r="H30">
            <v>29464500</v>
          </cell>
        </row>
        <row r="31">
          <cell r="F31">
            <v>8390</v>
          </cell>
          <cell r="G31">
            <v>3238900</v>
          </cell>
          <cell r="H31">
            <v>17501900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10222</v>
          </cell>
          <cell r="G33">
            <v>2507500</v>
          </cell>
          <cell r="H33">
            <v>19884900</v>
          </cell>
        </row>
        <row r="34">
          <cell r="F34">
            <v>13458</v>
          </cell>
          <cell r="G34">
            <v>3708400</v>
          </cell>
          <cell r="H34">
            <v>26587000</v>
          </cell>
        </row>
        <row r="35">
          <cell r="F35">
            <v>11638</v>
          </cell>
          <cell r="G35">
            <v>4795600</v>
          </cell>
          <cell r="H35">
            <v>24580200</v>
          </cell>
        </row>
        <row r="36">
          <cell r="F36">
            <v>13670</v>
          </cell>
          <cell r="G36">
            <v>4444050</v>
          </cell>
          <cell r="H36">
            <v>27683050</v>
          </cell>
        </row>
        <row r="37">
          <cell r="F37">
            <v>3512</v>
          </cell>
          <cell r="G37">
            <v>2498400</v>
          </cell>
          <cell r="H37">
            <v>8468800</v>
          </cell>
        </row>
        <row r="38">
          <cell r="F38">
            <v>6314</v>
          </cell>
          <cell r="G38">
            <v>3279600</v>
          </cell>
          <cell r="H38">
            <v>14013400</v>
          </cell>
        </row>
        <row r="39">
          <cell r="F39">
            <v>2563</v>
          </cell>
          <cell r="G39">
            <v>2387500</v>
          </cell>
          <cell r="H39">
            <v>6744600</v>
          </cell>
        </row>
        <row r="40">
          <cell r="F40">
            <v>12512</v>
          </cell>
          <cell r="G40">
            <v>6818100</v>
          </cell>
          <cell r="H40">
            <v>28088500</v>
          </cell>
        </row>
        <row r="41">
          <cell r="F41">
            <v>6291</v>
          </cell>
          <cell r="G41">
            <v>2229500</v>
          </cell>
          <cell r="H41">
            <v>12924200</v>
          </cell>
        </row>
        <row r="42">
          <cell r="F42">
            <v>1657</v>
          </cell>
          <cell r="G42">
            <v>1265100</v>
          </cell>
          <cell r="H42">
            <v>4082000</v>
          </cell>
        </row>
        <row r="43">
          <cell r="F43">
            <v>3966</v>
          </cell>
          <cell r="G43">
            <v>895800</v>
          </cell>
          <cell r="H43">
            <v>7638000</v>
          </cell>
        </row>
        <row r="44">
          <cell r="F44">
            <v>1014</v>
          </cell>
          <cell r="G44">
            <v>409200</v>
          </cell>
          <cell r="H44">
            <v>2133000</v>
          </cell>
        </row>
        <row r="45">
          <cell r="F45">
            <v>14886</v>
          </cell>
          <cell r="G45">
            <v>4105350</v>
          </cell>
          <cell r="H45">
            <v>29411550</v>
          </cell>
        </row>
        <row r="46">
          <cell r="F46">
            <v>2307</v>
          </cell>
          <cell r="G46">
            <v>2112200</v>
          </cell>
          <cell r="H46">
            <v>6034100</v>
          </cell>
        </row>
        <row r="47">
          <cell r="F47">
            <v>21922</v>
          </cell>
          <cell r="G47">
            <v>6246000</v>
          </cell>
          <cell r="H47">
            <v>43513400</v>
          </cell>
        </row>
        <row r="52">
          <cell r="F52">
            <v>7686</v>
          </cell>
          <cell r="G52">
            <v>2716500</v>
          </cell>
          <cell r="H52">
            <v>15782700</v>
          </cell>
        </row>
        <row r="53">
          <cell r="F53">
            <v>7158</v>
          </cell>
          <cell r="G53">
            <v>3271200</v>
          </cell>
          <cell r="H53">
            <v>15439800</v>
          </cell>
        </row>
        <row r="54">
          <cell r="F54">
            <v>14455</v>
          </cell>
          <cell r="G54">
            <v>4599700</v>
          </cell>
          <cell r="H54">
            <v>29173200</v>
          </cell>
        </row>
        <row r="55">
          <cell r="F55">
            <v>5813</v>
          </cell>
          <cell r="G55">
            <v>3127000</v>
          </cell>
          <cell r="H55">
            <v>13009100</v>
          </cell>
        </row>
        <row r="56">
          <cell r="F56">
            <v>4420</v>
          </cell>
          <cell r="G56">
            <v>1135700</v>
          </cell>
          <cell r="H56">
            <v>8649700</v>
          </cell>
        </row>
        <row r="57">
          <cell r="F57">
            <v>9024</v>
          </cell>
          <cell r="G57">
            <v>2334600</v>
          </cell>
          <cell r="H57">
            <v>17675400</v>
          </cell>
        </row>
        <row r="58">
          <cell r="F58">
            <v>13907</v>
          </cell>
          <cell r="G58">
            <v>3817400</v>
          </cell>
          <cell r="H58">
            <v>27459300</v>
          </cell>
        </row>
        <row r="59">
          <cell r="F59">
            <v>7393</v>
          </cell>
          <cell r="G59">
            <v>2441900</v>
          </cell>
          <cell r="H59">
            <v>15010000</v>
          </cell>
        </row>
        <row r="60">
          <cell r="F60">
            <v>6917</v>
          </cell>
          <cell r="G60">
            <v>2238700</v>
          </cell>
          <cell r="H60">
            <v>13997600</v>
          </cell>
        </row>
        <row r="61">
          <cell r="F61">
            <v>5059</v>
          </cell>
          <cell r="G61">
            <v>1526300</v>
          </cell>
          <cell r="H61">
            <v>10126600</v>
          </cell>
        </row>
        <row r="62">
          <cell r="F62">
            <v>12469</v>
          </cell>
          <cell r="G62">
            <v>3516400</v>
          </cell>
          <cell r="H62">
            <v>24713700</v>
          </cell>
        </row>
        <row r="63">
          <cell r="F63">
            <v>10492</v>
          </cell>
          <cell r="G63">
            <v>3505250</v>
          </cell>
          <cell r="H63">
            <v>21341650</v>
          </cell>
        </row>
        <row r="64">
          <cell r="F64">
            <v>8980</v>
          </cell>
          <cell r="G64">
            <v>3058350</v>
          </cell>
          <cell r="H64">
            <v>18324350</v>
          </cell>
        </row>
        <row r="65">
          <cell r="F65">
            <v>6197</v>
          </cell>
          <cell r="G65">
            <v>2500800</v>
          </cell>
          <cell r="H65">
            <v>13035700</v>
          </cell>
        </row>
        <row r="66">
          <cell r="F66">
            <v>7562</v>
          </cell>
          <cell r="G66">
            <v>3176500</v>
          </cell>
          <cell r="H66">
            <v>16031900</v>
          </cell>
        </row>
        <row r="67">
          <cell r="F67">
            <v>5020</v>
          </cell>
          <cell r="G67">
            <v>2294900</v>
          </cell>
          <cell r="H67">
            <v>10828900</v>
          </cell>
        </row>
        <row r="68">
          <cell r="F68">
            <v>8251</v>
          </cell>
          <cell r="G68">
            <v>2743800</v>
          </cell>
          <cell r="H68">
            <v>16770500</v>
          </cell>
        </row>
        <row r="69">
          <cell r="F69">
            <v>6474</v>
          </cell>
          <cell r="G69">
            <v>2154700</v>
          </cell>
          <cell r="H69">
            <v>13160500</v>
          </cell>
        </row>
        <row r="70">
          <cell r="F70">
            <v>10989</v>
          </cell>
          <cell r="G70">
            <v>3714500</v>
          </cell>
          <cell r="H70">
            <v>22395800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5600</v>
          </cell>
          <cell r="G72">
            <v>1917500</v>
          </cell>
          <cell r="H72">
            <v>11437500</v>
          </cell>
        </row>
        <row r="73">
          <cell r="F73">
            <v>3784</v>
          </cell>
          <cell r="G73">
            <v>967300</v>
          </cell>
          <cell r="H73">
            <v>7400100</v>
          </cell>
        </row>
        <row r="74">
          <cell r="F74">
            <v>12167</v>
          </cell>
          <cell r="G74">
            <v>2413800</v>
          </cell>
          <cell r="H74">
            <v>23097700</v>
          </cell>
        </row>
        <row r="75">
          <cell r="F75">
            <v>5714</v>
          </cell>
          <cell r="G75">
            <v>1941900</v>
          </cell>
          <cell r="H75">
            <v>11655700</v>
          </cell>
        </row>
        <row r="76">
          <cell r="F76">
            <v>19265</v>
          </cell>
          <cell r="G76">
            <v>5280600</v>
          </cell>
          <cell r="H76">
            <v>38031100</v>
          </cell>
        </row>
        <row r="77">
          <cell r="F77">
            <v>8060</v>
          </cell>
          <cell r="G77">
            <v>1260500</v>
          </cell>
          <cell r="H77">
            <v>14962500</v>
          </cell>
        </row>
        <row r="78">
          <cell r="F78">
            <v>6350</v>
          </cell>
          <cell r="G78">
            <v>1742400</v>
          </cell>
          <cell r="H78">
            <v>12537400</v>
          </cell>
        </row>
        <row r="79">
          <cell r="F79">
            <v>2137</v>
          </cell>
          <cell r="G79">
            <v>660000</v>
          </cell>
          <cell r="H79">
            <v>4292900</v>
          </cell>
        </row>
        <row r="80">
          <cell r="F80">
            <v>4134</v>
          </cell>
          <cell r="G80">
            <v>914300</v>
          </cell>
          <cell r="H80">
            <v>7942100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2674</v>
          </cell>
          <cell r="G84">
            <v>877700</v>
          </cell>
          <cell r="H84">
            <v>5423500</v>
          </cell>
        </row>
        <row r="85">
          <cell r="F85">
            <v>1182</v>
          </cell>
          <cell r="G85">
            <v>312400</v>
          </cell>
          <cell r="H85">
            <v>2321800</v>
          </cell>
        </row>
        <row r="86">
          <cell r="F86">
            <v>3265</v>
          </cell>
          <cell r="G86">
            <v>914400</v>
          </cell>
          <cell r="H86">
            <v>6464900</v>
          </cell>
        </row>
        <row r="87">
          <cell r="F87">
            <v>2875</v>
          </cell>
          <cell r="G87">
            <v>750700</v>
          </cell>
          <cell r="H87">
            <v>5638200</v>
          </cell>
        </row>
        <row r="88">
          <cell r="F88">
            <v>4701</v>
          </cell>
          <cell r="G88">
            <v>1308100</v>
          </cell>
          <cell r="H88">
            <v>9299800</v>
          </cell>
        </row>
        <row r="89">
          <cell r="F89">
            <v>1519</v>
          </cell>
          <cell r="G89">
            <v>701100</v>
          </cell>
          <cell r="H89">
            <v>3283400</v>
          </cell>
        </row>
        <row r="90">
          <cell r="F90">
            <v>2518</v>
          </cell>
          <cell r="G90">
            <v>1261700</v>
          </cell>
          <cell r="H90">
            <v>5542300</v>
          </cell>
        </row>
        <row r="91">
          <cell r="F91">
            <v>4241</v>
          </cell>
          <cell r="G91">
            <v>1720900</v>
          </cell>
          <cell r="H91">
            <v>8930600</v>
          </cell>
        </row>
        <row r="92">
          <cell r="F92">
            <v>1867</v>
          </cell>
          <cell r="G92">
            <v>868100</v>
          </cell>
          <cell r="H92">
            <v>4042000</v>
          </cell>
        </row>
        <row r="93">
          <cell r="F93">
            <v>2339</v>
          </cell>
          <cell r="G93">
            <v>880200</v>
          </cell>
          <cell r="H93">
            <v>4856500</v>
          </cell>
        </row>
        <row r="94">
          <cell r="F94">
            <v>522</v>
          </cell>
          <cell r="G94">
            <v>123400</v>
          </cell>
          <cell r="H94">
            <v>1010800</v>
          </cell>
        </row>
        <row r="95">
          <cell r="F95">
            <v>2642</v>
          </cell>
          <cell r="G95">
            <v>1000700</v>
          </cell>
          <cell r="H95">
            <v>5492100</v>
          </cell>
        </row>
        <row r="96">
          <cell r="F96">
            <v>2879</v>
          </cell>
          <cell r="G96">
            <v>571500</v>
          </cell>
          <cell r="H96">
            <v>5465800</v>
          </cell>
        </row>
        <row r="97">
          <cell r="F97">
            <v>6549</v>
          </cell>
          <cell r="G97">
            <v>1683300</v>
          </cell>
          <cell r="H97">
            <v>12816600</v>
          </cell>
        </row>
        <row r="98">
          <cell r="F98">
            <v>3131</v>
          </cell>
          <cell r="G98">
            <v>967400</v>
          </cell>
          <cell r="H98">
            <v>6290100</v>
          </cell>
        </row>
        <row r="99">
          <cell r="F99">
            <v>6922</v>
          </cell>
          <cell r="G99">
            <v>1447800</v>
          </cell>
          <cell r="H99">
            <v>13215200</v>
          </cell>
        </row>
        <row r="100">
          <cell r="F100">
            <v>7336</v>
          </cell>
          <cell r="G100">
            <v>1603300</v>
          </cell>
          <cell r="H100">
            <v>14074500</v>
          </cell>
        </row>
        <row r="101">
          <cell r="F101">
            <v>2423</v>
          </cell>
          <cell r="G101">
            <v>763200</v>
          </cell>
          <cell r="H101">
            <v>4882300</v>
          </cell>
        </row>
        <row r="102">
          <cell r="F102">
            <v>12848</v>
          </cell>
          <cell r="G102">
            <v>1833400</v>
          </cell>
          <cell r="H102">
            <v>23675000</v>
          </cell>
        </row>
        <row r="103">
          <cell r="F103">
            <v>10968</v>
          </cell>
          <cell r="G103">
            <v>2274850</v>
          </cell>
          <cell r="H103">
            <v>20920450</v>
          </cell>
        </row>
        <row r="104">
          <cell r="F104">
            <v>5220</v>
          </cell>
          <cell r="G104">
            <v>1501750</v>
          </cell>
          <cell r="H104">
            <v>10375750</v>
          </cell>
        </row>
        <row r="105">
          <cell r="F105">
            <v>3508</v>
          </cell>
          <cell r="G105">
            <v>1115100</v>
          </cell>
          <cell r="H105">
            <v>7078700</v>
          </cell>
        </row>
        <row r="106">
          <cell r="F106">
            <v>3169</v>
          </cell>
          <cell r="G106">
            <v>1239900</v>
          </cell>
          <cell r="H106">
            <v>6627200</v>
          </cell>
        </row>
        <row r="107">
          <cell r="F107">
            <v>4783</v>
          </cell>
          <cell r="G107">
            <v>935800</v>
          </cell>
          <cell r="H107">
            <v>9066900</v>
          </cell>
        </row>
        <row r="108">
          <cell r="F108">
            <v>4651</v>
          </cell>
          <cell r="G108">
            <v>1127700</v>
          </cell>
          <cell r="H108">
            <v>9034400</v>
          </cell>
        </row>
        <row r="109">
          <cell r="F109">
            <v>3229</v>
          </cell>
          <cell r="G109">
            <v>926250</v>
          </cell>
          <cell r="H109">
            <v>6415550</v>
          </cell>
        </row>
        <row r="110">
          <cell r="F110">
            <v>2068</v>
          </cell>
          <cell r="G110">
            <v>408400</v>
          </cell>
          <cell r="H110">
            <v>3924000</v>
          </cell>
        </row>
        <row r="111">
          <cell r="F111">
            <v>5394</v>
          </cell>
          <cell r="G111">
            <v>1673400</v>
          </cell>
          <cell r="H111">
            <v>10843200</v>
          </cell>
        </row>
        <row r="112">
          <cell r="F112">
            <v>3605</v>
          </cell>
          <cell r="G112">
            <v>1273500</v>
          </cell>
          <cell r="H112">
            <v>7402000</v>
          </cell>
        </row>
        <row r="113">
          <cell r="F113">
            <v>3970</v>
          </cell>
          <cell r="G113">
            <v>2095450</v>
          </cell>
          <cell r="H113">
            <v>8844450</v>
          </cell>
        </row>
        <row r="114">
          <cell r="F114">
            <v>311</v>
          </cell>
          <cell r="G114">
            <v>110900</v>
          </cell>
          <cell r="H114">
            <v>639600</v>
          </cell>
        </row>
        <row r="115">
          <cell r="F115">
            <v>2050</v>
          </cell>
          <cell r="G115">
            <v>305200</v>
          </cell>
          <cell r="H115">
            <v>3790200</v>
          </cell>
        </row>
        <row r="116">
          <cell r="F116">
            <v>364</v>
          </cell>
          <cell r="G116">
            <v>184000</v>
          </cell>
          <cell r="H116">
            <v>802800</v>
          </cell>
        </row>
        <row r="117">
          <cell r="F117">
            <v>2025</v>
          </cell>
          <cell r="G117">
            <v>430800</v>
          </cell>
          <cell r="H117">
            <v>3873300</v>
          </cell>
        </row>
        <row r="118">
          <cell r="F118">
            <v>2825</v>
          </cell>
          <cell r="G118">
            <v>1291900</v>
          </cell>
          <cell r="H118">
            <v>6094400</v>
          </cell>
        </row>
        <row r="121">
          <cell r="F121">
            <v>43921</v>
          </cell>
          <cell r="G121">
            <v>5447300</v>
          </cell>
        </row>
        <row r="122">
          <cell r="F122">
            <v>8992</v>
          </cell>
          <cell r="G122">
            <v>13250050</v>
          </cell>
          <cell r="H122">
            <v>28536450</v>
          </cell>
        </row>
        <row r="133">
          <cell r="F133">
            <v>167886</v>
          </cell>
          <cell r="G133">
            <v>54609250</v>
          </cell>
          <cell r="H133">
            <v>340015450</v>
          </cell>
        </row>
        <row r="135">
          <cell r="F135">
            <v>177</v>
          </cell>
          <cell r="G135">
            <v>485000</v>
          </cell>
          <cell r="H135">
            <v>785900</v>
          </cell>
        </row>
        <row r="136">
          <cell r="F136">
            <v>5165</v>
          </cell>
          <cell r="G136">
            <v>3251350</v>
          </cell>
          <cell r="H136">
            <v>12031850</v>
          </cell>
        </row>
        <row r="137">
          <cell r="F137">
            <v>486</v>
          </cell>
          <cell r="G137">
            <v>857300</v>
          </cell>
          <cell r="H137">
            <v>1683500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303</v>
          </cell>
          <cell r="G139">
            <v>346000</v>
          </cell>
          <cell r="H139">
            <v>861100</v>
          </cell>
        </row>
        <row r="140">
          <cell r="F140">
            <v>558</v>
          </cell>
          <cell r="G140">
            <v>714900</v>
          </cell>
          <cell r="H140">
            <v>1663500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207</v>
          </cell>
          <cell r="G142">
            <v>708000</v>
          </cell>
          <cell r="H142">
            <v>1059900</v>
          </cell>
        </row>
        <row r="143">
          <cell r="F143">
            <v>418</v>
          </cell>
          <cell r="G143">
            <v>674800</v>
          </cell>
          <cell r="H143">
            <v>1385400</v>
          </cell>
        </row>
        <row r="144">
          <cell r="F144">
            <v>251</v>
          </cell>
          <cell r="G144">
            <v>585000</v>
          </cell>
          <cell r="H144">
            <v>1011700</v>
          </cell>
          <cell r="M144">
            <v>1082148.9110000001</v>
          </cell>
        </row>
        <row r="145">
          <cell r="F145">
            <v>145</v>
          </cell>
          <cell r="G145">
            <v>248500</v>
          </cell>
          <cell r="H145">
            <v>495000</v>
          </cell>
        </row>
        <row r="146">
          <cell r="F146">
            <v>160</v>
          </cell>
          <cell r="G146">
            <v>122600</v>
          </cell>
          <cell r="H146">
            <v>394600</v>
          </cell>
        </row>
        <row r="147">
          <cell r="F147">
            <v>468</v>
          </cell>
          <cell r="G147">
            <v>324700</v>
          </cell>
          <cell r="H147">
            <v>1120300</v>
          </cell>
        </row>
        <row r="148">
          <cell r="F148">
            <v>684</v>
          </cell>
          <cell r="G148">
            <v>1381500</v>
          </cell>
          <cell r="H148">
            <v>2544300</v>
          </cell>
        </row>
        <row r="149">
          <cell r="F149">
            <v>179</v>
          </cell>
          <cell r="G149">
            <v>335400</v>
          </cell>
          <cell r="H149">
            <v>639700</v>
          </cell>
        </row>
        <row r="150">
          <cell r="F150">
            <v>516</v>
          </cell>
          <cell r="G150">
            <v>538100</v>
          </cell>
          <cell r="H150">
            <v>1415300</v>
          </cell>
        </row>
        <row r="153">
          <cell r="F153">
            <v>0</v>
          </cell>
          <cell r="G153">
            <v>26000</v>
          </cell>
          <cell r="H153">
            <v>26000</v>
          </cell>
        </row>
        <row r="154">
          <cell r="F154">
            <v>0</v>
          </cell>
          <cell r="G154">
            <v>256000</v>
          </cell>
          <cell r="H154">
            <v>256000</v>
          </cell>
        </row>
        <row r="155">
          <cell r="F155">
            <v>0</v>
          </cell>
          <cell r="G155">
            <v>125000</v>
          </cell>
          <cell r="H155">
            <v>125000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13000</v>
          </cell>
          <cell r="H157">
            <v>13000</v>
          </cell>
        </row>
        <row r="158">
          <cell r="F158">
            <v>0</v>
          </cell>
          <cell r="G158">
            <v>1796000</v>
          </cell>
          <cell r="H158">
            <v>1796000</v>
          </cell>
        </row>
        <row r="159">
          <cell r="F159">
            <v>0</v>
          </cell>
          <cell r="G159">
            <v>2241000</v>
          </cell>
          <cell r="H159">
            <v>2241000</v>
          </cell>
        </row>
        <row r="160">
          <cell r="F160">
            <v>0</v>
          </cell>
          <cell r="G160">
            <v>1392000</v>
          </cell>
          <cell r="H160">
            <v>1392000</v>
          </cell>
        </row>
        <row r="161">
          <cell r="F161">
            <v>0</v>
          </cell>
          <cell r="G161">
            <v>3484000</v>
          </cell>
          <cell r="H161">
            <v>3484000</v>
          </cell>
        </row>
        <row r="162">
          <cell r="F162">
            <v>0</v>
          </cell>
          <cell r="G162">
            <v>1403000</v>
          </cell>
          <cell r="H162">
            <v>1403000</v>
          </cell>
        </row>
        <row r="163">
          <cell r="F163">
            <v>0</v>
          </cell>
          <cell r="G163">
            <v>1333000</v>
          </cell>
          <cell r="H163">
            <v>1333000</v>
          </cell>
        </row>
        <row r="164">
          <cell r="F164">
            <v>0</v>
          </cell>
          <cell r="G164">
            <v>272000</v>
          </cell>
          <cell r="H164">
            <v>272000</v>
          </cell>
        </row>
        <row r="165">
          <cell r="F165">
            <v>0</v>
          </cell>
          <cell r="G165">
            <v>1017000</v>
          </cell>
          <cell r="H165">
            <v>1017000</v>
          </cell>
        </row>
        <row r="166">
          <cell r="F166">
            <v>0</v>
          </cell>
          <cell r="G166">
            <v>112000</v>
          </cell>
          <cell r="H166">
            <v>112000</v>
          </cell>
        </row>
        <row r="167">
          <cell r="F167">
            <v>0</v>
          </cell>
          <cell r="G167">
            <v>218000</v>
          </cell>
          <cell r="H167">
            <v>218000</v>
          </cell>
        </row>
        <row r="168">
          <cell r="F168">
            <v>0</v>
          </cell>
          <cell r="G168">
            <v>37000</v>
          </cell>
          <cell r="H168">
            <v>37000</v>
          </cell>
        </row>
        <row r="169">
          <cell r="F169">
            <v>0</v>
          </cell>
          <cell r="G169">
            <v>48000</v>
          </cell>
          <cell r="H169">
            <v>48000</v>
          </cell>
        </row>
        <row r="170">
          <cell r="F170">
            <v>0</v>
          </cell>
          <cell r="G170">
            <v>89000</v>
          </cell>
          <cell r="H170">
            <v>89000</v>
          </cell>
        </row>
        <row r="171">
          <cell r="F171">
            <v>0</v>
          </cell>
          <cell r="G171">
            <v>140000</v>
          </cell>
          <cell r="H171">
            <v>140000</v>
          </cell>
        </row>
        <row r="172">
          <cell r="F172">
            <v>0</v>
          </cell>
          <cell r="G172">
            <v>48000</v>
          </cell>
          <cell r="H172">
            <v>48000</v>
          </cell>
        </row>
        <row r="173">
          <cell r="F173">
            <v>0</v>
          </cell>
          <cell r="G173">
            <v>41000</v>
          </cell>
          <cell r="H173">
            <v>41000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164000</v>
          </cell>
          <cell r="H175">
            <v>164000</v>
          </cell>
        </row>
        <row r="176">
          <cell r="F176">
            <v>0</v>
          </cell>
          <cell r="G176">
            <v>102000</v>
          </cell>
          <cell r="H176">
            <v>102000</v>
          </cell>
        </row>
        <row r="177">
          <cell r="F177">
            <v>0</v>
          </cell>
          <cell r="G177">
            <v>427000</v>
          </cell>
          <cell r="H177">
            <v>427000</v>
          </cell>
        </row>
        <row r="178">
          <cell r="F178">
            <v>0</v>
          </cell>
          <cell r="G178">
            <v>446000</v>
          </cell>
          <cell r="H178">
            <v>446000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9000</v>
          </cell>
          <cell r="H180">
            <v>9000</v>
          </cell>
        </row>
        <row r="181">
          <cell r="F181">
            <v>0</v>
          </cell>
          <cell r="G181">
            <v>10000</v>
          </cell>
          <cell r="H181">
            <v>10000</v>
          </cell>
        </row>
        <row r="182">
          <cell r="F182">
            <v>0</v>
          </cell>
          <cell r="G182">
            <v>5000</v>
          </cell>
          <cell r="H182">
            <v>5000</v>
          </cell>
        </row>
        <row r="183">
          <cell r="F183">
            <v>0</v>
          </cell>
          <cell r="G183">
            <v>25000</v>
          </cell>
          <cell r="H183">
            <v>25000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207000</v>
          </cell>
          <cell r="H185">
            <v>207000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492000</v>
          </cell>
          <cell r="H187">
            <v>492000</v>
          </cell>
        </row>
        <row r="188">
          <cell r="F188">
            <v>0</v>
          </cell>
          <cell r="G188">
            <v>12000</v>
          </cell>
          <cell r="H188">
            <v>12000</v>
          </cell>
        </row>
        <row r="189">
          <cell r="F189">
            <v>0</v>
          </cell>
          <cell r="G189">
            <v>127000</v>
          </cell>
          <cell r="H189">
            <v>127000</v>
          </cell>
        </row>
        <row r="190">
          <cell r="F190">
            <v>0</v>
          </cell>
          <cell r="G190">
            <v>114000</v>
          </cell>
          <cell r="H190">
            <v>114000</v>
          </cell>
        </row>
        <row r="191">
          <cell r="F191">
            <v>0</v>
          </cell>
          <cell r="G191">
            <v>42000</v>
          </cell>
          <cell r="H191">
            <v>42000</v>
          </cell>
        </row>
        <row r="192">
          <cell r="F192">
            <v>0</v>
          </cell>
          <cell r="G192">
            <v>54000</v>
          </cell>
          <cell r="H192">
            <v>54000</v>
          </cell>
        </row>
        <row r="193">
          <cell r="F193">
            <v>0</v>
          </cell>
          <cell r="G193">
            <v>311000</v>
          </cell>
          <cell r="H193">
            <v>311000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144000</v>
          </cell>
          <cell r="H196">
            <v>144000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223000</v>
          </cell>
          <cell r="H198">
            <v>223000</v>
          </cell>
        </row>
        <row r="199">
          <cell r="F199">
            <v>0</v>
          </cell>
          <cell r="G199">
            <v>34000</v>
          </cell>
          <cell r="H199">
            <v>34000</v>
          </cell>
        </row>
        <row r="200">
          <cell r="F200">
            <v>0</v>
          </cell>
          <cell r="G200">
            <v>24000</v>
          </cell>
          <cell r="H200">
            <v>24000</v>
          </cell>
        </row>
        <row r="201">
          <cell r="F201">
            <v>0</v>
          </cell>
          <cell r="G201">
            <v>82000</v>
          </cell>
          <cell r="H201">
            <v>82000</v>
          </cell>
        </row>
        <row r="202">
          <cell r="F202">
            <v>0</v>
          </cell>
          <cell r="G202">
            <v>155000</v>
          </cell>
          <cell r="H202">
            <v>155000</v>
          </cell>
        </row>
        <row r="203">
          <cell r="F203">
            <v>0</v>
          </cell>
          <cell r="G203">
            <v>76000</v>
          </cell>
          <cell r="H203">
            <v>76000</v>
          </cell>
        </row>
        <row r="204">
          <cell r="F204">
            <v>0</v>
          </cell>
          <cell r="G204">
            <v>191000</v>
          </cell>
          <cell r="H204">
            <v>191000</v>
          </cell>
        </row>
        <row r="205">
          <cell r="F205">
            <v>0</v>
          </cell>
          <cell r="G205">
            <v>177000</v>
          </cell>
          <cell r="H205">
            <v>177000</v>
          </cell>
        </row>
        <row r="206">
          <cell r="F206">
            <v>0</v>
          </cell>
          <cell r="G206">
            <v>83000</v>
          </cell>
          <cell r="H206">
            <v>83000</v>
          </cell>
        </row>
        <row r="207">
          <cell r="F207">
            <v>0</v>
          </cell>
          <cell r="G207">
            <v>339000</v>
          </cell>
          <cell r="H207">
            <v>339000</v>
          </cell>
        </row>
        <row r="208">
          <cell r="F208">
            <v>0</v>
          </cell>
          <cell r="G208">
            <v>107000</v>
          </cell>
          <cell r="H208">
            <v>107000</v>
          </cell>
        </row>
        <row r="209">
          <cell r="F209">
            <v>0</v>
          </cell>
          <cell r="G209">
            <v>189000</v>
          </cell>
          <cell r="H209">
            <v>189000</v>
          </cell>
        </row>
        <row r="210">
          <cell r="F210">
            <v>0</v>
          </cell>
          <cell r="G210">
            <v>748000</v>
          </cell>
          <cell r="H210">
            <v>748000</v>
          </cell>
        </row>
        <row r="211">
          <cell r="F211">
            <v>0</v>
          </cell>
          <cell r="G211">
            <v>42000</v>
          </cell>
          <cell r="H211">
            <v>42000</v>
          </cell>
        </row>
        <row r="212">
          <cell r="F212">
            <v>0</v>
          </cell>
          <cell r="G212">
            <v>25000</v>
          </cell>
          <cell r="H212">
            <v>25000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87000</v>
          </cell>
          <cell r="H214">
            <v>87000</v>
          </cell>
        </row>
        <row r="215">
          <cell r="F215">
            <v>0</v>
          </cell>
          <cell r="G215">
            <v>46000</v>
          </cell>
          <cell r="H215">
            <v>46000</v>
          </cell>
        </row>
        <row r="216">
          <cell r="F216">
            <v>0</v>
          </cell>
          <cell r="G216">
            <v>582000</v>
          </cell>
          <cell r="H216">
            <v>582000</v>
          </cell>
        </row>
        <row r="217">
          <cell r="F217">
            <v>0</v>
          </cell>
          <cell r="G217">
            <v>115000</v>
          </cell>
          <cell r="H217">
            <v>115000</v>
          </cell>
        </row>
        <row r="218">
          <cell r="F218">
            <v>0</v>
          </cell>
          <cell r="G218">
            <v>332000</v>
          </cell>
          <cell r="H218">
            <v>332000</v>
          </cell>
        </row>
        <row r="219">
          <cell r="F219">
            <v>0</v>
          </cell>
          <cell r="G219">
            <v>151000</v>
          </cell>
          <cell r="H219">
            <v>151000</v>
          </cell>
        </row>
        <row r="220">
          <cell r="F220">
            <v>0</v>
          </cell>
          <cell r="G220">
            <v>212000</v>
          </cell>
          <cell r="H220">
            <v>212000</v>
          </cell>
        </row>
        <row r="223">
          <cell r="F223">
            <v>259</v>
          </cell>
          <cell r="G223">
            <v>3373100</v>
          </cell>
          <cell r="H223">
            <v>3813400</v>
          </cell>
        </row>
        <row r="224">
          <cell r="F224">
            <v>0</v>
          </cell>
          <cell r="G224">
            <v>2678300</v>
          </cell>
          <cell r="H224">
            <v>2678300</v>
          </cell>
        </row>
        <row r="225">
          <cell r="F225">
            <v>582</v>
          </cell>
          <cell r="G225">
            <v>1003600</v>
          </cell>
          <cell r="H225">
            <v>1993000</v>
          </cell>
        </row>
        <row r="226">
          <cell r="F226">
            <v>1357</v>
          </cell>
          <cell r="G226">
            <v>1180500</v>
          </cell>
          <cell r="H226">
            <v>3487400</v>
          </cell>
        </row>
        <row r="227">
          <cell r="F227">
            <v>629</v>
          </cell>
          <cell r="G227">
            <v>1014450</v>
          </cell>
          <cell r="H227">
            <v>2083750</v>
          </cell>
        </row>
        <row r="228">
          <cell r="F228">
            <v>340</v>
          </cell>
          <cell r="G228">
            <v>1063700</v>
          </cell>
          <cell r="H228">
            <v>1641700</v>
          </cell>
        </row>
        <row r="229">
          <cell r="F229">
            <v>668</v>
          </cell>
          <cell r="G229">
            <v>1891950</v>
          </cell>
          <cell r="H229">
            <v>3027550</v>
          </cell>
        </row>
        <row r="230">
          <cell r="F230">
            <v>1774</v>
          </cell>
          <cell r="G230">
            <v>1982400</v>
          </cell>
          <cell r="H230">
            <v>4998200</v>
          </cell>
        </row>
        <row r="231">
          <cell r="F231">
            <v>0</v>
          </cell>
          <cell r="G231">
            <v>3118900</v>
          </cell>
          <cell r="H231">
            <v>3118900</v>
          </cell>
        </row>
        <row r="232">
          <cell r="F232">
            <v>0</v>
          </cell>
          <cell r="G232">
            <v>2969750</v>
          </cell>
          <cell r="H232">
            <v>2969750</v>
          </cell>
        </row>
        <row r="233">
          <cell r="F233">
            <v>1154</v>
          </cell>
          <cell r="G233">
            <v>752350</v>
          </cell>
          <cell r="H233">
            <v>2714150</v>
          </cell>
        </row>
        <row r="234">
          <cell r="F234">
            <v>1386</v>
          </cell>
          <cell r="G234">
            <v>791500</v>
          </cell>
          <cell r="H234">
            <v>3147700</v>
          </cell>
        </row>
        <row r="235">
          <cell r="F235">
            <v>0</v>
          </cell>
          <cell r="G235">
            <v>476500</v>
          </cell>
          <cell r="H235">
            <v>476500</v>
          </cell>
        </row>
        <row r="236">
          <cell r="F236">
            <v>0</v>
          </cell>
          <cell r="G236">
            <v>728050</v>
          </cell>
          <cell r="H236">
            <v>728050</v>
          </cell>
        </row>
        <row r="237">
          <cell r="F237">
            <v>11</v>
          </cell>
          <cell r="G237">
            <v>1651200</v>
          </cell>
          <cell r="H237">
            <v>1669900</v>
          </cell>
        </row>
        <row r="238">
          <cell r="F238">
            <v>958</v>
          </cell>
          <cell r="G238">
            <v>1155500</v>
          </cell>
          <cell r="H238">
            <v>2784100</v>
          </cell>
        </row>
        <row r="239">
          <cell r="F239">
            <v>472</v>
          </cell>
          <cell r="G239">
            <v>2192800</v>
          </cell>
          <cell r="H239">
            <v>2995200</v>
          </cell>
        </row>
        <row r="240">
          <cell r="F240">
            <v>907</v>
          </cell>
          <cell r="G240">
            <v>1102150</v>
          </cell>
          <cell r="H240">
            <v>2644050</v>
          </cell>
        </row>
        <row r="241">
          <cell r="F241">
            <v>814</v>
          </cell>
          <cell r="G241">
            <v>1430200</v>
          </cell>
          <cell r="H241">
            <v>2814000</v>
          </cell>
        </row>
        <row r="242">
          <cell r="F242">
            <v>1038</v>
          </cell>
          <cell r="G242">
            <v>1417400</v>
          </cell>
          <cell r="H242">
            <v>3182000</v>
          </cell>
        </row>
        <row r="243">
          <cell r="F243">
            <v>834</v>
          </cell>
          <cell r="G243">
            <v>1145600</v>
          </cell>
          <cell r="H243">
            <v>2563400</v>
          </cell>
        </row>
        <row r="244">
          <cell r="F244">
            <v>673</v>
          </cell>
          <cell r="G244">
            <v>674500</v>
          </cell>
          <cell r="H244">
            <v>1818600</v>
          </cell>
        </row>
        <row r="245">
          <cell r="F245">
            <v>372</v>
          </cell>
          <cell r="G245">
            <v>874100</v>
          </cell>
          <cell r="H245">
            <v>1506500</v>
          </cell>
        </row>
        <row r="246">
          <cell r="F246">
            <v>796</v>
          </cell>
          <cell r="G246">
            <v>2600100</v>
          </cell>
          <cell r="H246">
            <v>3953300</v>
          </cell>
        </row>
        <row r="247">
          <cell r="F247">
            <v>866</v>
          </cell>
          <cell r="G247">
            <v>571400</v>
          </cell>
          <cell r="H247">
            <v>2043600</v>
          </cell>
        </row>
        <row r="248">
          <cell r="F248">
            <v>392</v>
          </cell>
          <cell r="G248">
            <v>2062600</v>
          </cell>
          <cell r="H248">
            <v>2729000</v>
          </cell>
        </row>
        <row r="249">
          <cell r="F249">
            <v>171</v>
          </cell>
          <cell r="G249">
            <v>2540500</v>
          </cell>
          <cell r="H249">
            <v>2831200</v>
          </cell>
        </row>
        <row r="250">
          <cell r="F250">
            <v>190</v>
          </cell>
          <cell r="G250">
            <v>2984900</v>
          </cell>
          <cell r="H250">
            <v>3307900</v>
          </cell>
        </row>
        <row r="251">
          <cell r="F251">
            <v>451</v>
          </cell>
          <cell r="G251">
            <v>2475900</v>
          </cell>
          <cell r="H251">
            <v>3242600</v>
          </cell>
        </row>
        <row r="252">
          <cell r="F252">
            <v>142</v>
          </cell>
          <cell r="G252">
            <v>1041200</v>
          </cell>
          <cell r="H252">
            <v>1282600</v>
          </cell>
        </row>
        <row r="253">
          <cell r="F253">
            <v>29</v>
          </cell>
          <cell r="G253">
            <v>3667300</v>
          </cell>
          <cell r="H253">
            <v>3716600</v>
          </cell>
        </row>
        <row r="254">
          <cell r="F254">
            <v>629</v>
          </cell>
          <cell r="G254">
            <v>1580700</v>
          </cell>
          <cell r="H254">
            <v>2650000</v>
          </cell>
        </row>
        <row r="255">
          <cell r="F255">
            <v>360</v>
          </cell>
          <cell r="G255">
            <v>771400</v>
          </cell>
          <cell r="H255">
            <v>1383400</v>
          </cell>
        </row>
        <row r="256">
          <cell r="F256">
            <v>146</v>
          </cell>
          <cell r="G256">
            <v>2519450</v>
          </cell>
          <cell r="H256">
            <v>2767650</v>
          </cell>
        </row>
        <row r="257">
          <cell r="F257">
            <v>445</v>
          </cell>
          <cell r="G257">
            <v>639600</v>
          </cell>
          <cell r="H257">
            <v>1396100</v>
          </cell>
        </row>
        <row r="260">
          <cell r="G260">
            <v>134000</v>
          </cell>
          <cell r="H260">
            <v>134000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10072</v>
          </cell>
          <cell r="G10">
            <v>4941700</v>
          </cell>
          <cell r="H10">
            <v>22064100</v>
          </cell>
        </row>
        <row r="14">
          <cell r="F14">
            <v>5283</v>
          </cell>
          <cell r="G14">
            <v>1198500</v>
          </cell>
          <cell r="H14">
            <v>10179600</v>
          </cell>
        </row>
        <row r="15">
          <cell r="F15">
            <v>4849</v>
          </cell>
          <cell r="G15">
            <v>1224100</v>
          </cell>
          <cell r="H15">
            <v>9467400</v>
          </cell>
        </row>
        <row r="16">
          <cell r="F16">
            <v>6163</v>
          </cell>
          <cell r="G16">
            <v>2033000</v>
          </cell>
          <cell r="H16">
            <v>12510100</v>
          </cell>
        </row>
        <row r="17">
          <cell r="F17">
            <v>3615</v>
          </cell>
          <cell r="G17">
            <v>1373600</v>
          </cell>
          <cell r="H17">
            <v>7519100</v>
          </cell>
        </row>
        <row r="18">
          <cell r="F18">
            <v>4968</v>
          </cell>
          <cell r="G18">
            <v>1959500</v>
          </cell>
          <cell r="H18">
            <v>10405100</v>
          </cell>
        </row>
        <row r="19">
          <cell r="F19">
            <v>5414</v>
          </cell>
          <cell r="G19">
            <v>2286950</v>
          </cell>
          <cell r="H19">
            <v>11490750</v>
          </cell>
        </row>
        <row r="20">
          <cell r="F20">
            <v>3297</v>
          </cell>
          <cell r="G20">
            <v>1147600</v>
          </cell>
          <cell r="H20">
            <v>6752500</v>
          </cell>
        </row>
        <row r="21">
          <cell r="F21">
            <v>3545</v>
          </cell>
          <cell r="G21">
            <v>1244500</v>
          </cell>
          <cell r="H21">
            <v>7271000</v>
          </cell>
        </row>
        <row r="22">
          <cell r="F22">
            <v>7463</v>
          </cell>
          <cell r="G22">
            <v>2756600</v>
          </cell>
          <cell r="H22">
            <v>15443700</v>
          </cell>
        </row>
        <row r="23">
          <cell r="F23">
            <v>3201</v>
          </cell>
          <cell r="G23">
            <v>998100</v>
          </cell>
          <cell r="H23">
            <v>6439800</v>
          </cell>
        </row>
        <row r="24">
          <cell r="F24">
            <v>2781</v>
          </cell>
          <cell r="G24">
            <v>1150500</v>
          </cell>
          <cell r="H24">
            <v>5878200</v>
          </cell>
        </row>
        <row r="25">
          <cell r="F25">
            <v>2371</v>
          </cell>
          <cell r="G25">
            <v>639400</v>
          </cell>
          <cell r="H25">
            <v>4670100</v>
          </cell>
        </row>
        <row r="26">
          <cell r="F26">
            <v>5577</v>
          </cell>
          <cell r="G26">
            <v>1741050</v>
          </cell>
          <cell r="H26">
            <v>11221950</v>
          </cell>
        </row>
        <row r="27">
          <cell r="F27">
            <v>13691</v>
          </cell>
          <cell r="G27">
            <v>6398200</v>
          </cell>
          <cell r="H27">
            <v>29672900</v>
          </cell>
        </row>
        <row r="28">
          <cell r="F28">
            <v>10557</v>
          </cell>
          <cell r="G28">
            <v>3892500</v>
          </cell>
          <cell r="H28">
            <v>21839400</v>
          </cell>
        </row>
        <row r="29">
          <cell r="F29">
            <v>8605</v>
          </cell>
          <cell r="G29">
            <v>2920450</v>
          </cell>
          <cell r="H29">
            <v>17548950</v>
          </cell>
        </row>
        <row r="30">
          <cell r="F30">
            <v>14515</v>
          </cell>
          <cell r="G30">
            <v>4369300</v>
          </cell>
          <cell r="H30">
            <v>29044800</v>
          </cell>
        </row>
        <row r="31">
          <cell r="F31">
            <v>7688</v>
          </cell>
          <cell r="G31">
            <v>2890000</v>
          </cell>
          <cell r="H31">
            <v>15959600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10063</v>
          </cell>
          <cell r="G33">
            <v>2216200</v>
          </cell>
          <cell r="H33">
            <v>19323300</v>
          </cell>
        </row>
        <row r="34">
          <cell r="F34">
            <v>12775</v>
          </cell>
          <cell r="G34">
            <v>2989400</v>
          </cell>
          <cell r="H34">
            <v>24706900</v>
          </cell>
        </row>
        <row r="35">
          <cell r="F35">
            <v>10366</v>
          </cell>
          <cell r="G35">
            <v>3959300</v>
          </cell>
          <cell r="H35">
            <v>21581500</v>
          </cell>
        </row>
        <row r="36">
          <cell r="F36">
            <v>12295</v>
          </cell>
          <cell r="G36">
            <v>3552950</v>
          </cell>
          <cell r="H36">
            <v>24454450</v>
          </cell>
        </row>
        <row r="37">
          <cell r="F37">
            <v>3230</v>
          </cell>
          <cell r="G37">
            <v>2114600</v>
          </cell>
          <cell r="H37">
            <v>7605600</v>
          </cell>
        </row>
        <row r="38">
          <cell r="F38">
            <v>5994</v>
          </cell>
          <cell r="G38">
            <v>2527900</v>
          </cell>
          <cell r="H38">
            <v>12717700</v>
          </cell>
        </row>
        <row r="39">
          <cell r="F39">
            <v>2263</v>
          </cell>
          <cell r="G39">
            <v>2363050</v>
          </cell>
          <cell r="H39">
            <v>6210150</v>
          </cell>
        </row>
        <row r="40">
          <cell r="F40">
            <v>11509</v>
          </cell>
          <cell r="G40">
            <v>4895550</v>
          </cell>
          <cell r="H40">
            <v>24460850</v>
          </cell>
        </row>
        <row r="41">
          <cell r="F41">
            <v>5469</v>
          </cell>
          <cell r="G41">
            <v>1496650</v>
          </cell>
          <cell r="H41">
            <v>10793950</v>
          </cell>
        </row>
        <row r="42">
          <cell r="F42">
            <v>1614</v>
          </cell>
          <cell r="G42">
            <v>1410400</v>
          </cell>
          <cell r="H42">
            <v>4154200</v>
          </cell>
        </row>
        <row r="43">
          <cell r="F43">
            <v>3755</v>
          </cell>
          <cell r="G43">
            <v>890800</v>
          </cell>
          <cell r="H43">
            <v>7274300</v>
          </cell>
        </row>
        <row r="44">
          <cell r="F44">
            <v>846</v>
          </cell>
          <cell r="G44">
            <v>526600</v>
          </cell>
          <cell r="H44">
            <v>1964800</v>
          </cell>
        </row>
        <row r="45">
          <cell r="F45">
            <v>13724</v>
          </cell>
          <cell r="G45">
            <v>2997700</v>
          </cell>
          <cell r="H45">
            <v>26328500</v>
          </cell>
        </row>
        <row r="46">
          <cell r="F46">
            <v>2282</v>
          </cell>
          <cell r="G46">
            <v>1577200</v>
          </cell>
          <cell r="H46">
            <v>5456600</v>
          </cell>
        </row>
        <row r="47">
          <cell r="F47">
            <v>21076</v>
          </cell>
          <cell r="G47">
            <v>5071400</v>
          </cell>
          <cell r="H47">
            <v>40900600</v>
          </cell>
        </row>
        <row r="52">
          <cell r="F52">
            <v>8337</v>
          </cell>
          <cell r="G52">
            <v>2364700</v>
          </cell>
          <cell r="H52">
            <v>16537600</v>
          </cell>
        </row>
        <row r="53">
          <cell r="F53">
            <v>6931</v>
          </cell>
          <cell r="G53">
            <v>2833800</v>
          </cell>
          <cell r="H53">
            <v>14616500</v>
          </cell>
        </row>
        <row r="54">
          <cell r="F54">
            <v>13431</v>
          </cell>
          <cell r="G54">
            <v>4542100</v>
          </cell>
          <cell r="H54">
            <v>27374800</v>
          </cell>
        </row>
        <row r="55">
          <cell r="F55">
            <v>5555</v>
          </cell>
          <cell r="G55">
            <v>2545200</v>
          </cell>
          <cell r="H55">
            <v>11988700</v>
          </cell>
        </row>
        <row r="56">
          <cell r="F56">
            <v>4121</v>
          </cell>
          <cell r="G56">
            <v>1102850</v>
          </cell>
          <cell r="H56">
            <v>8108550</v>
          </cell>
        </row>
        <row r="57">
          <cell r="F57">
            <v>8990</v>
          </cell>
          <cell r="G57">
            <v>2627600</v>
          </cell>
          <cell r="H57">
            <v>17910600</v>
          </cell>
        </row>
        <row r="58">
          <cell r="F58">
            <v>12982</v>
          </cell>
          <cell r="G58">
            <v>3231750</v>
          </cell>
          <cell r="H58">
            <v>25301150</v>
          </cell>
        </row>
        <row r="59">
          <cell r="F59">
            <v>6908</v>
          </cell>
          <cell r="G59">
            <v>1965700</v>
          </cell>
          <cell r="H59">
            <v>13709300</v>
          </cell>
        </row>
        <row r="60">
          <cell r="F60">
            <v>6875</v>
          </cell>
          <cell r="G60">
            <v>2098400</v>
          </cell>
          <cell r="H60">
            <v>13785900</v>
          </cell>
        </row>
        <row r="61">
          <cell r="F61">
            <v>4551</v>
          </cell>
          <cell r="G61">
            <v>1415200</v>
          </cell>
          <cell r="H61">
            <v>9151900</v>
          </cell>
        </row>
        <row r="62">
          <cell r="F62">
            <v>11125</v>
          </cell>
          <cell r="G62">
            <v>3497300</v>
          </cell>
          <cell r="H62">
            <v>22409800</v>
          </cell>
        </row>
        <row r="63">
          <cell r="F63">
            <v>9284</v>
          </cell>
          <cell r="G63">
            <v>2841900</v>
          </cell>
          <cell r="H63">
            <v>18624700</v>
          </cell>
        </row>
        <row r="64">
          <cell r="F64">
            <v>8637</v>
          </cell>
          <cell r="G64">
            <v>2609750</v>
          </cell>
          <cell r="H64">
            <v>17292650</v>
          </cell>
        </row>
        <row r="65">
          <cell r="F65">
            <v>5862</v>
          </cell>
          <cell r="G65">
            <v>2569700</v>
          </cell>
          <cell r="H65">
            <v>12535100</v>
          </cell>
        </row>
        <row r="66">
          <cell r="F66">
            <v>7529</v>
          </cell>
          <cell r="G66">
            <v>2848600</v>
          </cell>
          <cell r="H66">
            <v>15647900</v>
          </cell>
        </row>
        <row r="67">
          <cell r="F67">
            <v>4678</v>
          </cell>
          <cell r="G67">
            <v>2283200</v>
          </cell>
          <cell r="H67">
            <v>10235800</v>
          </cell>
        </row>
        <row r="68">
          <cell r="F68">
            <v>7767</v>
          </cell>
          <cell r="G68">
            <v>2269900</v>
          </cell>
          <cell r="H68">
            <v>15473800</v>
          </cell>
        </row>
        <row r="69">
          <cell r="F69">
            <v>6368</v>
          </cell>
          <cell r="G69">
            <v>2278400</v>
          </cell>
          <cell r="H69">
            <v>13104000</v>
          </cell>
        </row>
        <row r="70">
          <cell r="F70">
            <v>10261</v>
          </cell>
          <cell r="G70">
            <v>3682450</v>
          </cell>
          <cell r="H70">
            <v>21126150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5258</v>
          </cell>
          <cell r="G72">
            <v>1739400</v>
          </cell>
          <cell r="H72">
            <v>10678000</v>
          </cell>
        </row>
        <row r="73">
          <cell r="F73">
            <v>3396</v>
          </cell>
          <cell r="G73">
            <v>722900</v>
          </cell>
          <cell r="H73">
            <v>6496100</v>
          </cell>
        </row>
        <row r="74">
          <cell r="F74">
            <v>11718</v>
          </cell>
          <cell r="G74">
            <v>2579500</v>
          </cell>
          <cell r="H74">
            <v>22500100</v>
          </cell>
        </row>
        <row r="75">
          <cell r="F75">
            <v>5470</v>
          </cell>
          <cell r="G75">
            <v>1780700</v>
          </cell>
          <cell r="H75">
            <v>11079700</v>
          </cell>
        </row>
        <row r="76">
          <cell r="F76">
            <v>19173</v>
          </cell>
          <cell r="G76">
            <v>5920350</v>
          </cell>
          <cell r="H76">
            <v>38514450</v>
          </cell>
        </row>
        <row r="77">
          <cell r="F77">
            <v>8092</v>
          </cell>
          <cell r="G77">
            <v>1390300</v>
          </cell>
          <cell r="H77">
            <v>15146700</v>
          </cell>
        </row>
        <row r="78">
          <cell r="F78">
            <v>5816</v>
          </cell>
          <cell r="G78">
            <v>1813800</v>
          </cell>
          <cell r="H78">
            <v>11701000</v>
          </cell>
        </row>
        <row r="79">
          <cell r="F79">
            <v>2049</v>
          </cell>
          <cell r="G79">
            <v>560000</v>
          </cell>
          <cell r="H79">
            <v>4043300</v>
          </cell>
        </row>
        <row r="80">
          <cell r="F80">
            <v>3870</v>
          </cell>
          <cell r="G80">
            <v>552000</v>
          </cell>
          <cell r="H80">
            <v>7131000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2415</v>
          </cell>
          <cell r="G84">
            <v>643200</v>
          </cell>
          <cell r="H84">
            <v>4748700</v>
          </cell>
        </row>
        <row r="85">
          <cell r="F85">
            <v>1216</v>
          </cell>
          <cell r="G85">
            <v>337400</v>
          </cell>
          <cell r="H85">
            <v>2404600</v>
          </cell>
        </row>
        <row r="86">
          <cell r="F86">
            <v>3129</v>
          </cell>
          <cell r="G86">
            <v>814850</v>
          </cell>
          <cell r="H86">
            <v>6134150</v>
          </cell>
        </row>
        <row r="87">
          <cell r="F87">
            <v>2926</v>
          </cell>
          <cell r="G87">
            <v>494700</v>
          </cell>
          <cell r="H87">
            <v>5468900</v>
          </cell>
        </row>
        <row r="88">
          <cell r="F88">
            <v>4613</v>
          </cell>
          <cell r="G88">
            <v>1171100</v>
          </cell>
          <cell r="H88">
            <v>9013200</v>
          </cell>
        </row>
        <row r="89">
          <cell r="F89">
            <v>1752</v>
          </cell>
          <cell r="G89">
            <v>611200</v>
          </cell>
          <cell r="H89">
            <v>3589600</v>
          </cell>
        </row>
        <row r="90">
          <cell r="F90">
            <v>2304</v>
          </cell>
          <cell r="G90">
            <v>1022700</v>
          </cell>
          <cell r="H90">
            <v>4939500</v>
          </cell>
        </row>
        <row r="91">
          <cell r="F91">
            <v>3935</v>
          </cell>
          <cell r="G91">
            <v>1585700</v>
          </cell>
          <cell r="H91">
            <v>8275200</v>
          </cell>
        </row>
        <row r="92">
          <cell r="F92">
            <v>1978</v>
          </cell>
          <cell r="G92">
            <v>850650</v>
          </cell>
          <cell r="H92">
            <v>4213250</v>
          </cell>
        </row>
        <row r="93">
          <cell r="F93">
            <v>2305</v>
          </cell>
          <cell r="G93">
            <v>972800</v>
          </cell>
          <cell r="H93">
            <v>4891300</v>
          </cell>
        </row>
        <row r="94">
          <cell r="F94">
            <v>547</v>
          </cell>
          <cell r="G94">
            <v>248700</v>
          </cell>
          <cell r="H94">
            <v>1178600</v>
          </cell>
        </row>
        <row r="95">
          <cell r="F95">
            <v>2612</v>
          </cell>
          <cell r="G95">
            <v>855700</v>
          </cell>
          <cell r="H95">
            <v>5296100</v>
          </cell>
        </row>
        <row r="96">
          <cell r="F96">
            <v>2736</v>
          </cell>
          <cell r="G96">
            <v>391800</v>
          </cell>
          <cell r="H96">
            <v>5043000</v>
          </cell>
        </row>
        <row r="97">
          <cell r="F97">
            <v>6042</v>
          </cell>
          <cell r="G97">
            <v>1153400</v>
          </cell>
          <cell r="H97">
            <v>11424800</v>
          </cell>
        </row>
        <row r="98">
          <cell r="F98">
            <v>2959</v>
          </cell>
          <cell r="G98">
            <v>721700</v>
          </cell>
          <cell r="H98">
            <v>5752000</v>
          </cell>
        </row>
        <row r="99">
          <cell r="F99">
            <v>6266</v>
          </cell>
          <cell r="G99">
            <v>1429700</v>
          </cell>
          <cell r="H99">
            <v>12081900</v>
          </cell>
        </row>
        <row r="100">
          <cell r="F100">
            <v>6944</v>
          </cell>
          <cell r="G100">
            <v>1508200</v>
          </cell>
          <cell r="H100">
            <v>13313000</v>
          </cell>
        </row>
        <row r="101">
          <cell r="F101">
            <v>2362</v>
          </cell>
          <cell r="G101">
            <v>605000</v>
          </cell>
          <cell r="H101">
            <v>4620400</v>
          </cell>
        </row>
        <row r="102">
          <cell r="F102">
            <v>12482</v>
          </cell>
          <cell r="G102">
            <v>1778350</v>
          </cell>
          <cell r="H102">
            <v>22997750</v>
          </cell>
        </row>
        <row r="103">
          <cell r="F103">
            <v>10919</v>
          </cell>
          <cell r="G103">
            <v>1940700</v>
          </cell>
          <cell r="H103">
            <v>20503000</v>
          </cell>
        </row>
        <row r="104">
          <cell r="F104">
            <v>4969</v>
          </cell>
          <cell r="G104">
            <v>1329400</v>
          </cell>
          <cell r="H104">
            <v>9776700</v>
          </cell>
        </row>
        <row r="105">
          <cell r="F105">
            <v>2961</v>
          </cell>
          <cell r="G105">
            <v>980000</v>
          </cell>
          <cell r="H105">
            <v>6013700</v>
          </cell>
        </row>
        <row r="106">
          <cell r="F106">
            <v>2987</v>
          </cell>
          <cell r="G106">
            <v>898900</v>
          </cell>
          <cell r="H106">
            <v>5976800</v>
          </cell>
        </row>
        <row r="107">
          <cell r="F107">
            <v>4741</v>
          </cell>
          <cell r="G107">
            <v>1022500</v>
          </cell>
          <cell r="H107">
            <v>9082200</v>
          </cell>
        </row>
        <row r="108">
          <cell r="F108">
            <v>4242</v>
          </cell>
          <cell r="G108">
            <v>842000</v>
          </cell>
          <cell r="H108">
            <v>8053400</v>
          </cell>
        </row>
        <row r="109">
          <cell r="F109">
            <v>3027</v>
          </cell>
          <cell r="G109">
            <v>749450</v>
          </cell>
          <cell r="H109">
            <v>5895350</v>
          </cell>
        </row>
        <row r="110">
          <cell r="F110">
            <v>1793</v>
          </cell>
          <cell r="G110">
            <v>251800</v>
          </cell>
          <cell r="H110">
            <v>3299900</v>
          </cell>
        </row>
        <row r="111">
          <cell r="F111">
            <v>5240</v>
          </cell>
          <cell r="G111">
            <v>1271600</v>
          </cell>
          <cell r="H111">
            <v>10179600</v>
          </cell>
        </row>
        <row r="112">
          <cell r="F112">
            <v>3411</v>
          </cell>
          <cell r="G112">
            <v>1148650</v>
          </cell>
          <cell r="H112">
            <v>6947350</v>
          </cell>
        </row>
        <row r="113">
          <cell r="F113">
            <v>3486</v>
          </cell>
          <cell r="G113">
            <v>1593600</v>
          </cell>
          <cell r="H113">
            <v>7519800</v>
          </cell>
        </row>
        <row r="114">
          <cell r="F114">
            <v>327</v>
          </cell>
          <cell r="G114">
            <v>112300</v>
          </cell>
          <cell r="H114">
            <v>668200</v>
          </cell>
        </row>
        <row r="115">
          <cell r="F115">
            <v>2107</v>
          </cell>
          <cell r="G115">
            <v>376200</v>
          </cell>
          <cell r="H115">
            <v>3958100</v>
          </cell>
        </row>
        <row r="116">
          <cell r="F116">
            <v>283</v>
          </cell>
          <cell r="G116">
            <v>127800</v>
          </cell>
          <cell r="H116">
            <v>608900</v>
          </cell>
        </row>
        <row r="117">
          <cell r="F117">
            <v>1947</v>
          </cell>
          <cell r="G117">
            <v>353800</v>
          </cell>
          <cell r="H117">
            <v>3663700</v>
          </cell>
        </row>
        <row r="118">
          <cell r="F118">
            <v>2497</v>
          </cell>
          <cell r="G118">
            <v>953550</v>
          </cell>
          <cell r="H118">
            <v>5198450</v>
          </cell>
        </row>
        <row r="121">
          <cell r="F121">
            <v>41410</v>
          </cell>
          <cell r="G121">
            <v>4302400</v>
          </cell>
        </row>
        <row r="122">
          <cell r="F122">
            <v>8594</v>
          </cell>
          <cell r="G122">
            <v>11703300</v>
          </cell>
          <cell r="H122">
            <v>26313100</v>
          </cell>
        </row>
        <row r="133">
          <cell r="F133">
            <v>159361</v>
          </cell>
          <cell r="G133">
            <v>47069800</v>
          </cell>
          <cell r="H133">
            <v>317983500</v>
          </cell>
        </row>
        <row r="135">
          <cell r="F135">
            <v>213</v>
          </cell>
          <cell r="G135">
            <v>295400</v>
          </cell>
          <cell r="H135">
            <v>657500</v>
          </cell>
        </row>
        <row r="136">
          <cell r="F136">
            <v>4643</v>
          </cell>
          <cell r="G136">
            <v>2249050</v>
          </cell>
          <cell r="H136">
            <v>10142150</v>
          </cell>
        </row>
        <row r="137">
          <cell r="F137">
            <v>444</v>
          </cell>
          <cell r="G137">
            <v>744400</v>
          </cell>
          <cell r="H137">
            <v>1499200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188</v>
          </cell>
          <cell r="G139">
            <v>364100</v>
          </cell>
          <cell r="H139">
            <v>683700</v>
          </cell>
        </row>
        <row r="140">
          <cell r="F140">
            <v>563</v>
          </cell>
          <cell r="G140">
            <v>505300</v>
          </cell>
          <cell r="H140">
            <v>1462400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239</v>
          </cell>
          <cell r="G142">
            <v>340100</v>
          </cell>
          <cell r="H142">
            <v>746400</v>
          </cell>
        </row>
        <row r="143">
          <cell r="F143">
            <v>301</v>
          </cell>
          <cell r="G143">
            <v>694400</v>
          </cell>
          <cell r="H143">
            <v>1206100</v>
          </cell>
        </row>
        <row r="144">
          <cell r="F144">
            <v>225</v>
          </cell>
          <cell r="G144">
            <v>841000</v>
          </cell>
          <cell r="H144">
            <v>1223500</v>
          </cell>
          <cell r="M144">
            <v>1008588.764</v>
          </cell>
        </row>
        <row r="145">
          <cell r="F145">
            <v>77</v>
          </cell>
          <cell r="G145">
            <v>134200</v>
          </cell>
          <cell r="H145">
            <v>265100</v>
          </cell>
        </row>
        <row r="146">
          <cell r="F146">
            <v>127</v>
          </cell>
          <cell r="G146">
            <v>142700</v>
          </cell>
          <cell r="H146">
            <v>358600</v>
          </cell>
        </row>
        <row r="147">
          <cell r="F147">
            <v>267</v>
          </cell>
          <cell r="G147">
            <v>367000</v>
          </cell>
          <cell r="H147">
            <v>820900</v>
          </cell>
        </row>
        <row r="148">
          <cell r="F148">
            <v>520</v>
          </cell>
          <cell r="G148">
            <v>1096000</v>
          </cell>
          <cell r="H148">
            <v>1980000</v>
          </cell>
        </row>
        <row r="149">
          <cell r="F149">
            <v>170</v>
          </cell>
          <cell r="G149">
            <v>243600</v>
          </cell>
          <cell r="H149">
            <v>532600</v>
          </cell>
        </row>
        <row r="150">
          <cell r="F150">
            <v>204</v>
          </cell>
          <cell r="G150">
            <v>472400</v>
          </cell>
          <cell r="H150">
            <v>819200</v>
          </cell>
        </row>
        <row r="153">
          <cell r="F153">
            <v>0</v>
          </cell>
          <cell r="G153">
            <v>45000</v>
          </cell>
          <cell r="H153">
            <v>45000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0</v>
          </cell>
          <cell r="H155">
            <v>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25000</v>
          </cell>
          <cell r="H157">
            <v>25000</v>
          </cell>
        </row>
        <row r="158">
          <cell r="F158">
            <v>0</v>
          </cell>
          <cell r="G158">
            <v>1450000</v>
          </cell>
          <cell r="H158">
            <v>1450000</v>
          </cell>
        </row>
        <row r="159">
          <cell r="F159">
            <v>0</v>
          </cell>
          <cell r="G159">
            <v>1607000</v>
          </cell>
          <cell r="H159">
            <v>1607000</v>
          </cell>
        </row>
        <row r="160">
          <cell r="F160">
            <v>0</v>
          </cell>
          <cell r="G160">
            <v>1419000</v>
          </cell>
          <cell r="H160">
            <v>1419000</v>
          </cell>
        </row>
        <row r="161">
          <cell r="F161">
            <v>0</v>
          </cell>
          <cell r="G161">
            <v>2073000</v>
          </cell>
          <cell r="H161">
            <v>2073000</v>
          </cell>
        </row>
        <row r="162">
          <cell r="F162">
            <v>0</v>
          </cell>
          <cell r="G162">
            <v>1059000</v>
          </cell>
          <cell r="H162">
            <v>1059000</v>
          </cell>
        </row>
        <row r="163">
          <cell r="F163">
            <v>0</v>
          </cell>
          <cell r="G163">
            <v>714000</v>
          </cell>
          <cell r="H163">
            <v>714000</v>
          </cell>
        </row>
        <row r="164">
          <cell r="F164">
            <v>0</v>
          </cell>
          <cell r="G164">
            <v>234000</v>
          </cell>
          <cell r="H164">
            <v>234000</v>
          </cell>
        </row>
        <row r="165">
          <cell r="F165">
            <v>0</v>
          </cell>
          <cell r="G165">
            <v>543000</v>
          </cell>
          <cell r="H165">
            <v>543000</v>
          </cell>
        </row>
        <row r="166">
          <cell r="F166">
            <v>0</v>
          </cell>
          <cell r="G166">
            <v>90000</v>
          </cell>
          <cell r="H166">
            <v>90000</v>
          </cell>
        </row>
        <row r="167">
          <cell r="F167">
            <v>0</v>
          </cell>
          <cell r="G167">
            <v>246000</v>
          </cell>
          <cell r="H167">
            <v>246000</v>
          </cell>
        </row>
        <row r="168">
          <cell r="F168">
            <v>0</v>
          </cell>
          <cell r="G168">
            <v>65000</v>
          </cell>
          <cell r="H168">
            <v>65000</v>
          </cell>
        </row>
        <row r="169">
          <cell r="F169">
            <v>0</v>
          </cell>
          <cell r="G169">
            <v>19000</v>
          </cell>
          <cell r="H169">
            <v>19000</v>
          </cell>
        </row>
        <row r="170">
          <cell r="F170">
            <v>0</v>
          </cell>
          <cell r="G170">
            <v>46000</v>
          </cell>
          <cell r="H170">
            <v>46000</v>
          </cell>
        </row>
        <row r="171">
          <cell r="F171">
            <v>0</v>
          </cell>
          <cell r="G171">
            <v>134000</v>
          </cell>
          <cell r="H171">
            <v>134000</v>
          </cell>
        </row>
        <row r="172">
          <cell r="F172">
            <v>0</v>
          </cell>
          <cell r="G172">
            <v>55000</v>
          </cell>
          <cell r="H172">
            <v>55000</v>
          </cell>
        </row>
        <row r="173">
          <cell r="F173">
            <v>0</v>
          </cell>
          <cell r="G173">
            <v>21000</v>
          </cell>
          <cell r="H173">
            <v>21000</v>
          </cell>
        </row>
        <row r="174">
          <cell r="F174">
            <v>0</v>
          </cell>
          <cell r="G174">
            <v>65000</v>
          </cell>
          <cell r="H174">
            <v>65000</v>
          </cell>
        </row>
        <row r="175">
          <cell r="F175">
            <v>0</v>
          </cell>
          <cell r="G175">
            <v>196000</v>
          </cell>
          <cell r="H175">
            <v>196000</v>
          </cell>
        </row>
        <row r="176">
          <cell r="F176">
            <v>0</v>
          </cell>
          <cell r="G176">
            <v>65000</v>
          </cell>
          <cell r="H176">
            <v>65000</v>
          </cell>
        </row>
        <row r="177">
          <cell r="F177">
            <v>0</v>
          </cell>
          <cell r="G177">
            <v>425000</v>
          </cell>
          <cell r="H177">
            <v>425000</v>
          </cell>
        </row>
        <row r="178">
          <cell r="F178">
            <v>0</v>
          </cell>
          <cell r="G178">
            <v>377000</v>
          </cell>
          <cell r="H178">
            <v>377000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10000</v>
          </cell>
          <cell r="H181">
            <v>10000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7000</v>
          </cell>
          <cell r="H183">
            <v>7000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240000</v>
          </cell>
          <cell r="H185">
            <v>240000</v>
          </cell>
        </row>
        <row r="186">
          <cell r="F186">
            <v>0</v>
          </cell>
          <cell r="G186">
            <v>52000</v>
          </cell>
          <cell r="H186">
            <v>52000</v>
          </cell>
        </row>
        <row r="187">
          <cell r="F187">
            <v>0</v>
          </cell>
          <cell r="G187">
            <v>315000</v>
          </cell>
          <cell r="H187">
            <v>315000</v>
          </cell>
        </row>
        <row r="188">
          <cell r="F188">
            <v>0</v>
          </cell>
          <cell r="G188">
            <v>3000</v>
          </cell>
          <cell r="H188">
            <v>3000</v>
          </cell>
        </row>
        <row r="189">
          <cell r="F189">
            <v>0</v>
          </cell>
          <cell r="G189">
            <v>47000</v>
          </cell>
          <cell r="H189">
            <v>47000</v>
          </cell>
        </row>
        <row r="190">
          <cell r="F190">
            <v>0</v>
          </cell>
          <cell r="G190">
            <v>79000</v>
          </cell>
          <cell r="H190">
            <v>79000</v>
          </cell>
        </row>
        <row r="191">
          <cell r="F191">
            <v>0</v>
          </cell>
          <cell r="G191">
            <v>68000</v>
          </cell>
          <cell r="H191">
            <v>68000</v>
          </cell>
        </row>
        <row r="192">
          <cell r="F192">
            <v>0</v>
          </cell>
          <cell r="G192">
            <v>71000</v>
          </cell>
          <cell r="H192">
            <v>71000</v>
          </cell>
        </row>
        <row r="193">
          <cell r="F193">
            <v>0</v>
          </cell>
          <cell r="G193">
            <v>230000</v>
          </cell>
          <cell r="H193">
            <v>230000</v>
          </cell>
        </row>
        <row r="194">
          <cell r="F194">
            <v>0</v>
          </cell>
          <cell r="G194">
            <v>60000</v>
          </cell>
          <cell r="H194">
            <v>60000</v>
          </cell>
        </row>
        <row r="195">
          <cell r="F195">
            <v>0</v>
          </cell>
          <cell r="G195">
            <v>120000</v>
          </cell>
          <cell r="H195">
            <v>120000</v>
          </cell>
        </row>
        <row r="196">
          <cell r="F196">
            <v>0</v>
          </cell>
          <cell r="G196">
            <v>194000</v>
          </cell>
          <cell r="H196">
            <v>194000</v>
          </cell>
        </row>
        <row r="197">
          <cell r="F197">
            <v>0</v>
          </cell>
          <cell r="G197">
            <v>6000</v>
          </cell>
          <cell r="H197">
            <v>6000</v>
          </cell>
        </row>
        <row r="198">
          <cell r="F198">
            <v>0</v>
          </cell>
          <cell r="G198">
            <v>228000</v>
          </cell>
          <cell r="H198">
            <v>228000</v>
          </cell>
        </row>
        <row r="199">
          <cell r="F199">
            <v>0</v>
          </cell>
          <cell r="G199">
            <v>24000</v>
          </cell>
          <cell r="H199">
            <v>24000</v>
          </cell>
        </row>
        <row r="200">
          <cell r="F200">
            <v>0</v>
          </cell>
          <cell r="G200">
            <v>23000</v>
          </cell>
          <cell r="H200">
            <v>23000</v>
          </cell>
        </row>
        <row r="201">
          <cell r="F201">
            <v>0</v>
          </cell>
          <cell r="G201">
            <v>113000</v>
          </cell>
          <cell r="H201">
            <v>113000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71000</v>
          </cell>
          <cell r="H203">
            <v>71000</v>
          </cell>
        </row>
        <row r="204">
          <cell r="F204">
            <v>0</v>
          </cell>
          <cell r="G204">
            <v>205000</v>
          </cell>
          <cell r="H204">
            <v>205000</v>
          </cell>
        </row>
        <row r="205">
          <cell r="F205">
            <v>0</v>
          </cell>
          <cell r="G205">
            <v>149000</v>
          </cell>
          <cell r="H205">
            <v>149000</v>
          </cell>
        </row>
        <row r="206">
          <cell r="F206">
            <v>0</v>
          </cell>
          <cell r="G206">
            <v>232000</v>
          </cell>
          <cell r="H206">
            <v>232000</v>
          </cell>
        </row>
        <row r="207">
          <cell r="F207">
            <v>0</v>
          </cell>
          <cell r="G207">
            <v>157000</v>
          </cell>
          <cell r="H207">
            <v>157000</v>
          </cell>
        </row>
        <row r="208">
          <cell r="F208">
            <v>0</v>
          </cell>
          <cell r="G208">
            <v>144000</v>
          </cell>
          <cell r="H208">
            <v>144000</v>
          </cell>
        </row>
        <row r="209">
          <cell r="F209">
            <v>0</v>
          </cell>
          <cell r="G209">
            <v>345000</v>
          </cell>
          <cell r="H209">
            <v>345000</v>
          </cell>
        </row>
        <row r="210">
          <cell r="F210">
            <v>0</v>
          </cell>
          <cell r="G210">
            <v>820000</v>
          </cell>
          <cell r="H210">
            <v>820000</v>
          </cell>
        </row>
        <row r="211">
          <cell r="F211">
            <v>0</v>
          </cell>
          <cell r="G211">
            <v>37000</v>
          </cell>
          <cell r="H211">
            <v>37000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1000</v>
          </cell>
          <cell r="H213">
            <v>1000</v>
          </cell>
        </row>
        <row r="214">
          <cell r="F214">
            <v>0</v>
          </cell>
          <cell r="G214">
            <v>102000</v>
          </cell>
          <cell r="H214">
            <v>102000</v>
          </cell>
        </row>
        <row r="215">
          <cell r="F215">
            <v>0</v>
          </cell>
          <cell r="G215">
            <v>84000</v>
          </cell>
          <cell r="H215">
            <v>84000</v>
          </cell>
        </row>
        <row r="216">
          <cell r="F216">
            <v>0</v>
          </cell>
          <cell r="G216">
            <v>396000</v>
          </cell>
          <cell r="H216">
            <v>396000</v>
          </cell>
        </row>
        <row r="217">
          <cell r="F217">
            <v>0</v>
          </cell>
          <cell r="G217">
            <v>124000</v>
          </cell>
          <cell r="H217">
            <v>124000</v>
          </cell>
        </row>
        <row r="218">
          <cell r="F218">
            <v>0</v>
          </cell>
          <cell r="G218">
            <v>235000</v>
          </cell>
          <cell r="H218">
            <v>235000</v>
          </cell>
        </row>
        <row r="219">
          <cell r="F219">
            <v>0</v>
          </cell>
          <cell r="G219">
            <v>75000</v>
          </cell>
          <cell r="H219">
            <v>75000</v>
          </cell>
        </row>
        <row r="220">
          <cell r="F220">
            <v>0</v>
          </cell>
          <cell r="G220">
            <v>144000</v>
          </cell>
          <cell r="H220">
            <v>144000</v>
          </cell>
        </row>
        <row r="223">
          <cell r="F223">
            <v>393</v>
          </cell>
          <cell r="G223">
            <v>2824800</v>
          </cell>
          <cell r="H223">
            <v>3492900</v>
          </cell>
        </row>
        <row r="224">
          <cell r="F224">
            <v>0</v>
          </cell>
          <cell r="G224">
            <v>2318400</v>
          </cell>
          <cell r="H224">
            <v>2318400</v>
          </cell>
        </row>
        <row r="225">
          <cell r="F225">
            <v>618</v>
          </cell>
          <cell r="G225">
            <v>942200</v>
          </cell>
          <cell r="H225">
            <v>1992800</v>
          </cell>
        </row>
        <row r="226">
          <cell r="F226">
            <v>1103</v>
          </cell>
          <cell r="G226">
            <v>845150</v>
          </cell>
          <cell r="H226">
            <v>2720250</v>
          </cell>
        </row>
        <row r="227">
          <cell r="F227">
            <v>747</v>
          </cell>
          <cell r="G227">
            <v>1203100</v>
          </cell>
          <cell r="H227">
            <v>2473000</v>
          </cell>
        </row>
        <row r="228">
          <cell r="F228">
            <v>459</v>
          </cell>
          <cell r="G228">
            <v>1056700</v>
          </cell>
          <cell r="H228">
            <v>1837000</v>
          </cell>
        </row>
        <row r="229">
          <cell r="F229">
            <v>949</v>
          </cell>
          <cell r="G229">
            <v>1364900</v>
          </cell>
          <cell r="H229">
            <v>2978200</v>
          </cell>
        </row>
        <row r="230">
          <cell r="F230">
            <v>1339</v>
          </cell>
          <cell r="G230">
            <v>1406650</v>
          </cell>
          <cell r="H230">
            <v>3682950</v>
          </cell>
        </row>
        <row r="231">
          <cell r="F231">
            <v>26</v>
          </cell>
          <cell r="G231">
            <v>2489800</v>
          </cell>
          <cell r="H231">
            <v>2534000</v>
          </cell>
        </row>
        <row r="232">
          <cell r="F232">
            <v>0</v>
          </cell>
          <cell r="G232">
            <v>2780000</v>
          </cell>
          <cell r="H232">
            <v>2780000</v>
          </cell>
        </row>
        <row r="233">
          <cell r="F233">
            <v>1110</v>
          </cell>
          <cell r="G233">
            <v>1013000</v>
          </cell>
          <cell r="H233">
            <v>2900000</v>
          </cell>
        </row>
        <row r="234">
          <cell r="F234">
            <v>1391</v>
          </cell>
          <cell r="G234">
            <v>803050</v>
          </cell>
          <cell r="H234">
            <v>3167750</v>
          </cell>
        </row>
        <row r="235">
          <cell r="F235">
            <v>10</v>
          </cell>
          <cell r="G235">
            <v>850600</v>
          </cell>
          <cell r="H235">
            <v>867600</v>
          </cell>
        </row>
        <row r="236">
          <cell r="F236">
            <v>0</v>
          </cell>
          <cell r="G236">
            <v>710400</v>
          </cell>
          <cell r="H236">
            <v>710400</v>
          </cell>
        </row>
        <row r="237">
          <cell r="F237">
            <v>53</v>
          </cell>
          <cell r="G237">
            <v>1242800</v>
          </cell>
          <cell r="H237">
            <v>1332900</v>
          </cell>
        </row>
        <row r="238">
          <cell r="F238">
            <v>546</v>
          </cell>
          <cell r="G238">
            <v>589200</v>
          </cell>
          <cell r="H238">
            <v>1517400</v>
          </cell>
        </row>
        <row r="239">
          <cell r="F239">
            <v>249</v>
          </cell>
          <cell r="G239">
            <v>2146850</v>
          </cell>
          <cell r="H239">
            <v>2570150</v>
          </cell>
        </row>
        <row r="240">
          <cell r="F240">
            <v>832</v>
          </cell>
          <cell r="G240">
            <v>1093750</v>
          </cell>
          <cell r="H240">
            <v>2508150</v>
          </cell>
        </row>
        <row r="241">
          <cell r="F241">
            <v>656</v>
          </cell>
          <cell r="G241">
            <v>1023300</v>
          </cell>
          <cell r="H241">
            <v>2138500</v>
          </cell>
        </row>
        <row r="242">
          <cell r="F242">
            <v>967</v>
          </cell>
          <cell r="G242">
            <v>1317900</v>
          </cell>
          <cell r="H242">
            <v>2961800</v>
          </cell>
        </row>
        <row r="243">
          <cell r="F243">
            <v>679</v>
          </cell>
          <cell r="G243">
            <v>1101100</v>
          </cell>
          <cell r="H243">
            <v>2255400</v>
          </cell>
        </row>
        <row r="244">
          <cell r="F244">
            <v>595</v>
          </cell>
          <cell r="G244">
            <v>795900</v>
          </cell>
          <cell r="H244">
            <v>1807400</v>
          </cell>
        </row>
        <row r="245">
          <cell r="F245">
            <v>341</v>
          </cell>
          <cell r="G245">
            <v>511000</v>
          </cell>
          <cell r="H245">
            <v>1090700</v>
          </cell>
        </row>
        <row r="246">
          <cell r="F246">
            <v>1031</v>
          </cell>
          <cell r="G246">
            <v>2212850</v>
          </cell>
          <cell r="H246">
            <v>3965550</v>
          </cell>
        </row>
        <row r="247">
          <cell r="F247">
            <v>1252</v>
          </cell>
          <cell r="G247">
            <v>590100</v>
          </cell>
          <cell r="H247">
            <v>2718500</v>
          </cell>
        </row>
        <row r="248">
          <cell r="F248">
            <v>262</v>
          </cell>
          <cell r="G248">
            <v>1493500</v>
          </cell>
          <cell r="H248">
            <v>1938900</v>
          </cell>
        </row>
        <row r="249">
          <cell r="F249">
            <v>209</v>
          </cell>
          <cell r="G249">
            <v>1541900</v>
          </cell>
          <cell r="H249">
            <v>1897200</v>
          </cell>
        </row>
        <row r="250">
          <cell r="F250">
            <v>187</v>
          </cell>
          <cell r="G250">
            <v>2812300</v>
          </cell>
          <cell r="H250">
            <v>3130200</v>
          </cell>
        </row>
        <row r="251">
          <cell r="F251">
            <v>505</v>
          </cell>
          <cell r="G251">
            <v>1900900</v>
          </cell>
          <cell r="H251">
            <v>2759400</v>
          </cell>
        </row>
        <row r="252">
          <cell r="F252">
            <v>127</v>
          </cell>
          <cell r="G252">
            <v>766600</v>
          </cell>
          <cell r="H252">
            <v>982500</v>
          </cell>
        </row>
        <row r="253">
          <cell r="F253">
            <v>26</v>
          </cell>
          <cell r="G253">
            <v>2785500</v>
          </cell>
          <cell r="H253">
            <v>2829700</v>
          </cell>
        </row>
        <row r="254">
          <cell r="F254">
            <v>735</v>
          </cell>
          <cell r="G254">
            <v>1323100</v>
          </cell>
          <cell r="H254">
            <v>2572600</v>
          </cell>
        </row>
        <row r="255">
          <cell r="F255">
            <v>345</v>
          </cell>
          <cell r="G255">
            <v>959000</v>
          </cell>
          <cell r="H255">
            <v>1545500</v>
          </cell>
        </row>
        <row r="256">
          <cell r="F256">
            <v>207</v>
          </cell>
          <cell r="G256">
            <v>2806350</v>
          </cell>
          <cell r="H256">
            <v>3158250</v>
          </cell>
        </row>
        <row r="257">
          <cell r="F257">
            <v>691</v>
          </cell>
          <cell r="G257">
            <v>895500</v>
          </cell>
          <cell r="H257">
            <v>2070200</v>
          </cell>
        </row>
        <row r="260">
          <cell r="G260">
            <v>37000</v>
          </cell>
          <cell r="H260">
            <v>37000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9745</v>
          </cell>
          <cell r="G10">
            <v>4427400</v>
          </cell>
          <cell r="H10">
            <v>20993900</v>
          </cell>
        </row>
        <row r="14">
          <cell r="F14">
            <v>5059</v>
          </cell>
          <cell r="G14">
            <v>1273050</v>
          </cell>
          <cell r="H14">
            <v>9873350</v>
          </cell>
        </row>
        <row r="15">
          <cell r="F15">
            <v>4811</v>
          </cell>
          <cell r="G15">
            <v>1083200</v>
          </cell>
          <cell r="H15">
            <v>9261900</v>
          </cell>
        </row>
        <row r="16">
          <cell r="F16">
            <v>6148</v>
          </cell>
          <cell r="G16">
            <v>1712900</v>
          </cell>
          <cell r="H16">
            <v>12164500</v>
          </cell>
        </row>
        <row r="17">
          <cell r="F17">
            <v>3997</v>
          </cell>
          <cell r="G17">
            <v>1570500</v>
          </cell>
          <cell r="H17">
            <v>8365400</v>
          </cell>
        </row>
        <row r="18">
          <cell r="F18">
            <v>4611</v>
          </cell>
          <cell r="G18">
            <v>1556850</v>
          </cell>
          <cell r="H18">
            <v>9395550</v>
          </cell>
        </row>
        <row r="19">
          <cell r="F19">
            <v>5302</v>
          </cell>
          <cell r="G19">
            <v>2360900</v>
          </cell>
          <cell r="H19">
            <v>11374300</v>
          </cell>
        </row>
        <row r="20">
          <cell r="F20">
            <v>3019</v>
          </cell>
          <cell r="G20">
            <v>966600</v>
          </cell>
          <cell r="H20">
            <v>6098900</v>
          </cell>
        </row>
        <row r="21">
          <cell r="F21">
            <v>3423</v>
          </cell>
          <cell r="G21">
            <v>1501800</v>
          </cell>
          <cell r="H21">
            <v>7320900</v>
          </cell>
        </row>
        <row r="22">
          <cell r="F22">
            <v>7157</v>
          </cell>
          <cell r="G22">
            <v>2916750</v>
          </cell>
          <cell r="H22">
            <v>15083650</v>
          </cell>
        </row>
        <row r="23">
          <cell r="F23">
            <v>3278</v>
          </cell>
          <cell r="G23">
            <v>914950</v>
          </cell>
          <cell r="H23">
            <v>6487550</v>
          </cell>
        </row>
        <row r="24">
          <cell r="F24">
            <v>2688</v>
          </cell>
          <cell r="G24">
            <v>1080500</v>
          </cell>
          <cell r="H24">
            <v>5650100</v>
          </cell>
        </row>
        <row r="25">
          <cell r="F25">
            <v>2304</v>
          </cell>
          <cell r="G25">
            <v>778500</v>
          </cell>
          <cell r="H25">
            <v>4695300</v>
          </cell>
        </row>
        <row r="26">
          <cell r="F26">
            <v>5272</v>
          </cell>
          <cell r="G26">
            <v>1818500</v>
          </cell>
          <cell r="H26">
            <v>10780900</v>
          </cell>
        </row>
        <row r="27">
          <cell r="F27">
            <v>14085</v>
          </cell>
          <cell r="G27">
            <v>6956300</v>
          </cell>
          <cell r="H27">
            <v>30900800</v>
          </cell>
        </row>
        <row r="28">
          <cell r="F28">
            <v>11048</v>
          </cell>
          <cell r="G28">
            <v>4346300</v>
          </cell>
          <cell r="H28">
            <v>23127900</v>
          </cell>
        </row>
        <row r="29">
          <cell r="F29">
            <v>8733</v>
          </cell>
          <cell r="G29">
            <v>3602700</v>
          </cell>
          <cell r="H29">
            <v>18448800</v>
          </cell>
        </row>
        <row r="30">
          <cell r="F30">
            <v>14378</v>
          </cell>
          <cell r="G30">
            <v>4170000</v>
          </cell>
          <cell r="H30">
            <v>28612600</v>
          </cell>
        </row>
        <row r="31">
          <cell r="F31">
            <v>8235</v>
          </cell>
          <cell r="G31">
            <v>3147300</v>
          </cell>
          <cell r="H31">
            <v>17146800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9673</v>
          </cell>
          <cell r="G33">
            <v>3159550</v>
          </cell>
          <cell r="H33">
            <v>19603650</v>
          </cell>
        </row>
        <row r="34">
          <cell r="F34">
            <v>12844</v>
          </cell>
          <cell r="G34">
            <v>3667600</v>
          </cell>
          <cell r="H34">
            <v>25502400</v>
          </cell>
        </row>
        <row r="35">
          <cell r="F35">
            <v>10576</v>
          </cell>
          <cell r="G35">
            <v>4070800</v>
          </cell>
          <cell r="H35">
            <v>22050000</v>
          </cell>
        </row>
        <row r="36">
          <cell r="F36">
            <v>12258</v>
          </cell>
          <cell r="G36">
            <v>3497850</v>
          </cell>
          <cell r="H36">
            <v>24336450</v>
          </cell>
        </row>
        <row r="37">
          <cell r="F37">
            <v>3292</v>
          </cell>
          <cell r="G37">
            <v>2071500</v>
          </cell>
          <cell r="H37">
            <v>7667900</v>
          </cell>
        </row>
        <row r="38">
          <cell r="F38">
            <v>5980</v>
          </cell>
          <cell r="G38">
            <v>2681700</v>
          </cell>
          <cell r="H38">
            <v>12847700</v>
          </cell>
        </row>
        <row r="39">
          <cell r="F39">
            <v>2288</v>
          </cell>
          <cell r="G39">
            <v>2185750</v>
          </cell>
          <cell r="H39">
            <v>6075350</v>
          </cell>
        </row>
        <row r="40">
          <cell r="F40">
            <v>11668</v>
          </cell>
          <cell r="G40">
            <v>5697300</v>
          </cell>
          <cell r="H40">
            <v>25532900</v>
          </cell>
        </row>
        <row r="41">
          <cell r="F41">
            <v>5839</v>
          </cell>
          <cell r="G41">
            <v>1889900</v>
          </cell>
          <cell r="H41">
            <v>11816200</v>
          </cell>
        </row>
        <row r="42">
          <cell r="F42">
            <v>1729</v>
          </cell>
          <cell r="G42">
            <v>1223400</v>
          </cell>
          <cell r="H42">
            <v>4162700</v>
          </cell>
        </row>
        <row r="43">
          <cell r="F43">
            <v>3817</v>
          </cell>
          <cell r="G43">
            <v>819000</v>
          </cell>
          <cell r="H43">
            <v>7307900</v>
          </cell>
        </row>
        <row r="44">
          <cell r="F44">
            <v>892</v>
          </cell>
          <cell r="G44">
            <v>417000</v>
          </cell>
          <cell r="H44">
            <v>1933400</v>
          </cell>
        </row>
        <row r="45">
          <cell r="F45">
            <v>13536</v>
          </cell>
          <cell r="G45">
            <v>3351600</v>
          </cell>
          <cell r="H45">
            <v>26362800</v>
          </cell>
        </row>
        <row r="46">
          <cell r="F46">
            <v>2065</v>
          </cell>
          <cell r="G46">
            <v>1370450</v>
          </cell>
          <cell r="H46">
            <v>4880950</v>
          </cell>
        </row>
        <row r="47">
          <cell r="F47">
            <v>20831</v>
          </cell>
          <cell r="G47">
            <v>5690000</v>
          </cell>
          <cell r="H47">
            <v>41102700</v>
          </cell>
        </row>
        <row r="52">
          <cell r="F52">
            <v>7837</v>
          </cell>
          <cell r="G52">
            <v>2347800</v>
          </cell>
          <cell r="H52">
            <v>15670700</v>
          </cell>
        </row>
        <row r="53">
          <cell r="F53">
            <v>6813</v>
          </cell>
          <cell r="G53">
            <v>3059300</v>
          </cell>
          <cell r="H53">
            <v>14641400</v>
          </cell>
        </row>
        <row r="54">
          <cell r="F54">
            <v>13973</v>
          </cell>
          <cell r="G54">
            <v>4893450</v>
          </cell>
          <cell r="H54">
            <v>28647550</v>
          </cell>
        </row>
        <row r="55">
          <cell r="F55">
            <v>5386</v>
          </cell>
          <cell r="G55">
            <v>2913100</v>
          </cell>
          <cell r="H55">
            <v>12069300</v>
          </cell>
        </row>
        <row r="56">
          <cell r="F56">
            <v>3818</v>
          </cell>
          <cell r="G56">
            <v>1043500</v>
          </cell>
          <cell r="H56">
            <v>7534100</v>
          </cell>
        </row>
        <row r="57">
          <cell r="F57">
            <v>8870</v>
          </cell>
          <cell r="G57">
            <v>2552000</v>
          </cell>
          <cell r="H57">
            <v>17631000</v>
          </cell>
        </row>
        <row r="58">
          <cell r="F58">
            <v>13378</v>
          </cell>
          <cell r="G58">
            <v>3932100</v>
          </cell>
          <cell r="H58">
            <v>26674700</v>
          </cell>
        </row>
        <row r="59">
          <cell r="F59">
            <v>6823</v>
          </cell>
          <cell r="G59">
            <v>2277200</v>
          </cell>
          <cell r="H59">
            <v>13876300</v>
          </cell>
        </row>
        <row r="60">
          <cell r="F60">
            <v>6520</v>
          </cell>
          <cell r="G60">
            <v>2066150</v>
          </cell>
          <cell r="H60">
            <v>13150150</v>
          </cell>
        </row>
        <row r="61">
          <cell r="F61">
            <v>4507</v>
          </cell>
          <cell r="G61">
            <v>1020900</v>
          </cell>
          <cell r="H61">
            <v>8682800</v>
          </cell>
        </row>
        <row r="62">
          <cell r="F62">
            <v>10987</v>
          </cell>
          <cell r="G62">
            <v>3592800</v>
          </cell>
          <cell r="H62">
            <v>22270700</v>
          </cell>
        </row>
        <row r="63">
          <cell r="F63">
            <v>9800</v>
          </cell>
          <cell r="G63">
            <v>2996800</v>
          </cell>
          <cell r="H63">
            <v>19656800</v>
          </cell>
        </row>
        <row r="64">
          <cell r="F64">
            <v>8822</v>
          </cell>
          <cell r="G64">
            <v>3173100</v>
          </cell>
          <cell r="H64">
            <v>18170500</v>
          </cell>
        </row>
        <row r="65">
          <cell r="F65">
            <v>5910</v>
          </cell>
          <cell r="G65">
            <v>2332400</v>
          </cell>
          <cell r="H65">
            <v>12379400</v>
          </cell>
        </row>
        <row r="66">
          <cell r="F66">
            <v>7275</v>
          </cell>
          <cell r="G66">
            <v>3107100</v>
          </cell>
          <cell r="H66">
            <v>15474600</v>
          </cell>
        </row>
        <row r="67">
          <cell r="F67">
            <v>4667</v>
          </cell>
          <cell r="G67">
            <v>2056900</v>
          </cell>
          <cell r="H67">
            <v>9990800</v>
          </cell>
        </row>
        <row r="68">
          <cell r="F68">
            <v>7932</v>
          </cell>
          <cell r="G68">
            <v>2622700</v>
          </cell>
          <cell r="H68">
            <v>16107100</v>
          </cell>
        </row>
        <row r="69">
          <cell r="F69">
            <v>5891</v>
          </cell>
          <cell r="G69">
            <v>2286400</v>
          </cell>
          <cell r="H69">
            <v>12301100</v>
          </cell>
        </row>
        <row r="70">
          <cell r="F70">
            <v>10642</v>
          </cell>
          <cell r="G70">
            <v>4813000</v>
          </cell>
          <cell r="H70">
            <v>22904400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5445</v>
          </cell>
          <cell r="G72">
            <v>1836600</v>
          </cell>
          <cell r="H72">
            <v>11093100</v>
          </cell>
        </row>
        <row r="73">
          <cell r="F73">
            <v>3584</v>
          </cell>
          <cell r="G73">
            <v>703300</v>
          </cell>
          <cell r="H73">
            <v>6796100</v>
          </cell>
        </row>
        <row r="74">
          <cell r="F74">
            <v>11899</v>
          </cell>
          <cell r="G74">
            <v>2842000</v>
          </cell>
          <cell r="H74">
            <v>23070300</v>
          </cell>
        </row>
        <row r="75">
          <cell r="F75">
            <v>5367</v>
          </cell>
          <cell r="G75">
            <v>1871500</v>
          </cell>
          <cell r="H75">
            <v>10995400</v>
          </cell>
        </row>
        <row r="76">
          <cell r="F76">
            <v>18465</v>
          </cell>
          <cell r="G76">
            <v>5499200</v>
          </cell>
          <cell r="H76">
            <v>36889700</v>
          </cell>
        </row>
        <row r="77">
          <cell r="F77">
            <v>7880</v>
          </cell>
          <cell r="G77">
            <v>1227200</v>
          </cell>
          <cell r="H77">
            <v>14623200</v>
          </cell>
        </row>
        <row r="78">
          <cell r="F78">
            <v>5756</v>
          </cell>
          <cell r="G78">
            <v>1833400</v>
          </cell>
          <cell r="H78">
            <v>11618600</v>
          </cell>
        </row>
        <row r="79">
          <cell r="F79">
            <v>2143</v>
          </cell>
          <cell r="G79">
            <v>452700</v>
          </cell>
          <cell r="H79">
            <v>4095800</v>
          </cell>
        </row>
        <row r="80">
          <cell r="F80">
            <v>4064</v>
          </cell>
          <cell r="G80">
            <v>707000</v>
          </cell>
          <cell r="H80">
            <v>7615800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2512</v>
          </cell>
          <cell r="G84">
            <v>564300</v>
          </cell>
          <cell r="H84">
            <v>4834700</v>
          </cell>
        </row>
        <row r="85">
          <cell r="F85">
            <v>1217</v>
          </cell>
          <cell r="G85">
            <v>217900</v>
          </cell>
          <cell r="H85">
            <v>2286800</v>
          </cell>
        </row>
        <row r="86">
          <cell r="F86">
            <v>2964</v>
          </cell>
          <cell r="G86">
            <v>1122950</v>
          </cell>
          <cell r="H86">
            <v>6161750</v>
          </cell>
        </row>
        <row r="87">
          <cell r="F87">
            <v>2710</v>
          </cell>
          <cell r="G87">
            <v>668850</v>
          </cell>
          <cell r="H87">
            <v>5275850</v>
          </cell>
        </row>
        <row r="88">
          <cell r="F88">
            <v>4512</v>
          </cell>
          <cell r="G88">
            <v>1307300</v>
          </cell>
          <cell r="H88">
            <v>8977700</v>
          </cell>
        </row>
        <row r="89">
          <cell r="F89">
            <v>1686</v>
          </cell>
          <cell r="G89">
            <v>674700</v>
          </cell>
          <cell r="H89">
            <v>3540900</v>
          </cell>
        </row>
        <row r="90">
          <cell r="F90">
            <v>2447</v>
          </cell>
          <cell r="G90">
            <v>1311800</v>
          </cell>
          <cell r="H90">
            <v>5471700</v>
          </cell>
        </row>
        <row r="91">
          <cell r="F91">
            <v>4161</v>
          </cell>
          <cell r="G91">
            <v>1674300</v>
          </cell>
          <cell r="H91">
            <v>8748000</v>
          </cell>
        </row>
        <row r="92">
          <cell r="F92">
            <v>1904</v>
          </cell>
          <cell r="G92">
            <v>1002100</v>
          </cell>
          <cell r="H92">
            <v>4238900</v>
          </cell>
        </row>
        <row r="93">
          <cell r="F93">
            <v>2248</v>
          </cell>
          <cell r="G93">
            <v>843200</v>
          </cell>
          <cell r="H93">
            <v>4664800</v>
          </cell>
        </row>
        <row r="94">
          <cell r="F94">
            <v>612</v>
          </cell>
          <cell r="G94">
            <v>172200</v>
          </cell>
          <cell r="H94">
            <v>1212600</v>
          </cell>
        </row>
        <row r="95">
          <cell r="F95">
            <v>2654</v>
          </cell>
          <cell r="G95">
            <v>947300</v>
          </cell>
          <cell r="H95">
            <v>5459100</v>
          </cell>
        </row>
        <row r="96">
          <cell r="F96">
            <v>2728</v>
          </cell>
          <cell r="G96">
            <v>410800</v>
          </cell>
          <cell r="H96">
            <v>5048400</v>
          </cell>
        </row>
        <row r="97">
          <cell r="F97">
            <v>6088</v>
          </cell>
          <cell r="G97">
            <v>1040400</v>
          </cell>
          <cell r="H97">
            <v>11390000</v>
          </cell>
        </row>
        <row r="98">
          <cell r="F98">
            <v>2913</v>
          </cell>
          <cell r="G98">
            <v>749800</v>
          </cell>
          <cell r="H98">
            <v>5701900</v>
          </cell>
        </row>
        <row r="99">
          <cell r="F99">
            <v>6398</v>
          </cell>
          <cell r="G99">
            <v>1686800</v>
          </cell>
          <cell r="H99">
            <v>12563400</v>
          </cell>
        </row>
        <row r="100">
          <cell r="F100">
            <v>6800</v>
          </cell>
          <cell r="G100">
            <v>1395200</v>
          </cell>
          <cell r="H100">
            <v>12955200</v>
          </cell>
        </row>
        <row r="101">
          <cell r="F101">
            <v>2192</v>
          </cell>
          <cell r="G101">
            <v>618800</v>
          </cell>
          <cell r="H101">
            <v>4345200</v>
          </cell>
        </row>
        <row r="102">
          <cell r="F102">
            <v>12194</v>
          </cell>
          <cell r="G102">
            <v>2122400</v>
          </cell>
          <cell r="H102">
            <v>22852200</v>
          </cell>
        </row>
        <row r="103">
          <cell r="F103">
            <v>10254</v>
          </cell>
          <cell r="G103">
            <v>2085250</v>
          </cell>
          <cell r="H103">
            <v>19517050</v>
          </cell>
        </row>
        <row r="104">
          <cell r="F104">
            <v>5022</v>
          </cell>
          <cell r="G104">
            <v>1389100</v>
          </cell>
          <cell r="H104">
            <v>9926500</v>
          </cell>
        </row>
        <row r="105">
          <cell r="F105">
            <v>3097</v>
          </cell>
          <cell r="G105">
            <v>977500</v>
          </cell>
          <cell r="H105">
            <v>6242400</v>
          </cell>
        </row>
        <row r="106">
          <cell r="F106">
            <v>2853</v>
          </cell>
          <cell r="G106">
            <v>828300</v>
          </cell>
          <cell r="H106">
            <v>5678400</v>
          </cell>
        </row>
        <row r="107">
          <cell r="F107">
            <v>4733</v>
          </cell>
          <cell r="G107">
            <v>796200</v>
          </cell>
          <cell r="H107">
            <v>8842300</v>
          </cell>
        </row>
        <row r="108">
          <cell r="F108">
            <v>4393</v>
          </cell>
          <cell r="G108">
            <v>1059700</v>
          </cell>
          <cell r="H108">
            <v>8527800</v>
          </cell>
        </row>
        <row r="109">
          <cell r="F109">
            <v>2953</v>
          </cell>
          <cell r="G109">
            <v>724000</v>
          </cell>
          <cell r="H109">
            <v>5744100</v>
          </cell>
        </row>
        <row r="110">
          <cell r="F110">
            <v>1825</v>
          </cell>
          <cell r="G110">
            <v>470100</v>
          </cell>
          <cell r="H110">
            <v>3572600</v>
          </cell>
        </row>
        <row r="111">
          <cell r="F111">
            <v>5096</v>
          </cell>
          <cell r="G111">
            <v>1171300</v>
          </cell>
          <cell r="H111">
            <v>9834500</v>
          </cell>
        </row>
        <row r="112">
          <cell r="F112">
            <v>3376</v>
          </cell>
          <cell r="G112">
            <v>968300</v>
          </cell>
          <cell r="H112">
            <v>6707500</v>
          </cell>
        </row>
        <row r="113">
          <cell r="F113">
            <v>3584</v>
          </cell>
          <cell r="G113">
            <v>2166000</v>
          </cell>
          <cell r="H113">
            <v>8258800</v>
          </cell>
        </row>
        <row r="114">
          <cell r="F114">
            <v>298</v>
          </cell>
          <cell r="G114">
            <v>107600</v>
          </cell>
          <cell r="H114">
            <v>614200</v>
          </cell>
        </row>
        <row r="115">
          <cell r="F115">
            <v>1970</v>
          </cell>
          <cell r="G115">
            <v>237800</v>
          </cell>
          <cell r="H115">
            <v>3586800</v>
          </cell>
        </row>
        <row r="116">
          <cell r="F116">
            <v>255</v>
          </cell>
          <cell r="G116">
            <v>151000</v>
          </cell>
          <cell r="H116">
            <v>584500</v>
          </cell>
        </row>
        <row r="117">
          <cell r="F117">
            <v>2057</v>
          </cell>
          <cell r="G117">
            <v>259400</v>
          </cell>
          <cell r="H117">
            <v>3756300</v>
          </cell>
        </row>
        <row r="118">
          <cell r="F118">
            <v>2763</v>
          </cell>
          <cell r="G118">
            <v>919550</v>
          </cell>
          <cell r="H118">
            <v>5616650</v>
          </cell>
        </row>
        <row r="121">
          <cell r="F121">
            <v>42772</v>
          </cell>
          <cell r="G121">
            <v>4892600</v>
          </cell>
        </row>
        <row r="122">
          <cell r="F122">
            <v>8469</v>
          </cell>
          <cell r="G122">
            <v>12614750</v>
          </cell>
          <cell r="H122">
            <v>27012050</v>
          </cell>
        </row>
        <row r="133">
          <cell r="F133">
            <v>156770</v>
          </cell>
          <cell r="G133">
            <v>48933550</v>
          </cell>
          <cell r="H133">
            <v>315442550</v>
          </cell>
        </row>
        <row r="135">
          <cell r="F135">
            <v>170</v>
          </cell>
          <cell r="G135">
            <v>346900</v>
          </cell>
          <cell r="H135">
            <v>635900</v>
          </cell>
        </row>
        <row r="136">
          <cell r="F136">
            <v>4808</v>
          </cell>
          <cell r="G136">
            <v>3149950</v>
          </cell>
          <cell r="H136">
            <v>11323550</v>
          </cell>
        </row>
        <row r="137">
          <cell r="F137">
            <v>385</v>
          </cell>
          <cell r="G137">
            <v>537800</v>
          </cell>
          <cell r="H137">
            <v>1192300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204</v>
          </cell>
          <cell r="G139">
            <v>581500</v>
          </cell>
          <cell r="H139">
            <v>928300</v>
          </cell>
        </row>
        <row r="140">
          <cell r="F140">
            <v>471</v>
          </cell>
          <cell r="G140">
            <v>707600</v>
          </cell>
          <cell r="H140">
            <v>1508300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258</v>
          </cell>
          <cell r="G142">
            <v>372700</v>
          </cell>
          <cell r="H142">
            <v>811300</v>
          </cell>
        </row>
        <row r="143">
          <cell r="F143">
            <v>427</v>
          </cell>
          <cell r="G143">
            <v>502400</v>
          </cell>
          <cell r="H143">
            <v>1228300</v>
          </cell>
        </row>
        <row r="144">
          <cell r="F144">
            <v>282</v>
          </cell>
          <cell r="G144">
            <v>624800</v>
          </cell>
          <cell r="H144">
            <v>1104200</v>
          </cell>
          <cell r="M144">
            <v>1010670.676</v>
          </cell>
        </row>
        <row r="145">
          <cell r="F145">
            <v>118</v>
          </cell>
          <cell r="G145">
            <v>156500</v>
          </cell>
          <cell r="H145">
            <v>357100</v>
          </cell>
        </row>
        <row r="146">
          <cell r="F146">
            <v>94</v>
          </cell>
          <cell r="G146">
            <v>155600</v>
          </cell>
          <cell r="H146">
            <v>315400</v>
          </cell>
        </row>
        <row r="147">
          <cell r="F147">
            <v>315</v>
          </cell>
          <cell r="G147">
            <v>522600</v>
          </cell>
          <cell r="H147">
            <v>1058100</v>
          </cell>
        </row>
        <row r="148">
          <cell r="F148">
            <v>542</v>
          </cell>
          <cell r="G148">
            <v>1170500</v>
          </cell>
          <cell r="H148">
            <v>2091900</v>
          </cell>
        </row>
        <row r="149">
          <cell r="F149">
            <v>141</v>
          </cell>
          <cell r="G149">
            <v>318300</v>
          </cell>
          <cell r="H149">
            <v>558000</v>
          </cell>
        </row>
        <row r="150">
          <cell r="F150">
            <v>237</v>
          </cell>
          <cell r="G150">
            <v>449300</v>
          </cell>
          <cell r="H150">
            <v>852200</v>
          </cell>
        </row>
        <row r="153">
          <cell r="F153">
            <v>0</v>
          </cell>
          <cell r="G153">
            <v>53000</v>
          </cell>
          <cell r="H153">
            <v>53000</v>
          </cell>
        </row>
        <row r="154">
          <cell r="F154">
            <v>0</v>
          </cell>
          <cell r="G154">
            <v>215000</v>
          </cell>
          <cell r="H154">
            <v>215000</v>
          </cell>
        </row>
        <row r="155">
          <cell r="F155">
            <v>0</v>
          </cell>
          <cell r="G155">
            <v>45000</v>
          </cell>
          <cell r="H155">
            <v>45000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13000</v>
          </cell>
          <cell r="H157">
            <v>13000</v>
          </cell>
        </row>
        <row r="158">
          <cell r="F158">
            <v>0</v>
          </cell>
          <cell r="G158">
            <v>1400000</v>
          </cell>
          <cell r="H158">
            <v>1400000</v>
          </cell>
        </row>
        <row r="159">
          <cell r="F159">
            <v>0</v>
          </cell>
          <cell r="G159">
            <v>457000</v>
          </cell>
          <cell r="H159">
            <v>457000</v>
          </cell>
        </row>
        <row r="160">
          <cell r="F160">
            <v>0</v>
          </cell>
          <cell r="G160">
            <v>319000</v>
          </cell>
          <cell r="H160">
            <v>319000</v>
          </cell>
        </row>
        <row r="161">
          <cell r="F161">
            <v>0</v>
          </cell>
          <cell r="G161">
            <v>1460000</v>
          </cell>
          <cell r="H161">
            <v>1460000</v>
          </cell>
        </row>
        <row r="162">
          <cell r="F162">
            <v>0</v>
          </cell>
          <cell r="G162">
            <v>1292000</v>
          </cell>
          <cell r="H162">
            <v>1292000</v>
          </cell>
        </row>
        <row r="163">
          <cell r="F163">
            <v>0</v>
          </cell>
          <cell r="G163">
            <v>583000</v>
          </cell>
          <cell r="H163">
            <v>583000</v>
          </cell>
        </row>
        <row r="164">
          <cell r="F164">
            <v>0</v>
          </cell>
          <cell r="G164">
            <v>232000</v>
          </cell>
          <cell r="H164">
            <v>232000</v>
          </cell>
        </row>
        <row r="165">
          <cell r="F165">
            <v>0</v>
          </cell>
          <cell r="G165">
            <v>871000</v>
          </cell>
          <cell r="H165">
            <v>871000</v>
          </cell>
        </row>
        <row r="166">
          <cell r="F166">
            <v>0</v>
          </cell>
          <cell r="G166">
            <v>45000</v>
          </cell>
          <cell r="H166">
            <v>45000</v>
          </cell>
        </row>
        <row r="167">
          <cell r="F167">
            <v>0</v>
          </cell>
          <cell r="G167">
            <v>17000</v>
          </cell>
          <cell r="H167">
            <v>17000</v>
          </cell>
        </row>
        <row r="168">
          <cell r="F168">
            <v>0</v>
          </cell>
          <cell r="G168">
            <v>37000</v>
          </cell>
          <cell r="H168">
            <v>37000</v>
          </cell>
        </row>
        <row r="169">
          <cell r="F169">
            <v>0</v>
          </cell>
          <cell r="G169">
            <v>100000</v>
          </cell>
          <cell r="H169">
            <v>100000</v>
          </cell>
        </row>
        <row r="170">
          <cell r="F170">
            <v>0</v>
          </cell>
          <cell r="G170">
            <v>63000</v>
          </cell>
          <cell r="H170">
            <v>63000</v>
          </cell>
        </row>
        <row r="171">
          <cell r="F171">
            <v>0</v>
          </cell>
          <cell r="G171">
            <v>141000</v>
          </cell>
          <cell r="H171">
            <v>141000</v>
          </cell>
        </row>
        <row r="172">
          <cell r="F172">
            <v>0</v>
          </cell>
          <cell r="G172">
            <v>56000</v>
          </cell>
          <cell r="H172">
            <v>56000</v>
          </cell>
        </row>
        <row r="173">
          <cell r="F173">
            <v>0</v>
          </cell>
          <cell r="G173">
            <v>10000</v>
          </cell>
          <cell r="H173">
            <v>10000</v>
          </cell>
        </row>
        <row r="174">
          <cell r="F174">
            <v>0</v>
          </cell>
          <cell r="G174">
            <v>10000</v>
          </cell>
          <cell r="H174">
            <v>10000</v>
          </cell>
        </row>
        <row r="175">
          <cell r="F175">
            <v>0</v>
          </cell>
          <cell r="G175">
            <v>225000</v>
          </cell>
          <cell r="H175">
            <v>225000</v>
          </cell>
        </row>
        <row r="176">
          <cell r="F176">
            <v>0</v>
          </cell>
          <cell r="G176">
            <v>58000</v>
          </cell>
          <cell r="H176">
            <v>58000</v>
          </cell>
        </row>
        <row r="177">
          <cell r="F177">
            <v>0</v>
          </cell>
          <cell r="G177">
            <v>334000</v>
          </cell>
          <cell r="H177">
            <v>334000</v>
          </cell>
        </row>
        <row r="178">
          <cell r="F178">
            <v>0</v>
          </cell>
          <cell r="G178">
            <v>530000</v>
          </cell>
          <cell r="H178">
            <v>530000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5000</v>
          </cell>
          <cell r="H180">
            <v>5000</v>
          </cell>
        </row>
        <row r="181">
          <cell r="F181">
            <v>0</v>
          </cell>
          <cell r="G181">
            <v>9000</v>
          </cell>
          <cell r="H181">
            <v>9000</v>
          </cell>
        </row>
        <row r="182">
          <cell r="F182">
            <v>0</v>
          </cell>
          <cell r="G182">
            <v>29000</v>
          </cell>
          <cell r="H182">
            <v>29000</v>
          </cell>
        </row>
        <row r="183">
          <cell r="F183">
            <v>0</v>
          </cell>
          <cell r="G183">
            <v>198000</v>
          </cell>
          <cell r="H183">
            <v>198000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143000</v>
          </cell>
          <cell r="H185">
            <v>143000</v>
          </cell>
        </row>
        <row r="186">
          <cell r="F186">
            <v>0</v>
          </cell>
          <cell r="G186">
            <v>6000</v>
          </cell>
          <cell r="H186">
            <v>6000</v>
          </cell>
        </row>
        <row r="187">
          <cell r="F187">
            <v>0</v>
          </cell>
          <cell r="G187">
            <v>440000</v>
          </cell>
          <cell r="H187">
            <v>440000</v>
          </cell>
        </row>
        <row r="188">
          <cell r="F188">
            <v>0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90000</v>
          </cell>
          <cell r="H189">
            <v>90000</v>
          </cell>
        </row>
        <row r="190">
          <cell r="F190">
            <v>0</v>
          </cell>
          <cell r="G190">
            <v>90000</v>
          </cell>
          <cell r="H190">
            <v>90000</v>
          </cell>
        </row>
        <row r="191">
          <cell r="F191">
            <v>0</v>
          </cell>
          <cell r="G191">
            <v>43000</v>
          </cell>
          <cell r="H191">
            <v>43000</v>
          </cell>
        </row>
        <row r="192">
          <cell r="F192">
            <v>0</v>
          </cell>
          <cell r="G192">
            <v>45000</v>
          </cell>
          <cell r="H192">
            <v>45000</v>
          </cell>
        </row>
        <row r="193">
          <cell r="F193">
            <v>0</v>
          </cell>
          <cell r="G193">
            <v>233000</v>
          </cell>
          <cell r="H193">
            <v>233000</v>
          </cell>
        </row>
        <row r="194">
          <cell r="F194">
            <v>0</v>
          </cell>
          <cell r="G194">
            <v>43000</v>
          </cell>
          <cell r="H194">
            <v>43000</v>
          </cell>
        </row>
        <row r="195">
          <cell r="F195">
            <v>0</v>
          </cell>
          <cell r="G195">
            <v>152000</v>
          </cell>
          <cell r="H195">
            <v>152000</v>
          </cell>
        </row>
        <row r="196">
          <cell r="F196">
            <v>0</v>
          </cell>
          <cell r="G196">
            <v>124000</v>
          </cell>
          <cell r="H196">
            <v>124000</v>
          </cell>
        </row>
        <row r="197">
          <cell r="F197">
            <v>0</v>
          </cell>
          <cell r="G197">
            <v>33000</v>
          </cell>
          <cell r="H197">
            <v>33000</v>
          </cell>
        </row>
        <row r="198">
          <cell r="F198">
            <v>0</v>
          </cell>
          <cell r="G198">
            <v>169000</v>
          </cell>
          <cell r="H198">
            <v>169000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79000</v>
          </cell>
          <cell r="H200">
            <v>79000</v>
          </cell>
        </row>
        <row r="201">
          <cell r="F201">
            <v>0</v>
          </cell>
          <cell r="G201">
            <v>201000</v>
          </cell>
          <cell r="H201">
            <v>201000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267000</v>
          </cell>
          <cell r="H204">
            <v>267000</v>
          </cell>
        </row>
        <row r="205">
          <cell r="F205">
            <v>0</v>
          </cell>
          <cell r="G205">
            <v>252000</v>
          </cell>
          <cell r="H205">
            <v>252000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211000</v>
          </cell>
          <cell r="H207">
            <v>211000</v>
          </cell>
        </row>
        <row r="208">
          <cell r="F208">
            <v>0</v>
          </cell>
          <cell r="G208">
            <v>60000</v>
          </cell>
          <cell r="H208">
            <v>60000</v>
          </cell>
        </row>
        <row r="209">
          <cell r="F209">
            <v>0</v>
          </cell>
          <cell r="G209">
            <v>245000</v>
          </cell>
          <cell r="H209">
            <v>245000</v>
          </cell>
        </row>
        <row r="210">
          <cell r="F210">
            <v>0</v>
          </cell>
          <cell r="G210">
            <v>473000</v>
          </cell>
          <cell r="H210">
            <v>473000</v>
          </cell>
        </row>
        <row r="211">
          <cell r="F211">
            <v>0</v>
          </cell>
          <cell r="G211">
            <v>28000</v>
          </cell>
          <cell r="H211">
            <v>28000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2000</v>
          </cell>
          <cell r="H213">
            <v>2000</v>
          </cell>
        </row>
        <row r="214">
          <cell r="F214">
            <v>0</v>
          </cell>
          <cell r="G214">
            <v>127000</v>
          </cell>
          <cell r="H214">
            <v>127000</v>
          </cell>
        </row>
        <row r="215">
          <cell r="F215">
            <v>0</v>
          </cell>
          <cell r="G215">
            <v>50000</v>
          </cell>
          <cell r="H215">
            <v>50000</v>
          </cell>
        </row>
        <row r="216">
          <cell r="F216">
            <v>0</v>
          </cell>
          <cell r="G216">
            <v>38000</v>
          </cell>
          <cell r="H216">
            <v>38000</v>
          </cell>
        </row>
        <row r="217">
          <cell r="F217">
            <v>0</v>
          </cell>
          <cell r="G217">
            <v>132000</v>
          </cell>
          <cell r="H217">
            <v>132000</v>
          </cell>
        </row>
        <row r="218">
          <cell r="F218">
            <v>0</v>
          </cell>
          <cell r="G218">
            <v>210000</v>
          </cell>
          <cell r="H218">
            <v>210000</v>
          </cell>
        </row>
        <row r="219">
          <cell r="F219">
            <v>0</v>
          </cell>
          <cell r="G219">
            <v>81000</v>
          </cell>
          <cell r="H219">
            <v>81000</v>
          </cell>
        </row>
        <row r="220">
          <cell r="F220">
            <v>0</v>
          </cell>
          <cell r="G220">
            <v>126000</v>
          </cell>
          <cell r="H220">
            <v>126000</v>
          </cell>
        </row>
        <row r="223">
          <cell r="F223">
            <v>175</v>
          </cell>
          <cell r="G223">
            <v>3140000</v>
          </cell>
          <cell r="H223">
            <v>3437500</v>
          </cell>
        </row>
        <row r="224">
          <cell r="F224">
            <v>0</v>
          </cell>
          <cell r="G224">
            <v>2925900</v>
          </cell>
          <cell r="H224">
            <v>2925900</v>
          </cell>
        </row>
        <row r="225">
          <cell r="F225">
            <v>469</v>
          </cell>
          <cell r="G225">
            <v>1198500</v>
          </cell>
          <cell r="H225">
            <v>1995800</v>
          </cell>
        </row>
        <row r="226">
          <cell r="F226">
            <v>1230</v>
          </cell>
          <cell r="G226">
            <v>908800</v>
          </cell>
          <cell r="H226">
            <v>2999800</v>
          </cell>
        </row>
        <row r="227">
          <cell r="F227">
            <v>836</v>
          </cell>
          <cell r="G227">
            <v>1076100</v>
          </cell>
          <cell r="H227">
            <v>2497300</v>
          </cell>
        </row>
        <row r="228">
          <cell r="F228">
            <v>420</v>
          </cell>
          <cell r="G228">
            <v>410800</v>
          </cell>
          <cell r="H228">
            <v>1124800</v>
          </cell>
        </row>
        <row r="229">
          <cell r="F229">
            <v>838</v>
          </cell>
          <cell r="G229">
            <v>1425700</v>
          </cell>
          <cell r="H229">
            <v>2850300</v>
          </cell>
        </row>
        <row r="230">
          <cell r="F230">
            <v>1360</v>
          </cell>
          <cell r="G230">
            <v>1638900</v>
          </cell>
          <cell r="H230">
            <v>3950900</v>
          </cell>
        </row>
        <row r="231">
          <cell r="F231">
            <v>2</v>
          </cell>
          <cell r="G231">
            <v>2697500</v>
          </cell>
          <cell r="H231">
            <v>2700900</v>
          </cell>
        </row>
        <row r="232">
          <cell r="F232">
            <v>0</v>
          </cell>
          <cell r="G232">
            <v>2843300</v>
          </cell>
          <cell r="H232">
            <v>2843300</v>
          </cell>
        </row>
        <row r="233">
          <cell r="F233">
            <v>1058</v>
          </cell>
          <cell r="G233">
            <v>1013800</v>
          </cell>
          <cell r="H233">
            <v>2812400</v>
          </cell>
        </row>
        <row r="234">
          <cell r="F234">
            <v>1434</v>
          </cell>
          <cell r="G234">
            <v>619050</v>
          </cell>
          <cell r="H234">
            <v>3056850</v>
          </cell>
        </row>
        <row r="235">
          <cell r="F235">
            <v>0</v>
          </cell>
          <cell r="G235">
            <v>574400</v>
          </cell>
          <cell r="H235">
            <v>574400</v>
          </cell>
        </row>
        <row r="236">
          <cell r="F236">
            <v>0</v>
          </cell>
          <cell r="G236">
            <v>592100</v>
          </cell>
          <cell r="H236">
            <v>592100</v>
          </cell>
        </row>
        <row r="237">
          <cell r="F237">
            <v>87</v>
          </cell>
          <cell r="G237">
            <v>2381800</v>
          </cell>
          <cell r="H237">
            <v>2529700</v>
          </cell>
        </row>
        <row r="238">
          <cell r="F238">
            <v>565</v>
          </cell>
          <cell r="G238">
            <v>705200</v>
          </cell>
          <cell r="H238">
            <v>1665700</v>
          </cell>
        </row>
        <row r="239">
          <cell r="F239">
            <v>215</v>
          </cell>
          <cell r="G239">
            <v>2707600</v>
          </cell>
          <cell r="H239">
            <v>3073100</v>
          </cell>
        </row>
        <row r="240">
          <cell r="F240">
            <v>920</v>
          </cell>
          <cell r="G240">
            <v>1079100</v>
          </cell>
          <cell r="H240">
            <v>2643100</v>
          </cell>
        </row>
        <row r="241">
          <cell r="F241">
            <v>912</v>
          </cell>
          <cell r="G241">
            <v>884700</v>
          </cell>
          <cell r="H241">
            <v>2435100</v>
          </cell>
        </row>
        <row r="242">
          <cell r="F242">
            <v>887</v>
          </cell>
          <cell r="G242">
            <v>1442700</v>
          </cell>
          <cell r="H242">
            <v>2950600</v>
          </cell>
        </row>
        <row r="243">
          <cell r="F243">
            <v>756</v>
          </cell>
          <cell r="G243">
            <v>955900</v>
          </cell>
          <cell r="H243">
            <v>2241100</v>
          </cell>
        </row>
        <row r="244">
          <cell r="F244">
            <v>696</v>
          </cell>
          <cell r="G244">
            <v>728800</v>
          </cell>
          <cell r="H244">
            <v>1912000</v>
          </cell>
        </row>
        <row r="245">
          <cell r="F245">
            <v>219</v>
          </cell>
          <cell r="G245">
            <v>148700</v>
          </cell>
          <cell r="H245">
            <v>521000</v>
          </cell>
        </row>
        <row r="246">
          <cell r="F246">
            <v>171</v>
          </cell>
          <cell r="G246">
            <v>1245500</v>
          </cell>
          <cell r="H246">
            <v>1536200</v>
          </cell>
        </row>
        <row r="247">
          <cell r="F247">
            <v>1234</v>
          </cell>
          <cell r="G247">
            <v>654600</v>
          </cell>
          <cell r="H247">
            <v>2752400</v>
          </cell>
        </row>
        <row r="248">
          <cell r="F248">
            <v>236</v>
          </cell>
          <cell r="G248">
            <v>827000</v>
          </cell>
          <cell r="H248">
            <v>1228200</v>
          </cell>
        </row>
        <row r="249">
          <cell r="F249">
            <v>196</v>
          </cell>
          <cell r="G249">
            <v>1901000</v>
          </cell>
          <cell r="H249">
            <v>2234200</v>
          </cell>
        </row>
        <row r="250">
          <cell r="F250">
            <v>209</v>
          </cell>
          <cell r="G250">
            <v>2903300</v>
          </cell>
          <cell r="H250">
            <v>3258600</v>
          </cell>
        </row>
        <row r="251">
          <cell r="F251">
            <v>341</v>
          </cell>
          <cell r="G251">
            <v>1872850</v>
          </cell>
          <cell r="H251">
            <v>2452550</v>
          </cell>
        </row>
        <row r="252">
          <cell r="F252">
            <v>152</v>
          </cell>
          <cell r="G252">
            <v>791450</v>
          </cell>
          <cell r="H252">
            <v>1049850</v>
          </cell>
        </row>
        <row r="253">
          <cell r="F253">
            <v>33</v>
          </cell>
          <cell r="G253">
            <v>2980000</v>
          </cell>
          <cell r="H253">
            <v>3036100</v>
          </cell>
        </row>
        <row r="254">
          <cell r="F254">
            <v>491</v>
          </cell>
          <cell r="G254">
            <v>1492900</v>
          </cell>
          <cell r="H254">
            <v>2327600</v>
          </cell>
        </row>
        <row r="255">
          <cell r="F255">
            <v>236</v>
          </cell>
          <cell r="G255">
            <v>551500</v>
          </cell>
          <cell r="H255">
            <v>952700</v>
          </cell>
        </row>
        <row r="256">
          <cell r="F256">
            <v>183</v>
          </cell>
          <cell r="G256">
            <v>1904100</v>
          </cell>
          <cell r="H256">
            <v>2215200</v>
          </cell>
        </row>
        <row r="257">
          <cell r="F257">
            <v>955</v>
          </cell>
          <cell r="G257">
            <v>1093350</v>
          </cell>
          <cell r="H257">
            <v>2716850</v>
          </cell>
        </row>
        <row r="260">
          <cell r="G260">
            <v>41000</v>
          </cell>
          <cell r="H260">
            <v>41000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10074</v>
          </cell>
          <cell r="G10">
            <v>3839300</v>
          </cell>
          <cell r="H10">
            <v>20965100</v>
          </cell>
        </row>
        <row r="14">
          <cell r="F14">
            <v>4999</v>
          </cell>
          <cell r="G14">
            <v>1226600</v>
          </cell>
          <cell r="H14">
            <v>9724900</v>
          </cell>
        </row>
        <row r="15">
          <cell r="F15">
            <v>4776</v>
          </cell>
          <cell r="G15">
            <v>1075100</v>
          </cell>
          <cell r="H15">
            <v>9194300</v>
          </cell>
        </row>
        <row r="16">
          <cell r="F16">
            <v>5864</v>
          </cell>
          <cell r="G16">
            <v>1344100</v>
          </cell>
          <cell r="H16">
            <v>11312900</v>
          </cell>
        </row>
        <row r="17">
          <cell r="F17">
            <v>3786</v>
          </cell>
          <cell r="G17">
            <v>1000300</v>
          </cell>
          <cell r="H17">
            <v>7436500</v>
          </cell>
        </row>
        <row r="18">
          <cell r="F18">
            <v>4946</v>
          </cell>
          <cell r="G18">
            <v>1390500</v>
          </cell>
          <cell r="H18">
            <v>9798700</v>
          </cell>
        </row>
        <row r="19">
          <cell r="F19">
            <v>5403</v>
          </cell>
          <cell r="G19">
            <v>1875600</v>
          </cell>
          <cell r="H19">
            <v>11060700</v>
          </cell>
        </row>
        <row r="20">
          <cell r="F20">
            <v>2928</v>
          </cell>
          <cell r="G20">
            <v>1156400</v>
          </cell>
          <cell r="H20">
            <v>6134000</v>
          </cell>
        </row>
        <row r="21">
          <cell r="F21">
            <v>3557</v>
          </cell>
          <cell r="G21">
            <v>1093300</v>
          </cell>
          <cell r="H21">
            <v>7140200</v>
          </cell>
        </row>
        <row r="22">
          <cell r="F22">
            <v>7348</v>
          </cell>
          <cell r="G22">
            <v>2746600</v>
          </cell>
          <cell r="H22">
            <v>15238200</v>
          </cell>
        </row>
        <row r="23">
          <cell r="F23">
            <v>3021</v>
          </cell>
          <cell r="G23">
            <v>813550</v>
          </cell>
          <cell r="H23">
            <v>5949250</v>
          </cell>
        </row>
        <row r="24">
          <cell r="F24">
            <v>2595</v>
          </cell>
          <cell r="G24">
            <v>1010800</v>
          </cell>
          <cell r="H24">
            <v>5422300</v>
          </cell>
        </row>
        <row r="25">
          <cell r="F25">
            <v>2399</v>
          </cell>
          <cell r="G25">
            <v>630700</v>
          </cell>
          <cell r="H25">
            <v>4709000</v>
          </cell>
        </row>
        <row r="26">
          <cell r="F26">
            <v>5158</v>
          </cell>
          <cell r="G26">
            <v>1312400</v>
          </cell>
          <cell r="H26">
            <v>10081000</v>
          </cell>
        </row>
        <row r="27">
          <cell r="F27">
            <v>13023</v>
          </cell>
          <cell r="G27">
            <v>5716300</v>
          </cell>
          <cell r="H27">
            <v>27855400</v>
          </cell>
        </row>
        <row r="28">
          <cell r="F28">
            <v>10203</v>
          </cell>
          <cell r="G28">
            <v>3444550</v>
          </cell>
          <cell r="H28">
            <v>20789650</v>
          </cell>
        </row>
        <row r="29">
          <cell r="F29">
            <v>8341</v>
          </cell>
          <cell r="G29">
            <v>3619200</v>
          </cell>
          <cell r="H29">
            <v>17798900</v>
          </cell>
        </row>
        <row r="30">
          <cell r="F30">
            <v>14057</v>
          </cell>
          <cell r="G30">
            <v>3758900</v>
          </cell>
          <cell r="H30">
            <v>27655800</v>
          </cell>
        </row>
        <row r="31">
          <cell r="F31">
            <v>7445</v>
          </cell>
          <cell r="G31">
            <v>2863800</v>
          </cell>
          <cell r="H31">
            <v>15520300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9002</v>
          </cell>
          <cell r="G33">
            <v>2350500</v>
          </cell>
          <cell r="H33">
            <v>17653900</v>
          </cell>
        </row>
        <row r="34">
          <cell r="F34">
            <v>12467</v>
          </cell>
          <cell r="G34">
            <v>3068200</v>
          </cell>
          <cell r="H34">
            <v>24262100</v>
          </cell>
        </row>
        <row r="35">
          <cell r="F35">
            <v>10199</v>
          </cell>
          <cell r="G35">
            <v>3296900</v>
          </cell>
          <cell r="H35">
            <v>20635200</v>
          </cell>
        </row>
        <row r="36">
          <cell r="F36">
            <v>11570</v>
          </cell>
          <cell r="G36">
            <v>4223200</v>
          </cell>
          <cell r="H36">
            <v>23892200</v>
          </cell>
        </row>
        <row r="37">
          <cell r="F37">
            <v>2931</v>
          </cell>
          <cell r="G37">
            <v>1928250</v>
          </cell>
          <cell r="H37">
            <v>6910950</v>
          </cell>
        </row>
        <row r="38">
          <cell r="F38">
            <v>5783</v>
          </cell>
          <cell r="G38">
            <v>2698500</v>
          </cell>
          <cell r="H38">
            <v>12529600</v>
          </cell>
        </row>
        <row r="39">
          <cell r="F39">
            <v>2060</v>
          </cell>
          <cell r="G39">
            <v>1549500</v>
          </cell>
          <cell r="H39">
            <v>5051500</v>
          </cell>
        </row>
        <row r="40">
          <cell r="F40">
            <v>11113</v>
          </cell>
          <cell r="G40">
            <v>5088700</v>
          </cell>
          <cell r="H40">
            <v>23980800</v>
          </cell>
        </row>
        <row r="41">
          <cell r="F41">
            <v>5790</v>
          </cell>
          <cell r="G41">
            <v>1543800</v>
          </cell>
          <cell r="H41">
            <v>11386800</v>
          </cell>
        </row>
        <row r="42">
          <cell r="F42">
            <v>1557</v>
          </cell>
          <cell r="G42">
            <v>918450</v>
          </cell>
          <cell r="H42">
            <v>3565350</v>
          </cell>
        </row>
        <row r="43">
          <cell r="F43">
            <v>3786</v>
          </cell>
          <cell r="G43">
            <v>915900</v>
          </cell>
          <cell r="H43">
            <v>7352100</v>
          </cell>
        </row>
        <row r="44">
          <cell r="F44">
            <v>746</v>
          </cell>
          <cell r="G44">
            <v>351200</v>
          </cell>
          <cell r="H44">
            <v>1619400</v>
          </cell>
        </row>
        <row r="45">
          <cell r="F45">
            <v>13263</v>
          </cell>
          <cell r="G45">
            <v>3149700</v>
          </cell>
          <cell r="H45">
            <v>25696800</v>
          </cell>
        </row>
        <row r="46">
          <cell r="F46">
            <v>1916</v>
          </cell>
          <cell r="G46">
            <v>1222200</v>
          </cell>
          <cell r="H46">
            <v>4479400</v>
          </cell>
        </row>
        <row r="47">
          <cell r="F47">
            <v>21144</v>
          </cell>
          <cell r="G47">
            <v>5349100</v>
          </cell>
          <cell r="H47">
            <v>41293900</v>
          </cell>
        </row>
        <row r="52">
          <cell r="F52">
            <v>7554</v>
          </cell>
          <cell r="G52">
            <v>1991350</v>
          </cell>
          <cell r="H52">
            <v>14833150</v>
          </cell>
        </row>
        <row r="53">
          <cell r="F53">
            <v>6450</v>
          </cell>
          <cell r="G53">
            <v>2250300</v>
          </cell>
          <cell r="H53">
            <v>13215300</v>
          </cell>
        </row>
        <row r="54">
          <cell r="F54">
            <v>13428</v>
          </cell>
          <cell r="G54">
            <v>4263400</v>
          </cell>
          <cell r="H54">
            <v>27091000</v>
          </cell>
        </row>
        <row r="55">
          <cell r="F55">
            <v>5167</v>
          </cell>
          <cell r="G55">
            <v>2239000</v>
          </cell>
          <cell r="H55">
            <v>11022900</v>
          </cell>
        </row>
        <row r="56">
          <cell r="F56">
            <v>3693</v>
          </cell>
          <cell r="G56">
            <v>768700</v>
          </cell>
          <cell r="H56">
            <v>7046800</v>
          </cell>
        </row>
        <row r="57">
          <cell r="F57">
            <v>9252</v>
          </cell>
          <cell r="G57">
            <v>2792900</v>
          </cell>
          <cell r="H57">
            <v>18521300</v>
          </cell>
        </row>
        <row r="58">
          <cell r="F58">
            <v>13105</v>
          </cell>
          <cell r="G58">
            <v>3347300</v>
          </cell>
          <cell r="H58">
            <v>25625800</v>
          </cell>
        </row>
        <row r="59">
          <cell r="F59">
            <v>6669</v>
          </cell>
          <cell r="G59">
            <v>2022600</v>
          </cell>
          <cell r="H59">
            <v>13359900</v>
          </cell>
        </row>
        <row r="60">
          <cell r="F60">
            <v>6593</v>
          </cell>
          <cell r="G60">
            <v>1551800</v>
          </cell>
          <cell r="H60">
            <v>12759900</v>
          </cell>
        </row>
        <row r="61">
          <cell r="F61">
            <v>4612</v>
          </cell>
          <cell r="G61">
            <v>1226300</v>
          </cell>
          <cell r="H61">
            <v>9066700</v>
          </cell>
        </row>
        <row r="62">
          <cell r="F62">
            <v>11094</v>
          </cell>
          <cell r="G62">
            <v>2855200</v>
          </cell>
          <cell r="H62">
            <v>21715000</v>
          </cell>
        </row>
        <row r="63">
          <cell r="F63">
            <v>9730</v>
          </cell>
          <cell r="G63">
            <v>3082600</v>
          </cell>
          <cell r="H63">
            <v>19623600</v>
          </cell>
        </row>
        <row r="64">
          <cell r="F64">
            <v>8877</v>
          </cell>
          <cell r="G64">
            <v>2374700</v>
          </cell>
          <cell r="H64">
            <v>17465600</v>
          </cell>
        </row>
        <row r="65">
          <cell r="F65">
            <v>5613</v>
          </cell>
          <cell r="G65">
            <v>2343300</v>
          </cell>
          <cell r="H65">
            <v>11885400</v>
          </cell>
        </row>
        <row r="66">
          <cell r="F66">
            <v>6907</v>
          </cell>
          <cell r="G66">
            <v>2482300</v>
          </cell>
          <cell r="H66">
            <v>14224200</v>
          </cell>
        </row>
        <row r="67">
          <cell r="F67">
            <v>4611</v>
          </cell>
          <cell r="G67">
            <v>1714000</v>
          </cell>
          <cell r="H67">
            <v>9552700</v>
          </cell>
        </row>
        <row r="68">
          <cell r="F68">
            <v>7625</v>
          </cell>
          <cell r="G68">
            <v>2489300</v>
          </cell>
          <cell r="H68">
            <v>15451800</v>
          </cell>
        </row>
        <row r="69">
          <cell r="F69">
            <v>5649</v>
          </cell>
          <cell r="G69">
            <v>2010200</v>
          </cell>
          <cell r="H69">
            <v>11613500</v>
          </cell>
        </row>
        <row r="70">
          <cell r="F70">
            <v>9631</v>
          </cell>
          <cell r="G70">
            <v>4271200</v>
          </cell>
          <cell r="H70">
            <v>20643900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5694</v>
          </cell>
          <cell r="G72">
            <v>1466900</v>
          </cell>
          <cell r="H72">
            <v>11146700</v>
          </cell>
        </row>
        <row r="73">
          <cell r="F73">
            <v>3600</v>
          </cell>
          <cell r="G73">
            <v>756150</v>
          </cell>
          <cell r="H73">
            <v>6876150</v>
          </cell>
        </row>
        <row r="74">
          <cell r="F74">
            <v>12249</v>
          </cell>
          <cell r="G74">
            <v>2663100</v>
          </cell>
          <cell r="H74">
            <v>23486400</v>
          </cell>
        </row>
        <row r="75">
          <cell r="F75">
            <v>5110</v>
          </cell>
          <cell r="G75">
            <v>1606000</v>
          </cell>
          <cell r="H75">
            <v>10293000</v>
          </cell>
        </row>
        <row r="76">
          <cell r="F76">
            <v>17912</v>
          </cell>
          <cell r="G76">
            <v>4712400</v>
          </cell>
          <cell r="H76">
            <v>35162800</v>
          </cell>
        </row>
        <row r="77">
          <cell r="F77">
            <v>7436</v>
          </cell>
          <cell r="G77">
            <v>1035300</v>
          </cell>
          <cell r="H77">
            <v>13676500</v>
          </cell>
        </row>
        <row r="78">
          <cell r="F78">
            <v>5449</v>
          </cell>
          <cell r="G78">
            <v>1516800</v>
          </cell>
          <cell r="H78">
            <v>10780100</v>
          </cell>
        </row>
        <row r="79">
          <cell r="F79">
            <v>2021</v>
          </cell>
          <cell r="G79">
            <v>388500</v>
          </cell>
          <cell r="H79">
            <v>3824200</v>
          </cell>
        </row>
        <row r="80">
          <cell r="F80">
            <v>4017</v>
          </cell>
          <cell r="G80">
            <v>682950</v>
          </cell>
          <cell r="H80">
            <v>7511850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2668</v>
          </cell>
          <cell r="G84">
            <v>543100</v>
          </cell>
          <cell r="H84">
            <v>5078700</v>
          </cell>
        </row>
        <row r="85">
          <cell r="F85">
            <v>1235</v>
          </cell>
          <cell r="G85">
            <v>212600</v>
          </cell>
          <cell r="H85">
            <v>2312100</v>
          </cell>
        </row>
        <row r="86">
          <cell r="F86">
            <v>2997</v>
          </cell>
          <cell r="G86">
            <v>753200</v>
          </cell>
          <cell r="H86">
            <v>5848100</v>
          </cell>
        </row>
        <row r="87">
          <cell r="F87">
            <v>2797</v>
          </cell>
          <cell r="G87">
            <v>768600</v>
          </cell>
          <cell r="H87">
            <v>5523500</v>
          </cell>
        </row>
        <row r="88">
          <cell r="F88">
            <v>4326</v>
          </cell>
          <cell r="G88">
            <v>1017700</v>
          </cell>
          <cell r="H88">
            <v>8371900</v>
          </cell>
        </row>
        <row r="89">
          <cell r="F89">
            <v>1523</v>
          </cell>
          <cell r="G89">
            <v>577800</v>
          </cell>
          <cell r="H89">
            <v>3166900</v>
          </cell>
        </row>
        <row r="90">
          <cell r="F90">
            <v>2135</v>
          </cell>
          <cell r="G90">
            <v>821600</v>
          </cell>
          <cell r="H90">
            <v>4451100</v>
          </cell>
        </row>
        <row r="91">
          <cell r="F91">
            <v>4031</v>
          </cell>
          <cell r="G91">
            <v>1382200</v>
          </cell>
          <cell r="H91">
            <v>8234900</v>
          </cell>
        </row>
        <row r="92">
          <cell r="F92">
            <v>1888</v>
          </cell>
          <cell r="G92">
            <v>924600</v>
          </cell>
          <cell r="H92">
            <v>4134200</v>
          </cell>
        </row>
        <row r="93">
          <cell r="F93">
            <v>2114</v>
          </cell>
          <cell r="G93">
            <v>784200</v>
          </cell>
          <cell r="H93">
            <v>4378000</v>
          </cell>
        </row>
        <row r="94">
          <cell r="F94">
            <v>488</v>
          </cell>
          <cell r="G94">
            <v>133900</v>
          </cell>
          <cell r="H94">
            <v>963500</v>
          </cell>
        </row>
        <row r="95">
          <cell r="F95">
            <v>2393</v>
          </cell>
          <cell r="G95">
            <v>819700</v>
          </cell>
          <cell r="H95">
            <v>4887800</v>
          </cell>
        </row>
        <row r="96">
          <cell r="F96">
            <v>2867</v>
          </cell>
          <cell r="G96">
            <v>383300</v>
          </cell>
          <cell r="H96">
            <v>5257200</v>
          </cell>
        </row>
        <row r="97">
          <cell r="F97">
            <v>5551</v>
          </cell>
          <cell r="G97">
            <v>916300</v>
          </cell>
          <cell r="H97">
            <v>10353000</v>
          </cell>
        </row>
        <row r="98">
          <cell r="F98">
            <v>2964</v>
          </cell>
          <cell r="G98">
            <v>439700</v>
          </cell>
          <cell r="H98">
            <v>5478500</v>
          </cell>
        </row>
        <row r="99">
          <cell r="F99">
            <v>6234</v>
          </cell>
          <cell r="G99">
            <v>1275900</v>
          </cell>
          <cell r="H99">
            <v>11873700</v>
          </cell>
        </row>
        <row r="100">
          <cell r="F100">
            <v>6820</v>
          </cell>
          <cell r="G100">
            <v>1446700</v>
          </cell>
          <cell r="H100">
            <v>13040700</v>
          </cell>
        </row>
        <row r="101">
          <cell r="F101">
            <v>2349</v>
          </cell>
          <cell r="G101">
            <v>426000</v>
          </cell>
          <cell r="H101">
            <v>4419300</v>
          </cell>
        </row>
        <row r="102">
          <cell r="F102">
            <v>12700</v>
          </cell>
          <cell r="G102">
            <v>1609600</v>
          </cell>
          <cell r="H102">
            <v>23199600</v>
          </cell>
        </row>
        <row r="103">
          <cell r="F103">
            <v>10263</v>
          </cell>
          <cell r="G103">
            <v>1864000</v>
          </cell>
          <cell r="H103">
            <v>19311100</v>
          </cell>
        </row>
        <row r="104">
          <cell r="F104">
            <v>4790</v>
          </cell>
          <cell r="G104">
            <v>1198200</v>
          </cell>
          <cell r="H104">
            <v>9341200</v>
          </cell>
        </row>
        <row r="105">
          <cell r="F105">
            <v>2848</v>
          </cell>
          <cell r="G105">
            <v>964000</v>
          </cell>
          <cell r="H105">
            <v>5805600</v>
          </cell>
        </row>
        <row r="106">
          <cell r="F106">
            <v>2607</v>
          </cell>
          <cell r="G106">
            <v>850000</v>
          </cell>
          <cell r="H106">
            <v>5281900</v>
          </cell>
        </row>
        <row r="107">
          <cell r="F107">
            <v>4554</v>
          </cell>
          <cell r="G107">
            <v>586900</v>
          </cell>
          <cell r="H107">
            <v>8328700</v>
          </cell>
        </row>
        <row r="108">
          <cell r="F108">
            <v>4371</v>
          </cell>
          <cell r="G108">
            <v>851700</v>
          </cell>
          <cell r="H108">
            <v>8282400</v>
          </cell>
        </row>
        <row r="109">
          <cell r="F109">
            <v>2866</v>
          </cell>
          <cell r="G109">
            <v>797700</v>
          </cell>
          <cell r="H109">
            <v>5669900</v>
          </cell>
        </row>
        <row r="110">
          <cell r="F110">
            <v>1797</v>
          </cell>
          <cell r="G110">
            <v>379100</v>
          </cell>
          <cell r="H110">
            <v>3434000</v>
          </cell>
        </row>
        <row r="111">
          <cell r="F111">
            <v>4727</v>
          </cell>
          <cell r="G111">
            <v>1196100</v>
          </cell>
          <cell r="H111">
            <v>9232000</v>
          </cell>
        </row>
        <row r="112">
          <cell r="F112">
            <v>3087</v>
          </cell>
          <cell r="G112">
            <v>925100</v>
          </cell>
          <cell r="H112">
            <v>6173000</v>
          </cell>
        </row>
        <row r="113">
          <cell r="F113">
            <v>3633</v>
          </cell>
          <cell r="G113">
            <v>1617100</v>
          </cell>
          <cell r="H113">
            <v>7793200</v>
          </cell>
        </row>
        <row r="114">
          <cell r="F114">
            <v>290</v>
          </cell>
          <cell r="G114">
            <v>122300</v>
          </cell>
          <cell r="H114">
            <v>615300</v>
          </cell>
        </row>
        <row r="115">
          <cell r="F115">
            <v>1942</v>
          </cell>
          <cell r="G115">
            <v>343100</v>
          </cell>
          <cell r="H115">
            <v>3644500</v>
          </cell>
        </row>
        <row r="116">
          <cell r="F116">
            <v>277</v>
          </cell>
          <cell r="G116">
            <v>49900</v>
          </cell>
          <cell r="H116">
            <v>520800</v>
          </cell>
        </row>
        <row r="117">
          <cell r="F117">
            <v>1923</v>
          </cell>
          <cell r="G117">
            <v>337900</v>
          </cell>
          <cell r="H117">
            <v>3607000</v>
          </cell>
        </row>
        <row r="118">
          <cell r="F118">
            <v>3213</v>
          </cell>
          <cell r="G118">
            <v>791300</v>
          </cell>
          <cell r="H118">
            <v>6253400</v>
          </cell>
        </row>
        <row r="121">
          <cell r="F121">
            <v>41073</v>
          </cell>
          <cell r="G121">
            <v>4400800</v>
          </cell>
        </row>
        <row r="122">
          <cell r="F122">
            <v>8686</v>
          </cell>
          <cell r="G122">
            <v>11549850</v>
          </cell>
          <cell r="H122">
            <v>26316050</v>
          </cell>
        </row>
        <row r="133">
          <cell r="F133">
            <v>153808</v>
          </cell>
          <cell r="G133">
            <v>44057450</v>
          </cell>
          <cell r="H133">
            <v>305531050</v>
          </cell>
        </row>
        <row r="135">
          <cell r="F135">
            <v>202</v>
          </cell>
          <cell r="G135">
            <v>207100</v>
          </cell>
          <cell r="H135">
            <v>550500</v>
          </cell>
        </row>
        <row r="136">
          <cell r="F136">
            <v>4585</v>
          </cell>
          <cell r="G136">
            <v>2263350</v>
          </cell>
          <cell r="H136">
            <v>10057850</v>
          </cell>
        </row>
        <row r="137">
          <cell r="F137">
            <v>294</v>
          </cell>
          <cell r="G137">
            <v>377700</v>
          </cell>
          <cell r="H137">
            <v>877500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170</v>
          </cell>
          <cell r="G139">
            <v>237500</v>
          </cell>
          <cell r="H139">
            <v>526500</v>
          </cell>
        </row>
        <row r="140">
          <cell r="F140">
            <v>445</v>
          </cell>
          <cell r="G140">
            <v>377600</v>
          </cell>
          <cell r="H140">
            <v>1134100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150</v>
          </cell>
          <cell r="G142">
            <v>258200</v>
          </cell>
          <cell r="H142">
            <v>513200</v>
          </cell>
        </row>
        <row r="143">
          <cell r="F143">
            <v>273</v>
          </cell>
          <cell r="G143">
            <v>564900</v>
          </cell>
          <cell r="H143">
            <v>1029000</v>
          </cell>
        </row>
        <row r="144">
          <cell r="F144">
            <v>248</v>
          </cell>
          <cell r="G144">
            <v>488200</v>
          </cell>
          <cell r="H144">
            <v>909800</v>
          </cell>
          <cell r="M144">
            <v>965322</v>
          </cell>
        </row>
        <row r="145">
          <cell r="F145">
            <v>52</v>
          </cell>
          <cell r="G145">
            <v>137800</v>
          </cell>
          <cell r="H145">
            <v>226200</v>
          </cell>
        </row>
        <row r="146">
          <cell r="F146">
            <v>155</v>
          </cell>
          <cell r="G146">
            <v>78100</v>
          </cell>
          <cell r="H146">
            <v>341600</v>
          </cell>
        </row>
        <row r="147">
          <cell r="F147">
            <v>270</v>
          </cell>
          <cell r="G147">
            <v>403400</v>
          </cell>
          <cell r="H147">
            <v>862400</v>
          </cell>
        </row>
        <row r="148">
          <cell r="F148">
            <v>561</v>
          </cell>
          <cell r="G148">
            <v>1213300</v>
          </cell>
          <cell r="H148">
            <v>2167000</v>
          </cell>
        </row>
        <row r="149">
          <cell r="F149">
            <v>189</v>
          </cell>
          <cell r="G149">
            <v>310500</v>
          </cell>
          <cell r="H149">
            <v>631800</v>
          </cell>
        </row>
        <row r="150">
          <cell r="F150">
            <v>228</v>
          </cell>
          <cell r="G150">
            <v>140600</v>
          </cell>
          <cell r="H150">
            <v>528200</v>
          </cell>
        </row>
        <row r="153">
          <cell r="F153">
            <v>0</v>
          </cell>
          <cell r="G153">
            <v>35000</v>
          </cell>
          <cell r="H153">
            <v>35000</v>
          </cell>
        </row>
        <row r="154">
          <cell r="F154">
            <v>0</v>
          </cell>
          <cell r="G154">
            <v>48000</v>
          </cell>
          <cell r="H154">
            <v>48000</v>
          </cell>
        </row>
        <row r="155">
          <cell r="F155">
            <v>0</v>
          </cell>
          <cell r="G155">
            <v>166000</v>
          </cell>
          <cell r="H155">
            <v>166000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994000</v>
          </cell>
          <cell r="H158">
            <v>994000</v>
          </cell>
        </row>
        <row r="159">
          <cell r="F159">
            <v>0</v>
          </cell>
          <cell r="G159">
            <v>1244000</v>
          </cell>
          <cell r="H159">
            <v>1244000</v>
          </cell>
        </row>
        <row r="160">
          <cell r="F160">
            <v>0</v>
          </cell>
          <cell r="G160">
            <v>1541000</v>
          </cell>
          <cell r="H160">
            <v>1541000</v>
          </cell>
        </row>
        <row r="161">
          <cell r="F161">
            <v>0</v>
          </cell>
          <cell r="G161">
            <v>1516000</v>
          </cell>
          <cell r="H161">
            <v>1516000</v>
          </cell>
        </row>
        <row r="162">
          <cell r="F162">
            <v>0</v>
          </cell>
          <cell r="G162">
            <v>851000</v>
          </cell>
          <cell r="H162">
            <v>851000</v>
          </cell>
        </row>
        <row r="163">
          <cell r="F163">
            <v>0</v>
          </cell>
          <cell r="G163">
            <v>920000</v>
          </cell>
          <cell r="H163">
            <v>920000</v>
          </cell>
        </row>
        <row r="164">
          <cell r="F164">
            <v>0</v>
          </cell>
          <cell r="G164">
            <v>255000</v>
          </cell>
          <cell r="H164">
            <v>255000</v>
          </cell>
        </row>
        <row r="165">
          <cell r="F165">
            <v>0</v>
          </cell>
          <cell r="G165">
            <v>714000</v>
          </cell>
          <cell r="H165">
            <v>714000</v>
          </cell>
        </row>
        <row r="166">
          <cell r="F166">
            <v>0</v>
          </cell>
          <cell r="G166">
            <v>71000</v>
          </cell>
          <cell r="H166">
            <v>71000</v>
          </cell>
        </row>
        <row r="167">
          <cell r="F167">
            <v>0</v>
          </cell>
          <cell r="G167">
            <v>206000</v>
          </cell>
          <cell r="H167">
            <v>206000</v>
          </cell>
        </row>
        <row r="168">
          <cell r="F168">
            <v>0</v>
          </cell>
          <cell r="G168">
            <v>13000</v>
          </cell>
          <cell r="H168">
            <v>13000</v>
          </cell>
        </row>
        <row r="169">
          <cell r="F169">
            <v>0</v>
          </cell>
          <cell r="G169">
            <v>11000</v>
          </cell>
          <cell r="H169">
            <v>11000</v>
          </cell>
        </row>
        <row r="170">
          <cell r="F170">
            <v>0</v>
          </cell>
          <cell r="G170">
            <v>55000</v>
          </cell>
          <cell r="H170">
            <v>55000</v>
          </cell>
        </row>
        <row r="171">
          <cell r="F171">
            <v>0</v>
          </cell>
          <cell r="G171">
            <v>89000</v>
          </cell>
          <cell r="H171">
            <v>89000</v>
          </cell>
        </row>
        <row r="172">
          <cell r="F172">
            <v>0</v>
          </cell>
          <cell r="G172">
            <v>22000</v>
          </cell>
          <cell r="H172">
            <v>22000</v>
          </cell>
        </row>
        <row r="173">
          <cell r="F173">
            <v>0</v>
          </cell>
          <cell r="G173">
            <v>27000</v>
          </cell>
          <cell r="H173">
            <v>27000</v>
          </cell>
        </row>
        <row r="174">
          <cell r="F174">
            <v>0</v>
          </cell>
          <cell r="G174">
            <v>6000</v>
          </cell>
          <cell r="H174">
            <v>6000</v>
          </cell>
        </row>
        <row r="175">
          <cell r="F175">
            <v>0</v>
          </cell>
          <cell r="G175">
            <v>5000</v>
          </cell>
          <cell r="H175">
            <v>5000</v>
          </cell>
        </row>
        <row r="176">
          <cell r="F176">
            <v>0</v>
          </cell>
          <cell r="G176">
            <v>42000</v>
          </cell>
          <cell r="H176">
            <v>42000</v>
          </cell>
        </row>
        <row r="177">
          <cell r="F177">
            <v>0</v>
          </cell>
          <cell r="G177">
            <v>360000</v>
          </cell>
          <cell r="H177">
            <v>360000</v>
          </cell>
        </row>
        <row r="178">
          <cell r="F178">
            <v>0</v>
          </cell>
          <cell r="G178">
            <v>355000</v>
          </cell>
          <cell r="H178">
            <v>355000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5000</v>
          </cell>
          <cell r="H180">
            <v>5000</v>
          </cell>
        </row>
        <row r="181">
          <cell r="F181">
            <v>0</v>
          </cell>
          <cell r="G181">
            <v>21000</v>
          </cell>
          <cell r="H181">
            <v>21000</v>
          </cell>
        </row>
        <row r="182">
          <cell r="F182">
            <v>0</v>
          </cell>
          <cell r="G182">
            <v>37000</v>
          </cell>
          <cell r="H182">
            <v>37000</v>
          </cell>
        </row>
        <row r="183">
          <cell r="F183">
            <v>0</v>
          </cell>
          <cell r="G183">
            <v>262000</v>
          </cell>
          <cell r="H183">
            <v>262000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160000</v>
          </cell>
          <cell r="H185">
            <v>160000</v>
          </cell>
        </row>
        <row r="186">
          <cell r="F186">
            <v>0</v>
          </cell>
          <cell r="G186">
            <v>1000</v>
          </cell>
          <cell r="H186">
            <v>1000</v>
          </cell>
        </row>
        <row r="187">
          <cell r="F187">
            <v>0</v>
          </cell>
          <cell r="G187">
            <v>406000</v>
          </cell>
          <cell r="H187">
            <v>406000</v>
          </cell>
        </row>
        <row r="188">
          <cell r="F188">
            <v>0</v>
          </cell>
          <cell r="G188">
            <v>5000</v>
          </cell>
          <cell r="H188">
            <v>5000</v>
          </cell>
        </row>
        <row r="189">
          <cell r="F189">
            <v>0</v>
          </cell>
          <cell r="G189">
            <v>39000</v>
          </cell>
          <cell r="H189">
            <v>39000</v>
          </cell>
        </row>
        <row r="190">
          <cell r="F190">
            <v>0</v>
          </cell>
          <cell r="G190">
            <v>99000</v>
          </cell>
          <cell r="H190">
            <v>99000</v>
          </cell>
        </row>
        <row r="191">
          <cell r="F191">
            <v>0</v>
          </cell>
          <cell r="G191">
            <v>46000</v>
          </cell>
          <cell r="H191">
            <v>46000</v>
          </cell>
        </row>
        <row r="192">
          <cell r="F192">
            <v>0</v>
          </cell>
          <cell r="G192">
            <v>32000</v>
          </cell>
          <cell r="H192">
            <v>32000</v>
          </cell>
        </row>
        <row r="193">
          <cell r="F193">
            <v>0</v>
          </cell>
          <cell r="G193">
            <v>246000</v>
          </cell>
          <cell r="H193">
            <v>246000</v>
          </cell>
        </row>
        <row r="194">
          <cell r="F194">
            <v>0</v>
          </cell>
          <cell r="G194">
            <v>47000</v>
          </cell>
          <cell r="H194">
            <v>47000</v>
          </cell>
        </row>
        <row r="195">
          <cell r="F195">
            <v>0</v>
          </cell>
          <cell r="G195">
            <v>78000</v>
          </cell>
          <cell r="H195">
            <v>78000</v>
          </cell>
        </row>
        <row r="196">
          <cell r="F196">
            <v>0</v>
          </cell>
          <cell r="G196">
            <v>47000</v>
          </cell>
          <cell r="H196">
            <v>47000</v>
          </cell>
        </row>
        <row r="197">
          <cell r="F197">
            <v>0</v>
          </cell>
          <cell r="G197">
            <v>20000</v>
          </cell>
          <cell r="H197">
            <v>20000</v>
          </cell>
        </row>
        <row r="198">
          <cell r="F198">
            <v>0</v>
          </cell>
          <cell r="G198">
            <v>100000</v>
          </cell>
          <cell r="H198">
            <v>100000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20000</v>
          </cell>
          <cell r="H200">
            <v>20000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55000</v>
          </cell>
          <cell r="H202">
            <v>55000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259000</v>
          </cell>
          <cell r="H204">
            <v>259000</v>
          </cell>
        </row>
        <row r="205">
          <cell r="F205">
            <v>0</v>
          </cell>
          <cell r="G205">
            <v>73000</v>
          </cell>
          <cell r="H205">
            <v>73000</v>
          </cell>
        </row>
        <row r="206">
          <cell r="F206">
            <v>0</v>
          </cell>
          <cell r="G206">
            <v>23000</v>
          </cell>
          <cell r="H206">
            <v>23000</v>
          </cell>
        </row>
        <row r="207">
          <cell r="F207">
            <v>0</v>
          </cell>
          <cell r="G207">
            <v>157000</v>
          </cell>
          <cell r="H207">
            <v>157000</v>
          </cell>
        </row>
        <row r="208">
          <cell r="F208">
            <v>0</v>
          </cell>
          <cell r="G208">
            <v>96000</v>
          </cell>
          <cell r="H208">
            <v>96000</v>
          </cell>
        </row>
        <row r="209">
          <cell r="F209">
            <v>0</v>
          </cell>
          <cell r="G209">
            <v>150000</v>
          </cell>
          <cell r="H209">
            <v>150000</v>
          </cell>
        </row>
        <row r="210">
          <cell r="F210">
            <v>0</v>
          </cell>
          <cell r="G210">
            <v>512000</v>
          </cell>
          <cell r="H210">
            <v>512000</v>
          </cell>
        </row>
        <row r="211">
          <cell r="F211">
            <v>0</v>
          </cell>
          <cell r="G211">
            <v>43000</v>
          </cell>
          <cell r="H211">
            <v>43000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54000</v>
          </cell>
          <cell r="H214">
            <v>54000</v>
          </cell>
        </row>
        <row r="215">
          <cell r="F215">
            <v>0</v>
          </cell>
          <cell r="G215">
            <v>27000</v>
          </cell>
          <cell r="H215">
            <v>27000</v>
          </cell>
        </row>
        <row r="216">
          <cell r="F216">
            <v>0</v>
          </cell>
          <cell r="G216">
            <v>903000</v>
          </cell>
          <cell r="H216">
            <v>903000</v>
          </cell>
        </row>
        <row r="217">
          <cell r="F217">
            <v>0</v>
          </cell>
          <cell r="G217">
            <v>72000</v>
          </cell>
          <cell r="H217">
            <v>72000</v>
          </cell>
        </row>
        <row r="218">
          <cell r="F218">
            <v>0</v>
          </cell>
          <cell r="G218">
            <v>161000</v>
          </cell>
          <cell r="H218">
            <v>161000</v>
          </cell>
        </row>
        <row r="219">
          <cell r="F219">
            <v>0</v>
          </cell>
          <cell r="G219">
            <v>71000</v>
          </cell>
          <cell r="H219">
            <v>71000</v>
          </cell>
        </row>
        <row r="220">
          <cell r="F220">
            <v>0</v>
          </cell>
          <cell r="G220">
            <v>98000</v>
          </cell>
          <cell r="H220">
            <v>98000</v>
          </cell>
        </row>
        <row r="223">
          <cell r="F223">
            <v>472</v>
          </cell>
          <cell r="G223">
            <v>1288300</v>
          </cell>
          <cell r="H223">
            <v>2090700</v>
          </cell>
        </row>
        <row r="224">
          <cell r="F224">
            <v>0</v>
          </cell>
          <cell r="G224">
            <v>2063800</v>
          </cell>
          <cell r="H224">
            <v>2063800</v>
          </cell>
        </row>
        <row r="225">
          <cell r="F225">
            <v>509</v>
          </cell>
          <cell r="G225">
            <v>849000</v>
          </cell>
          <cell r="H225">
            <v>1714300</v>
          </cell>
        </row>
        <row r="226">
          <cell r="F226">
            <v>1122</v>
          </cell>
          <cell r="G226">
            <v>896700</v>
          </cell>
          <cell r="H226">
            <v>2804100</v>
          </cell>
        </row>
        <row r="227">
          <cell r="F227">
            <v>726</v>
          </cell>
          <cell r="G227">
            <v>766500</v>
          </cell>
          <cell r="H227">
            <v>2000700</v>
          </cell>
        </row>
        <row r="228">
          <cell r="F228">
            <v>332</v>
          </cell>
          <cell r="G228">
            <v>829300</v>
          </cell>
          <cell r="H228">
            <v>1393700</v>
          </cell>
        </row>
        <row r="229">
          <cell r="F229">
            <v>871</v>
          </cell>
          <cell r="G229">
            <v>1164600</v>
          </cell>
          <cell r="H229">
            <v>2645300</v>
          </cell>
        </row>
        <row r="230">
          <cell r="F230">
            <v>1209</v>
          </cell>
          <cell r="G230">
            <v>950200</v>
          </cell>
          <cell r="H230">
            <v>3005500</v>
          </cell>
        </row>
        <row r="231">
          <cell r="F231">
            <v>1</v>
          </cell>
          <cell r="G231">
            <v>2822700</v>
          </cell>
          <cell r="H231">
            <v>2824400</v>
          </cell>
        </row>
        <row r="232">
          <cell r="F232">
            <v>0</v>
          </cell>
          <cell r="G232">
            <v>2328050</v>
          </cell>
          <cell r="H232">
            <v>2328050</v>
          </cell>
        </row>
        <row r="233">
          <cell r="F233">
            <v>1146</v>
          </cell>
          <cell r="G233">
            <v>966300</v>
          </cell>
          <cell r="H233">
            <v>2914500</v>
          </cell>
        </row>
        <row r="234">
          <cell r="F234">
            <v>1185</v>
          </cell>
          <cell r="G234">
            <v>478500</v>
          </cell>
          <cell r="H234">
            <v>2493000</v>
          </cell>
        </row>
        <row r="235">
          <cell r="F235">
            <v>10</v>
          </cell>
          <cell r="G235">
            <v>527100</v>
          </cell>
          <cell r="H235">
            <v>544100</v>
          </cell>
        </row>
        <row r="236">
          <cell r="F236">
            <v>2</v>
          </cell>
          <cell r="G236">
            <v>187800</v>
          </cell>
          <cell r="H236">
            <v>191200</v>
          </cell>
        </row>
        <row r="237">
          <cell r="F237">
            <v>233</v>
          </cell>
          <cell r="G237">
            <v>376900</v>
          </cell>
          <cell r="H237">
            <v>773000</v>
          </cell>
        </row>
        <row r="238">
          <cell r="F238">
            <v>262</v>
          </cell>
          <cell r="G238">
            <v>1254400</v>
          </cell>
          <cell r="H238">
            <v>1699800</v>
          </cell>
        </row>
        <row r="239">
          <cell r="F239">
            <v>211</v>
          </cell>
          <cell r="G239">
            <v>1641600</v>
          </cell>
          <cell r="H239">
            <v>2000300</v>
          </cell>
        </row>
        <row r="240">
          <cell r="F240">
            <v>937</v>
          </cell>
          <cell r="G240">
            <v>915100</v>
          </cell>
          <cell r="H240">
            <v>2508000</v>
          </cell>
        </row>
        <row r="241">
          <cell r="F241">
            <v>710</v>
          </cell>
          <cell r="G241">
            <v>862400</v>
          </cell>
          <cell r="H241">
            <v>2069400</v>
          </cell>
        </row>
        <row r="242">
          <cell r="F242">
            <v>799</v>
          </cell>
          <cell r="G242">
            <v>1195100</v>
          </cell>
          <cell r="H242">
            <v>2553400</v>
          </cell>
        </row>
        <row r="243">
          <cell r="F243">
            <v>836</v>
          </cell>
          <cell r="G243">
            <v>849900</v>
          </cell>
          <cell r="H243">
            <v>2271100</v>
          </cell>
        </row>
        <row r="244">
          <cell r="F244">
            <v>540</v>
          </cell>
          <cell r="G244">
            <v>884800</v>
          </cell>
          <cell r="H244">
            <v>1802800</v>
          </cell>
        </row>
        <row r="245">
          <cell r="F245">
            <v>406</v>
          </cell>
          <cell r="G245">
            <v>529400</v>
          </cell>
          <cell r="H245">
            <v>1219600</v>
          </cell>
        </row>
        <row r="246">
          <cell r="F246">
            <v>546</v>
          </cell>
          <cell r="G246">
            <v>1281300</v>
          </cell>
          <cell r="H246">
            <v>2209500</v>
          </cell>
        </row>
        <row r="247">
          <cell r="F247">
            <v>1062</v>
          </cell>
          <cell r="G247">
            <v>438800</v>
          </cell>
          <cell r="H247">
            <v>2244200</v>
          </cell>
        </row>
        <row r="248">
          <cell r="F248">
            <v>227</v>
          </cell>
          <cell r="G248">
            <v>1610000</v>
          </cell>
          <cell r="H248">
            <v>1995900</v>
          </cell>
        </row>
        <row r="249">
          <cell r="F249">
            <v>190</v>
          </cell>
          <cell r="G249">
            <v>1898700</v>
          </cell>
          <cell r="H249">
            <v>2221700</v>
          </cell>
        </row>
        <row r="250">
          <cell r="F250">
            <v>198</v>
          </cell>
          <cell r="G250">
            <v>2338500</v>
          </cell>
          <cell r="H250">
            <v>2675100</v>
          </cell>
        </row>
        <row r="251">
          <cell r="F251">
            <v>129</v>
          </cell>
          <cell r="G251">
            <v>1204100</v>
          </cell>
          <cell r="H251">
            <v>1423400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40</v>
          </cell>
          <cell r="G253">
            <v>2505650</v>
          </cell>
          <cell r="H253">
            <v>2573650</v>
          </cell>
        </row>
        <row r="254">
          <cell r="F254">
            <v>518</v>
          </cell>
          <cell r="G254">
            <v>1020900</v>
          </cell>
          <cell r="H254">
            <v>1901500</v>
          </cell>
        </row>
        <row r="255">
          <cell r="F255">
            <v>299</v>
          </cell>
          <cell r="G255">
            <v>578300</v>
          </cell>
          <cell r="H255">
            <v>1086600</v>
          </cell>
        </row>
        <row r="256">
          <cell r="F256">
            <v>249</v>
          </cell>
          <cell r="G256">
            <v>2071500</v>
          </cell>
          <cell r="H256">
            <v>2494800</v>
          </cell>
        </row>
        <row r="257">
          <cell r="F257">
            <v>565</v>
          </cell>
          <cell r="G257">
            <v>576000</v>
          </cell>
          <cell r="H257">
            <v>1536500</v>
          </cell>
        </row>
        <row r="260">
          <cell r="G260">
            <v>56000</v>
          </cell>
          <cell r="H260">
            <v>56000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8886</v>
          </cell>
          <cell r="G10">
            <v>3458800</v>
          </cell>
          <cell r="H10">
            <v>18565000</v>
          </cell>
        </row>
        <row r="14">
          <cell r="F14">
            <v>4162</v>
          </cell>
          <cell r="G14">
            <v>847800</v>
          </cell>
          <cell r="H14">
            <v>7923200</v>
          </cell>
        </row>
        <row r="15">
          <cell r="F15">
            <v>3877</v>
          </cell>
          <cell r="G15">
            <v>1103300</v>
          </cell>
          <cell r="H15">
            <v>7694200</v>
          </cell>
        </row>
        <row r="16">
          <cell r="F16">
            <v>4693</v>
          </cell>
          <cell r="G16">
            <v>1238100</v>
          </cell>
          <cell r="H16">
            <v>9216200</v>
          </cell>
        </row>
        <row r="17">
          <cell r="F17">
            <v>3137</v>
          </cell>
          <cell r="G17">
            <v>978500</v>
          </cell>
          <cell r="H17">
            <v>6311400</v>
          </cell>
        </row>
        <row r="18">
          <cell r="F18">
            <v>3898</v>
          </cell>
          <cell r="G18">
            <v>1041700</v>
          </cell>
          <cell r="H18">
            <v>7668300</v>
          </cell>
        </row>
        <row r="19">
          <cell r="F19">
            <v>3665</v>
          </cell>
          <cell r="G19">
            <v>1475950</v>
          </cell>
          <cell r="H19">
            <v>7706450</v>
          </cell>
        </row>
        <row r="20">
          <cell r="F20">
            <v>2216</v>
          </cell>
          <cell r="G20">
            <v>737700</v>
          </cell>
          <cell r="H20">
            <v>4504900</v>
          </cell>
        </row>
        <row r="21">
          <cell r="F21">
            <v>2815</v>
          </cell>
          <cell r="G21">
            <v>1068500</v>
          </cell>
          <cell r="H21">
            <v>5854000</v>
          </cell>
        </row>
        <row r="22">
          <cell r="F22">
            <v>5388</v>
          </cell>
          <cell r="G22">
            <v>1773700</v>
          </cell>
          <cell r="H22">
            <v>10933300</v>
          </cell>
        </row>
        <row r="23">
          <cell r="F23">
            <v>2292</v>
          </cell>
          <cell r="G23">
            <v>516400</v>
          </cell>
          <cell r="H23">
            <v>4412800</v>
          </cell>
        </row>
        <row r="24">
          <cell r="F24">
            <v>2050</v>
          </cell>
          <cell r="G24">
            <v>663750</v>
          </cell>
          <cell r="H24">
            <v>4148750</v>
          </cell>
        </row>
        <row r="25">
          <cell r="F25">
            <v>1965</v>
          </cell>
          <cell r="G25">
            <v>620700</v>
          </cell>
          <cell r="H25">
            <v>3961200</v>
          </cell>
        </row>
        <row r="26">
          <cell r="F26">
            <v>4038</v>
          </cell>
          <cell r="G26">
            <v>1020800</v>
          </cell>
          <cell r="H26">
            <v>7885400</v>
          </cell>
        </row>
        <row r="27">
          <cell r="F27">
            <v>8145</v>
          </cell>
          <cell r="G27">
            <v>3558600</v>
          </cell>
          <cell r="H27">
            <v>17405100</v>
          </cell>
        </row>
        <row r="28">
          <cell r="F28">
            <v>6926</v>
          </cell>
          <cell r="G28">
            <v>2849700</v>
          </cell>
          <cell r="H28">
            <v>14623900</v>
          </cell>
        </row>
        <row r="29">
          <cell r="F29">
            <v>5118</v>
          </cell>
          <cell r="G29">
            <v>2285201</v>
          </cell>
          <cell r="H29">
            <v>10985801</v>
          </cell>
        </row>
        <row r="30">
          <cell r="F30">
            <v>9095</v>
          </cell>
          <cell r="G30">
            <v>2782300</v>
          </cell>
          <cell r="H30">
            <v>18243800</v>
          </cell>
        </row>
        <row r="31">
          <cell r="F31">
            <v>4502</v>
          </cell>
          <cell r="G31">
            <v>1832600</v>
          </cell>
          <cell r="H31">
            <v>9486000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6089</v>
          </cell>
          <cell r="G33">
            <v>1778800</v>
          </cell>
          <cell r="H33">
            <v>12130100</v>
          </cell>
        </row>
        <row r="34">
          <cell r="F34">
            <v>8994</v>
          </cell>
          <cell r="G34">
            <v>2636800</v>
          </cell>
          <cell r="H34">
            <v>17926600</v>
          </cell>
        </row>
        <row r="35">
          <cell r="F35">
            <v>8088</v>
          </cell>
          <cell r="G35">
            <v>3271200</v>
          </cell>
          <cell r="H35">
            <v>17020800</v>
          </cell>
        </row>
        <row r="36">
          <cell r="F36">
            <v>8099</v>
          </cell>
          <cell r="G36">
            <v>2737950</v>
          </cell>
          <cell r="H36">
            <v>16506250</v>
          </cell>
        </row>
        <row r="37">
          <cell r="F37">
            <v>1929</v>
          </cell>
          <cell r="G37">
            <v>1017000</v>
          </cell>
          <cell r="H37">
            <v>4296300</v>
          </cell>
        </row>
        <row r="38">
          <cell r="F38">
            <v>4867</v>
          </cell>
          <cell r="G38">
            <v>1853900</v>
          </cell>
          <cell r="H38">
            <v>10127800</v>
          </cell>
        </row>
        <row r="39">
          <cell r="F39">
            <v>1154</v>
          </cell>
          <cell r="G39">
            <v>658800</v>
          </cell>
          <cell r="H39">
            <v>2620600</v>
          </cell>
        </row>
        <row r="40">
          <cell r="F40">
            <v>7951</v>
          </cell>
          <cell r="G40">
            <v>3619200</v>
          </cell>
          <cell r="H40">
            <v>17135900</v>
          </cell>
        </row>
        <row r="41">
          <cell r="F41">
            <v>3952</v>
          </cell>
          <cell r="G41">
            <v>1293600</v>
          </cell>
          <cell r="H41">
            <v>8012000</v>
          </cell>
        </row>
        <row r="42">
          <cell r="F42">
            <v>949</v>
          </cell>
          <cell r="G42">
            <v>534900</v>
          </cell>
          <cell r="H42">
            <v>2148200</v>
          </cell>
        </row>
        <row r="43">
          <cell r="F43">
            <v>2443</v>
          </cell>
          <cell r="G43">
            <v>536500</v>
          </cell>
          <cell r="H43">
            <v>4689600</v>
          </cell>
        </row>
        <row r="44">
          <cell r="F44">
            <v>606</v>
          </cell>
          <cell r="G44">
            <v>262200</v>
          </cell>
          <cell r="H44">
            <v>1292400</v>
          </cell>
        </row>
        <row r="45">
          <cell r="F45">
            <v>8949</v>
          </cell>
          <cell r="G45">
            <v>2485100</v>
          </cell>
          <cell r="H45">
            <v>17698400</v>
          </cell>
        </row>
        <row r="46">
          <cell r="F46">
            <v>928</v>
          </cell>
          <cell r="G46">
            <v>671400</v>
          </cell>
          <cell r="H46">
            <v>2249000</v>
          </cell>
        </row>
        <row r="47">
          <cell r="F47">
            <v>18401</v>
          </cell>
          <cell r="G47">
            <v>3717600</v>
          </cell>
          <cell r="H47">
            <v>34999300</v>
          </cell>
        </row>
        <row r="52">
          <cell r="F52">
            <v>5203</v>
          </cell>
          <cell r="G52">
            <v>2076500</v>
          </cell>
          <cell r="H52">
            <v>10921600</v>
          </cell>
        </row>
        <row r="53">
          <cell r="F53">
            <v>3533</v>
          </cell>
          <cell r="G53">
            <v>1248800</v>
          </cell>
          <cell r="H53">
            <v>7254900</v>
          </cell>
        </row>
        <row r="54">
          <cell r="F54">
            <v>9443</v>
          </cell>
          <cell r="G54">
            <v>2645500</v>
          </cell>
          <cell r="H54">
            <v>18698600</v>
          </cell>
        </row>
        <row r="55">
          <cell r="F55">
            <v>2512</v>
          </cell>
          <cell r="G55">
            <v>1009900</v>
          </cell>
          <cell r="H55">
            <v>5280300</v>
          </cell>
        </row>
        <row r="56">
          <cell r="F56">
            <v>2384</v>
          </cell>
          <cell r="G56">
            <v>604900</v>
          </cell>
          <cell r="H56">
            <v>4657700</v>
          </cell>
        </row>
        <row r="57">
          <cell r="F57">
            <v>6431</v>
          </cell>
          <cell r="G57">
            <v>1793600</v>
          </cell>
          <cell r="H57">
            <v>12726300</v>
          </cell>
        </row>
        <row r="58">
          <cell r="F58">
            <v>11863</v>
          </cell>
          <cell r="G58">
            <v>3422400</v>
          </cell>
          <cell r="H58">
            <v>23589500</v>
          </cell>
        </row>
        <row r="59">
          <cell r="F59">
            <v>5314</v>
          </cell>
          <cell r="G59">
            <v>2004900</v>
          </cell>
          <cell r="H59">
            <v>11038700</v>
          </cell>
        </row>
        <row r="60">
          <cell r="F60">
            <v>4833</v>
          </cell>
          <cell r="G60">
            <v>1607000</v>
          </cell>
          <cell r="H60">
            <v>9823100</v>
          </cell>
        </row>
        <row r="61">
          <cell r="F61">
            <v>3750</v>
          </cell>
          <cell r="G61">
            <v>827400</v>
          </cell>
          <cell r="H61">
            <v>7202400</v>
          </cell>
        </row>
        <row r="62">
          <cell r="F62">
            <v>8742</v>
          </cell>
          <cell r="G62">
            <v>2904650</v>
          </cell>
          <cell r="H62">
            <v>17766050</v>
          </cell>
        </row>
        <row r="63">
          <cell r="F63">
            <v>6515</v>
          </cell>
          <cell r="G63">
            <v>2213900</v>
          </cell>
          <cell r="H63">
            <v>13289400</v>
          </cell>
        </row>
        <row r="64">
          <cell r="F64">
            <v>6194</v>
          </cell>
          <cell r="G64">
            <v>1646000</v>
          </cell>
          <cell r="H64">
            <v>12175800</v>
          </cell>
        </row>
        <row r="65">
          <cell r="F65">
            <v>3290</v>
          </cell>
          <cell r="G65">
            <v>1483500</v>
          </cell>
          <cell r="H65">
            <v>7076500</v>
          </cell>
        </row>
        <row r="66">
          <cell r="F66">
            <v>3579</v>
          </cell>
          <cell r="G66">
            <v>1379700</v>
          </cell>
          <cell r="H66">
            <v>7464000</v>
          </cell>
        </row>
        <row r="67">
          <cell r="F67">
            <v>1714</v>
          </cell>
          <cell r="G67">
            <v>623600</v>
          </cell>
          <cell r="H67">
            <v>3537400</v>
          </cell>
        </row>
        <row r="68">
          <cell r="F68">
            <v>4137</v>
          </cell>
          <cell r="G68">
            <v>1132800</v>
          </cell>
          <cell r="H68">
            <v>8165700</v>
          </cell>
        </row>
        <row r="69">
          <cell r="F69">
            <v>2856</v>
          </cell>
          <cell r="G69">
            <v>778800</v>
          </cell>
          <cell r="H69">
            <v>5634000</v>
          </cell>
        </row>
        <row r="70">
          <cell r="F70">
            <v>4356</v>
          </cell>
          <cell r="G70">
            <v>1450700</v>
          </cell>
          <cell r="H70">
            <v>8855900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3530</v>
          </cell>
          <cell r="G72">
            <v>746200</v>
          </cell>
          <cell r="H72">
            <v>6747200</v>
          </cell>
        </row>
        <row r="73">
          <cell r="F73">
            <v>2935</v>
          </cell>
          <cell r="G73">
            <v>560850</v>
          </cell>
          <cell r="H73">
            <v>5550350</v>
          </cell>
        </row>
        <row r="74">
          <cell r="F74">
            <v>8562</v>
          </cell>
          <cell r="G74">
            <v>1832500</v>
          </cell>
          <cell r="H74">
            <v>16387900</v>
          </cell>
        </row>
        <row r="75">
          <cell r="F75">
            <v>3476</v>
          </cell>
          <cell r="G75">
            <v>791700</v>
          </cell>
          <cell r="H75">
            <v>6700900</v>
          </cell>
        </row>
        <row r="76">
          <cell r="F76">
            <v>14317</v>
          </cell>
          <cell r="G76">
            <v>3172500</v>
          </cell>
          <cell r="H76">
            <v>27511400</v>
          </cell>
        </row>
        <row r="77">
          <cell r="F77">
            <v>8458</v>
          </cell>
          <cell r="G77">
            <v>1095800</v>
          </cell>
          <cell r="H77">
            <v>15474400</v>
          </cell>
        </row>
        <row r="78">
          <cell r="F78">
            <v>4673</v>
          </cell>
          <cell r="G78">
            <v>1063700</v>
          </cell>
          <cell r="H78">
            <v>9007800</v>
          </cell>
        </row>
        <row r="79">
          <cell r="F79">
            <v>1447</v>
          </cell>
          <cell r="G79">
            <v>241800</v>
          </cell>
          <cell r="H79">
            <v>2701700</v>
          </cell>
        </row>
        <row r="80">
          <cell r="F80">
            <v>3179</v>
          </cell>
          <cell r="G80">
            <v>448200</v>
          </cell>
          <cell r="H80">
            <v>5852500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1644</v>
          </cell>
          <cell r="G84">
            <v>225800</v>
          </cell>
          <cell r="H84">
            <v>3020600</v>
          </cell>
        </row>
        <row r="85">
          <cell r="F85">
            <v>1018</v>
          </cell>
          <cell r="G85">
            <v>223700</v>
          </cell>
          <cell r="H85">
            <v>1954300</v>
          </cell>
        </row>
        <row r="86">
          <cell r="F86">
            <v>2427</v>
          </cell>
          <cell r="G86">
            <v>664900</v>
          </cell>
          <cell r="H86">
            <v>4790800</v>
          </cell>
        </row>
        <row r="87">
          <cell r="F87">
            <v>2897</v>
          </cell>
          <cell r="G87">
            <v>588700</v>
          </cell>
          <cell r="H87">
            <v>5513600</v>
          </cell>
        </row>
        <row r="88">
          <cell r="F88">
            <v>3084</v>
          </cell>
          <cell r="G88">
            <v>849200</v>
          </cell>
          <cell r="H88">
            <v>6092000</v>
          </cell>
        </row>
        <row r="89">
          <cell r="F89">
            <v>714</v>
          </cell>
          <cell r="G89">
            <v>238100</v>
          </cell>
          <cell r="H89">
            <v>1451900</v>
          </cell>
        </row>
        <row r="90">
          <cell r="F90">
            <v>1077</v>
          </cell>
          <cell r="G90">
            <v>393600</v>
          </cell>
          <cell r="H90">
            <v>2224500</v>
          </cell>
        </row>
        <row r="91">
          <cell r="F91">
            <v>3006</v>
          </cell>
          <cell r="G91">
            <v>1073000</v>
          </cell>
          <cell r="H91">
            <v>6183200</v>
          </cell>
        </row>
        <row r="92">
          <cell r="F92">
            <v>1075</v>
          </cell>
          <cell r="G92">
            <v>414900</v>
          </cell>
          <cell r="H92">
            <v>2242400</v>
          </cell>
        </row>
        <row r="93">
          <cell r="F93">
            <v>1148</v>
          </cell>
          <cell r="G93">
            <v>381400</v>
          </cell>
          <cell r="H93">
            <v>2333000</v>
          </cell>
        </row>
        <row r="94">
          <cell r="F94">
            <v>229</v>
          </cell>
          <cell r="G94">
            <v>36000</v>
          </cell>
          <cell r="H94">
            <v>425300</v>
          </cell>
        </row>
        <row r="95">
          <cell r="F95">
            <v>1350</v>
          </cell>
          <cell r="G95">
            <v>459100</v>
          </cell>
          <cell r="H95">
            <v>2754100</v>
          </cell>
        </row>
        <row r="96">
          <cell r="F96">
            <v>2331</v>
          </cell>
          <cell r="G96">
            <v>261800</v>
          </cell>
          <cell r="H96">
            <v>4224500</v>
          </cell>
        </row>
        <row r="97">
          <cell r="F97">
            <v>3806</v>
          </cell>
          <cell r="G97">
            <v>499500</v>
          </cell>
          <cell r="H97">
            <v>6969700</v>
          </cell>
        </row>
        <row r="98">
          <cell r="F98">
            <v>2318</v>
          </cell>
          <cell r="G98">
            <v>496300</v>
          </cell>
          <cell r="H98">
            <v>4436900</v>
          </cell>
        </row>
        <row r="99">
          <cell r="F99">
            <v>4844</v>
          </cell>
          <cell r="G99">
            <v>997200</v>
          </cell>
          <cell r="H99">
            <v>9232000</v>
          </cell>
        </row>
        <row r="100">
          <cell r="F100">
            <v>6182</v>
          </cell>
          <cell r="G100">
            <v>1285700</v>
          </cell>
          <cell r="H100">
            <v>11795100</v>
          </cell>
        </row>
        <row r="101">
          <cell r="F101">
            <v>1900</v>
          </cell>
          <cell r="G101">
            <v>413100</v>
          </cell>
          <cell r="H101">
            <v>3643100</v>
          </cell>
        </row>
        <row r="102">
          <cell r="F102">
            <v>11018</v>
          </cell>
          <cell r="G102">
            <v>1390150</v>
          </cell>
          <cell r="H102">
            <v>20120750</v>
          </cell>
        </row>
        <row r="103">
          <cell r="F103">
            <v>8406</v>
          </cell>
          <cell r="G103">
            <v>1381100</v>
          </cell>
          <cell r="H103">
            <v>15671300</v>
          </cell>
        </row>
        <row r="104">
          <cell r="F104">
            <v>4136</v>
          </cell>
          <cell r="G104">
            <v>902300</v>
          </cell>
          <cell r="H104">
            <v>7933500</v>
          </cell>
        </row>
        <row r="105">
          <cell r="F105">
            <v>2234</v>
          </cell>
          <cell r="G105">
            <v>843600</v>
          </cell>
          <cell r="H105">
            <v>4641400</v>
          </cell>
        </row>
        <row r="106">
          <cell r="F106">
            <v>1984</v>
          </cell>
          <cell r="G106">
            <v>684700</v>
          </cell>
          <cell r="H106">
            <v>4057500</v>
          </cell>
        </row>
        <row r="107">
          <cell r="F107">
            <v>3869</v>
          </cell>
          <cell r="G107">
            <v>800100</v>
          </cell>
          <cell r="H107">
            <v>7377400</v>
          </cell>
        </row>
        <row r="108">
          <cell r="F108">
            <v>3702</v>
          </cell>
          <cell r="G108">
            <v>818600</v>
          </cell>
          <cell r="H108">
            <v>7112000</v>
          </cell>
        </row>
        <row r="109">
          <cell r="F109">
            <v>2295</v>
          </cell>
          <cell r="G109">
            <v>617400</v>
          </cell>
          <cell r="H109">
            <v>4518900</v>
          </cell>
        </row>
        <row r="110">
          <cell r="F110">
            <v>1323</v>
          </cell>
          <cell r="G110">
            <v>173500</v>
          </cell>
          <cell r="H110">
            <v>2422600</v>
          </cell>
        </row>
        <row r="111">
          <cell r="F111">
            <v>3953</v>
          </cell>
          <cell r="G111">
            <v>789400</v>
          </cell>
          <cell r="H111">
            <v>7509500</v>
          </cell>
        </row>
        <row r="112">
          <cell r="F112">
            <v>2523</v>
          </cell>
          <cell r="G112">
            <v>544200</v>
          </cell>
          <cell r="H112">
            <v>4833300</v>
          </cell>
        </row>
        <row r="113">
          <cell r="F113">
            <v>3066</v>
          </cell>
          <cell r="G113">
            <v>1561100</v>
          </cell>
          <cell r="H113">
            <v>6773300</v>
          </cell>
        </row>
        <row r="114">
          <cell r="F114">
            <v>182</v>
          </cell>
          <cell r="G114">
            <v>54000</v>
          </cell>
          <cell r="H114">
            <v>363400</v>
          </cell>
        </row>
        <row r="115">
          <cell r="F115">
            <v>1387</v>
          </cell>
          <cell r="G115">
            <v>171500</v>
          </cell>
          <cell r="H115">
            <v>2529400</v>
          </cell>
        </row>
        <row r="116">
          <cell r="F116">
            <v>179</v>
          </cell>
          <cell r="G116">
            <v>23800</v>
          </cell>
          <cell r="H116">
            <v>328100</v>
          </cell>
        </row>
        <row r="117">
          <cell r="F117">
            <v>1497</v>
          </cell>
          <cell r="G117">
            <v>232800</v>
          </cell>
          <cell r="H117">
            <v>2777700</v>
          </cell>
        </row>
        <row r="118">
          <cell r="F118">
            <v>1926</v>
          </cell>
          <cell r="G118">
            <v>376600</v>
          </cell>
          <cell r="H118">
            <v>3650800</v>
          </cell>
        </row>
        <row r="121">
          <cell r="F121">
            <v>28168</v>
          </cell>
          <cell r="G121">
            <v>2852950</v>
          </cell>
        </row>
        <row r="122">
          <cell r="F122">
            <v>7164</v>
          </cell>
          <cell r="G122">
            <v>8729000</v>
          </cell>
          <cell r="H122">
            <v>20907800</v>
          </cell>
        </row>
        <row r="133">
          <cell r="F133">
            <v>122857</v>
          </cell>
          <cell r="G133">
            <v>30590050</v>
          </cell>
          <cell r="H133">
            <v>239446950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2395</v>
          </cell>
          <cell r="G136">
            <v>1851850</v>
          </cell>
          <cell r="H136">
            <v>5923350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699215.05900000001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135</v>
          </cell>
          <cell r="G147">
            <v>469100</v>
          </cell>
          <cell r="H147">
            <v>698600</v>
          </cell>
        </row>
        <row r="148">
          <cell r="F148">
            <v>553</v>
          </cell>
          <cell r="G148">
            <v>758700</v>
          </cell>
          <cell r="H148">
            <v>1698800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30000</v>
          </cell>
          <cell r="H153">
            <v>30000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63000</v>
          </cell>
          <cell r="H155">
            <v>63000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23000</v>
          </cell>
          <cell r="H157">
            <v>23000</v>
          </cell>
        </row>
        <row r="158">
          <cell r="F158">
            <v>0</v>
          </cell>
          <cell r="G158">
            <v>1080000</v>
          </cell>
          <cell r="H158">
            <v>1080000</v>
          </cell>
        </row>
        <row r="159">
          <cell r="F159">
            <v>0</v>
          </cell>
          <cell r="G159">
            <v>570000</v>
          </cell>
          <cell r="H159">
            <v>570000</v>
          </cell>
        </row>
        <row r="160">
          <cell r="F160">
            <v>0</v>
          </cell>
          <cell r="G160">
            <v>652000</v>
          </cell>
          <cell r="H160">
            <v>652000</v>
          </cell>
        </row>
        <row r="161">
          <cell r="F161">
            <v>0</v>
          </cell>
          <cell r="G161">
            <v>1308000</v>
          </cell>
          <cell r="H161">
            <v>1308000</v>
          </cell>
        </row>
        <row r="162">
          <cell r="F162">
            <v>0</v>
          </cell>
          <cell r="G162">
            <v>673000</v>
          </cell>
          <cell r="H162">
            <v>673000</v>
          </cell>
        </row>
        <row r="163">
          <cell r="F163">
            <v>0</v>
          </cell>
          <cell r="G163">
            <v>638000</v>
          </cell>
          <cell r="H163">
            <v>638000</v>
          </cell>
        </row>
        <row r="164">
          <cell r="F164">
            <v>0</v>
          </cell>
          <cell r="G164">
            <v>106000</v>
          </cell>
          <cell r="H164">
            <v>106000</v>
          </cell>
        </row>
        <row r="165">
          <cell r="F165">
            <v>0</v>
          </cell>
          <cell r="G165">
            <v>636000</v>
          </cell>
          <cell r="H165">
            <v>636000</v>
          </cell>
        </row>
        <row r="166">
          <cell r="F166">
            <v>0</v>
          </cell>
          <cell r="G166">
            <v>12000</v>
          </cell>
          <cell r="H166">
            <v>12000</v>
          </cell>
        </row>
        <row r="167">
          <cell r="F167">
            <v>0</v>
          </cell>
          <cell r="G167">
            <v>17000</v>
          </cell>
          <cell r="H167">
            <v>17000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18000</v>
          </cell>
          <cell r="H170">
            <v>18000</v>
          </cell>
        </row>
        <row r="171">
          <cell r="F171">
            <v>0</v>
          </cell>
          <cell r="G171">
            <v>22000</v>
          </cell>
          <cell r="H171">
            <v>22000</v>
          </cell>
        </row>
        <row r="172">
          <cell r="F172">
            <v>0</v>
          </cell>
          <cell r="G172">
            <v>28000</v>
          </cell>
          <cell r="H172">
            <v>28000</v>
          </cell>
        </row>
        <row r="173">
          <cell r="F173">
            <v>0</v>
          </cell>
          <cell r="G173">
            <v>0</v>
          </cell>
          <cell r="H173">
            <v>0</v>
          </cell>
        </row>
        <row r="174">
          <cell r="F174">
            <v>0</v>
          </cell>
          <cell r="G174">
            <v>1000</v>
          </cell>
          <cell r="H174">
            <v>1000</v>
          </cell>
        </row>
        <row r="175">
          <cell r="F175">
            <v>0</v>
          </cell>
          <cell r="G175">
            <v>31000</v>
          </cell>
          <cell r="H175">
            <v>31000</v>
          </cell>
        </row>
        <row r="176">
          <cell r="F176">
            <v>0</v>
          </cell>
          <cell r="G176">
            <v>37000</v>
          </cell>
          <cell r="H176">
            <v>37000</v>
          </cell>
        </row>
        <row r="177">
          <cell r="F177">
            <v>0</v>
          </cell>
          <cell r="G177">
            <v>249000</v>
          </cell>
          <cell r="H177">
            <v>249000</v>
          </cell>
        </row>
        <row r="178">
          <cell r="F178">
            <v>0</v>
          </cell>
          <cell r="G178">
            <v>215000</v>
          </cell>
          <cell r="H178">
            <v>215000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10000</v>
          </cell>
          <cell r="H180">
            <v>10000</v>
          </cell>
        </row>
        <row r="181">
          <cell r="F181">
            <v>0</v>
          </cell>
          <cell r="G181">
            <v>0</v>
          </cell>
          <cell r="H181">
            <v>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15000</v>
          </cell>
          <cell r="H183">
            <v>15000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5000</v>
          </cell>
          <cell r="H185">
            <v>5000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40000</v>
          </cell>
          <cell r="H187">
            <v>40000</v>
          </cell>
        </row>
        <row r="188">
          <cell r="F188">
            <v>0</v>
          </cell>
          <cell r="G188">
            <v>10000</v>
          </cell>
          <cell r="H188">
            <v>10000</v>
          </cell>
        </row>
        <row r="189">
          <cell r="F189">
            <v>0</v>
          </cell>
          <cell r="G189">
            <v>46000</v>
          </cell>
          <cell r="H189">
            <v>46000</v>
          </cell>
        </row>
        <row r="190">
          <cell r="F190">
            <v>0</v>
          </cell>
          <cell r="G190">
            <v>19000</v>
          </cell>
          <cell r="H190">
            <v>19000</v>
          </cell>
        </row>
        <row r="191">
          <cell r="F191">
            <v>0</v>
          </cell>
          <cell r="G191">
            <v>26000</v>
          </cell>
          <cell r="H191">
            <v>26000</v>
          </cell>
        </row>
        <row r="192">
          <cell r="F192">
            <v>0</v>
          </cell>
          <cell r="G192">
            <v>48000</v>
          </cell>
          <cell r="H192">
            <v>48000</v>
          </cell>
        </row>
        <row r="193">
          <cell r="F193">
            <v>0</v>
          </cell>
          <cell r="G193">
            <v>30000</v>
          </cell>
          <cell r="H193">
            <v>30000</v>
          </cell>
        </row>
        <row r="194">
          <cell r="F194">
            <v>0</v>
          </cell>
          <cell r="G194">
            <v>39000</v>
          </cell>
          <cell r="H194">
            <v>39000</v>
          </cell>
        </row>
        <row r="195">
          <cell r="F195">
            <v>0</v>
          </cell>
          <cell r="G195">
            <v>29000</v>
          </cell>
          <cell r="H195">
            <v>29000</v>
          </cell>
        </row>
        <row r="196">
          <cell r="F196">
            <v>0</v>
          </cell>
          <cell r="G196">
            <v>26000</v>
          </cell>
          <cell r="H196">
            <v>26000</v>
          </cell>
        </row>
        <row r="197">
          <cell r="F197">
            <v>0</v>
          </cell>
          <cell r="G197">
            <v>7000</v>
          </cell>
          <cell r="H197">
            <v>7000</v>
          </cell>
        </row>
        <row r="198">
          <cell r="F198">
            <v>0</v>
          </cell>
          <cell r="G198">
            <v>20000</v>
          </cell>
          <cell r="H198">
            <v>20000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16000</v>
          </cell>
          <cell r="H200">
            <v>16000</v>
          </cell>
        </row>
        <row r="201">
          <cell r="F201">
            <v>0</v>
          </cell>
          <cell r="G201">
            <v>4000</v>
          </cell>
          <cell r="H201">
            <v>4000</v>
          </cell>
        </row>
        <row r="202">
          <cell r="F202">
            <v>0</v>
          </cell>
          <cell r="G202">
            <v>11000</v>
          </cell>
          <cell r="H202">
            <v>11000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52000</v>
          </cell>
          <cell r="H204">
            <v>52000</v>
          </cell>
        </row>
        <row r="205">
          <cell r="F205">
            <v>0</v>
          </cell>
          <cell r="G205">
            <v>25000</v>
          </cell>
          <cell r="H205">
            <v>25000</v>
          </cell>
        </row>
        <row r="206">
          <cell r="F206">
            <v>0</v>
          </cell>
          <cell r="G206">
            <v>11000</v>
          </cell>
          <cell r="H206">
            <v>11000</v>
          </cell>
        </row>
        <row r="207">
          <cell r="F207">
            <v>0</v>
          </cell>
          <cell r="G207">
            <v>11000</v>
          </cell>
          <cell r="H207">
            <v>11000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127000</v>
          </cell>
          <cell r="H209">
            <v>127000</v>
          </cell>
        </row>
        <row r="210">
          <cell r="F210">
            <v>0</v>
          </cell>
          <cell r="G210">
            <v>22000</v>
          </cell>
          <cell r="H210">
            <v>22000</v>
          </cell>
        </row>
        <row r="211">
          <cell r="F211">
            <v>0</v>
          </cell>
          <cell r="G211">
            <v>9000</v>
          </cell>
          <cell r="H211">
            <v>9000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40000</v>
          </cell>
          <cell r="H214">
            <v>40000</v>
          </cell>
        </row>
        <row r="215">
          <cell r="F215">
            <v>0</v>
          </cell>
          <cell r="G215">
            <v>23000</v>
          </cell>
          <cell r="H215">
            <v>23000</v>
          </cell>
        </row>
        <row r="216">
          <cell r="F216">
            <v>0</v>
          </cell>
          <cell r="G216">
            <v>37000</v>
          </cell>
          <cell r="H216">
            <v>37000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93000</v>
          </cell>
          <cell r="H218">
            <v>93000</v>
          </cell>
        </row>
        <row r="219">
          <cell r="F219">
            <v>0</v>
          </cell>
          <cell r="G219">
            <v>28000</v>
          </cell>
          <cell r="H219">
            <v>28000</v>
          </cell>
        </row>
        <row r="220">
          <cell r="F220">
            <v>0</v>
          </cell>
          <cell r="G220">
            <v>71000</v>
          </cell>
          <cell r="H220">
            <v>71000</v>
          </cell>
        </row>
        <row r="223">
          <cell r="F223">
            <v>164</v>
          </cell>
          <cell r="G223">
            <v>811800</v>
          </cell>
          <cell r="H223">
            <v>1090600</v>
          </cell>
        </row>
        <row r="224">
          <cell r="F224">
            <v>0</v>
          </cell>
          <cell r="G224">
            <v>468400</v>
          </cell>
          <cell r="H224">
            <v>468400</v>
          </cell>
        </row>
        <row r="225">
          <cell r="F225">
            <v>464</v>
          </cell>
          <cell r="G225">
            <v>564200</v>
          </cell>
          <cell r="H225">
            <v>1353000</v>
          </cell>
        </row>
        <row r="226">
          <cell r="F226">
            <v>593</v>
          </cell>
          <cell r="G226">
            <v>630500</v>
          </cell>
          <cell r="H226">
            <v>1638600</v>
          </cell>
        </row>
        <row r="227">
          <cell r="F227">
            <v>920</v>
          </cell>
          <cell r="G227">
            <v>322800</v>
          </cell>
          <cell r="H227">
            <v>1886800</v>
          </cell>
        </row>
        <row r="228">
          <cell r="F228">
            <v>224</v>
          </cell>
          <cell r="G228">
            <v>376000</v>
          </cell>
          <cell r="H228">
            <v>756800</v>
          </cell>
        </row>
        <row r="229">
          <cell r="F229">
            <v>623</v>
          </cell>
          <cell r="G229">
            <v>466500</v>
          </cell>
          <cell r="H229">
            <v>1525600</v>
          </cell>
        </row>
        <row r="230">
          <cell r="F230">
            <v>916</v>
          </cell>
          <cell r="G230">
            <v>815800</v>
          </cell>
          <cell r="H230">
            <v>2373000</v>
          </cell>
        </row>
        <row r="231">
          <cell r="F231">
            <v>0</v>
          </cell>
          <cell r="G231">
            <v>1262200</v>
          </cell>
          <cell r="H231">
            <v>1262200</v>
          </cell>
        </row>
        <row r="232">
          <cell r="F232">
            <v>0</v>
          </cell>
          <cell r="G232">
            <v>516000</v>
          </cell>
          <cell r="H232">
            <v>516000</v>
          </cell>
        </row>
        <row r="233">
          <cell r="F233">
            <v>804</v>
          </cell>
          <cell r="G233">
            <v>244000</v>
          </cell>
          <cell r="H233">
            <v>1610800</v>
          </cell>
        </row>
        <row r="234">
          <cell r="F234">
            <v>1057</v>
          </cell>
          <cell r="G234">
            <v>719400</v>
          </cell>
          <cell r="H234">
            <v>2516300</v>
          </cell>
        </row>
        <row r="235">
          <cell r="F235">
            <v>0</v>
          </cell>
          <cell r="G235">
            <v>138100</v>
          </cell>
          <cell r="H235">
            <v>138100</v>
          </cell>
        </row>
        <row r="236">
          <cell r="F236">
            <v>10</v>
          </cell>
          <cell r="G236">
            <v>179400</v>
          </cell>
          <cell r="H236">
            <v>196400</v>
          </cell>
        </row>
        <row r="237">
          <cell r="F237">
            <v>847</v>
          </cell>
          <cell r="G237">
            <v>766200</v>
          </cell>
          <cell r="H237">
            <v>2206100</v>
          </cell>
        </row>
        <row r="238">
          <cell r="F238">
            <v>276</v>
          </cell>
          <cell r="G238">
            <v>486800</v>
          </cell>
          <cell r="H238">
            <v>956000</v>
          </cell>
        </row>
        <row r="239">
          <cell r="F239">
            <v>76</v>
          </cell>
          <cell r="G239">
            <v>612400</v>
          </cell>
          <cell r="H239">
            <v>741600</v>
          </cell>
        </row>
        <row r="240">
          <cell r="F240">
            <v>842</v>
          </cell>
          <cell r="G240">
            <v>565700</v>
          </cell>
          <cell r="H240">
            <v>1997100</v>
          </cell>
        </row>
        <row r="241">
          <cell r="F241">
            <v>490</v>
          </cell>
          <cell r="G241">
            <v>479700</v>
          </cell>
          <cell r="H241">
            <v>1312700</v>
          </cell>
        </row>
        <row r="242">
          <cell r="F242">
            <v>499</v>
          </cell>
          <cell r="G242">
            <v>725700</v>
          </cell>
          <cell r="H242">
            <v>1574000</v>
          </cell>
        </row>
        <row r="243">
          <cell r="F243">
            <v>277</v>
          </cell>
          <cell r="G243">
            <v>124600</v>
          </cell>
          <cell r="H243">
            <v>595500</v>
          </cell>
        </row>
        <row r="244">
          <cell r="F244">
            <v>509</v>
          </cell>
          <cell r="G244">
            <v>477600</v>
          </cell>
          <cell r="H244">
            <v>1342900</v>
          </cell>
        </row>
        <row r="245">
          <cell r="F245">
            <v>267</v>
          </cell>
          <cell r="G245">
            <v>477600</v>
          </cell>
          <cell r="H245">
            <v>931500</v>
          </cell>
        </row>
        <row r="246">
          <cell r="F246">
            <v>447</v>
          </cell>
          <cell r="G246">
            <v>518700</v>
          </cell>
          <cell r="H246">
            <v>1278600</v>
          </cell>
        </row>
        <row r="247">
          <cell r="F247">
            <v>1006</v>
          </cell>
          <cell r="G247">
            <v>390300</v>
          </cell>
          <cell r="H247">
            <v>2100500</v>
          </cell>
        </row>
        <row r="248">
          <cell r="F248">
            <v>72</v>
          </cell>
          <cell r="G248">
            <v>646100</v>
          </cell>
          <cell r="H248">
            <v>768500</v>
          </cell>
        </row>
        <row r="249">
          <cell r="F249">
            <v>76</v>
          </cell>
          <cell r="G249">
            <v>699000</v>
          </cell>
          <cell r="H249">
            <v>828200</v>
          </cell>
        </row>
        <row r="250">
          <cell r="F250">
            <v>16</v>
          </cell>
          <cell r="G250">
            <v>766000</v>
          </cell>
          <cell r="H250">
            <v>793200</v>
          </cell>
        </row>
        <row r="251">
          <cell r="F251">
            <v>5</v>
          </cell>
          <cell r="G251">
            <v>485500</v>
          </cell>
          <cell r="H251">
            <v>494000</v>
          </cell>
        </row>
        <row r="252">
          <cell r="F252">
            <v>102</v>
          </cell>
          <cell r="G252">
            <v>512900</v>
          </cell>
          <cell r="H252">
            <v>686300</v>
          </cell>
        </row>
        <row r="253">
          <cell r="F253">
            <v>18</v>
          </cell>
          <cell r="G253">
            <v>931050</v>
          </cell>
          <cell r="H253">
            <v>961650</v>
          </cell>
        </row>
        <row r="254">
          <cell r="F254">
            <v>243</v>
          </cell>
          <cell r="G254">
            <v>830600</v>
          </cell>
          <cell r="H254">
            <v>1243700</v>
          </cell>
        </row>
        <row r="255">
          <cell r="F255">
            <v>17</v>
          </cell>
          <cell r="G255">
            <v>160300</v>
          </cell>
          <cell r="H255">
            <v>189200</v>
          </cell>
        </row>
        <row r="256">
          <cell r="F256">
            <v>136</v>
          </cell>
          <cell r="G256">
            <v>636700</v>
          </cell>
          <cell r="H256">
            <v>867900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20000</v>
          </cell>
          <cell r="H260">
            <v>20000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5371</v>
          </cell>
          <cell r="G10">
            <v>2319300</v>
          </cell>
          <cell r="H10">
            <v>11450000</v>
          </cell>
        </row>
        <row r="14">
          <cell r="F14">
            <v>2095</v>
          </cell>
          <cell r="G14">
            <v>396500</v>
          </cell>
          <cell r="H14">
            <v>3958000</v>
          </cell>
        </row>
        <row r="15">
          <cell r="F15">
            <v>1571</v>
          </cell>
          <cell r="G15">
            <v>351000</v>
          </cell>
          <cell r="H15">
            <v>3021700</v>
          </cell>
        </row>
        <row r="16">
          <cell r="F16">
            <v>1871</v>
          </cell>
          <cell r="G16">
            <v>370200</v>
          </cell>
          <cell r="H16">
            <v>3550900</v>
          </cell>
        </row>
        <row r="17">
          <cell r="F17">
            <v>1586</v>
          </cell>
          <cell r="G17">
            <v>303500</v>
          </cell>
          <cell r="H17">
            <v>2999700</v>
          </cell>
        </row>
        <row r="18">
          <cell r="F18">
            <v>1763</v>
          </cell>
          <cell r="G18">
            <v>507800</v>
          </cell>
          <cell r="H18">
            <v>3504900</v>
          </cell>
        </row>
        <row r="19">
          <cell r="F19">
            <v>1462</v>
          </cell>
          <cell r="G19">
            <v>377900</v>
          </cell>
          <cell r="H19">
            <v>2863300</v>
          </cell>
        </row>
        <row r="20">
          <cell r="F20">
            <v>899</v>
          </cell>
          <cell r="G20">
            <v>256300</v>
          </cell>
          <cell r="H20">
            <v>1784600</v>
          </cell>
        </row>
        <row r="21">
          <cell r="F21">
            <v>1434</v>
          </cell>
          <cell r="G21">
            <v>447400</v>
          </cell>
          <cell r="H21">
            <v>2885200</v>
          </cell>
        </row>
        <row r="22">
          <cell r="F22">
            <v>2621</v>
          </cell>
          <cell r="G22">
            <v>846400</v>
          </cell>
          <cell r="H22">
            <v>5302100</v>
          </cell>
        </row>
        <row r="23">
          <cell r="F23">
            <v>1064</v>
          </cell>
          <cell r="G23">
            <v>291900</v>
          </cell>
          <cell r="H23">
            <v>2100700</v>
          </cell>
        </row>
        <row r="24">
          <cell r="F24">
            <v>1268</v>
          </cell>
          <cell r="G24">
            <v>342700</v>
          </cell>
          <cell r="H24">
            <v>2498300</v>
          </cell>
        </row>
        <row r="25">
          <cell r="F25">
            <v>1000</v>
          </cell>
          <cell r="G25">
            <v>174500</v>
          </cell>
          <cell r="H25">
            <v>1874500</v>
          </cell>
        </row>
        <row r="26">
          <cell r="F26">
            <v>1485</v>
          </cell>
          <cell r="G26">
            <v>277700</v>
          </cell>
          <cell r="H26">
            <v>2802200</v>
          </cell>
        </row>
        <row r="27">
          <cell r="F27">
            <v>1983</v>
          </cell>
          <cell r="G27">
            <v>665200</v>
          </cell>
          <cell r="H27">
            <v>4036300</v>
          </cell>
        </row>
        <row r="28">
          <cell r="F28">
            <v>2157</v>
          </cell>
          <cell r="G28">
            <v>868100</v>
          </cell>
          <cell r="H28">
            <v>4535000</v>
          </cell>
        </row>
        <row r="29">
          <cell r="F29">
            <v>1308</v>
          </cell>
          <cell r="G29">
            <v>566900</v>
          </cell>
          <cell r="H29">
            <v>2790500</v>
          </cell>
        </row>
        <row r="30">
          <cell r="F30">
            <v>2884</v>
          </cell>
          <cell r="G30">
            <v>859500</v>
          </cell>
          <cell r="H30">
            <v>5762300</v>
          </cell>
        </row>
        <row r="31">
          <cell r="F31">
            <v>1563</v>
          </cell>
          <cell r="G31">
            <v>625200</v>
          </cell>
          <cell r="H31">
            <v>3282300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2335</v>
          </cell>
          <cell r="G33">
            <v>761000</v>
          </cell>
          <cell r="H33">
            <v>4730500</v>
          </cell>
        </row>
        <row r="34">
          <cell r="F34">
            <v>3186</v>
          </cell>
          <cell r="G34">
            <v>1129200</v>
          </cell>
          <cell r="H34">
            <v>6545400</v>
          </cell>
        </row>
        <row r="35">
          <cell r="F35">
            <v>4344</v>
          </cell>
          <cell r="G35">
            <v>1299500</v>
          </cell>
          <cell r="H35">
            <v>8684300</v>
          </cell>
        </row>
        <row r="36">
          <cell r="F36">
            <v>3606</v>
          </cell>
          <cell r="G36">
            <v>969200</v>
          </cell>
          <cell r="H36">
            <v>7099400</v>
          </cell>
        </row>
        <row r="37">
          <cell r="F37">
            <v>1057</v>
          </cell>
          <cell r="G37">
            <v>438800</v>
          </cell>
          <cell r="H37">
            <v>2235700</v>
          </cell>
        </row>
        <row r="38">
          <cell r="F38">
            <v>1987</v>
          </cell>
          <cell r="G38">
            <v>1042900</v>
          </cell>
          <cell r="H38">
            <v>4420800</v>
          </cell>
        </row>
        <row r="39">
          <cell r="F39">
            <v>758</v>
          </cell>
          <cell r="G39">
            <v>437100</v>
          </cell>
          <cell r="H39">
            <v>1725700</v>
          </cell>
        </row>
        <row r="40">
          <cell r="F40">
            <v>4151</v>
          </cell>
          <cell r="G40">
            <v>1694700</v>
          </cell>
          <cell r="H40">
            <v>8751400</v>
          </cell>
        </row>
        <row r="41">
          <cell r="F41">
            <v>1523</v>
          </cell>
          <cell r="G41">
            <v>620200</v>
          </cell>
          <cell r="H41">
            <v>3209300</v>
          </cell>
        </row>
        <row r="42">
          <cell r="F42">
            <v>691</v>
          </cell>
          <cell r="G42">
            <v>332100</v>
          </cell>
          <cell r="H42">
            <v>1506800</v>
          </cell>
        </row>
        <row r="43">
          <cell r="F43">
            <v>1010</v>
          </cell>
          <cell r="G43">
            <v>243700</v>
          </cell>
          <cell r="H43">
            <v>1960700</v>
          </cell>
        </row>
        <row r="44">
          <cell r="F44">
            <v>259</v>
          </cell>
          <cell r="G44">
            <v>43600</v>
          </cell>
          <cell r="H44">
            <v>483900</v>
          </cell>
        </row>
        <row r="45">
          <cell r="F45">
            <v>4228</v>
          </cell>
          <cell r="G45">
            <v>1525600</v>
          </cell>
          <cell r="H45">
            <v>8713200</v>
          </cell>
        </row>
        <row r="46">
          <cell r="F46">
            <v>295</v>
          </cell>
          <cell r="G46">
            <v>175200</v>
          </cell>
          <cell r="H46">
            <v>676700</v>
          </cell>
        </row>
        <row r="47">
          <cell r="F47">
            <v>11277</v>
          </cell>
          <cell r="G47">
            <v>2908600</v>
          </cell>
          <cell r="H47">
            <v>22079500</v>
          </cell>
        </row>
        <row r="52">
          <cell r="F52">
            <v>1422</v>
          </cell>
          <cell r="G52">
            <v>380500</v>
          </cell>
          <cell r="H52">
            <v>2797900</v>
          </cell>
        </row>
        <row r="53">
          <cell r="F53">
            <v>667</v>
          </cell>
          <cell r="G53">
            <v>136900</v>
          </cell>
          <cell r="H53">
            <v>1270800</v>
          </cell>
        </row>
        <row r="54">
          <cell r="F54">
            <v>3662</v>
          </cell>
          <cell r="G54">
            <v>960800</v>
          </cell>
          <cell r="H54">
            <v>7186200</v>
          </cell>
        </row>
        <row r="55">
          <cell r="F55">
            <v>693</v>
          </cell>
          <cell r="G55">
            <v>193800</v>
          </cell>
          <cell r="H55">
            <v>1371900</v>
          </cell>
        </row>
        <row r="56">
          <cell r="F56">
            <v>908</v>
          </cell>
          <cell r="G56">
            <v>157200</v>
          </cell>
          <cell r="H56">
            <v>1700800</v>
          </cell>
        </row>
        <row r="57">
          <cell r="F57">
            <v>2769</v>
          </cell>
          <cell r="G57">
            <v>736000</v>
          </cell>
          <cell r="H57">
            <v>5443300</v>
          </cell>
        </row>
        <row r="58">
          <cell r="F58">
            <v>4864</v>
          </cell>
          <cell r="G58">
            <v>1026900</v>
          </cell>
          <cell r="H58">
            <v>9295700</v>
          </cell>
        </row>
        <row r="59">
          <cell r="F59">
            <v>1714</v>
          </cell>
          <cell r="G59">
            <v>494000</v>
          </cell>
          <cell r="H59">
            <v>3407800</v>
          </cell>
        </row>
        <row r="60">
          <cell r="F60">
            <v>1810</v>
          </cell>
          <cell r="G60">
            <v>404400</v>
          </cell>
          <cell r="H60">
            <v>3481400</v>
          </cell>
        </row>
        <row r="61">
          <cell r="F61">
            <v>1401</v>
          </cell>
          <cell r="G61">
            <v>241600</v>
          </cell>
          <cell r="H61">
            <v>2623300</v>
          </cell>
        </row>
        <row r="62">
          <cell r="F62">
            <v>3040</v>
          </cell>
          <cell r="G62">
            <v>831300</v>
          </cell>
          <cell r="H62">
            <v>5999300</v>
          </cell>
        </row>
        <row r="63">
          <cell r="F63">
            <v>2340</v>
          </cell>
          <cell r="G63">
            <v>648300</v>
          </cell>
          <cell r="H63">
            <v>4626300</v>
          </cell>
        </row>
        <row r="64">
          <cell r="F64">
            <v>2452</v>
          </cell>
          <cell r="G64">
            <v>408600</v>
          </cell>
          <cell r="H64">
            <v>4577000</v>
          </cell>
        </row>
        <row r="65">
          <cell r="F65">
            <v>1051</v>
          </cell>
          <cell r="G65">
            <v>342300</v>
          </cell>
          <cell r="H65">
            <v>2129000</v>
          </cell>
        </row>
        <row r="66">
          <cell r="F66">
            <v>1129</v>
          </cell>
          <cell r="G66">
            <v>260550</v>
          </cell>
          <cell r="H66">
            <v>2179850</v>
          </cell>
        </row>
        <row r="67">
          <cell r="F67">
            <v>477</v>
          </cell>
          <cell r="G67">
            <v>171400</v>
          </cell>
          <cell r="H67">
            <v>982300</v>
          </cell>
        </row>
        <row r="68">
          <cell r="F68">
            <v>1364</v>
          </cell>
          <cell r="G68">
            <v>487800</v>
          </cell>
          <cell r="H68">
            <v>2806600</v>
          </cell>
        </row>
        <row r="69">
          <cell r="F69">
            <v>1409</v>
          </cell>
          <cell r="G69">
            <v>235700</v>
          </cell>
          <cell r="H69">
            <v>2631000</v>
          </cell>
        </row>
        <row r="70">
          <cell r="F70">
            <v>2144</v>
          </cell>
          <cell r="G70">
            <v>700900</v>
          </cell>
          <cell r="H70">
            <v>4345700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1686</v>
          </cell>
          <cell r="G72">
            <v>245100</v>
          </cell>
          <cell r="H72">
            <v>3111300</v>
          </cell>
        </row>
        <row r="73">
          <cell r="F73">
            <v>1435</v>
          </cell>
          <cell r="G73">
            <v>273600</v>
          </cell>
          <cell r="H73">
            <v>2713100</v>
          </cell>
        </row>
        <row r="74">
          <cell r="F74">
            <v>3850</v>
          </cell>
          <cell r="G74">
            <v>652400</v>
          </cell>
          <cell r="H74">
            <v>7197400</v>
          </cell>
        </row>
        <row r="75">
          <cell r="F75">
            <v>1116</v>
          </cell>
          <cell r="G75">
            <v>267600</v>
          </cell>
          <cell r="H75">
            <v>2164800</v>
          </cell>
        </row>
        <row r="76">
          <cell r="F76">
            <v>7539</v>
          </cell>
          <cell r="G76">
            <v>1124100</v>
          </cell>
          <cell r="H76">
            <v>13940400</v>
          </cell>
        </row>
        <row r="77">
          <cell r="F77">
            <v>2970</v>
          </cell>
          <cell r="G77">
            <v>422500</v>
          </cell>
          <cell r="H77">
            <v>5471500</v>
          </cell>
        </row>
        <row r="78">
          <cell r="F78">
            <v>1578</v>
          </cell>
          <cell r="G78">
            <v>240400</v>
          </cell>
          <cell r="H78">
            <v>2923000</v>
          </cell>
        </row>
        <row r="79">
          <cell r="F79">
            <v>425</v>
          </cell>
          <cell r="G79">
            <v>8000</v>
          </cell>
          <cell r="H79">
            <v>730500</v>
          </cell>
        </row>
        <row r="80">
          <cell r="F80">
            <v>1673</v>
          </cell>
          <cell r="G80">
            <v>215700</v>
          </cell>
          <cell r="H80">
            <v>3059800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517</v>
          </cell>
          <cell r="G84">
            <v>41000</v>
          </cell>
          <cell r="H84">
            <v>919900</v>
          </cell>
        </row>
        <row r="85">
          <cell r="F85">
            <v>307</v>
          </cell>
          <cell r="G85">
            <v>39500</v>
          </cell>
          <cell r="H85">
            <v>561400</v>
          </cell>
        </row>
        <row r="86">
          <cell r="F86">
            <v>897</v>
          </cell>
          <cell r="G86">
            <v>196200</v>
          </cell>
          <cell r="H86">
            <v>1721100</v>
          </cell>
        </row>
        <row r="87">
          <cell r="F87">
            <v>1149</v>
          </cell>
          <cell r="G87">
            <v>206500</v>
          </cell>
          <cell r="H87">
            <v>2159800</v>
          </cell>
        </row>
        <row r="88">
          <cell r="F88">
            <v>613</v>
          </cell>
          <cell r="G88">
            <v>178900</v>
          </cell>
          <cell r="H88">
            <v>1221000</v>
          </cell>
        </row>
        <row r="89">
          <cell r="F89">
            <v>122</v>
          </cell>
          <cell r="G89">
            <v>39600</v>
          </cell>
          <cell r="H89">
            <v>247000</v>
          </cell>
        </row>
        <row r="90">
          <cell r="F90">
            <v>300</v>
          </cell>
          <cell r="G90">
            <v>58400</v>
          </cell>
          <cell r="H90">
            <v>568400</v>
          </cell>
        </row>
        <row r="91">
          <cell r="F91">
            <v>1103</v>
          </cell>
          <cell r="G91">
            <v>251000</v>
          </cell>
          <cell r="H91">
            <v>2126100</v>
          </cell>
        </row>
        <row r="92">
          <cell r="F92">
            <v>210</v>
          </cell>
          <cell r="G92">
            <v>37200</v>
          </cell>
          <cell r="H92">
            <v>394200</v>
          </cell>
        </row>
        <row r="93">
          <cell r="F93">
            <v>245</v>
          </cell>
          <cell r="G93">
            <v>58200</v>
          </cell>
          <cell r="H93">
            <v>474700</v>
          </cell>
        </row>
        <row r="94">
          <cell r="F94">
            <v>29</v>
          </cell>
          <cell r="G94">
            <v>0</v>
          </cell>
          <cell r="H94">
            <v>49300</v>
          </cell>
        </row>
        <row r="95">
          <cell r="F95">
            <v>575</v>
          </cell>
          <cell r="G95">
            <v>138600</v>
          </cell>
          <cell r="H95">
            <v>1116100</v>
          </cell>
        </row>
        <row r="96">
          <cell r="F96">
            <v>1454</v>
          </cell>
          <cell r="G96">
            <v>207500</v>
          </cell>
          <cell r="H96">
            <v>2679300</v>
          </cell>
        </row>
        <row r="97">
          <cell r="F97">
            <v>1941</v>
          </cell>
          <cell r="G97">
            <v>328800</v>
          </cell>
          <cell r="H97">
            <v>3628500</v>
          </cell>
        </row>
        <row r="98">
          <cell r="F98">
            <v>1232</v>
          </cell>
          <cell r="G98">
            <v>165000</v>
          </cell>
          <cell r="H98">
            <v>2259400</v>
          </cell>
        </row>
        <row r="99">
          <cell r="F99">
            <v>2429</v>
          </cell>
          <cell r="G99">
            <v>524300</v>
          </cell>
          <cell r="H99">
            <v>4653600</v>
          </cell>
        </row>
        <row r="100">
          <cell r="F100">
            <v>2638</v>
          </cell>
          <cell r="G100">
            <v>538100</v>
          </cell>
          <cell r="H100">
            <v>5022700</v>
          </cell>
        </row>
        <row r="101">
          <cell r="F101">
            <v>956</v>
          </cell>
          <cell r="G101">
            <v>218000</v>
          </cell>
          <cell r="H101">
            <v>1843200</v>
          </cell>
        </row>
        <row r="102">
          <cell r="F102">
            <v>6152</v>
          </cell>
          <cell r="G102">
            <v>769800</v>
          </cell>
          <cell r="H102">
            <v>11228200</v>
          </cell>
        </row>
        <row r="103">
          <cell r="F103">
            <v>4605</v>
          </cell>
          <cell r="G103">
            <v>825600</v>
          </cell>
          <cell r="H103">
            <v>8654100</v>
          </cell>
        </row>
        <row r="104">
          <cell r="F104">
            <v>2633</v>
          </cell>
          <cell r="G104">
            <v>655200</v>
          </cell>
          <cell r="H104">
            <v>5131300</v>
          </cell>
        </row>
        <row r="105">
          <cell r="F105">
            <v>1098</v>
          </cell>
          <cell r="G105">
            <v>251100</v>
          </cell>
          <cell r="H105">
            <v>2117700</v>
          </cell>
        </row>
        <row r="106">
          <cell r="F106">
            <v>1016</v>
          </cell>
          <cell r="G106">
            <v>291000</v>
          </cell>
          <cell r="H106">
            <v>2018200</v>
          </cell>
        </row>
        <row r="107">
          <cell r="F107">
            <v>2266</v>
          </cell>
          <cell r="G107">
            <v>293500</v>
          </cell>
          <cell r="H107">
            <v>4145700</v>
          </cell>
        </row>
        <row r="108">
          <cell r="F108">
            <v>2303</v>
          </cell>
          <cell r="G108">
            <v>542800</v>
          </cell>
          <cell r="H108">
            <v>4457900</v>
          </cell>
        </row>
        <row r="109">
          <cell r="F109">
            <v>1280</v>
          </cell>
          <cell r="G109">
            <v>397800</v>
          </cell>
          <cell r="H109">
            <v>2573800</v>
          </cell>
        </row>
        <row r="110">
          <cell r="F110">
            <v>756</v>
          </cell>
          <cell r="G110">
            <v>107800</v>
          </cell>
          <cell r="H110">
            <v>1393000</v>
          </cell>
        </row>
        <row r="111">
          <cell r="F111">
            <v>2285</v>
          </cell>
          <cell r="G111">
            <v>493000</v>
          </cell>
          <cell r="H111">
            <v>4377500</v>
          </cell>
        </row>
        <row r="112">
          <cell r="F112">
            <v>1396</v>
          </cell>
          <cell r="G112">
            <v>272200</v>
          </cell>
          <cell r="H112">
            <v>2645400</v>
          </cell>
        </row>
        <row r="113">
          <cell r="F113">
            <v>1838</v>
          </cell>
          <cell r="G113">
            <v>948900</v>
          </cell>
          <cell r="H113">
            <v>4073500</v>
          </cell>
        </row>
        <row r="114">
          <cell r="F114">
            <v>169</v>
          </cell>
          <cell r="G114">
            <v>13000</v>
          </cell>
          <cell r="H114">
            <v>300300</v>
          </cell>
        </row>
        <row r="115">
          <cell r="F115">
            <v>673</v>
          </cell>
          <cell r="G115">
            <v>260300</v>
          </cell>
          <cell r="H115">
            <v>1404400</v>
          </cell>
        </row>
        <row r="116">
          <cell r="F116">
            <v>105</v>
          </cell>
          <cell r="G116">
            <v>42900</v>
          </cell>
          <cell r="H116">
            <v>221400</v>
          </cell>
        </row>
        <row r="117">
          <cell r="F117">
            <v>633</v>
          </cell>
          <cell r="G117">
            <v>61900</v>
          </cell>
          <cell r="H117">
            <v>1138000</v>
          </cell>
        </row>
        <row r="118">
          <cell r="F118">
            <v>1124</v>
          </cell>
          <cell r="G118">
            <v>405800</v>
          </cell>
          <cell r="H118">
            <v>2316600</v>
          </cell>
        </row>
        <row r="121">
          <cell r="F121">
            <v>13572</v>
          </cell>
          <cell r="G121">
            <v>1148300</v>
          </cell>
        </row>
        <row r="122">
          <cell r="F122">
            <v>3901</v>
          </cell>
          <cell r="G122">
            <v>2951700</v>
          </cell>
          <cell r="H122">
            <v>9583400</v>
          </cell>
        </row>
        <row r="133">
          <cell r="F133">
            <v>65865</v>
          </cell>
          <cell r="G133">
            <v>14989600</v>
          </cell>
          <cell r="H133">
            <v>126960100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544</v>
          </cell>
          <cell r="G136">
            <v>323300</v>
          </cell>
          <cell r="H136">
            <v>1248100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308288.147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413</v>
          </cell>
          <cell r="G147">
            <v>678500</v>
          </cell>
          <cell r="H147">
            <v>1380600</v>
          </cell>
        </row>
        <row r="148">
          <cell r="F148">
            <v>790</v>
          </cell>
          <cell r="G148">
            <v>1209700</v>
          </cell>
          <cell r="H148">
            <v>2552700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13000</v>
          </cell>
          <cell r="H155">
            <v>13000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44000</v>
          </cell>
          <cell r="H157">
            <v>44000</v>
          </cell>
        </row>
        <row r="158">
          <cell r="F158">
            <v>0</v>
          </cell>
          <cell r="G158">
            <v>621000</v>
          </cell>
          <cell r="H158">
            <v>621000</v>
          </cell>
        </row>
        <row r="159">
          <cell r="F159">
            <v>0</v>
          </cell>
          <cell r="G159">
            <v>449000</v>
          </cell>
          <cell r="H159">
            <v>449000</v>
          </cell>
        </row>
        <row r="160">
          <cell r="F160">
            <v>0</v>
          </cell>
          <cell r="G160">
            <v>251000</v>
          </cell>
          <cell r="H160">
            <v>251000</v>
          </cell>
        </row>
        <row r="161">
          <cell r="F161">
            <v>0</v>
          </cell>
          <cell r="G161">
            <v>584000</v>
          </cell>
          <cell r="H161">
            <v>584000</v>
          </cell>
        </row>
        <row r="162">
          <cell r="F162">
            <v>0</v>
          </cell>
          <cell r="G162">
            <v>102000</v>
          </cell>
          <cell r="H162">
            <v>102000</v>
          </cell>
        </row>
        <row r="163">
          <cell r="F163">
            <v>0</v>
          </cell>
          <cell r="G163">
            <v>214000</v>
          </cell>
          <cell r="H163">
            <v>214000</v>
          </cell>
        </row>
        <row r="164">
          <cell r="F164">
            <v>0</v>
          </cell>
          <cell r="G164">
            <v>32000</v>
          </cell>
          <cell r="H164">
            <v>32000</v>
          </cell>
        </row>
        <row r="165">
          <cell r="F165">
            <v>0</v>
          </cell>
          <cell r="G165">
            <v>300000</v>
          </cell>
          <cell r="H165">
            <v>300000</v>
          </cell>
        </row>
        <row r="166">
          <cell r="F166">
            <v>0</v>
          </cell>
          <cell r="G166">
            <v>20000</v>
          </cell>
          <cell r="H166">
            <v>20000</v>
          </cell>
        </row>
        <row r="167">
          <cell r="F167">
            <v>0</v>
          </cell>
          <cell r="G167">
            <v>59000</v>
          </cell>
          <cell r="H167">
            <v>59000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20000</v>
          </cell>
          <cell r="H170">
            <v>20000</v>
          </cell>
        </row>
        <row r="171">
          <cell r="F171">
            <v>0</v>
          </cell>
          <cell r="G171">
            <v>0</v>
          </cell>
          <cell r="H171">
            <v>0</v>
          </cell>
        </row>
        <row r="172">
          <cell r="F172">
            <v>0</v>
          </cell>
          <cell r="G172">
            <v>22000</v>
          </cell>
          <cell r="H172">
            <v>22000</v>
          </cell>
        </row>
        <row r="173">
          <cell r="F173">
            <v>0</v>
          </cell>
          <cell r="G173">
            <v>18000</v>
          </cell>
          <cell r="H173">
            <v>18000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0</v>
          </cell>
          <cell r="H175">
            <v>0</v>
          </cell>
        </row>
        <row r="176">
          <cell r="F176">
            <v>0</v>
          </cell>
          <cell r="G176">
            <v>0</v>
          </cell>
          <cell r="H176">
            <v>0</v>
          </cell>
        </row>
        <row r="177">
          <cell r="F177">
            <v>0</v>
          </cell>
          <cell r="G177">
            <v>111000</v>
          </cell>
          <cell r="H177">
            <v>111000</v>
          </cell>
        </row>
        <row r="178">
          <cell r="F178">
            <v>0</v>
          </cell>
          <cell r="G178">
            <v>118000</v>
          </cell>
          <cell r="H178">
            <v>118000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0</v>
          </cell>
          <cell r="H181">
            <v>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41000</v>
          </cell>
          <cell r="H188">
            <v>41000</v>
          </cell>
        </row>
        <row r="189">
          <cell r="F189">
            <v>0</v>
          </cell>
          <cell r="G189">
            <v>144000</v>
          </cell>
          <cell r="H189">
            <v>144000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1">
          <cell r="F191">
            <v>0</v>
          </cell>
          <cell r="G191">
            <v>54000</v>
          </cell>
          <cell r="H191">
            <v>54000</v>
          </cell>
        </row>
        <row r="192">
          <cell r="F192">
            <v>0</v>
          </cell>
          <cell r="G192">
            <v>13000</v>
          </cell>
          <cell r="H192">
            <v>13000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2000</v>
          </cell>
          <cell r="H200">
            <v>2000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4000</v>
          </cell>
          <cell r="H209">
            <v>4000</v>
          </cell>
        </row>
        <row r="210">
          <cell r="F210">
            <v>0</v>
          </cell>
          <cell r="G210">
            <v>50000</v>
          </cell>
          <cell r="H210">
            <v>50000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2">
          <cell r="F212">
            <v>0</v>
          </cell>
          <cell r="G212">
            <v>20000</v>
          </cell>
          <cell r="H212">
            <v>20000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3000</v>
          </cell>
          <cell r="H214">
            <v>3000</v>
          </cell>
        </row>
        <row r="215">
          <cell r="F215">
            <v>0</v>
          </cell>
          <cell r="G215">
            <v>2000</v>
          </cell>
          <cell r="H215">
            <v>2000</v>
          </cell>
        </row>
        <row r="216">
          <cell r="F216">
            <v>0</v>
          </cell>
          <cell r="G216">
            <v>3000</v>
          </cell>
          <cell r="H216">
            <v>3000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0</v>
          </cell>
          <cell r="H218">
            <v>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0</v>
          </cell>
          <cell r="H220">
            <v>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</row>
        <row r="251">
          <cell r="F251">
            <v>0</v>
          </cell>
          <cell r="G251">
            <v>0</v>
          </cell>
          <cell r="H251">
            <v>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0</v>
          </cell>
          <cell r="H253">
            <v>0</v>
          </cell>
        </row>
        <row r="254">
          <cell r="F254">
            <v>0</v>
          </cell>
          <cell r="G254">
            <v>0</v>
          </cell>
          <cell r="H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</row>
        <row r="256">
          <cell r="F256">
            <v>0</v>
          </cell>
          <cell r="G256">
            <v>0</v>
          </cell>
          <cell r="H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13000</v>
          </cell>
          <cell r="H260">
            <v>13000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14182</v>
          </cell>
          <cell r="G10">
            <v>8178800</v>
          </cell>
          <cell r="H10">
            <v>32288200</v>
          </cell>
        </row>
        <row r="14">
          <cell r="F14">
            <v>6774</v>
          </cell>
          <cell r="G14">
            <v>2221400</v>
          </cell>
          <cell r="H14">
            <v>13737200</v>
          </cell>
        </row>
        <row r="15">
          <cell r="F15">
            <v>6437</v>
          </cell>
          <cell r="G15">
            <v>2529000</v>
          </cell>
          <cell r="H15">
            <v>13471900</v>
          </cell>
        </row>
        <row r="16">
          <cell r="F16">
            <v>8281</v>
          </cell>
          <cell r="G16">
            <v>2806100</v>
          </cell>
          <cell r="H16">
            <v>16883800</v>
          </cell>
        </row>
        <row r="17">
          <cell r="F17">
            <v>4997</v>
          </cell>
          <cell r="G17">
            <v>2259000</v>
          </cell>
          <cell r="H17">
            <v>10753900</v>
          </cell>
        </row>
        <row r="18">
          <cell r="F18">
            <v>6644</v>
          </cell>
          <cell r="G18">
            <v>2266900</v>
          </cell>
          <cell r="H18">
            <v>13561700</v>
          </cell>
        </row>
        <row r="19">
          <cell r="F19">
            <v>6573</v>
          </cell>
          <cell r="G19">
            <v>3665100</v>
          </cell>
          <cell r="H19">
            <v>14839200</v>
          </cell>
        </row>
        <row r="20">
          <cell r="F20">
            <v>4168</v>
          </cell>
          <cell r="G20">
            <v>2070000</v>
          </cell>
          <cell r="H20">
            <v>9155600</v>
          </cell>
        </row>
        <row r="21">
          <cell r="F21">
            <v>4087</v>
          </cell>
          <cell r="G21">
            <v>2161200</v>
          </cell>
          <cell r="H21">
            <v>9109100</v>
          </cell>
        </row>
        <row r="22">
          <cell r="F22">
            <v>9418</v>
          </cell>
          <cell r="G22">
            <v>3733450</v>
          </cell>
          <cell r="H22">
            <v>19744050</v>
          </cell>
        </row>
        <row r="23">
          <cell r="F23">
            <v>4256</v>
          </cell>
          <cell r="G23">
            <v>1311100</v>
          </cell>
          <cell r="H23">
            <v>8546300</v>
          </cell>
        </row>
        <row r="24">
          <cell r="F24">
            <v>3353</v>
          </cell>
          <cell r="G24">
            <v>2022800</v>
          </cell>
          <cell r="H24">
            <v>7722900</v>
          </cell>
        </row>
        <row r="25">
          <cell r="F25">
            <v>2680</v>
          </cell>
          <cell r="G25">
            <v>1108700</v>
          </cell>
          <cell r="H25">
            <v>5664700</v>
          </cell>
        </row>
        <row r="26">
          <cell r="F26">
            <v>6249</v>
          </cell>
          <cell r="G26">
            <v>2321450</v>
          </cell>
          <cell r="H26">
            <v>12944750</v>
          </cell>
        </row>
        <row r="27">
          <cell r="F27">
            <v>16431</v>
          </cell>
          <cell r="G27">
            <v>8745600</v>
          </cell>
          <cell r="H27">
            <v>36678300</v>
          </cell>
        </row>
        <row r="28">
          <cell r="F28">
            <v>12207</v>
          </cell>
          <cell r="G28">
            <v>5311800</v>
          </cell>
          <cell r="H28">
            <v>26063700</v>
          </cell>
        </row>
        <row r="29">
          <cell r="F29">
            <v>11371</v>
          </cell>
          <cell r="G29">
            <v>5386600</v>
          </cell>
          <cell r="H29">
            <v>24717300</v>
          </cell>
        </row>
        <row r="30">
          <cell r="F30">
            <v>17171</v>
          </cell>
          <cell r="G30">
            <v>6170650</v>
          </cell>
          <cell r="H30">
            <v>35361350</v>
          </cell>
        </row>
        <row r="31">
          <cell r="F31">
            <v>9224</v>
          </cell>
          <cell r="G31">
            <v>3555150</v>
          </cell>
          <cell r="H31">
            <v>19235950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12148</v>
          </cell>
          <cell r="G33">
            <v>3327550</v>
          </cell>
          <cell r="H33">
            <v>23979150</v>
          </cell>
        </row>
        <row r="34">
          <cell r="F34">
            <v>16057</v>
          </cell>
          <cell r="G34">
            <v>4148000</v>
          </cell>
          <cell r="H34">
            <v>31444900</v>
          </cell>
        </row>
        <row r="35">
          <cell r="F35">
            <v>12615</v>
          </cell>
          <cell r="G35">
            <v>5283850</v>
          </cell>
          <cell r="H35">
            <v>26729350</v>
          </cell>
        </row>
        <row r="36">
          <cell r="F36">
            <v>15858</v>
          </cell>
          <cell r="G36">
            <v>5503950</v>
          </cell>
          <cell r="H36">
            <v>32462550</v>
          </cell>
        </row>
        <row r="37">
          <cell r="F37">
            <v>4217</v>
          </cell>
          <cell r="G37">
            <v>3446300</v>
          </cell>
          <cell r="H37">
            <v>10615200</v>
          </cell>
        </row>
        <row r="38">
          <cell r="F38">
            <v>7322</v>
          </cell>
          <cell r="G38">
            <v>4491150</v>
          </cell>
          <cell r="H38">
            <v>16938550</v>
          </cell>
        </row>
        <row r="39">
          <cell r="F39">
            <v>3092</v>
          </cell>
          <cell r="G39">
            <v>2934100</v>
          </cell>
          <cell r="H39">
            <v>8190500</v>
          </cell>
        </row>
        <row r="40">
          <cell r="F40">
            <v>15448</v>
          </cell>
          <cell r="G40">
            <v>8329100</v>
          </cell>
          <cell r="H40">
            <v>34590700</v>
          </cell>
        </row>
        <row r="41">
          <cell r="F41">
            <v>7597</v>
          </cell>
          <cell r="G41">
            <v>2547500</v>
          </cell>
          <cell r="H41">
            <v>15462400</v>
          </cell>
        </row>
        <row r="42">
          <cell r="F42">
            <v>2584</v>
          </cell>
          <cell r="G42">
            <v>1851700</v>
          </cell>
          <cell r="H42">
            <v>6244500</v>
          </cell>
        </row>
        <row r="43">
          <cell r="F43">
            <v>4749</v>
          </cell>
          <cell r="G43">
            <v>1719400</v>
          </cell>
          <cell r="H43">
            <v>9792700</v>
          </cell>
        </row>
        <row r="44">
          <cell r="F44">
            <v>1202</v>
          </cell>
          <cell r="G44">
            <v>611800</v>
          </cell>
          <cell r="H44">
            <v>2655200</v>
          </cell>
        </row>
        <row r="45">
          <cell r="F45">
            <v>17039</v>
          </cell>
          <cell r="G45">
            <v>5266400</v>
          </cell>
          <cell r="H45">
            <v>34232700</v>
          </cell>
        </row>
        <row r="46">
          <cell r="F46">
            <v>3164</v>
          </cell>
          <cell r="G46">
            <v>2476450</v>
          </cell>
          <cell r="H46">
            <v>7855250</v>
          </cell>
        </row>
        <row r="47">
          <cell r="F47">
            <v>26809</v>
          </cell>
          <cell r="G47">
            <v>8566900</v>
          </cell>
          <cell r="H47">
            <v>54142200</v>
          </cell>
        </row>
        <row r="52">
          <cell r="F52">
            <v>8637</v>
          </cell>
          <cell r="G52">
            <v>3298900</v>
          </cell>
          <cell r="H52">
            <v>17981800</v>
          </cell>
        </row>
        <row r="53">
          <cell r="F53">
            <v>7728</v>
          </cell>
          <cell r="G53">
            <v>4382800</v>
          </cell>
          <cell r="H53">
            <v>17520400</v>
          </cell>
        </row>
        <row r="54">
          <cell r="F54">
            <v>16524</v>
          </cell>
          <cell r="G54">
            <v>6103600</v>
          </cell>
          <cell r="H54">
            <v>34194400</v>
          </cell>
        </row>
        <row r="55">
          <cell r="F55">
            <v>6948</v>
          </cell>
          <cell r="G55">
            <v>4185000</v>
          </cell>
          <cell r="H55">
            <v>15996600</v>
          </cell>
        </row>
        <row r="56">
          <cell r="F56">
            <v>4895</v>
          </cell>
          <cell r="G56">
            <v>1625300</v>
          </cell>
          <cell r="H56">
            <v>9946800</v>
          </cell>
        </row>
        <row r="57">
          <cell r="F57">
            <v>10411</v>
          </cell>
          <cell r="G57">
            <v>3263500</v>
          </cell>
          <cell r="H57">
            <v>20962200</v>
          </cell>
        </row>
        <row r="58">
          <cell r="F58">
            <v>16501</v>
          </cell>
          <cell r="G58">
            <v>5800700</v>
          </cell>
          <cell r="H58">
            <v>33852400</v>
          </cell>
        </row>
        <row r="59">
          <cell r="F59">
            <v>8496</v>
          </cell>
          <cell r="G59">
            <v>3562500</v>
          </cell>
          <cell r="H59">
            <v>18005700</v>
          </cell>
        </row>
        <row r="60">
          <cell r="F60">
            <v>7369</v>
          </cell>
          <cell r="G60">
            <v>2792600</v>
          </cell>
          <cell r="H60">
            <v>15319900</v>
          </cell>
        </row>
        <row r="61">
          <cell r="F61">
            <v>5877</v>
          </cell>
          <cell r="G61">
            <v>2201350</v>
          </cell>
          <cell r="H61">
            <v>12192250</v>
          </cell>
        </row>
        <row r="62">
          <cell r="F62">
            <v>13536</v>
          </cell>
          <cell r="G62">
            <v>4476350</v>
          </cell>
          <cell r="H62">
            <v>27487550</v>
          </cell>
        </row>
        <row r="63">
          <cell r="F63">
            <v>11488</v>
          </cell>
          <cell r="G63">
            <v>4863700</v>
          </cell>
          <cell r="H63">
            <v>24393300</v>
          </cell>
        </row>
        <row r="64">
          <cell r="F64">
            <v>10552</v>
          </cell>
          <cell r="G64">
            <v>4423500</v>
          </cell>
          <cell r="H64">
            <v>22361900</v>
          </cell>
        </row>
        <row r="65">
          <cell r="F65">
            <v>7812</v>
          </cell>
          <cell r="G65">
            <v>3507650</v>
          </cell>
          <cell r="H65">
            <v>16788050</v>
          </cell>
        </row>
        <row r="66">
          <cell r="F66">
            <v>8598</v>
          </cell>
          <cell r="G66">
            <v>4032800</v>
          </cell>
          <cell r="H66">
            <v>18649400</v>
          </cell>
        </row>
        <row r="67">
          <cell r="F67">
            <v>5924</v>
          </cell>
          <cell r="G67">
            <v>2950500</v>
          </cell>
          <cell r="H67">
            <v>13021300</v>
          </cell>
        </row>
        <row r="68">
          <cell r="F68">
            <v>10289</v>
          </cell>
          <cell r="G68">
            <v>3555600</v>
          </cell>
          <cell r="H68">
            <v>21046900</v>
          </cell>
        </row>
        <row r="69">
          <cell r="F69">
            <v>7462</v>
          </cell>
          <cell r="G69">
            <v>2897800</v>
          </cell>
          <cell r="H69">
            <v>15583200</v>
          </cell>
        </row>
        <row r="70">
          <cell r="F70">
            <v>13257</v>
          </cell>
          <cell r="G70">
            <v>6381300</v>
          </cell>
          <cell r="H70">
            <v>28918200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6191</v>
          </cell>
          <cell r="G72">
            <v>3104100</v>
          </cell>
          <cell r="H72">
            <v>13628800</v>
          </cell>
        </row>
        <row r="73">
          <cell r="F73">
            <v>3997</v>
          </cell>
          <cell r="G73">
            <v>886000</v>
          </cell>
          <cell r="H73">
            <v>7680900</v>
          </cell>
        </row>
        <row r="74">
          <cell r="F74">
            <v>13384</v>
          </cell>
          <cell r="G74">
            <v>3737200</v>
          </cell>
          <cell r="H74">
            <v>26490000</v>
          </cell>
        </row>
        <row r="75">
          <cell r="F75">
            <v>6036</v>
          </cell>
          <cell r="G75">
            <v>2489200</v>
          </cell>
          <cell r="H75">
            <v>12750400</v>
          </cell>
        </row>
        <row r="76">
          <cell r="F76">
            <v>20174</v>
          </cell>
          <cell r="G76">
            <v>6824400</v>
          </cell>
          <cell r="H76">
            <v>41120200</v>
          </cell>
        </row>
        <row r="77">
          <cell r="F77">
            <v>8344</v>
          </cell>
          <cell r="G77">
            <v>1519600</v>
          </cell>
          <cell r="H77">
            <v>15704400</v>
          </cell>
        </row>
        <row r="78">
          <cell r="F78">
            <v>6663</v>
          </cell>
          <cell r="G78">
            <v>2182700</v>
          </cell>
          <cell r="H78">
            <v>13509800</v>
          </cell>
        </row>
        <row r="79">
          <cell r="F79">
            <v>2390</v>
          </cell>
          <cell r="G79">
            <v>624100</v>
          </cell>
          <cell r="H79">
            <v>4687100</v>
          </cell>
        </row>
        <row r="80">
          <cell r="F80">
            <v>4687</v>
          </cell>
          <cell r="G80">
            <v>1012400</v>
          </cell>
          <cell r="H80">
            <v>8980300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2521</v>
          </cell>
          <cell r="G84">
            <v>807100</v>
          </cell>
          <cell r="H84">
            <v>5092800</v>
          </cell>
        </row>
        <row r="85">
          <cell r="F85">
            <v>1203</v>
          </cell>
          <cell r="G85">
            <v>289200</v>
          </cell>
          <cell r="H85">
            <v>2334300</v>
          </cell>
        </row>
        <row r="86">
          <cell r="F86">
            <v>3208</v>
          </cell>
          <cell r="G86">
            <v>966400</v>
          </cell>
          <cell r="H86">
            <v>6420000</v>
          </cell>
        </row>
        <row r="87">
          <cell r="F87">
            <v>3017</v>
          </cell>
          <cell r="G87">
            <v>893700</v>
          </cell>
          <cell r="H87">
            <v>6022600</v>
          </cell>
        </row>
        <row r="88">
          <cell r="F88">
            <v>5085</v>
          </cell>
          <cell r="G88">
            <v>1588600</v>
          </cell>
          <cell r="H88">
            <v>10233100</v>
          </cell>
        </row>
        <row r="89">
          <cell r="F89">
            <v>1686</v>
          </cell>
          <cell r="G89">
            <v>864000</v>
          </cell>
          <cell r="H89">
            <v>3730200</v>
          </cell>
        </row>
        <row r="90">
          <cell r="F90">
            <v>2490</v>
          </cell>
          <cell r="G90">
            <v>1350000</v>
          </cell>
          <cell r="H90">
            <v>5583000</v>
          </cell>
        </row>
        <row r="91">
          <cell r="F91">
            <v>4494</v>
          </cell>
          <cell r="G91">
            <v>2147800</v>
          </cell>
          <cell r="H91">
            <v>9787600</v>
          </cell>
        </row>
        <row r="92">
          <cell r="F92">
            <v>2433</v>
          </cell>
          <cell r="G92">
            <v>1259750</v>
          </cell>
          <cell r="H92">
            <v>5395850</v>
          </cell>
        </row>
        <row r="93">
          <cell r="F93">
            <v>2653</v>
          </cell>
          <cell r="G93">
            <v>1160900</v>
          </cell>
          <cell r="H93">
            <v>5671000</v>
          </cell>
        </row>
        <row r="94">
          <cell r="F94">
            <v>561</v>
          </cell>
          <cell r="G94">
            <v>282400</v>
          </cell>
          <cell r="H94">
            <v>1236100</v>
          </cell>
        </row>
        <row r="95">
          <cell r="F95">
            <v>2953</v>
          </cell>
          <cell r="G95">
            <v>1171200</v>
          </cell>
          <cell r="H95">
            <v>6191300</v>
          </cell>
        </row>
        <row r="96">
          <cell r="F96">
            <v>3240</v>
          </cell>
          <cell r="G96">
            <v>794700</v>
          </cell>
          <cell r="H96">
            <v>6302700</v>
          </cell>
        </row>
        <row r="97">
          <cell r="F97">
            <v>7209</v>
          </cell>
          <cell r="G97">
            <v>1622500</v>
          </cell>
          <cell r="H97">
            <v>13877800</v>
          </cell>
        </row>
        <row r="98">
          <cell r="F98">
            <v>3822</v>
          </cell>
          <cell r="G98">
            <v>1086800</v>
          </cell>
          <cell r="H98">
            <v>7584200</v>
          </cell>
        </row>
        <row r="99">
          <cell r="F99">
            <v>8093</v>
          </cell>
          <cell r="G99">
            <v>2546300</v>
          </cell>
          <cell r="H99">
            <v>16304400</v>
          </cell>
        </row>
        <row r="100">
          <cell r="F100">
            <v>7870</v>
          </cell>
          <cell r="G100">
            <v>2186000</v>
          </cell>
          <cell r="H100">
            <v>15565000</v>
          </cell>
        </row>
        <row r="101">
          <cell r="F101">
            <v>2660</v>
          </cell>
          <cell r="G101">
            <v>721600</v>
          </cell>
          <cell r="H101">
            <v>5243600</v>
          </cell>
        </row>
        <row r="102">
          <cell r="F102">
            <v>14740</v>
          </cell>
          <cell r="G102">
            <v>2527650</v>
          </cell>
          <cell r="H102">
            <v>27585650</v>
          </cell>
        </row>
        <row r="103">
          <cell r="F103">
            <v>12689</v>
          </cell>
          <cell r="G103">
            <v>2932100</v>
          </cell>
          <cell r="H103">
            <v>24503400</v>
          </cell>
        </row>
        <row r="104">
          <cell r="F104">
            <v>5835</v>
          </cell>
          <cell r="G104">
            <v>2193750</v>
          </cell>
          <cell r="H104">
            <v>12113250</v>
          </cell>
        </row>
        <row r="105">
          <cell r="F105">
            <v>4164</v>
          </cell>
          <cell r="G105">
            <v>1780600</v>
          </cell>
          <cell r="H105">
            <v>8859400</v>
          </cell>
        </row>
        <row r="106">
          <cell r="F106">
            <v>3681</v>
          </cell>
          <cell r="G106">
            <v>1762200</v>
          </cell>
          <cell r="H106">
            <v>8019900</v>
          </cell>
        </row>
        <row r="107">
          <cell r="F107">
            <v>5813</v>
          </cell>
          <cell r="G107">
            <v>1442000</v>
          </cell>
          <cell r="H107">
            <v>11324100</v>
          </cell>
        </row>
        <row r="108">
          <cell r="F108">
            <v>6062</v>
          </cell>
          <cell r="G108">
            <v>1668400</v>
          </cell>
          <cell r="H108">
            <v>11973800</v>
          </cell>
        </row>
        <row r="109">
          <cell r="F109">
            <v>3728</v>
          </cell>
          <cell r="G109">
            <v>1560700</v>
          </cell>
          <cell r="H109">
            <v>7898300</v>
          </cell>
        </row>
        <row r="110">
          <cell r="F110">
            <v>2377</v>
          </cell>
          <cell r="G110">
            <v>564700</v>
          </cell>
          <cell r="H110">
            <v>4605600</v>
          </cell>
        </row>
        <row r="111">
          <cell r="F111">
            <v>6420</v>
          </cell>
          <cell r="G111">
            <v>2081000</v>
          </cell>
          <cell r="H111">
            <v>12995000</v>
          </cell>
        </row>
        <row r="112">
          <cell r="F112">
            <v>4896</v>
          </cell>
          <cell r="G112">
            <v>1809000</v>
          </cell>
          <cell r="H112">
            <v>10132200</v>
          </cell>
        </row>
        <row r="113">
          <cell r="F113">
            <v>4789</v>
          </cell>
          <cell r="G113">
            <v>2724300</v>
          </cell>
          <cell r="H113">
            <v>10865600</v>
          </cell>
        </row>
        <row r="114">
          <cell r="F114">
            <v>349</v>
          </cell>
          <cell r="G114">
            <v>200900</v>
          </cell>
          <cell r="H114">
            <v>794200</v>
          </cell>
        </row>
        <row r="115">
          <cell r="F115">
            <v>2713</v>
          </cell>
          <cell r="G115">
            <v>674800</v>
          </cell>
          <cell r="H115">
            <v>5286900</v>
          </cell>
        </row>
        <row r="116">
          <cell r="F116">
            <v>423</v>
          </cell>
          <cell r="G116">
            <v>174300</v>
          </cell>
          <cell r="H116">
            <v>893400</v>
          </cell>
        </row>
        <row r="117">
          <cell r="F117">
            <v>2796</v>
          </cell>
          <cell r="G117">
            <v>743400</v>
          </cell>
          <cell r="H117">
            <v>5496600</v>
          </cell>
        </row>
        <row r="118">
          <cell r="F118">
            <v>4396</v>
          </cell>
          <cell r="G118">
            <v>2105400</v>
          </cell>
          <cell r="H118">
            <v>9578600</v>
          </cell>
        </row>
        <row r="121">
          <cell r="F121">
            <v>45116</v>
          </cell>
          <cell r="G121">
            <v>8191000</v>
          </cell>
        </row>
        <row r="122">
          <cell r="F122">
            <v>10540</v>
          </cell>
          <cell r="G122">
            <v>18073900</v>
          </cell>
          <cell r="H122">
            <v>35991900</v>
          </cell>
        </row>
        <row r="133">
          <cell r="F133">
            <v>207393</v>
          </cell>
          <cell r="G133">
            <v>86816350</v>
          </cell>
          <cell r="H133">
            <v>439384450</v>
          </cell>
        </row>
        <row r="135">
          <cell r="F135">
            <v>234</v>
          </cell>
          <cell r="G135">
            <v>489500</v>
          </cell>
          <cell r="H135">
            <v>887300</v>
          </cell>
        </row>
        <row r="136">
          <cell r="F136">
            <v>5844</v>
          </cell>
          <cell r="G136">
            <v>4710800</v>
          </cell>
          <cell r="H136">
            <v>14645600</v>
          </cell>
        </row>
        <row r="137">
          <cell r="F137">
            <v>642</v>
          </cell>
          <cell r="G137">
            <v>1018900</v>
          </cell>
          <cell r="H137">
            <v>2110300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392</v>
          </cell>
          <cell r="G139">
            <v>633950</v>
          </cell>
          <cell r="H139">
            <v>1300350</v>
          </cell>
        </row>
        <row r="140">
          <cell r="F140">
            <v>898</v>
          </cell>
          <cell r="G140">
            <v>1263900</v>
          </cell>
          <cell r="H140">
            <v>2790500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430</v>
          </cell>
          <cell r="G142">
            <v>757800</v>
          </cell>
          <cell r="H142">
            <v>1488800</v>
          </cell>
        </row>
        <row r="143">
          <cell r="F143">
            <v>478</v>
          </cell>
          <cell r="G143">
            <v>833500</v>
          </cell>
          <cell r="H143">
            <v>1646100</v>
          </cell>
        </row>
        <row r="144">
          <cell r="F144">
            <v>504</v>
          </cell>
          <cell r="G144">
            <v>969400</v>
          </cell>
          <cell r="H144">
            <v>1826200</v>
          </cell>
          <cell r="M144">
            <v>1311242.912</v>
          </cell>
        </row>
        <row r="145">
          <cell r="F145">
            <v>128</v>
          </cell>
          <cell r="G145">
            <v>363750</v>
          </cell>
          <cell r="H145">
            <v>581350</v>
          </cell>
        </row>
        <row r="146">
          <cell r="F146">
            <v>139</v>
          </cell>
          <cell r="G146">
            <v>350100</v>
          </cell>
          <cell r="H146">
            <v>586400</v>
          </cell>
        </row>
        <row r="147">
          <cell r="F147">
            <v>597</v>
          </cell>
          <cell r="G147">
            <v>1005400</v>
          </cell>
          <cell r="H147">
            <v>2020300</v>
          </cell>
        </row>
        <row r="148">
          <cell r="F148">
            <v>1048</v>
          </cell>
          <cell r="G148">
            <v>1811450</v>
          </cell>
          <cell r="H148">
            <v>3593050</v>
          </cell>
        </row>
        <row r="149">
          <cell r="F149">
            <v>257</v>
          </cell>
          <cell r="G149">
            <v>515100</v>
          </cell>
          <cell r="H149">
            <v>952000</v>
          </cell>
        </row>
        <row r="150">
          <cell r="F150">
            <v>302</v>
          </cell>
          <cell r="G150">
            <v>683300</v>
          </cell>
          <cell r="H150">
            <v>1196700</v>
          </cell>
        </row>
        <row r="153">
          <cell r="F153">
            <v>0</v>
          </cell>
          <cell r="G153">
            <v>1000</v>
          </cell>
          <cell r="H153">
            <v>1000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357000</v>
          </cell>
          <cell r="H155">
            <v>357000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26000</v>
          </cell>
          <cell r="H157">
            <v>26000</v>
          </cell>
        </row>
        <row r="158">
          <cell r="F158">
            <v>0</v>
          </cell>
          <cell r="G158">
            <v>3216000</v>
          </cell>
          <cell r="H158">
            <v>3216000</v>
          </cell>
        </row>
        <row r="159">
          <cell r="F159">
            <v>0</v>
          </cell>
          <cell r="G159">
            <v>3062000</v>
          </cell>
          <cell r="H159">
            <v>3062000</v>
          </cell>
        </row>
        <row r="160">
          <cell r="F160">
            <v>0</v>
          </cell>
          <cell r="G160">
            <v>1692000</v>
          </cell>
          <cell r="H160">
            <v>1692000</v>
          </cell>
        </row>
        <row r="161">
          <cell r="F161">
            <v>0</v>
          </cell>
          <cell r="G161">
            <v>2981000</v>
          </cell>
          <cell r="H161">
            <v>2981000</v>
          </cell>
        </row>
        <row r="162">
          <cell r="F162">
            <v>0</v>
          </cell>
          <cell r="G162">
            <v>2316000</v>
          </cell>
          <cell r="H162">
            <v>2316000</v>
          </cell>
        </row>
        <row r="163">
          <cell r="F163">
            <v>0</v>
          </cell>
          <cell r="G163">
            <v>1510000</v>
          </cell>
          <cell r="H163">
            <v>1510000</v>
          </cell>
        </row>
        <row r="164">
          <cell r="F164">
            <v>0</v>
          </cell>
          <cell r="G164">
            <v>419000</v>
          </cell>
          <cell r="H164">
            <v>419000</v>
          </cell>
        </row>
        <row r="165">
          <cell r="F165">
            <v>0</v>
          </cell>
          <cell r="G165">
            <v>929000</v>
          </cell>
          <cell r="H165">
            <v>929000</v>
          </cell>
        </row>
        <row r="166">
          <cell r="F166">
            <v>0</v>
          </cell>
          <cell r="G166">
            <v>66000</v>
          </cell>
          <cell r="H166">
            <v>66000</v>
          </cell>
        </row>
        <row r="167">
          <cell r="F167">
            <v>0</v>
          </cell>
          <cell r="G167">
            <v>443000</v>
          </cell>
          <cell r="H167">
            <v>443000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9000</v>
          </cell>
          <cell r="H169">
            <v>9000</v>
          </cell>
        </row>
        <row r="170">
          <cell r="F170">
            <v>0</v>
          </cell>
          <cell r="G170">
            <v>141000</v>
          </cell>
          <cell r="H170">
            <v>141000</v>
          </cell>
        </row>
        <row r="171">
          <cell r="F171">
            <v>0</v>
          </cell>
          <cell r="G171">
            <v>200000</v>
          </cell>
          <cell r="H171">
            <v>200000</v>
          </cell>
        </row>
        <row r="172">
          <cell r="F172">
            <v>0</v>
          </cell>
          <cell r="G172">
            <v>73000</v>
          </cell>
          <cell r="H172">
            <v>73000</v>
          </cell>
        </row>
        <row r="173">
          <cell r="F173">
            <v>0</v>
          </cell>
          <cell r="G173">
            <v>107000</v>
          </cell>
          <cell r="H173">
            <v>107000</v>
          </cell>
        </row>
        <row r="174">
          <cell r="F174">
            <v>0</v>
          </cell>
          <cell r="G174">
            <v>15000</v>
          </cell>
          <cell r="H174">
            <v>15000</v>
          </cell>
        </row>
        <row r="175">
          <cell r="F175">
            <v>0</v>
          </cell>
          <cell r="G175">
            <v>254000</v>
          </cell>
          <cell r="H175">
            <v>254000</v>
          </cell>
        </row>
        <row r="176">
          <cell r="F176">
            <v>0</v>
          </cell>
          <cell r="G176">
            <v>177000</v>
          </cell>
          <cell r="H176">
            <v>177000</v>
          </cell>
        </row>
        <row r="177">
          <cell r="F177">
            <v>0</v>
          </cell>
          <cell r="G177">
            <v>759000</v>
          </cell>
          <cell r="H177">
            <v>759000</v>
          </cell>
        </row>
        <row r="178">
          <cell r="F178">
            <v>0</v>
          </cell>
          <cell r="G178">
            <v>260000</v>
          </cell>
          <cell r="H178">
            <v>260000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15000</v>
          </cell>
          <cell r="H180">
            <v>15000</v>
          </cell>
        </row>
        <row r="181">
          <cell r="F181">
            <v>0</v>
          </cell>
          <cell r="G181">
            <v>23000</v>
          </cell>
          <cell r="H181">
            <v>23000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402000</v>
          </cell>
          <cell r="H183">
            <v>402000</v>
          </cell>
        </row>
        <row r="184">
          <cell r="F184">
            <v>0</v>
          </cell>
          <cell r="G184">
            <v>41000</v>
          </cell>
          <cell r="H184">
            <v>41000</v>
          </cell>
        </row>
        <row r="185">
          <cell r="F185">
            <v>0</v>
          </cell>
          <cell r="G185">
            <v>622000</v>
          </cell>
          <cell r="H185">
            <v>622000</v>
          </cell>
        </row>
        <row r="186">
          <cell r="F186">
            <v>0</v>
          </cell>
          <cell r="G186">
            <v>83000</v>
          </cell>
          <cell r="H186">
            <v>83000</v>
          </cell>
        </row>
        <row r="187">
          <cell r="F187">
            <v>0</v>
          </cell>
          <cell r="G187">
            <v>252000</v>
          </cell>
          <cell r="H187">
            <v>252000</v>
          </cell>
        </row>
        <row r="188">
          <cell r="F188">
            <v>0</v>
          </cell>
          <cell r="G188">
            <v>2000</v>
          </cell>
          <cell r="H188">
            <v>2000</v>
          </cell>
        </row>
        <row r="189">
          <cell r="F189">
            <v>0</v>
          </cell>
          <cell r="G189">
            <v>107000</v>
          </cell>
          <cell r="H189">
            <v>107000</v>
          </cell>
        </row>
        <row r="190">
          <cell r="F190">
            <v>0</v>
          </cell>
          <cell r="G190">
            <v>148000</v>
          </cell>
          <cell r="H190">
            <v>148000</v>
          </cell>
        </row>
        <row r="191">
          <cell r="F191">
            <v>0</v>
          </cell>
          <cell r="G191">
            <v>37000</v>
          </cell>
          <cell r="H191">
            <v>37000</v>
          </cell>
        </row>
        <row r="192">
          <cell r="F192">
            <v>0</v>
          </cell>
          <cell r="G192">
            <v>52000</v>
          </cell>
          <cell r="H192">
            <v>52000</v>
          </cell>
        </row>
        <row r="193">
          <cell r="F193">
            <v>0</v>
          </cell>
          <cell r="G193">
            <v>381000</v>
          </cell>
          <cell r="H193">
            <v>381000</v>
          </cell>
        </row>
        <row r="194">
          <cell r="F194">
            <v>0</v>
          </cell>
          <cell r="G194">
            <v>158000</v>
          </cell>
          <cell r="H194">
            <v>158000</v>
          </cell>
        </row>
        <row r="195">
          <cell r="F195">
            <v>0</v>
          </cell>
          <cell r="G195">
            <v>208000</v>
          </cell>
          <cell r="H195">
            <v>208000</v>
          </cell>
        </row>
        <row r="196">
          <cell r="F196">
            <v>0</v>
          </cell>
          <cell r="G196">
            <v>322000</v>
          </cell>
          <cell r="H196">
            <v>322000</v>
          </cell>
        </row>
        <row r="197">
          <cell r="F197">
            <v>0</v>
          </cell>
          <cell r="G197">
            <v>93000</v>
          </cell>
          <cell r="H197">
            <v>93000</v>
          </cell>
        </row>
        <row r="198">
          <cell r="F198">
            <v>0</v>
          </cell>
          <cell r="G198">
            <v>332000</v>
          </cell>
          <cell r="H198">
            <v>332000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144000</v>
          </cell>
          <cell r="H200">
            <v>144000</v>
          </cell>
        </row>
        <row r="201">
          <cell r="F201">
            <v>0</v>
          </cell>
          <cell r="G201">
            <v>219000</v>
          </cell>
          <cell r="H201">
            <v>219000</v>
          </cell>
        </row>
        <row r="202">
          <cell r="F202">
            <v>0</v>
          </cell>
          <cell r="G202">
            <v>184000</v>
          </cell>
          <cell r="H202">
            <v>184000</v>
          </cell>
        </row>
        <row r="203">
          <cell r="F203">
            <v>0</v>
          </cell>
          <cell r="G203">
            <v>1000</v>
          </cell>
          <cell r="H203">
            <v>1000</v>
          </cell>
        </row>
        <row r="204">
          <cell r="F204">
            <v>0</v>
          </cell>
          <cell r="G204">
            <v>499000</v>
          </cell>
          <cell r="H204">
            <v>499000</v>
          </cell>
        </row>
        <row r="205">
          <cell r="F205">
            <v>0</v>
          </cell>
          <cell r="G205">
            <v>203000</v>
          </cell>
          <cell r="H205">
            <v>203000</v>
          </cell>
        </row>
        <row r="206">
          <cell r="F206">
            <v>0</v>
          </cell>
          <cell r="G206">
            <v>269000</v>
          </cell>
          <cell r="H206">
            <v>269000</v>
          </cell>
        </row>
        <row r="207">
          <cell r="F207">
            <v>0</v>
          </cell>
          <cell r="G207">
            <v>421000</v>
          </cell>
          <cell r="H207">
            <v>421000</v>
          </cell>
        </row>
        <row r="208">
          <cell r="F208">
            <v>0</v>
          </cell>
          <cell r="G208">
            <v>40000</v>
          </cell>
          <cell r="H208">
            <v>40000</v>
          </cell>
        </row>
        <row r="209">
          <cell r="F209">
            <v>0</v>
          </cell>
          <cell r="G209">
            <v>430000</v>
          </cell>
          <cell r="H209">
            <v>430000</v>
          </cell>
        </row>
        <row r="210">
          <cell r="F210">
            <v>0</v>
          </cell>
          <cell r="G210">
            <v>611000</v>
          </cell>
          <cell r="H210">
            <v>611000</v>
          </cell>
        </row>
        <row r="211">
          <cell r="F211">
            <v>0</v>
          </cell>
          <cell r="G211">
            <v>171000</v>
          </cell>
          <cell r="H211">
            <v>171000</v>
          </cell>
        </row>
        <row r="212">
          <cell r="F212">
            <v>0</v>
          </cell>
          <cell r="G212">
            <v>10000</v>
          </cell>
          <cell r="H212">
            <v>10000</v>
          </cell>
        </row>
        <row r="213">
          <cell r="F213">
            <v>0</v>
          </cell>
          <cell r="G213">
            <v>7000</v>
          </cell>
          <cell r="H213">
            <v>7000</v>
          </cell>
        </row>
        <row r="214">
          <cell r="F214">
            <v>0</v>
          </cell>
          <cell r="G214">
            <v>147000</v>
          </cell>
          <cell r="H214">
            <v>147000</v>
          </cell>
        </row>
        <row r="215">
          <cell r="F215">
            <v>0</v>
          </cell>
          <cell r="G215">
            <v>0</v>
          </cell>
          <cell r="H215">
            <v>0</v>
          </cell>
        </row>
        <row r="216">
          <cell r="F216">
            <v>0</v>
          </cell>
          <cell r="G216">
            <v>767000</v>
          </cell>
          <cell r="H216">
            <v>767000</v>
          </cell>
        </row>
        <row r="217">
          <cell r="F217">
            <v>0</v>
          </cell>
          <cell r="G217">
            <v>225000</v>
          </cell>
          <cell r="H217">
            <v>225000</v>
          </cell>
        </row>
        <row r="218">
          <cell r="F218">
            <v>0</v>
          </cell>
          <cell r="G218">
            <v>466000</v>
          </cell>
          <cell r="H218">
            <v>466000</v>
          </cell>
        </row>
        <row r="219">
          <cell r="F219">
            <v>0</v>
          </cell>
          <cell r="G219">
            <v>284000</v>
          </cell>
          <cell r="H219">
            <v>284000</v>
          </cell>
        </row>
        <row r="220">
          <cell r="F220">
            <v>0</v>
          </cell>
          <cell r="G220">
            <v>168000</v>
          </cell>
          <cell r="H220">
            <v>168000</v>
          </cell>
        </row>
        <row r="223">
          <cell r="F223">
            <v>110</v>
          </cell>
          <cell r="G223">
            <v>5880100</v>
          </cell>
          <cell r="H223">
            <v>6067100</v>
          </cell>
        </row>
        <row r="224">
          <cell r="F224">
            <v>0</v>
          </cell>
          <cell r="G224">
            <v>3509900</v>
          </cell>
          <cell r="H224">
            <v>3509900</v>
          </cell>
        </row>
        <row r="225">
          <cell r="F225">
            <v>768</v>
          </cell>
          <cell r="G225">
            <v>1641500</v>
          </cell>
          <cell r="H225">
            <v>2947100</v>
          </cell>
        </row>
        <row r="226">
          <cell r="F226">
            <v>1200</v>
          </cell>
          <cell r="G226">
            <v>1213700</v>
          </cell>
          <cell r="H226">
            <v>3253700</v>
          </cell>
        </row>
        <row r="227">
          <cell r="F227">
            <v>607</v>
          </cell>
          <cell r="G227">
            <v>1366801</v>
          </cell>
          <cell r="H227">
            <v>2398701</v>
          </cell>
        </row>
        <row r="228">
          <cell r="F228">
            <v>601</v>
          </cell>
          <cell r="G228">
            <v>3337800</v>
          </cell>
          <cell r="H228">
            <v>4359500</v>
          </cell>
        </row>
        <row r="229">
          <cell r="F229">
            <v>842</v>
          </cell>
          <cell r="G229">
            <v>1484200</v>
          </cell>
          <cell r="H229">
            <v>2915600</v>
          </cell>
        </row>
        <row r="230">
          <cell r="F230">
            <v>1607</v>
          </cell>
          <cell r="G230">
            <v>1676500</v>
          </cell>
          <cell r="H230">
            <v>4408400</v>
          </cell>
        </row>
        <row r="231">
          <cell r="F231">
            <v>37</v>
          </cell>
          <cell r="G231">
            <v>3603500</v>
          </cell>
          <cell r="H231">
            <v>3666400</v>
          </cell>
        </row>
        <row r="232">
          <cell r="F232">
            <v>1</v>
          </cell>
          <cell r="G232">
            <v>3865700</v>
          </cell>
          <cell r="H232">
            <v>3867400</v>
          </cell>
        </row>
        <row r="233">
          <cell r="F233">
            <v>1184</v>
          </cell>
          <cell r="G233">
            <v>2000100</v>
          </cell>
          <cell r="H233">
            <v>4012900</v>
          </cell>
        </row>
        <row r="234">
          <cell r="F234">
            <v>1675</v>
          </cell>
          <cell r="G234">
            <v>1127500</v>
          </cell>
          <cell r="H234">
            <v>3975000</v>
          </cell>
        </row>
        <row r="235">
          <cell r="F235">
            <v>12</v>
          </cell>
          <cell r="G235">
            <v>1027400</v>
          </cell>
          <cell r="H235">
            <v>1047800</v>
          </cell>
        </row>
        <row r="236">
          <cell r="F236">
            <v>0</v>
          </cell>
          <cell r="G236">
            <v>1047000</v>
          </cell>
          <cell r="H236">
            <v>1047000</v>
          </cell>
        </row>
        <row r="237">
          <cell r="F237">
            <v>40</v>
          </cell>
          <cell r="G237">
            <v>2414900</v>
          </cell>
          <cell r="H237">
            <v>2482900</v>
          </cell>
        </row>
        <row r="238">
          <cell r="F238">
            <v>768</v>
          </cell>
          <cell r="G238">
            <v>1679300</v>
          </cell>
          <cell r="H238">
            <v>2984900</v>
          </cell>
        </row>
        <row r="239">
          <cell r="F239">
            <v>225</v>
          </cell>
          <cell r="G239">
            <v>3725150</v>
          </cell>
          <cell r="H239">
            <v>4107650</v>
          </cell>
        </row>
        <row r="240">
          <cell r="F240">
            <v>1022</v>
          </cell>
          <cell r="G240">
            <v>1552750</v>
          </cell>
          <cell r="H240">
            <v>3290150</v>
          </cell>
        </row>
        <row r="241">
          <cell r="F241">
            <v>1060</v>
          </cell>
          <cell r="G241">
            <v>1917800</v>
          </cell>
          <cell r="H241">
            <v>3719800</v>
          </cell>
        </row>
        <row r="242">
          <cell r="F242">
            <v>1173</v>
          </cell>
          <cell r="G242">
            <v>3180500</v>
          </cell>
          <cell r="H242">
            <v>5174600</v>
          </cell>
        </row>
        <row r="243">
          <cell r="F243">
            <v>938</v>
          </cell>
          <cell r="G243">
            <v>1912900</v>
          </cell>
          <cell r="H243">
            <v>3507500</v>
          </cell>
        </row>
        <row r="244">
          <cell r="F244">
            <v>508</v>
          </cell>
          <cell r="G244">
            <v>1359700</v>
          </cell>
          <cell r="H244">
            <v>2223300</v>
          </cell>
        </row>
        <row r="245">
          <cell r="F245">
            <v>516</v>
          </cell>
          <cell r="G245">
            <v>1534200</v>
          </cell>
          <cell r="H245">
            <v>2411400</v>
          </cell>
        </row>
        <row r="246">
          <cell r="F246">
            <v>1164</v>
          </cell>
          <cell r="G246">
            <v>3835650</v>
          </cell>
          <cell r="H246">
            <v>5814450</v>
          </cell>
        </row>
        <row r="247">
          <cell r="F247">
            <v>1302</v>
          </cell>
          <cell r="G247">
            <v>515200</v>
          </cell>
          <cell r="H247">
            <v>2728600</v>
          </cell>
        </row>
        <row r="248">
          <cell r="F248">
            <v>208</v>
          </cell>
          <cell r="G248">
            <v>2665000</v>
          </cell>
          <cell r="H248">
            <v>3018600</v>
          </cell>
        </row>
        <row r="249">
          <cell r="F249">
            <v>147</v>
          </cell>
          <cell r="G249">
            <v>3642600</v>
          </cell>
          <cell r="H249">
            <v>3892500</v>
          </cell>
        </row>
        <row r="250">
          <cell r="F250">
            <v>227</v>
          </cell>
          <cell r="G250">
            <v>4372900</v>
          </cell>
          <cell r="H250">
            <v>4758800</v>
          </cell>
        </row>
        <row r="251">
          <cell r="F251">
            <v>293</v>
          </cell>
          <cell r="G251">
            <v>3489750</v>
          </cell>
          <cell r="H251">
            <v>3987850</v>
          </cell>
        </row>
        <row r="252">
          <cell r="F252">
            <v>194</v>
          </cell>
          <cell r="G252">
            <v>911900</v>
          </cell>
          <cell r="H252">
            <v>1241700</v>
          </cell>
        </row>
        <row r="253">
          <cell r="F253">
            <v>94</v>
          </cell>
          <cell r="G253">
            <v>6119100</v>
          </cell>
          <cell r="H253">
            <v>6278900</v>
          </cell>
        </row>
        <row r="254">
          <cell r="F254">
            <v>828</v>
          </cell>
          <cell r="G254">
            <v>2293600</v>
          </cell>
          <cell r="H254">
            <v>3701200</v>
          </cell>
        </row>
        <row r="255">
          <cell r="F255">
            <v>399</v>
          </cell>
          <cell r="G255">
            <v>1248000</v>
          </cell>
          <cell r="H255">
            <v>1926300</v>
          </cell>
        </row>
        <row r="256">
          <cell r="F256">
            <v>389</v>
          </cell>
          <cell r="G256">
            <v>3504200</v>
          </cell>
          <cell r="H256">
            <v>4165500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92000</v>
          </cell>
          <cell r="H260">
            <v>92000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12925</v>
          </cell>
          <cell r="G10">
            <v>7122250</v>
          </cell>
          <cell r="H10">
            <v>29094750</v>
          </cell>
        </row>
        <row r="14">
          <cell r="F14">
            <v>5928</v>
          </cell>
          <cell r="G14">
            <v>2064600</v>
          </cell>
          <cell r="H14">
            <v>12142200</v>
          </cell>
        </row>
        <row r="15">
          <cell r="F15">
            <v>5599</v>
          </cell>
          <cell r="G15">
            <v>2106550</v>
          </cell>
          <cell r="H15">
            <v>11624850</v>
          </cell>
        </row>
        <row r="16">
          <cell r="F16">
            <v>6884</v>
          </cell>
          <cell r="G16">
            <v>2282200</v>
          </cell>
          <cell r="H16">
            <v>13985000</v>
          </cell>
        </row>
        <row r="17">
          <cell r="F17">
            <v>4679</v>
          </cell>
          <cell r="G17">
            <v>1923350</v>
          </cell>
          <cell r="H17">
            <v>9877650</v>
          </cell>
        </row>
        <row r="18">
          <cell r="F18">
            <v>6370</v>
          </cell>
          <cell r="G18">
            <v>2356000</v>
          </cell>
          <cell r="H18">
            <v>13185000</v>
          </cell>
        </row>
        <row r="19">
          <cell r="F19">
            <v>6006</v>
          </cell>
          <cell r="G19">
            <v>3233800</v>
          </cell>
          <cell r="H19">
            <v>13444000</v>
          </cell>
        </row>
        <row r="20">
          <cell r="F20">
            <v>3749</v>
          </cell>
          <cell r="G20">
            <v>1826801</v>
          </cell>
          <cell r="H20">
            <v>8200101</v>
          </cell>
        </row>
        <row r="21">
          <cell r="F21">
            <v>4133</v>
          </cell>
          <cell r="G21">
            <v>2180300</v>
          </cell>
          <cell r="H21">
            <v>9206400</v>
          </cell>
        </row>
        <row r="22">
          <cell r="F22">
            <v>8256</v>
          </cell>
          <cell r="G22">
            <v>5754050</v>
          </cell>
          <cell r="H22">
            <v>19789250</v>
          </cell>
        </row>
        <row r="23">
          <cell r="F23">
            <v>3942</v>
          </cell>
          <cell r="G23">
            <v>1413900</v>
          </cell>
          <cell r="H23">
            <v>8115300</v>
          </cell>
        </row>
        <row r="24">
          <cell r="F24">
            <v>2983</v>
          </cell>
          <cell r="G24">
            <v>1393000</v>
          </cell>
          <cell r="H24">
            <v>6464100</v>
          </cell>
        </row>
        <row r="25">
          <cell r="F25">
            <v>2650</v>
          </cell>
          <cell r="G25">
            <v>1174500</v>
          </cell>
          <cell r="H25">
            <v>5679500</v>
          </cell>
        </row>
        <row r="26">
          <cell r="F26">
            <v>6230</v>
          </cell>
          <cell r="G26">
            <v>2702100</v>
          </cell>
          <cell r="H26">
            <v>13293100</v>
          </cell>
        </row>
        <row r="27">
          <cell r="F27">
            <v>16598</v>
          </cell>
          <cell r="G27">
            <v>12304350</v>
          </cell>
          <cell r="H27">
            <v>40520950</v>
          </cell>
        </row>
        <row r="28">
          <cell r="F28">
            <v>12575</v>
          </cell>
          <cell r="G28">
            <v>8012500</v>
          </cell>
          <cell r="H28">
            <v>29390000</v>
          </cell>
        </row>
        <row r="29">
          <cell r="F29">
            <v>10834</v>
          </cell>
          <cell r="G29">
            <v>6559800</v>
          </cell>
          <cell r="H29">
            <v>24977600</v>
          </cell>
        </row>
        <row r="30">
          <cell r="F30">
            <v>16986</v>
          </cell>
          <cell r="G30">
            <v>7207100</v>
          </cell>
          <cell r="H30">
            <v>36083300</v>
          </cell>
        </row>
        <row r="31">
          <cell r="F31">
            <v>8813</v>
          </cell>
          <cell r="G31">
            <v>5146600</v>
          </cell>
          <cell r="H31">
            <v>20128700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11620</v>
          </cell>
          <cell r="G33">
            <v>4873100</v>
          </cell>
          <cell r="H33">
            <v>24627100</v>
          </cell>
        </row>
        <row r="34">
          <cell r="F34">
            <v>14778</v>
          </cell>
          <cell r="G34">
            <v>5662400</v>
          </cell>
          <cell r="H34">
            <v>30785000</v>
          </cell>
        </row>
        <row r="35">
          <cell r="F35">
            <v>12260</v>
          </cell>
          <cell r="G35">
            <v>7009050</v>
          </cell>
          <cell r="H35">
            <v>27851050</v>
          </cell>
        </row>
        <row r="36">
          <cell r="F36">
            <v>13664</v>
          </cell>
          <cell r="G36">
            <v>6520600</v>
          </cell>
          <cell r="H36">
            <v>29749400</v>
          </cell>
        </row>
        <row r="37">
          <cell r="F37">
            <v>3972</v>
          </cell>
          <cell r="G37">
            <v>2988400</v>
          </cell>
          <cell r="H37">
            <v>9740800</v>
          </cell>
        </row>
        <row r="38">
          <cell r="F38">
            <v>6608</v>
          </cell>
          <cell r="G38">
            <v>4019300</v>
          </cell>
          <cell r="H38">
            <v>15252900</v>
          </cell>
        </row>
        <row r="39">
          <cell r="F39">
            <v>2759</v>
          </cell>
          <cell r="G39">
            <v>2816800</v>
          </cell>
          <cell r="H39">
            <v>7507100</v>
          </cell>
        </row>
        <row r="40">
          <cell r="F40">
            <v>13236</v>
          </cell>
          <cell r="G40">
            <v>7413550</v>
          </cell>
          <cell r="H40">
            <v>29914750</v>
          </cell>
        </row>
        <row r="41">
          <cell r="F41">
            <v>6214</v>
          </cell>
          <cell r="G41">
            <v>2801200</v>
          </cell>
          <cell r="H41">
            <v>13365000</v>
          </cell>
        </row>
        <row r="42">
          <cell r="F42">
            <v>2088</v>
          </cell>
          <cell r="G42">
            <v>1977200</v>
          </cell>
          <cell r="H42">
            <v>5526800</v>
          </cell>
        </row>
        <row r="43">
          <cell r="F43">
            <v>3881</v>
          </cell>
          <cell r="G43">
            <v>1109500</v>
          </cell>
          <cell r="H43">
            <v>7707200</v>
          </cell>
        </row>
        <row r="44">
          <cell r="F44">
            <v>1100</v>
          </cell>
          <cell r="G44">
            <v>823750</v>
          </cell>
          <cell r="H44">
            <v>2693750</v>
          </cell>
        </row>
        <row r="45">
          <cell r="F45">
            <v>14944</v>
          </cell>
          <cell r="G45">
            <v>5647650</v>
          </cell>
          <cell r="H45">
            <v>31052450</v>
          </cell>
        </row>
        <row r="46">
          <cell r="F46">
            <v>3036</v>
          </cell>
          <cell r="G46">
            <v>3007000</v>
          </cell>
          <cell r="H46">
            <v>8168200</v>
          </cell>
        </row>
        <row r="47">
          <cell r="F47">
            <v>22438</v>
          </cell>
          <cell r="G47">
            <v>8557500</v>
          </cell>
          <cell r="H47">
            <v>46702100</v>
          </cell>
        </row>
        <row r="52">
          <cell r="F52">
            <v>8212</v>
          </cell>
          <cell r="G52">
            <v>3517400</v>
          </cell>
          <cell r="H52">
            <v>17477800</v>
          </cell>
        </row>
        <row r="53">
          <cell r="F53">
            <v>7623</v>
          </cell>
          <cell r="G53">
            <v>4741300</v>
          </cell>
          <cell r="H53">
            <v>17700400</v>
          </cell>
        </row>
        <row r="54">
          <cell r="F54">
            <v>15777</v>
          </cell>
          <cell r="G54">
            <v>7619500</v>
          </cell>
          <cell r="H54">
            <v>34440400</v>
          </cell>
        </row>
        <row r="55">
          <cell r="F55">
            <v>6545</v>
          </cell>
          <cell r="G55">
            <v>4447800</v>
          </cell>
          <cell r="H55">
            <v>15574300</v>
          </cell>
        </row>
        <row r="56">
          <cell r="F56">
            <v>4339</v>
          </cell>
          <cell r="G56">
            <v>1301450</v>
          </cell>
          <cell r="H56">
            <v>8677750</v>
          </cell>
        </row>
        <row r="57">
          <cell r="F57">
            <v>9997</v>
          </cell>
          <cell r="G57">
            <v>3609100</v>
          </cell>
          <cell r="H57">
            <v>20604000</v>
          </cell>
        </row>
        <row r="58">
          <cell r="F58">
            <v>14976</v>
          </cell>
          <cell r="G58">
            <v>6294500</v>
          </cell>
          <cell r="H58">
            <v>31753700</v>
          </cell>
        </row>
        <row r="59">
          <cell r="F59">
            <v>8151</v>
          </cell>
          <cell r="G59">
            <v>3419900</v>
          </cell>
          <cell r="H59">
            <v>17276600</v>
          </cell>
        </row>
        <row r="60">
          <cell r="F60">
            <v>7018</v>
          </cell>
          <cell r="G60">
            <v>3791900</v>
          </cell>
          <cell r="H60">
            <v>15722500</v>
          </cell>
        </row>
        <row r="61">
          <cell r="F61">
            <v>4960</v>
          </cell>
          <cell r="G61">
            <v>2378350</v>
          </cell>
          <cell r="H61">
            <v>10810350</v>
          </cell>
        </row>
        <row r="62">
          <cell r="F62">
            <v>12692</v>
          </cell>
          <cell r="G62">
            <v>5626100</v>
          </cell>
          <cell r="H62">
            <v>27202500</v>
          </cell>
        </row>
        <row r="63">
          <cell r="F63">
            <v>10750</v>
          </cell>
          <cell r="G63">
            <v>5373700</v>
          </cell>
          <cell r="H63">
            <v>23648700</v>
          </cell>
        </row>
        <row r="64">
          <cell r="F64">
            <v>9546</v>
          </cell>
          <cell r="G64">
            <v>4935700</v>
          </cell>
          <cell r="H64">
            <v>21163900</v>
          </cell>
        </row>
        <row r="65">
          <cell r="F65">
            <v>6369</v>
          </cell>
          <cell r="G65">
            <v>3982300</v>
          </cell>
          <cell r="H65">
            <v>14809600</v>
          </cell>
        </row>
        <row r="66">
          <cell r="F66">
            <v>7341</v>
          </cell>
          <cell r="G66">
            <v>4389900</v>
          </cell>
          <cell r="H66">
            <v>16869600</v>
          </cell>
        </row>
        <row r="67">
          <cell r="F67">
            <v>5379</v>
          </cell>
          <cell r="G67">
            <v>3164200</v>
          </cell>
          <cell r="H67">
            <v>12308500</v>
          </cell>
        </row>
        <row r="68">
          <cell r="F68">
            <v>8677</v>
          </cell>
          <cell r="G68">
            <v>5361300</v>
          </cell>
          <cell r="H68">
            <v>20112200</v>
          </cell>
        </row>
        <row r="69">
          <cell r="F69">
            <v>6996</v>
          </cell>
          <cell r="G69">
            <v>3558100</v>
          </cell>
          <cell r="H69">
            <v>15451300</v>
          </cell>
        </row>
        <row r="70">
          <cell r="F70">
            <v>11900</v>
          </cell>
          <cell r="G70">
            <v>6132200</v>
          </cell>
          <cell r="H70">
            <v>26362200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5742</v>
          </cell>
          <cell r="G72">
            <v>2718600</v>
          </cell>
          <cell r="H72">
            <v>12480000</v>
          </cell>
        </row>
        <row r="73">
          <cell r="F73">
            <v>3870</v>
          </cell>
          <cell r="G73">
            <v>1319700</v>
          </cell>
          <cell r="H73">
            <v>7898700</v>
          </cell>
        </row>
        <row r="74">
          <cell r="F74">
            <v>12904</v>
          </cell>
          <cell r="G74">
            <v>4356500</v>
          </cell>
          <cell r="H74">
            <v>26293300</v>
          </cell>
        </row>
        <row r="75">
          <cell r="F75">
            <v>5624</v>
          </cell>
          <cell r="G75">
            <v>2905600</v>
          </cell>
          <cell r="H75">
            <v>12466400</v>
          </cell>
        </row>
        <row r="76">
          <cell r="F76">
            <v>18040</v>
          </cell>
          <cell r="G76">
            <v>9038400</v>
          </cell>
          <cell r="H76">
            <v>39706400</v>
          </cell>
        </row>
        <row r="77">
          <cell r="F77">
            <v>7895</v>
          </cell>
          <cell r="G77">
            <v>1827000</v>
          </cell>
          <cell r="H77">
            <v>15248500</v>
          </cell>
        </row>
        <row r="78">
          <cell r="F78">
            <v>6218</v>
          </cell>
          <cell r="G78">
            <v>2471200</v>
          </cell>
          <cell r="H78">
            <v>13041800</v>
          </cell>
        </row>
        <row r="79">
          <cell r="F79">
            <v>2157</v>
          </cell>
          <cell r="G79">
            <v>477000</v>
          </cell>
          <cell r="H79">
            <v>4143900</v>
          </cell>
        </row>
        <row r="80">
          <cell r="F80">
            <v>4152</v>
          </cell>
          <cell r="G80">
            <v>787900</v>
          </cell>
          <cell r="H80">
            <v>7846300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2335</v>
          </cell>
          <cell r="G84">
            <v>1027400</v>
          </cell>
          <cell r="H84">
            <v>4996900</v>
          </cell>
        </row>
        <row r="85">
          <cell r="F85">
            <v>1121</v>
          </cell>
          <cell r="G85">
            <v>401000</v>
          </cell>
          <cell r="H85">
            <v>2306700</v>
          </cell>
        </row>
        <row r="86">
          <cell r="F86">
            <v>3061</v>
          </cell>
          <cell r="G86">
            <v>1630200</v>
          </cell>
          <cell r="H86">
            <v>6833900</v>
          </cell>
        </row>
        <row r="87">
          <cell r="F87">
            <v>2592</v>
          </cell>
          <cell r="G87">
            <v>982800</v>
          </cell>
          <cell r="H87">
            <v>5389200</v>
          </cell>
        </row>
        <row r="88">
          <cell r="F88">
            <v>4910</v>
          </cell>
          <cell r="G88">
            <v>2593600</v>
          </cell>
          <cell r="H88">
            <v>10940600</v>
          </cell>
        </row>
        <row r="89">
          <cell r="F89">
            <v>1726</v>
          </cell>
          <cell r="G89">
            <v>1195200</v>
          </cell>
          <cell r="H89">
            <v>4129400</v>
          </cell>
        </row>
        <row r="90">
          <cell r="F90">
            <v>2202</v>
          </cell>
          <cell r="G90">
            <v>1958000</v>
          </cell>
          <cell r="H90">
            <v>5701400</v>
          </cell>
        </row>
        <row r="91">
          <cell r="F91">
            <v>4071</v>
          </cell>
          <cell r="G91">
            <v>3342550</v>
          </cell>
          <cell r="H91">
            <v>10263250</v>
          </cell>
        </row>
        <row r="92">
          <cell r="F92">
            <v>2454</v>
          </cell>
          <cell r="G92">
            <v>1350200</v>
          </cell>
          <cell r="H92">
            <v>5522000</v>
          </cell>
        </row>
        <row r="93">
          <cell r="F93">
            <v>2252</v>
          </cell>
          <cell r="G93">
            <v>1708400</v>
          </cell>
          <cell r="H93">
            <v>5536800</v>
          </cell>
        </row>
        <row r="94">
          <cell r="F94">
            <v>408</v>
          </cell>
          <cell r="G94">
            <v>383900</v>
          </cell>
          <cell r="H94">
            <v>1077500</v>
          </cell>
        </row>
        <row r="95">
          <cell r="F95">
            <v>2639</v>
          </cell>
          <cell r="G95">
            <v>1277200</v>
          </cell>
          <cell r="H95">
            <v>5763500</v>
          </cell>
        </row>
        <row r="96">
          <cell r="F96">
            <v>2934</v>
          </cell>
          <cell r="G96">
            <v>566800</v>
          </cell>
          <cell r="H96">
            <v>5554600</v>
          </cell>
        </row>
        <row r="97">
          <cell r="F97">
            <v>6169</v>
          </cell>
          <cell r="G97">
            <v>1609600</v>
          </cell>
          <cell r="H97">
            <v>12096900</v>
          </cell>
        </row>
        <row r="98">
          <cell r="F98">
            <v>3247</v>
          </cell>
          <cell r="G98">
            <v>947100</v>
          </cell>
          <cell r="H98">
            <v>6467000</v>
          </cell>
        </row>
        <row r="99">
          <cell r="F99">
            <v>6792</v>
          </cell>
          <cell r="G99">
            <v>2310300</v>
          </cell>
          <cell r="H99">
            <v>13856700</v>
          </cell>
        </row>
        <row r="100">
          <cell r="F100">
            <v>7794</v>
          </cell>
          <cell r="G100">
            <v>2562000</v>
          </cell>
          <cell r="H100">
            <v>15811800</v>
          </cell>
        </row>
        <row r="101">
          <cell r="F101">
            <v>2508</v>
          </cell>
          <cell r="G101">
            <v>902000</v>
          </cell>
          <cell r="H101">
            <v>5165600</v>
          </cell>
        </row>
        <row r="102">
          <cell r="F102">
            <v>13757</v>
          </cell>
          <cell r="G102">
            <v>2566100</v>
          </cell>
          <cell r="H102">
            <v>25953000</v>
          </cell>
        </row>
        <row r="103">
          <cell r="F103">
            <v>11290</v>
          </cell>
          <cell r="G103">
            <v>2674400</v>
          </cell>
          <cell r="H103">
            <v>21867400</v>
          </cell>
        </row>
        <row r="104">
          <cell r="F104">
            <v>5250</v>
          </cell>
          <cell r="G104">
            <v>2081350</v>
          </cell>
          <cell r="H104">
            <v>11006350</v>
          </cell>
        </row>
        <row r="105">
          <cell r="F105">
            <v>3362</v>
          </cell>
          <cell r="G105">
            <v>2045300</v>
          </cell>
          <cell r="H105">
            <v>7760700</v>
          </cell>
        </row>
        <row r="106">
          <cell r="F106">
            <v>3196</v>
          </cell>
          <cell r="G106">
            <v>1189700</v>
          </cell>
          <cell r="H106">
            <v>6622900</v>
          </cell>
        </row>
        <row r="107">
          <cell r="F107">
            <v>5063</v>
          </cell>
          <cell r="G107">
            <v>1139900</v>
          </cell>
          <cell r="H107">
            <v>9747000</v>
          </cell>
        </row>
        <row r="108">
          <cell r="F108">
            <v>5195</v>
          </cell>
          <cell r="G108">
            <v>1457200</v>
          </cell>
          <cell r="H108">
            <v>10288700</v>
          </cell>
        </row>
        <row r="109">
          <cell r="F109">
            <v>3413</v>
          </cell>
          <cell r="G109">
            <v>1105950</v>
          </cell>
          <cell r="H109">
            <v>6908050</v>
          </cell>
        </row>
        <row r="110">
          <cell r="F110">
            <v>2101</v>
          </cell>
          <cell r="G110">
            <v>537200</v>
          </cell>
          <cell r="H110">
            <v>4108900</v>
          </cell>
        </row>
        <row r="111">
          <cell r="F111">
            <v>5897</v>
          </cell>
          <cell r="G111">
            <v>2181800</v>
          </cell>
          <cell r="H111">
            <v>12206700</v>
          </cell>
        </row>
        <row r="112">
          <cell r="F112">
            <v>4031</v>
          </cell>
          <cell r="G112">
            <v>1803100</v>
          </cell>
          <cell r="H112">
            <v>8655800</v>
          </cell>
        </row>
        <row r="113">
          <cell r="F113">
            <v>4306</v>
          </cell>
          <cell r="G113">
            <v>3420400</v>
          </cell>
          <cell r="H113">
            <v>10740600</v>
          </cell>
        </row>
        <row r="114">
          <cell r="F114">
            <v>379</v>
          </cell>
          <cell r="G114">
            <v>349700</v>
          </cell>
          <cell r="H114">
            <v>994000</v>
          </cell>
        </row>
        <row r="115">
          <cell r="F115">
            <v>2141</v>
          </cell>
          <cell r="G115">
            <v>467900</v>
          </cell>
          <cell r="H115">
            <v>4107600</v>
          </cell>
        </row>
        <row r="116">
          <cell r="F116">
            <v>277</v>
          </cell>
          <cell r="G116">
            <v>81200</v>
          </cell>
          <cell r="H116">
            <v>552100</v>
          </cell>
        </row>
        <row r="117">
          <cell r="F117">
            <v>2133</v>
          </cell>
          <cell r="G117">
            <v>449900</v>
          </cell>
          <cell r="H117">
            <v>4076000</v>
          </cell>
        </row>
        <row r="118">
          <cell r="F118">
            <v>2953</v>
          </cell>
          <cell r="G118">
            <v>1459700</v>
          </cell>
          <cell r="H118">
            <v>6479800</v>
          </cell>
        </row>
        <row r="121">
          <cell r="F121">
            <v>42530</v>
          </cell>
          <cell r="G121">
            <v>7457100</v>
          </cell>
        </row>
        <row r="122">
          <cell r="F122">
            <v>10582</v>
          </cell>
          <cell r="G122">
            <v>15743100</v>
          </cell>
          <cell r="H122">
            <v>33732500</v>
          </cell>
        </row>
        <row r="133">
          <cell r="F133">
            <v>172895</v>
          </cell>
          <cell r="G133">
            <v>66740700</v>
          </cell>
          <cell r="H133">
            <v>360662200</v>
          </cell>
        </row>
        <row r="135">
          <cell r="F135">
            <v>230</v>
          </cell>
          <cell r="G135">
            <v>566000</v>
          </cell>
          <cell r="H135">
            <v>957000</v>
          </cell>
        </row>
        <row r="136">
          <cell r="F136">
            <v>6011</v>
          </cell>
          <cell r="G136">
            <v>7012450</v>
          </cell>
          <cell r="H136">
            <v>17231150</v>
          </cell>
        </row>
        <row r="137">
          <cell r="F137">
            <v>525</v>
          </cell>
          <cell r="G137">
            <v>1680500</v>
          </cell>
          <cell r="H137">
            <v>2573000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516</v>
          </cell>
          <cell r="G139">
            <v>1239300</v>
          </cell>
          <cell r="H139">
            <v>2116500</v>
          </cell>
        </row>
        <row r="140">
          <cell r="F140">
            <v>922</v>
          </cell>
          <cell r="G140">
            <v>2230900</v>
          </cell>
          <cell r="H140">
            <v>3798300</v>
          </cell>
        </row>
        <row r="141">
          <cell r="F141">
            <v>57</v>
          </cell>
          <cell r="G141">
            <v>51300</v>
          </cell>
          <cell r="H141">
            <v>148200</v>
          </cell>
        </row>
        <row r="142">
          <cell r="F142">
            <v>322</v>
          </cell>
          <cell r="G142">
            <v>780200</v>
          </cell>
          <cell r="H142">
            <v>1327600</v>
          </cell>
        </row>
        <row r="143">
          <cell r="F143">
            <v>599</v>
          </cell>
          <cell r="G143">
            <v>1200200</v>
          </cell>
          <cell r="H143">
            <v>2218500</v>
          </cell>
        </row>
        <row r="144">
          <cell r="F144">
            <v>334</v>
          </cell>
          <cell r="G144">
            <v>556900</v>
          </cell>
          <cell r="H144">
            <v>1124700</v>
          </cell>
          <cell r="M144">
            <v>1209231.324</v>
          </cell>
        </row>
        <row r="145">
          <cell r="F145">
            <v>104</v>
          </cell>
          <cell r="G145">
            <v>600300</v>
          </cell>
          <cell r="H145">
            <v>777100</v>
          </cell>
        </row>
        <row r="146">
          <cell r="F146">
            <v>168</v>
          </cell>
          <cell r="G146">
            <v>450800</v>
          </cell>
          <cell r="H146">
            <v>736400</v>
          </cell>
        </row>
        <row r="147">
          <cell r="F147">
            <v>441</v>
          </cell>
          <cell r="G147">
            <v>1425800</v>
          </cell>
          <cell r="H147">
            <v>2175500</v>
          </cell>
        </row>
        <row r="148">
          <cell r="F148">
            <v>912</v>
          </cell>
          <cell r="G148">
            <v>3260500</v>
          </cell>
          <cell r="H148">
            <v>4810900</v>
          </cell>
        </row>
        <row r="149">
          <cell r="F149">
            <v>318</v>
          </cell>
          <cell r="G149">
            <v>751000</v>
          </cell>
          <cell r="H149">
            <v>1291600</v>
          </cell>
        </row>
        <row r="150">
          <cell r="F150">
            <v>622</v>
          </cell>
          <cell r="G150">
            <v>1257000</v>
          </cell>
          <cell r="H150">
            <v>2314400</v>
          </cell>
        </row>
        <row r="153">
          <cell r="F153">
            <v>0</v>
          </cell>
          <cell r="G153">
            <v>102000</v>
          </cell>
          <cell r="H153">
            <v>102000</v>
          </cell>
        </row>
        <row r="154">
          <cell r="F154">
            <v>0</v>
          </cell>
          <cell r="G154">
            <v>435000</v>
          </cell>
          <cell r="H154">
            <v>435000</v>
          </cell>
        </row>
        <row r="155">
          <cell r="F155">
            <v>0</v>
          </cell>
          <cell r="G155">
            <v>427000</v>
          </cell>
          <cell r="H155">
            <v>427000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2097000</v>
          </cell>
          <cell r="H158">
            <v>2097000</v>
          </cell>
        </row>
        <row r="159">
          <cell r="F159">
            <v>0</v>
          </cell>
          <cell r="G159">
            <v>2338000</v>
          </cell>
          <cell r="H159">
            <v>2338000</v>
          </cell>
        </row>
        <row r="160">
          <cell r="F160">
            <v>0</v>
          </cell>
          <cell r="G160">
            <v>1166000</v>
          </cell>
          <cell r="H160">
            <v>1166000</v>
          </cell>
        </row>
        <row r="161">
          <cell r="F161">
            <v>0</v>
          </cell>
          <cell r="G161">
            <v>2925000</v>
          </cell>
          <cell r="H161">
            <v>2925000</v>
          </cell>
        </row>
        <row r="162">
          <cell r="F162">
            <v>0</v>
          </cell>
          <cell r="G162">
            <v>526000</v>
          </cell>
          <cell r="H162">
            <v>526000</v>
          </cell>
        </row>
        <row r="163">
          <cell r="F163">
            <v>0</v>
          </cell>
          <cell r="G163">
            <v>1293000</v>
          </cell>
          <cell r="H163">
            <v>1293000</v>
          </cell>
        </row>
        <row r="164">
          <cell r="F164">
            <v>0</v>
          </cell>
          <cell r="G164">
            <v>525000</v>
          </cell>
          <cell r="H164">
            <v>525000</v>
          </cell>
        </row>
        <row r="165">
          <cell r="F165">
            <v>0</v>
          </cell>
          <cell r="G165">
            <v>485000</v>
          </cell>
          <cell r="H165">
            <v>485000</v>
          </cell>
        </row>
        <row r="166">
          <cell r="F166">
            <v>0</v>
          </cell>
          <cell r="G166">
            <v>93000</v>
          </cell>
          <cell r="H166">
            <v>93000</v>
          </cell>
        </row>
        <row r="167">
          <cell r="F167">
            <v>0</v>
          </cell>
          <cell r="G167">
            <v>217000</v>
          </cell>
          <cell r="H167">
            <v>217000</v>
          </cell>
        </row>
        <row r="168">
          <cell r="F168">
            <v>0</v>
          </cell>
          <cell r="G168">
            <v>118000</v>
          </cell>
          <cell r="H168">
            <v>118000</v>
          </cell>
        </row>
        <row r="169">
          <cell r="F169">
            <v>0</v>
          </cell>
          <cell r="G169">
            <v>70000</v>
          </cell>
          <cell r="H169">
            <v>70000</v>
          </cell>
        </row>
        <row r="170">
          <cell r="F170">
            <v>0</v>
          </cell>
          <cell r="G170">
            <v>144000</v>
          </cell>
          <cell r="H170">
            <v>144000</v>
          </cell>
        </row>
        <row r="171">
          <cell r="F171">
            <v>0</v>
          </cell>
          <cell r="G171">
            <v>266000</v>
          </cell>
          <cell r="H171">
            <v>266000</v>
          </cell>
        </row>
        <row r="172">
          <cell r="F172">
            <v>0</v>
          </cell>
          <cell r="G172">
            <v>80000</v>
          </cell>
          <cell r="H172">
            <v>80000</v>
          </cell>
        </row>
        <row r="173">
          <cell r="F173">
            <v>0</v>
          </cell>
          <cell r="G173">
            <v>63000</v>
          </cell>
          <cell r="H173">
            <v>63000</v>
          </cell>
        </row>
        <row r="174">
          <cell r="F174">
            <v>0</v>
          </cell>
          <cell r="G174">
            <v>30000</v>
          </cell>
          <cell r="H174">
            <v>30000</v>
          </cell>
        </row>
        <row r="175">
          <cell r="F175">
            <v>0</v>
          </cell>
          <cell r="G175">
            <v>147000</v>
          </cell>
          <cell r="H175">
            <v>147000</v>
          </cell>
        </row>
        <row r="176">
          <cell r="F176">
            <v>0</v>
          </cell>
          <cell r="G176">
            <v>108000</v>
          </cell>
          <cell r="H176">
            <v>108000</v>
          </cell>
        </row>
        <row r="177">
          <cell r="F177">
            <v>0</v>
          </cell>
          <cell r="G177">
            <v>493000</v>
          </cell>
          <cell r="H177">
            <v>493000</v>
          </cell>
        </row>
        <row r="178">
          <cell r="F178">
            <v>0</v>
          </cell>
          <cell r="G178">
            <v>415000</v>
          </cell>
          <cell r="H178">
            <v>415000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12000</v>
          </cell>
          <cell r="H180">
            <v>12000</v>
          </cell>
        </row>
        <row r="181">
          <cell r="F181">
            <v>0</v>
          </cell>
          <cell r="G181">
            <v>14000</v>
          </cell>
          <cell r="H181">
            <v>14000</v>
          </cell>
        </row>
        <row r="182">
          <cell r="F182">
            <v>0</v>
          </cell>
          <cell r="G182">
            <v>34000</v>
          </cell>
          <cell r="H182">
            <v>34000</v>
          </cell>
        </row>
        <row r="183">
          <cell r="F183">
            <v>0</v>
          </cell>
          <cell r="G183">
            <v>328000</v>
          </cell>
          <cell r="H183">
            <v>328000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429000</v>
          </cell>
          <cell r="H185">
            <v>429000</v>
          </cell>
        </row>
        <row r="186">
          <cell r="F186">
            <v>0</v>
          </cell>
          <cell r="G186">
            <v>74000</v>
          </cell>
          <cell r="H186">
            <v>74000</v>
          </cell>
        </row>
        <row r="187">
          <cell r="F187">
            <v>0</v>
          </cell>
          <cell r="G187">
            <v>413000</v>
          </cell>
          <cell r="H187">
            <v>413000</v>
          </cell>
        </row>
        <row r="188">
          <cell r="F188">
            <v>0</v>
          </cell>
          <cell r="G188">
            <v>33000</v>
          </cell>
          <cell r="H188">
            <v>33000</v>
          </cell>
        </row>
        <row r="189">
          <cell r="F189">
            <v>0</v>
          </cell>
          <cell r="G189">
            <v>97000</v>
          </cell>
          <cell r="H189">
            <v>97000</v>
          </cell>
        </row>
        <row r="190">
          <cell r="F190">
            <v>0</v>
          </cell>
          <cell r="G190">
            <v>115000</v>
          </cell>
          <cell r="H190">
            <v>115000</v>
          </cell>
        </row>
        <row r="191">
          <cell r="F191">
            <v>0</v>
          </cell>
          <cell r="G191">
            <v>48000</v>
          </cell>
          <cell r="H191">
            <v>48000</v>
          </cell>
        </row>
        <row r="192">
          <cell r="F192">
            <v>0</v>
          </cell>
          <cell r="G192">
            <v>75000</v>
          </cell>
          <cell r="H192">
            <v>75000</v>
          </cell>
        </row>
        <row r="193">
          <cell r="F193">
            <v>0</v>
          </cell>
          <cell r="G193">
            <v>289000</v>
          </cell>
          <cell r="H193">
            <v>289000</v>
          </cell>
        </row>
        <row r="194">
          <cell r="F194">
            <v>0</v>
          </cell>
          <cell r="G194">
            <v>89000</v>
          </cell>
          <cell r="H194">
            <v>89000</v>
          </cell>
        </row>
        <row r="195">
          <cell r="F195">
            <v>0</v>
          </cell>
          <cell r="G195">
            <v>101000</v>
          </cell>
          <cell r="H195">
            <v>101000</v>
          </cell>
        </row>
        <row r="196">
          <cell r="F196">
            <v>0</v>
          </cell>
          <cell r="G196">
            <v>307000</v>
          </cell>
          <cell r="H196">
            <v>307000</v>
          </cell>
        </row>
        <row r="197">
          <cell r="F197">
            <v>0</v>
          </cell>
          <cell r="G197">
            <v>28000</v>
          </cell>
          <cell r="H197">
            <v>28000</v>
          </cell>
        </row>
        <row r="198">
          <cell r="F198">
            <v>0</v>
          </cell>
          <cell r="G198">
            <v>204000</v>
          </cell>
          <cell r="H198">
            <v>204000</v>
          </cell>
        </row>
        <row r="199">
          <cell r="F199">
            <v>0</v>
          </cell>
          <cell r="G199">
            <v>36000</v>
          </cell>
          <cell r="H199">
            <v>36000</v>
          </cell>
        </row>
        <row r="200">
          <cell r="F200">
            <v>0</v>
          </cell>
          <cell r="G200">
            <v>53000</v>
          </cell>
          <cell r="H200">
            <v>53000</v>
          </cell>
        </row>
        <row r="201">
          <cell r="F201">
            <v>0</v>
          </cell>
          <cell r="G201">
            <v>143000</v>
          </cell>
          <cell r="H201">
            <v>143000</v>
          </cell>
        </row>
        <row r="202">
          <cell r="F202">
            <v>0</v>
          </cell>
          <cell r="G202">
            <v>184000</v>
          </cell>
          <cell r="H202">
            <v>184000</v>
          </cell>
        </row>
        <row r="203">
          <cell r="F203">
            <v>0</v>
          </cell>
          <cell r="G203">
            <v>67000</v>
          </cell>
          <cell r="H203">
            <v>67000</v>
          </cell>
        </row>
        <row r="204">
          <cell r="F204">
            <v>0</v>
          </cell>
          <cell r="G204">
            <v>363000</v>
          </cell>
          <cell r="H204">
            <v>363000</v>
          </cell>
        </row>
        <row r="205">
          <cell r="F205">
            <v>0</v>
          </cell>
          <cell r="G205">
            <v>142000</v>
          </cell>
          <cell r="H205">
            <v>142000</v>
          </cell>
        </row>
        <row r="206">
          <cell r="F206">
            <v>0</v>
          </cell>
          <cell r="G206">
            <v>283000</v>
          </cell>
          <cell r="H206">
            <v>283000</v>
          </cell>
        </row>
        <row r="207">
          <cell r="F207">
            <v>0</v>
          </cell>
          <cell r="G207">
            <v>211000</v>
          </cell>
          <cell r="H207">
            <v>211000</v>
          </cell>
        </row>
        <row r="208">
          <cell r="F208">
            <v>0</v>
          </cell>
          <cell r="G208">
            <v>259000</v>
          </cell>
          <cell r="H208">
            <v>259000</v>
          </cell>
        </row>
        <row r="209">
          <cell r="F209">
            <v>0</v>
          </cell>
          <cell r="G209">
            <v>444000</v>
          </cell>
          <cell r="H209">
            <v>444000</v>
          </cell>
        </row>
        <row r="210">
          <cell r="F210">
            <v>0</v>
          </cell>
          <cell r="G210">
            <v>1471000</v>
          </cell>
          <cell r="H210">
            <v>1471000</v>
          </cell>
        </row>
        <row r="211">
          <cell r="F211">
            <v>0</v>
          </cell>
          <cell r="G211">
            <v>104000</v>
          </cell>
          <cell r="H211">
            <v>104000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132000</v>
          </cell>
          <cell r="H214">
            <v>132000</v>
          </cell>
        </row>
        <row r="215">
          <cell r="F215">
            <v>0</v>
          </cell>
          <cell r="G215">
            <v>86000</v>
          </cell>
          <cell r="H215">
            <v>86000</v>
          </cell>
        </row>
        <row r="216">
          <cell r="F216">
            <v>0</v>
          </cell>
          <cell r="G216">
            <v>892000</v>
          </cell>
          <cell r="H216">
            <v>892000</v>
          </cell>
        </row>
        <row r="217">
          <cell r="F217">
            <v>0</v>
          </cell>
          <cell r="G217">
            <v>78000</v>
          </cell>
          <cell r="H217">
            <v>78000</v>
          </cell>
        </row>
        <row r="218">
          <cell r="F218">
            <v>0</v>
          </cell>
          <cell r="G218">
            <v>321000</v>
          </cell>
          <cell r="H218">
            <v>321000</v>
          </cell>
        </row>
        <row r="219">
          <cell r="F219">
            <v>0</v>
          </cell>
          <cell r="G219">
            <v>79000</v>
          </cell>
          <cell r="H219">
            <v>79000</v>
          </cell>
        </row>
        <row r="220">
          <cell r="F220">
            <v>0</v>
          </cell>
          <cell r="G220">
            <v>141000</v>
          </cell>
          <cell r="H220">
            <v>141000</v>
          </cell>
        </row>
        <row r="223">
          <cell r="F223">
            <v>110</v>
          </cell>
          <cell r="G223">
            <v>4490700</v>
          </cell>
          <cell r="H223">
            <v>4677700</v>
          </cell>
        </row>
        <row r="224">
          <cell r="F224">
            <v>0</v>
          </cell>
          <cell r="G224">
            <v>2385100</v>
          </cell>
          <cell r="H224">
            <v>2385100</v>
          </cell>
        </row>
        <row r="225">
          <cell r="F225">
            <v>694</v>
          </cell>
          <cell r="G225">
            <v>2190800</v>
          </cell>
          <cell r="H225">
            <v>3370600</v>
          </cell>
        </row>
        <row r="226">
          <cell r="F226">
            <v>1033</v>
          </cell>
          <cell r="G226">
            <v>824800</v>
          </cell>
          <cell r="H226">
            <v>2580900</v>
          </cell>
        </row>
        <row r="227">
          <cell r="F227">
            <v>625</v>
          </cell>
          <cell r="G227">
            <v>1208000</v>
          </cell>
          <cell r="H227">
            <v>2270500</v>
          </cell>
        </row>
        <row r="228">
          <cell r="F228">
            <v>151</v>
          </cell>
          <cell r="G228">
            <v>2722500</v>
          </cell>
          <cell r="H228">
            <v>2979200</v>
          </cell>
        </row>
        <row r="229">
          <cell r="F229">
            <v>945</v>
          </cell>
          <cell r="G229">
            <v>2055400</v>
          </cell>
          <cell r="H229">
            <v>3661900</v>
          </cell>
        </row>
        <row r="230">
          <cell r="F230">
            <v>1638</v>
          </cell>
          <cell r="G230">
            <v>2353200</v>
          </cell>
          <cell r="H230">
            <v>5137800</v>
          </cell>
        </row>
        <row r="231">
          <cell r="F231">
            <v>47</v>
          </cell>
          <cell r="G231">
            <v>3781000</v>
          </cell>
          <cell r="H231">
            <v>3860900</v>
          </cell>
        </row>
        <row r="232">
          <cell r="F232">
            <v>0</v>
          </cell>
          <cell r="G232">
            <v>489200</v>
          </cell>
          <cell r="H232">
            <v>489200</v>
          </cell>
        </row>
        <row r="233">
          <cell r="F233">
            <v>1526</v>
          </cell>
          <cell r="G233">
            <v>1423100</v>
          </cell>
          <cell r="H233">
            <v>4017300</v>
          </cell>
        </row>
        <row r="234">
          <cell r="F234">
            <v>930</v>
          </cell>
          <cell r="G234">
            <v>936100</v>
          </cell>
          <cell r="H234">
            <v>2517100</v>
          </cell>
        </row>
        <row r="235">
          <cell r="F235">
            <v>0</v>
          </cell>
          <cell r="G235">
            <v>750700</v>
          </cell>
          <cell r="H235">
            <v>750700</v>
          </cell>
        </row>
        <row r="236">
          <cell r="F236">
            <v>4</v>
          </cell>
          <cell r="G236">
            <v>1547700</v>
          </cell>
          <cell r="H236">
            <v>1554500</v>
          </cell>
        </row>
        <row r="237">
          <cell r="F237">
            <v>23</v>
          </cell>
          <cell r="G237">
            <v>1958800</v>
          </cell>
          <cell r="H237">
            <v>1997900</v>
          </cell>
        </row>
        <row r="238">
          <cell r="F238">
            <v>581</v>
          </cell>
          <cell r="G238">
            <v>2706000</v>
          </cell>
          <cell r="H238">
            <v>3693700</v>
          </cell>
        </row>
        <row r="239">
          <cell r="F239">
            <v>215</v>
          </cell>
          <cell r="G239">
            <v>3686500</v>
          </cell>
          <cell r="H239">
            <v>4052000</v>
          </cell>
        </row>
        <row r="240">
          <cell r="F240">
            <v>760</v>
          </cell>
          <cell r="G240">
            <v>1572700</v>
          </cell>
          <cell r="H240">
            <v>2864700</v>
          </cell>
        </row>
        <row r="241">
          <cell r="F241">
            <v>973</v>
          </cell>
          <cell r="G241">
            <v>1424400</v>
          </cell>
          <cell r="H241">
            <v>3078500</v>
          </cell>
        </row>
        <row r="242">
          <cell r="F242">
            <v>875</v>
          </cell>
          <cell r="G242">
            <v>2586500</v>
          </cell>
          <cell r="H242">
            <v>4074000</v>
          </cell>
        </row>
        <row r="243">
          <cell r="F243">
            <v>863</v>
          </cell>
          <cell r="G243">
            <v>1843500</v>
          </cell>
          <cell r="H243">
            <v>3310600</v>
          </cell>
        </row>
        <row r="244">
          <cell r="F244">
            <v>450</v>
          </cell>
          <cell r="G244">
            <v>1687700</v>
          </cell>
          <cell r="H244">
            <v>2452700</v>
          </cell>
        </row>
        <row r="245">
          <cell r="F245">
            <v>399</v>
          </cell>
          <cell r="G245">
            <v>1172900</v>
          </cell>
          <cell r="H245">
            <v>1851200</v>
          </cell>
        </row>
        <row r="246">
          <cell r="F246">
            <v>856</v>
          </cell>
          <cell r="G246">
            <v>4564700</v>
          </cell>
          <cell r="H246">
            <v>6019900</v>
          </cell>
        </row>
        <row r="247">
          <cell r="F247">
            <v>1144</v>
          </cell>
          <cell r="G247">
            <v>1056600</v>
          </cell>
          <cell r="H247">
            <v>3001400</v>
          </cell>
        </row>
        <row r="248">
          <cell r="F248">
            <v>173</v>
          </cell>
          <cell r="G248">
            <v>2024900</v>
          </cell>
          <cell r="H248">
            <v>2319000</v>
          </cell>
        </row>
        <row r="249">
          <cell r="F249">
            <v>169</v>
          </cell>
          <cell r="G249">
            <v>2902100</v>
          </cell>
          <cell r="H249">
            <v>3189400</v>
          </cell>
        </row>
        <row r="250">
          <cell r="F250">
            <v>71</v>
          </cell>
          <cell r="G250">
            <v>5012750</v>
          </cell>
          <cell r="H250">
            <v>5133450</v>
          </cell>
        </row>
        <row r="251">
          <cell r="F251">
            <v>431</v>
          </cell>
          <cell r="G251">
            <v>2611400</v>
          </cell>
          <cell r="H251">
            <v>3344100</v>
          </cell>
        </row>
        <row r="252">
          <cell r="F252">
            <v>107</v>
          </cell>
          <cell r="G252">
            <v>724700</v>
          </cell>
          <cell r="H252">
            <v>906600</v>
          </cell>
        </row>
        <row r="253">
          <cell r="F253">
            <v>60</v>
          </cell>
          <cell r="G253">
            <v>4818050</v>
          </cell>
          <cell r="H253">
            <v>4920050</v>
          </cell>
        </row>
        <row r="254">
          <cell r="F254">
            <v>775</v>
          </cell>
          <cell r="G254">
            <v>2161300</v>
          </cell>
          <cell r="H254">
            <v>3478800</v>
          </cell>
        </row>
        <row r="255">
          <cell r="F255">
            <v>390</v>
          </cell>
          <cell r="G255">
            <v>965800</v>
          </cell>
          <cell r="H255">
            <v>1628800</v>
          </cell>
        </row>
        <row r="256">
          <cell r="F256">
            <v>600</v>
          </cell>
          <cell r="G256">
            <v>2327600</v>
          </cell>
          <cell r="H256">
            <v>3347600</v>
          </cell>
        </row>
        <row r="257">
          <cell r="F257">
            <v>386</v>
          </cell>
          <cell r="G257">
            <v>460300</v>
          </cell>
          <cell r="H257">
            <v>1116500</v>
          </cell>
        </row>
        <row r="260">
          <cell r="G260">
            <v>103000</v>
          </cell>
          <cell r="H260">
            <v>103000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11814</v>
          </cell>
          <cell r="G10">
            <v>8827100</v>
          </cell>
          <cell r="H10">
            <v>28910900</v>
          </cell>
        </row>
        <row r="14">
          <cell r="F14">
            <v>6191</v>
          </cell>
          <cell r="G14">
            <v>2273000</v>
          </cell>
          <cell r="H14">
            <v>12797700</v>
          </cell>
        </row>
        <row r="15">
          <cell r="F15">
            <v>5982</v>
          </cell>
          <cell r="G15">
            <v>1900800</v>
          </cell>
          <cell r="H15">
            <v>12070200</v>
          </cell>
        </row>
        <row r="16">
          <cell r="F16">
            <v>7474</v>
          </cell>
          <cell r="G16">
            <v>2795800</v>
          </cell>
          <cell r="H16">
            <v>15501600</v>
          </cell>
        </row>
        <row r="17">
          <cell r="F17">
            <v>4887</v>
          </cell>
          <cell r="G17">
            <v>2354300</v>
          </cell>
          <cell r="H17">
            <v>10662200</v>
          </cell>
        </row>
        <row r="18">
          <cell r="F18">
            <v>5792</v>
          </cell>
          <cell r="G18">
            <v>2610100</v>
          </cell>
          <cell r="H18">
            <v>12456500</v>
          </cell>
        </row>
        <row r="19">
          <cell r="F19">
            <v>5927</v>
          </cell>
          <cell r="G19">
            <v>3176700</v>
          </cell>
          <cell r="H19">
            <v>13252600</v>
          </cell>
        </row>
        <row r="20">
          <cell r="F20">
            <v>3384</v>
          </cell>
          <cell r="G20">
            <v>1532600</v>
          </cell>
          <cell r="H20">
            <v>7285400</v>
          </cell>
        </row>
        <row r="21">
          <cell r="F21">
            <v>4137</v>
          </cell>
          <cell r="G21">
            <v>2572200</v>
          </cell>
          <cell r="H21">
            <v>9605100</v>
          </cell>
        </row>
        <row r="22">
          <cell r="F22">
            <v>8177</v>
          </cell>
          <cell r="G22">
            <v>4236100</v>
          </cell>
          <cell r="H22">
            <v>18137000</v>
          </cell>
        </row>
        <row r="23">
          <cell r="F23">
            <v>3382</v>
          </cell>
          <cell r="G23">
            <v>1266500</v>
          </cell>
          <cell r="H23">
            <v>7015900</v>
          </cell>
        </row>
        <row r="24">
          <cell r="F24">
            <v>3021</v>
          </cell>
          <cell r="G24">
            <v>1676800</v>
          </cell>
          <cell r="H24">
            <v>6812500</v>
          </cell>
        </row>
        <row r="25">
          <cell r="F25">
            <v>2531</v>
          </cell>
          <cell r="G25">
            <v>1078300</v>
          </cell>
          <cell r="H25">
            <v>5381000</v>
          </cell>
        </row>
        <row r="26">
          <cell r="F26">
            <v>6043</v>
          </cell>
          <cell r="G26">
            <v>2824500</v>
          </cell>
          <cell r="H26">
            <v>13097600</v>
          </cell>
        </row>
        <row r="27">
          <cell r="F27">
            <v>15767</v>
          </cell>
          <cell r="G27">
            <v>9904200</v>
          </cell>
          <cell r="H27">
            <v>36708100</v>
          </cell>
        </row>
        <row r="28">
          <cell r="F28">
            <v>12069</v>
          </cell>
          <cell r="G28">
            <v>7372600</v>
          </cell>
          <cell r="H28">
            <v>27889900</v>
          </cell>
        </row>
        <row r="29">
          <cell r="F29">
            <v>10445</v>
          </cell>
          <cell r="G29">
            <v>7041200</v>
          </cell>
          <cell r="H29">
            <v>24797700</v>
          </cell>
        </row>
        <row r="30">
          <cell r="F30">
            <v>15882</v>
          </cell>
          <cell r="G30">
            <v>6225800</v>
          </cell>
          <cell r="H30">
            <v>33225200</v>
          </cell>
        </row>
        <row r="31">
          <cell r="F31">
            <v>8948</v>
          </cell>
          <cell r="G31">
            <v>4767550</v>
          </cell>
          <cell r="H31">
            <v>19979150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10115</v>
          </cell>
          <cell r="G33">
            <v>4017700</v>
          </cell>
          <cell r="H33">
            <v>21213200</v>
          </cell>
        </row>
        <row r="34">
          <cell r="F34">
            <v>14277</v>
          </cell>
          <cell r="G34">
            <v>5474600</v>
          </cell>
          <cell r="H34">
            <v>29745500</v>
          </cell>
        </row>
        <row r="35">
          <cell r="F35">
            <v>10917</v>
          </cell>
          <cell r="G35">
            <v>5266750</v>
          </cell>
          <cell r="H35">
            <v>23825650</v>
          </cell>
        </row>
        <row r="36">
          <cell r="F36">
            <v>12907</v>
          </cell>
          <cell r="G36">
            <v>5463100</v>
          </cell>
          <cell r="H36">
            <v>27405000</v>
          </cell>
        </row>
        <row r="37">
          <cell r="F37">
            <v>3669</v>
          </cell>
          <cell r="G37">
            <v>3077700</v>
          </cell>
          <cell r="H37">
            <v>9315000</v>
          </cell>
        </row>
        <row r="38">
          <cell r="F38">
            <v>6204</v>
          </cell>
          <cell r="G38">
            <v>3380400</v>
          </cell>
          <cell r="H38">
            <v>13927200</v>
          </cell>
        </row>
        <row r="39">
          <cell r="F39">
            <v>2557</v>
          </cell>
          <cell r="G39">
            <v>2492950</v>
          </cell>
          <cell r="H39">
            <v>6839850</v>
          </cell>
        </row>
        <row r="40">
          <cell r="F40">
            <v>12462</v>
          </cell>
          <cell r="G40">
            <v>7526850</v>
          </cell>
          <cell r="H40">
            <v>28712250</v>
          </cell>
        </row>
        <row r="41">
          <cell r="F41">
            <v>6041</v>
          </cell>
          <cell r="G41">
            <v>2389800</v>
          </cell>
          <cell r="H41">
            <v>12659500</v>
          </cell>
        </row>
        <row r="42">
          <cell r="F42">
            <v>1854</v>
          </cell>
          <cell r="G42">
            <v>1586800</v>
          </cell>
          <cell r="H42">
            <v>4738600</v>
          </cell>
        </row>
        <row r="43">
          <cell r="F43">
            <v>4025</v>
          </cell>
          <cell r="G43">
            <v>1511700</v>
          </cell>
          <cell r="H43">
            <v>8354200</v>
          </cell>
        </row>
        <row r="44">
          <cell r="F44">
            <v>971</v>
          </cell>
          <cell r="G44">
            <v>837900</v>
          </cell>
          <cell r="H44">
            <v>2488600</v>
          </cell>
        </row>
        <row r="45">
          <cell r="F45">
            <v>14676</v>
          </cell>
          <cell r="G45">
            <v>5616600</v>
          </cell>
          <cell r="H45">
            <v>30565800</v>
          </cell>
        </row>
        <row r="46">
          <cell r="F46">
            <v>3230</v>
          </cell>
          <cell r="G46">
            <v>2637700</v>
          </cell>
          <cell r="H46">
            <v>8128700</v>
          </cell>
        </row>
        <row r="47">
          <cell r="F47">
            <v>20813</v>
          </cell>
          <cell r="G47">
            <v>6950400</v>
          </cell>
          <cell r="H47">
            <v>42332500</v>
          </cell>
        </row>
        <row r="52">
          <cell r="F52">
            <v>8458</v>
          </cell>
          <cell r="G52">
            <v>3942600</v>
          </cell>
          <cell r="H52">
            <v>18321200</v>
          </cell>
        </row>
        <row r="53">
          <cell r="F53">
            <v>7380</v>
          </cell>
          <cell r="G53">
            <v>4383900</v>
          </cell>
          <cell r="H53">
            <v>16929900</v>
          </cell>
        </row>
        <row r="54">
          <cell r="F54">
            <v>15692</v>
          </cell>
          <cell r="G54">
            <v>7400900</v>
          </cell>
          <cell r="H54">
            <v>34077300</v>
          </cell>
        </row>
        <row r="55">
          <cell r="F55">
            <v>6337</v>
          </cell>
          <cell r="G55">
            <v>4148400</v>
          </cell>
          <cell r="H55">
            <v>14921300</v>
          </cell>
        </row>
        <row r="56">
          <cell r="F56">
            <v>4469</v>
          </cell>
          <cell r="G56">
            <v>1832500</v>
          </cell>
          <cell r="H56">
            <v>9429800</v>
          </cell>
        </row>
        <row r="57">
          <cell r="F57">
            <v>9807</v>
          </cell>
          <cell r="G57">
            <v>3974400</v>
          </cell>
          <cell r="H57">
            <v>20646300</v>
          </cell>
        </row>
        <row r="58">
          <cell r="F58">
            <v>14571</v>
          </cell>
          <cell r="G58">
            <v>5679350</v>
          </cell>
          <cell r="H58">
            <v>30450050</v>
          </cell>
        </row>
        <row r="59">
          <cell r="F59">
            <v>7765</v>
          </cell>
          <cell r="G59">
            <v>3351200</v>
          </cell>
          <cell r="H59">
            <v>16551700</v>
          </cell>
        </row>
        <row r="60">
          <cell r="F60">
            <v>6829</v>
          </cell>
          <cell r="G60">
            <v>3072000</v>
          </cell>
          <cell r="H60">
            <v>14681300</v>
          </cell>
        </row>
        <row r="61">
          <cell r="F61">
            <v>4964</v>
          </cell>
          <cell r="G61">
            <v>2234250</v>
          </cell>
          <cell r="H61">
            <v>10673050</v>
          </cell>
        </row>
        <row r="62">
          <cell r="F62">
            <v>12043</v>
          </cell>
          <cell r="G62">
            <v>4846300</v>
          </cell>
          <cell r="H62">
            <v>25319400</v>
          </cell>
        </row>
        <row r="63">
          <cell r="F63">
            <v>10019</v>
          </cell>
          <cell r="G63">
            <v>4451900</v>
          </cell>
          <cell r="H63">
            <v>21484200</v>
          </cell>
        </row>
        <row r="64">
          <cell r="F64">
            <v>9833</v>
          </cell>
          <cell r="G64">
            <v>4293650</v>
          </cell>
          <cell r="H64">
            <v>21009750</v>
          </cell>
        </row>
        <row r="65">
          <cell r="F65">
            <v>6860</v>
          </cell>
          <cell r="G65">
            <v>3562000</v>
          </cell>
          <cell r="H65">
            <v>15224000</v>
          </cell>
        </row>
        <row r="66">
          <cell r="F66">
            <v>7136</v>
          </cell>
          <cell r="G66">
            <v>3985600</v>
          </cell>
          <cell r="H66">
            <v>16116800</v>
          </cell>
        </row>
        <row r="67">
          <cell r="F67">
            <v>5366</v>
          </cell>
          <cell r="G67">
            <v>3513400</v>
          </cell>
          <cell r="H67">
            <v>12635600</v>
          </cell>
        </row>
        <row r="68">
          <cell r="F68">
            <v>8770</v>
          </cell>
          <cell r="G68">
            <v>3853000</v>
          </cell>
          <cell r="H68">
            <v>18762000</v>
          </cell>
        </row>
        <row r="69">
          <cell r="F69">
            <v>6826</v>
          </cell>
          <cell r="G69">
            <v>3687200</v>
          </cell>
          <cell r="H69">
            <v>15291400</v>
          </cell>
        </row>
        <row r="70">
          <cell r="F70">
            <v>11752</v>
          </cell>
          <cell r="G70">
            <v>5077600</v>
          </cell>
          <cell r="H70">
            <v>25056000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5498</v>
          </cell>
          <cell r="G72">
            <v>2306000</v>
          </cell>
          <cell r="H72">
            <v>11652600</v>
          </cell>
        </row>
        <row r="73">
          <cell r="F73">
            <v>3877</v>
          </cell>
          <cell r="G73">
            <v>1163500</v>
          </cell>
          <cell r="H73">
            <v>7754400</v>
          </cell>
        </row>
        <row r="74">
          <cell r="F74">
            <v>12049</v>
          </cell>
          <cell r="G74">
            <v>4414450</v>
          </cell>
          <cell r="H74">
            <v>24897750</v>
          </cell>
        </row>
        <row r="75">
          <cell r="F75">
            <v>5717</v>
          </cell>
          <cell r="G75">
            <v>2329500</v>
          </cell>
          <cell r="H75">
            <v>12048400</v>
          </cell>
        </row>
        <row r="76">
          <cell r="F76">
            <v>20136</v>
          </cell>
          <cell r="G76">
            <v>8231200</v>
          </cell>
          <cell r="H76">
            <v>42462400</v>
          </cell>
        </row>
        <row r="77">
          <cell r="F77">
            <v>8541</v>
          </cell>
          <cell r="G77">
            <v>2115600</v>
          </cell>
          <cell r="H77">
            <v>16635300</v>
          </cell>
        </row>
        <row r="78">
          <cell r="F78">
            <v>5992</v>
          </cell>
          <cell r="G78">
            <v>2066600</v>
          </cell>
          <cell r="H78">
            <v>12253000</v>
          </cell>
        </row>
        <row r="79">
          <cell r="F79">
            <v>2200</v>
          </cell>
          <cell r="G79">
            <v>653000</v>
          </cell>
          <cell r="H79">
            <v>4393000</v>
          </cell>
        </row>
        <row r="80">
          <cell r="F80">
            <v>4539</v>
          </cell>
          <cell r="G80">
            <v>964800</v>
          </cell>
          <cell r="H80">
            <v>8681100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2626</v>
          </cell>
          <cell r="G84">
            <v>1060100</v>
          </cell>
          <cell r="H84">
            <v>5524300</v>
          </cell>
        </row>
        <row r="85">
          <cell r="F85">
            <v>1251</v>
          </cell>
          <cell r="G85">
            <v>326900</v>
          </cell>
          <cell r="H85">
            <v>2453600</v>
          </cell>
        </row>
        <row r="86">
          <cell r="F86">
            <v>3495</v>
          </cell>
          <cell r="G86">
            <v>2300900</v>
          </cell>
          <cell r="H86">
            <v>8242400</v>
          </cell>
        </row>
        <row r="87">
          <cell r="F87">
            <v>2847</v>
          </cell>
          <cell r="G87">
            <v>987300</v>
          </cell>
          <cell r="H87">
            <v>5827200</v>
          </cell>
        </row>
        <row r="88">
          <cell r="F88">
            <v>5187</v>
          </cell>
          <cell r="G88">
            <v>2558200</v>
          </cell>
          <cell r="H88">
            <v>11376100</v>
          </cell>
        </row>
        <row r="89">
          <cell r="F89">
            <v>1840</v>
          </cell>
          <cell r="G89">
            <v>1223600</v>
          </cell>
          <cell r="H89">
            <v>4351600</v>
          </cell>
        </row>
        <row r="90">
          <cell r="F90">
            <v>2584</v>
          </cell>
          <cell r="G90">
            <v>1565000</v>
          </cell>
          <cell r="H90">
            <v>5957800</v>
          </cell>
        </row>
        <row r="91">
          <cell r="F91">
            <v>4220</v>
          </cell>
          <cell r="G91">
            <v>2862700</v>
          </cell>
          <cell r="H91">
            <v>10036700</v>
          </cell>
        </row>
        <row r="92">
          <cell r="F92">
            <v>2392</v>
          </cell>
          <cell r="G92">
            <v>1840400</v>
          </cell>
          <cell r="H92">
            <v>5906800</v>
          </cell>
        </row>
        <row r="93">
          <cell r="F93">
            <v>2841</v>
          </cell>
          <cell r="G93">
            <v>2108700</v>
          </cell>
          <cell r="H93">
            <v>6938400</v>
          </cell>
        </row>
        <row r="94">
          <cell r="F94">
            <v>649</v>
          </cell>
          <cell r="G94">
            <v>304500</v>
          </cell>
          <cell r="H94">
            <v>1407800</v>
          </cell>
        </row>
        <row r="95">
          <cell r="F95">
            <v>2838</v>
          </cell>
          <cell r="G95">
            <v>1762100</v>
          </cell>
          <cell r="H95">
            <v>6586700</v>
          </cell>
        </row>
        <row r="96">
          <cell r="F96">
            <v>3091</v>
          </cell>
          <cell r="G96">
            <v>779900</v>
          </cell>
          <cell r="H96">
            <v>6034600</v>
          </cell>
        </row>
        <row r="97">
          <cell r="F97">
            <v>6366</v>
          </cell>
          <cell r="G97">
            <v>1326900</v>
          </cell>
          <cell r="H97">
            <v>12149100</v>
          </cell>
        </row>
        <row r="98">
          <cell r="F98">
            <v>3252</v>
          </cell>
          <cell r="G98">
            <v>1058300</v>
          </cell>
          <cell r="H98">
            <v>6586700</v>
          </cell>
        </row>
        <row r="99">
          <cell r="F99">
            <v>6943</v>
          </cell>
          <cell r="G99">
            <v>2085000</v>
          </cell>
          <cell r="H99">
            <v>13888100</v>
          </cell>
        </row>
        <row r="100">
          <cell r="F100">
            <v>7459</v>
          </cell>
          <cell r="G100">
            <v>2485400</v>
          </cell>
          <cell r="H100">
            <v>15165700</v>
          </cell>
        </row>
        <row r="101">
          <cell r="F101">
            <v>2576</v>
          </cell>
          <cell r="G101">
            <v>806300</v>
          </cell>
          <cell r="H101">
            <v>5185500</v>
          </cell>
        </row>
        <row r="102">
          <cell r="F102">
            <v>13848</v>
          </cell>
          <cell r="G102">
            <v>2061900</v>
          </cell>
          <cell r="H102">
            <v>25603500</v>
          </cell>
        </row>
        <row r="103">
          <cell r="F103">
            <v>11929</v>
          </cell>
          <cell r="G103">
            <v>2782800</v>
          </cell>
          <cell r="H103">
            <v>23062100</v>
          </cell>
        </row>
        <row r="104">
          <cell r="F104">
            <v>5298</v>
          </cell>
          <cell r="G104">
            <v>2450600</v>
          </cell>
          <cell r="H104">
            <v>11457200</v>
          </cell>
        </row>
        <row r="105">
          <cell r="F105">
            <v>3712</v>
          </cell>
          <cell r="G105">
            <v>2039100</v>
          </cell>
          <cell r="H105">
            <v>8349500</v>
          </cell>
        </row>
        <row r="106">
          <cell r="F106">
            <v>3334</v>
          </cell>
          <cell r="G106">
            <v>1737400</v>
          </cell>
          <cell r="H106">
            <v>7405200</v>
          </cell>
        </row>
        <row r="107">
          <cell r="F107">
            <v>5290</v>
          </cell>
          <cell r="G107">
            <v>1412800</v>
          </cell>
          <cell r="H107">
            <v>10405800</v>
          </cell>
        </row>
        <row r="108">
          <cell r="F108">
            <v>5355</v>
          </cell>
          <cell r="G108">
            <v>1787900</v>
          </cell>
          <cell r="H108">
            <v>10891400</v>
          </cell>
        </row>
        <row r="109">
          <cell r="F109">
            <v>3353</v>
          </cell>
          <cell r="G109">
            <v>1871100</v>
          </cell>
          <cell r="H109">
            <v>7571200</v>
          </cell>
        </row>
        <row r="110">
          <cell r="F110">
            <v>2428</v>
          </cell>
          <cell r="G110">
            <v>758200</v>
          </cell>
          <cell r="H110">
            <v>4885800</v>
          </cell>
        </row>
        <row r="111">
          <cell r="F111">
            <v>5805</v>
          </cell>
          <cell r="G111">
            <v>2279200</v>
          </cell>
          <cell r="H111">
            <v>12147700</v>
          </cell>
        </row>
        <row r="112">
          <cell r="F112">
            <v>4326</v>
          </cell>
          <cell r="G112">
            <v>2056100</v>
          </cell>
          <cell r="H112">
            <v>9410300</v>
          </cell>
        </row>
        <row r="113">
          <cell r="F113">
            <v>4334</v>
          </cell>
          <cell r="G113">
            <v>4131400</v>
          </cell>
          <cell r="H113">
            <v>11499200</v>
          </cell>
        </row>
        <row r="114">
          <cell r="F114">
            <v>569</v>
          </cell>
          <cell r="G114">
            <v>186800</v>
          </cell>
          <cell r="H114">
            <v>1154100</v>
          </cell>
        </row>
        <row r="115">
          <cell r="F115">
            <v>2024</v>
          </cell>
          <cell r="G115">
            <v>647300</v>
          </cell>
          <cell r="H115">
            <v>4088100</v>
          </cell>
        </row>
        <row r="116">
          <cell r="F116">
            <v>424</v>
          </cell>
          <cell r="G116">
            <v>208900</v>
          </cell>
          <cell r="H116">
            <v>929700</v>
          </cell>
        </row>
        <row r="117">
          <cell r="F117">
            <v>2527</v>
          </cell>
          <cell r="G117">
            <v>429200</v>
          </cell>
          <cell r="H117">
            <v>4725100</v>
          </cell>
        </row>
        <row r="118">
          <cell r="F118">
            <v>2967</v>
          </cell>
          <cell r="G118">
            <v>1667200</v>
          </cell>
          <cell r="H118">
            <v>6711100</v>
          </cell>
        </row>
        <row r="121">
          <cell r="F121">
            <v>42662</v>
          </cell>
          <cell r="G121">
            <v>6208800</v>
          </cell>
        </row>
        <row r="122">
          <cell r="F122">
            <v>10283</v>
          </cell>
          <cell r="G122">
            <v>19431400</v>
          </cell>
          <cell r="H122">
            <v>36912500</v>
          </cell>
        </row>
        <row r="133">
          <cell r="F133">
            <v>179286</v>
          </cell>
          <cell r="G133">
            <v>79642550</v>
          </cell>
          <cell r="H133">
            <v>384428750</v>
          </cell>
        </row>
        <row r="135">
          <cell r="F135">
            <v>237</v>
          </cell>
          <cell r="G135">
            <v>877600</v>
          </cell>
          <cell r="H135">
            <v>1280500</v>
          </cell>
        </row>
        <row r="136">
          <cell r="F136">
            <v>5487</v>
          </cell>
          <cell r="G136">
            <v>4209000</v>
          </cell>
          <cell r="H136">
            <v>13536900</v>
          </cell>
        </row>
        <row r="137">
          <cell r="F137">
            <v>566</v>
          </cell>
          <cell r="G137">
            <v>1586000</v>
          </cell>
          <cell r="H137">
            <v>2548200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441</v>
          </cell>
          <cell r="G139">
            <v>1140400</v>
          </cell>
          <cell r="H139">
            <v>1890100</v>
          </cell>
        </row>
        <row r="140">
          <cell r="F140">
            <v>757</v>
          </cell>
          <cell r="G140">
            <v>1333900</v>
          </cell>
          <cell r="H140">
            <v>2620800</v>
          </cell>
        </row>
        <row r="141">
          <cell r="F141">
            <v>249</v>
          </cell>
          <cell r="G141">
            <v>278800</v>
          </cell>
          <cell r="H141">
            <v>702100</v>
          </cell>
        </row>
        <row r="142">
          <cell r="F142">
            <v>197</v>
          </cell>
          <cell r="G142">
            <v>546900</v>
          </cell>
          <cell r="H142">
            <v>881800</v>
          </cell>
        </row>
        <row r="143">
          <cell r="F143">
            <v>473</v>
          </cell>
          <cell r="G143">
            <v>841500</v>
          </cell>
          <cell r="H143">
            <v>1645600</v>
          </cell>
        </row>
        <row r="144">
          <cell r="F144">
            <v>209</v>
          </cell>
          <cell r="G144">
            <v>791800</v>
          </cell>
          <cell r="H144">
            <v>1147100</v>
          </cell>
          <cell r="M144">
            <v>1198918.2350000001</v>
          </cell>
        </row>
        <row r="145">
          <cell r="F145">
            <v>119</v>
          </cell>
          <cell r="G145">
            <v>282700</v>
          </cell>
          <cell r="H145">
            <v>485000</v>
          </cell>
        </row>
        <row r="146">
          <cell r="F146">
            <v>209</v>
          </cell>
          <cell r="G146">
            <v>360200</v>
          </cell>
          <cell r="H146">
            <v>715500</v>
          </cell>
        </row>
        <row r="147">
          <cell r="F147">
            <v>407</v>
          </cell>
          <cell r="G147">
            <v>812200</v>
          </cell>
          <cell r="H147">
            <v>1504100</v>
          </cell>
        </row>
        <row r="148">
          <cell r="F148">
            <v>822</v>
          </cell>
          <cell r="G148">
            <v>2511200</v>
          </cell>
          <cell r="H148">
            <v>3908600</v>
          </cell>
        </row>
        <row r="149">
          <cell r="F149">
            <v>260</v>
          </cell>
          <cell r="G149">
            <v>925600</v>
          </cell>
          <cell r="H149">
            <v>1367600</v>
          </cell>
        </row>
        <row r="150">
          <cell r="F150">
            <v>300</v>
          </cell>
          <cell r="G150">
            <v>852400</v>
          </cell>
          <cell r="H150">
            <v>1362400</v>
          </cell>
        </row>
        <row r="153">
          <cell r="F153">
            <v>0</v>
          </cell>
          <cell r="G153">
            <v>152000</v>
          </cell>
          <cell r="H153">
            <v>152000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316000</v>
          </cell>
          <cell r="H155">
            <v>316000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4000</v>
          </cell>
          <cell r="H157">
            <v>4000</v>
          </cell>
        </row>
        <row r="158">
          <cell r="F158">
            <v>0</v>
          </cell>
          <cell r="G158">
            <v>1580000</v>
          </cell>
          <cell r="H158">
            <v>1580000</v>
          </cell>
        </row>
        <row r="159">
          <cell r="F159">
            <v>0</v>
          </cell>
          <cell r="G159">
            <v>1528000</v>
          </cell>
          <cell r="H159">
            <v>1528000</v>
          </cell>
        </row>
        <row r="160">
          <cell r="F160">
            <v>0</v>
          </cell>
          <cell r="G160">
            <v>1638000</v>
          </cell>
          <cell r="H160">
            <v>1638000</v>
          </cell>
        </row>
        <row r="161">
          <cell r="F161">
            <v>0</v>
          </cell>
          <cell r="G161">
            <v>2352000</v>
          </cell>
          <cell r="H161">
            <v>2352000</v>
          </cell>
        </row>
        <row r="162">
          <cell r="F162">
            <v>0</v>
          </cell>
          <cell r="G162">
            <v>1463000</v>
          </cell>
          <cell r="H162">
            <v>1463000</v>
          </cell>
        </row>
        <row r="163">
          <cell r="F163">
            <v>0</v>
          </cell>
          <cell r="G163">
            <v>1260000</v>
          </cell>
          <cell r="H163">
            <v>1260000</v>
          </cell>
        </row>
        <row r="164">
          <cell r="F164">
            <v>0</v>
          </cell>
          <cell r="G164">
            <v>263000</v>
          </cell>
          <cell r="H164">
            <v>263000</v>
          </cell>
        </row>
        <row r="165">
          <cell r="F165">
            <v>0</v>
          </cell>
          <cell r="G165">
            <v>1077000</v>
          </cell>
          <cell r="H165">
            <v>1077000</v>
          </cell>
        </row>
        <row r="166">
          <cell r="F166">
            <v>0</v>
          </cell>
          <cell r="G166">
            <v>35000</v>
          </cell>
          <cell r="H166">
            <v>35000</v>
          </cell>
        </row>
        <row r="167">
          <cell r="F167">
            <v>0</v>
          </cell>
          <cell r="G167">
            <v>209000</v>
          </cell>
          <cell r="H167">
            <v>209000</v>
          </cell>
        </row>
        <row r="168">
          <cell r="F168">
            <v>0</v>
          </cell>
          <cell r="G168">
            <v>99000</v>
          </cell>
          <cell r="H168">
            <v>99000</v>
          </cell>
        </row>
        <row r="169">
          <cell r="F169">
            <v>0</v>
          </cell>
          <cell r="G169">
            <v>69000</v>
          </cell>
          <cell r="H169">
            <v>69000</v>
          </cell>
        </row>
        <row r="170">
          <cell r="F170">
            <v>0</v>
          </cell>
          <cell r="G170">
            <v>99000</v>
          </cell>
          <cell r="H170">
            <v>99000</v>
          </cell>
        </row>
        <row r="171">
          <cell r="F171">
            <v>0</v>
          </cell>
          <cell r="G171">
            <v>139000</v>
          </cell>
          <cell r="H171">
            <v>139000</v>
          </cell>
        </row>
        <row r="172">
          <cell r="F172">
            <v>0</v>
          </cell>
          <cell r="G172">
            <v>7000</v>
          </cell>
          <cell r="H172">
            <v>7000</v>
          </cell>
        </row>
        <row r="173">
          <cell r="F173">
            <v>0</v>
          </cell>
          <cell r="G173">
            <v>66000</v>
          </cell>
          <cell r="H173">
            <v>66000</v>
          </cell>
        </row>
        <row r="174">
          <cell r="F174">
            <v>0</v>
          </cell>
          <cell r="G174">
            <v>73000</v>
          </cell>
          <cell r="H174">
            <v>73000</v>
          </cell>
        </row>
        <row r="175">
          <cell r="F175">
            <v>0</v>
          </cell>
          <cell r="G175">
            <v>124000</v>
          </cell>
          <cell r="H175">
            <v>124000</v>
          </cell>
        </row>
        <row r="176">
          <cell r="F176">
            <v>0</v>
          </cell>
          <cell r="G176">
            <v>31000</v>
          </cell>
          <cell r="H176">
            <v>31000</v>
          </cell>
        </row>
        <row r="177">
          <cell r="F177">
            <v>0</v>
          </cell>
          <cell r="G177">
            <v>303000</v>
          </cell>
          <cell r="H177">
            <v>303000</v>
          </cell>
        </row>
        <row r="178">
          <cell r="F178">
            <v>0</v>
          </cell>
          <cell r="G178">
            <v>538000</v>
          </cell>
          <cell r="H178">
            <v>538000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40000</v>
          </cell>
          <cell r="H180">
            <v>40000</v>
          </cell>
        </row>
        <row r="181">
          <cell r="F181">
            <v>0</v>
          </cell>
          <cell r="G181">
            <v>36000</v>
          </cell>
          <cell r="H181">
            <v>36000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338000</v>
          </cell>
          <cell r="H183">
            <v>338000</v>
          </cell>
        </row>
        <row r="184">
          <cell r="F184">
            <v>0</v>
          </cell>
          <cell r="G184">
            <v>36000</v>
          </cell>
          <cell r="H184">
            <v>36000</v>
          </cell>
        </row>
        <row r="185">
          <cell r="F185">
            <v>0</v>
          </cell>
          <cell r="G185">
            <v>281000</v>
          </cell>
          <cell r="H185">
            <v>281000</v>
          </cell>
        </row>
        <row r="186">
          <cell r="F186">
            <v>0</v>
          </cell>
          <cell r="G186">
            <v>58000</v>
          </cell>
          <cell r="H186">
            <v>58000</v>
          </cell>
        </row>
        <row r="187">
          <cell r="F187">
            <v>0</v>
          </cell>
          <cell r="G187">
            <v>359000</v>
          </cell>
          <cell r="H187">
            <v>359000</v>
          </cell>
        </row>
        <row r="188">
          <cell r="F188">
            <v>0</v>
          </cell>
          <cell r="G188">
            <v>2000</v>
          </cell>
          <cell r="H188">
            <v>2000</v>
          </cell>
        </row>
        <row r="189">
          <cell r="F189">
            <v>0</v>
          </cell>
          <cell r="G189">
            <v>176000</v>
          </cell>
          <cell r="H189">
            <v>176000</v>
          </cell>
        </row>
        <row r="190">
          <cell r="F190">
            <v>0</v>
          </cell>
          <cell r="G190">
            <v>181000</v>
          </cell>
          <cell r="H190">
            <v>181000</v>
          </cell>
        </row>
        <row r="191">
          <cell r="F191">
            <v>0</v>
          </cell>
          <cell r="G191">
            <v>43000</v>
          </cell>
          <cell r="H191">
            <v>43000</v>
          </cell>
        </row>
        <row r="192">
          <cell r="F192">
            <v>0</v>
          </cell>
          <cell r="G192">
            <v>49000</v>
          </cell>
          <cell r="H192">
            <v>49000</v>
          </cell>
        </row>
        <row r="193">
          <cell r="F193">
            <v>0</v>
          </cell>
          <cell r="G193">
            <v>299000</v>
          </cell>
          <cell r="H193">
            <v>299000</v>
          </cell>
        </row>
        <row r="194">
          <cell r="F194">
            <v>0</v>
          </cell>
          <cell r="G194">
            <v>57000</v>
          </cell>
          <cell r="H194">
            <v>57000</v>
          </cell>
        </row>
        <row r="195">
          <cell r="F195">
            <v>0</v>
          </cell>
          <cell r="G195">
            <v>232000</v>
          </cell>
          <cell r="H195">
            <v>232000</v>
          </cell>
        </row>
        <row r="196">
          <cell r="F196">
            <v>0</v>
          </cell>
          <cell r="G196">
            <v>191000</v>
          </cell>
          <cell r="H196">
            <v>191000</v>
          </cell>
        </row>
        <row r="197">
          <cell r="F197">
            <v>0</v>
          </cell>
          <cell r="G197">
            <v>16000</v>
          </cell>
          <cell r="H197">
            <v>16000</v>
          </cell>
        </row>
        <row r="198">
          <cell r="F198">
            <v>0</v>
          </cell>
          <cell r="G198">
            <v>93000</v>
          </cell>
          <cell r="H198">
            <v>93000</v>
          </cell>
        </row>
        <row r="199">
          <cell r="F199">
            <v>0</v>
          </cell>
          <cell r="G199">
            <v>50000</v>
          </cell>
          <cell r="H199">
            <v>50000</v>
          </cell>
        </row>
        <row r="200">
          <cell r="F200">
            <v>0</v>
          </cell>
          <cell r="G200">
            <v>107000</v>
          </cell>
          <cell r="H200">
            <v>107000</v>
          </cell>
        </row>
        <row r="201">
          <cell r="F201">
            <v>0</v>
          </cell>
          <cell r="G201">
            <v>180000</v>
          </cell>
          <cell r="H201">
            <v>180000</v>
          </cell>
        </row>
        <row r="202">
          <cell r="F202">
            <v>0</v>
          </cell>
          <cell r="G202">
            <v>184000</v>
          </cell>
          <cell r="H202">
            <v>184000</v>
          </cell>
        </row>
        <row r="203">
          <cell r="F203">
            <v>0</v>
          </cell>
          <cell r="G203">
            <v>94000</v>
          </cell>
          <cell r="H203">
            <v>94000</v>
          </cell>
        </row>
        <row r="204">
          <cell r="F204">
            <v>0</v>
          </cell>
          <cell r="G204">
            <v>355000</v>
          </cell>
          <cell r="H204">
            <v>355000</v>
          </cell>
        </row>
        <row r="205">
          <cell r="F205">
            <v>0</v>
          </cell>
          <cell r="G205">
            <v>136000</v>
          </cell>
          <cell r="H205">
            <v>136000</v>
          </cell>
        </row>
        <row r="206">
          <cell r="F206">
            <v>0</v>
          </cell>
          <cell r="G206">
            <v>96000</v>
          </cell>
          <cell r="H206">
            <v>96000</v>
          </cell>
        </row>
        <row r="207">
          <cell r="F207">
            <v>0</v>
          </cell>
          <cell r="G207">
            <v>193000</v>
          </cell>
          <cell r="H207">
            <v>193000</v>
          </cell>
        </row>
        <row r="208">
          <cell r="F208">
            <v>0</v>
          </cell>
          <cell r="G208">
            <v>196000</v>
          </cell>
          <cell r="H208">
            <v>196000</v>
          </cell>
        </row>
        <row r="209">
          <cell r="F209">
            <v>0</v>
          </cell>
          <cell r="G209">
            <v>248000</v>
          </cell>
          <cell r="H209">
            <v>248000</v>
          </cell>
        </row>
        <row r="210">
          <cell r="F210">
            <v>0</v>
          </cell>
          <cell r="G210">
            <v>943000</v>
          </cell>
          <cell r="H210">
            <v>943000</v>
          </cell>
        </row>
        <row r="211">
          <cell r="F211">
            <v>0</v>
          </cell>
          <cell r="G211">
            <v>101000</v>
          </cell>
          <cell r="H211">
            <v>101000</v>
          </cell>
        </row>
        <row r="212">
          <cell r="F212">
            <v>0</v>
          </cell>
          <cell r="G212">
            <v>5000</v>
          </cell>
          <cell r="H212">
            <v>5000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146000</v>
          </cell>
          <cell r="H214">
            <v>146000</v>
          </cell>
        </row>
        <row r="215">
          <cell r="F215">
            <v>0</v>
          </cell>
          <cell r="G215">
            <v>91000</v>
          </cell>
          <cell r="H215">
            <v>91000</v>
          </cell>
        </row>
        <row r="216">
          <cell r="F216">
            <v>0</v>
          </cell>
          <cell r="G216">
            <v>613000</v>
          </cell>
          <cell r="H216">
            <v>613000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215000</v>
          </cell>
          <cell r="H218">
            <v>215000</v>
          </cell>
        </row>
        <row r="219">
          <cell r="F219">
            <v>0</v>
          </cell>
          <cell r="G219">
            <v>119000</v>
          </cell>
          <cell r="H219">
            <v>119000</v>
          </cell>
        </row>
        <row r="220">
          <cell r="F220">
            <v>0</v>
          </cell>
          <cell r="G220">
            <v>107000</v>
          </cell>
          <cell r="H220">
            <v>107000</v>
          </cell>
        </row>
        <row r="223">
          <cell r="F223">
            <v>519</v>
          </cell>
          <cell r="G223">
            <v>3528000</v>
          </cell>
          <cell r="H223">
            <v>4410300</v>
          </cell>
        </row>
        <row r="224">
          <cell r="F224">
            <v>0</v>
          </cell>
          <cell r="G224">
            <v>3923900</v>
          </cell>
          <cell r="H224">
            <v>3923900</v>
          </cell>
        </row>
        <row r="225">
          <cell r="F225">
            <v>637</v>
          </cell>
          <cell r="G225">
            <v>2710400</v>
          </cell>
          <cell r="H225">
            <v>3793300</v>
          </cell>
        </row>
        <row r="226">
          <cell r="F226">
            <v>1064</v>
          </cell>
          <cell r="G226">
            <v>1635900</v>
          </cell>
          <cell r="H226">
            <v>3444700</v>
          </cell>
        </row>
        <row r="227">
          <cell r="F227">
            <v>1020</v>
          </cell>
          <cell r="G227">
            <v>1148000</v>
          </cell>
          <cell r="H227">
            <v>2882000</v>
          </cell>
        </row>
        <row r="228">
          <cell r="F228">
            <v>698</v>
          </cell>
          <cell r="G228">
            <v>1443400</v>
          </cell>
          <cell r="H228">
            <v>2630000</v>
          </cell>
        </row>
        <row r="229">
          <cell r="F229">
            <v>1030</v>
          </cell>
          <cell r="G229">
            <v>1056200</v>
          </cell>
          <cell r="H229">
            <v>2807200</v>
          </cell>
        </row>
        <row r="230">
          <cell r="F230">
            <v>1408</v>
          </cell>
          <cell r="G230">
            <v>1782900</v>
          </cell>
          <cell r="H230">
            <v>4176500</v>
          </cell>
        </row>
        <row r="231">
          <cell r="F231">
            <v>0</v>
          </cell>
          <cell r="G231">
            <v>1543600</v>
          </cell>
          <cell r="H231">
            <v>1543600</v>
          </cell>
        </row>
        <row r="232">
          <cell r="F232">
            <v>0</v>
          </cell>
          <cell r="G232">
            <v>703600</v>
          </cell>
          <cell r="H232">
            <v>703600</v>
          </cell>
        </row>
        <row r="233">
          <cell r="F233">
            <v>671</v>
          </cell>
          <cell r="G233">
            <v>1170500</v>
          </cell>
          <cell r="H233">
            <v>2311200</v>
          </cell>
        </row>
        <row r="234">
          <cell r="F234">
            <v>1417</v>
          </cell>
          <cell r="G234">
            <v>995300</v>
          </cell>
          <cell r="H234">
            <v>3404200</v>
          </cell>
        </row>
        <row r="235">
          <cell r="F235">
            <v>4</v>
          </cell>
          <cell r="G235">
            <v>794500</v>
          </cell>
          <cell r="H235">
            <v>801300</v>
          </cell>
        </row>
        <row r="236">
          <cell r="F236">
            <v>0</v>
          </cell>
          <cell r="G236">
            <v>2715900</v>
          </cell>
          <cell r="H236">
            <v>2715900</v>
          </cell>
        </row>
        <row r="237">
          <cell r="F237">
            <v>33</v>
          </cell>
          <cell r="G237">
            <v>2149900</v>
          </cell>
          <cell r="H237">
            <v>2206000</v>
          </cell>
        </row>
        <row r="238">
          <cell r="F238">
            <v>645</v>
          </cell>
          <cell r="G238">
            <v>1758100</v>
          </cell>
          <cell r="H238">
            <v>2854600</v>
          </cell>
        </row>
        <row r="239">
          <cell r="F239">
            <v>119</v>
          </cell>
          <cell r="G239">
            <v>1142800</v>
          </cell>
          <cell r="H239">
            <v>1345100</v>
          </cell>
        </row>
        <row r="240">
          <cell r="F240">
            <v>853</v>
          </cell>
          <cell r="G240">
            <v>1679500</v>
          </cell>
          <cell r="H240">
            <v>3129600</v>
          </cell>
        </row>
        <row r="241">
          <cell r="F241">
            <v>695</v>
          </cell>
          <cell r="G241">
            <v>1368300</v>
          </cell>
          <cell r="H241">
            <v>2549800</v>
          </cell>
        </row>
        <row r="242">
          <cell r="F242">
            <v>1123</v>
          </cell>
          <cell r="G242">
            <v>2757400</v>
          </cell>
          <cell r="H242">
            <v>4666500</v>
          </cell>
        </row>
        <row r="243">
          <cell r="F243">
            <v>788</v>
          </cell>
          <cell r="G243">
            <v>1082300</v>
          </cell>
          <cell r="H243">
            <v>2421900</v>
          </cell>
        </row>
        <row r="244">
          <cell r="F244">
            <v>541</v>
          </cell>
          <cell r="G244">
            <v>1431700</v>
          </cell>
          <cell r="H244">
            <v>2351400</v>
          </cell>
        </row>
        <row r="245">
          <cell r="F245">
            <v>171</v>
          </cell>
          <cell r="G245">
            <v>379300</v>
          </cell>
          <cell r="H245">
            <v>670000</v>
          </cell>
        </row>
        <row r="246">
          <cell r="F246">
            <v>955</v>
          </cell>
          <cell r="G246">
            <v>3105300</v>
          </cell>
          <cell r="H246">
            <v>4728800</v>
          </cell>
        </row>
        <row r="247">
          <cell r="F247">
            <v>1310</v>
          </cell>
          <cell r="G247">
            <v>722800</v>
          </cell>
          <cell r="H247">
            <v>2949800</v>
          </cell>
        </row>
        <row r="248">
          <cell r="F248">
            <v>206</v>
          </cell>
          <cell r="G248">
            <v>2095000</v>
          </cell>
          <cell r="H248">
            <v>2445200</v>
          </cell>
        </row>
        <row r="249">
          <cell r="F249">
            <v>193</v>
          </cell>
          <cell r="G249">
            <v>2851900</v>
          </cell>
          <cell r="H249">
            <v>3180000</v>
          </cell>
        </row>
        <row r="250">
          <cell r="F250">
            <v>78</v>
          </cell>
          <cell r="G250">
            <v>3970300</v>
          </cell>
          <cell r="H250">
            <v>4102900</v>
          </cell>
        </row>
        <row r="251">
          <cell r="F251">
            <v>344</v>
          </cell>
          <cell r="G251">
            <v>2662000</v>
          </cell>
          <cell r="H251">
            <v>3246800</v>
          </cell>
        </row>
        <row r="252">
          <cell r="F252">
            <v>276</v>
          </cell>
          <cell r="G252">
            <v>1107400</v>
          </cell>
          <cell r="H252">
            <v>1576600</v>
          </cell>
        </row>
        <row r="253">
          <cell r="F253">
            <v>40</v>
          </cell>
          <cell r="G253">
            <v>3975950</v>
          </cell>
          <cell r="H253">
            <v>4043950</v>
          </cell>
        </row>
        <row r="254">
          <cell r="F254">
            <v>657</v>
          </cell>
          <cell r="G254">
            <v>2399700</v>
          </cell>
          <cell r="H254">
            <v>3516600</v>
          </cell>
        </row>
        <row r="255">
          <cell r="F255">
            <v>197</v>
          </cell>
          <cell r="G255">
            <v>921900</v>
          </cell>
          <cell r="H255">
            <v>1256800</v>
          </cell>
        </row>
        <row r="256">
          <cell r="F256">
            <v>511</v>
          </cell>
          <cell r="G256">
            <v>2050400</v>
          </cell>
          <cell r="H256">
            <v>2919100</v>
          </cell>
        </row>
        <row r="257">
          <cell r="F257">
            <v>482</v>
          </cell>
          <cell r="G257">
            <v>986000</v>
          </cell>
          <cell r="H257">
            <v>1805400</v>
          </cell>
        </row>
        <row r="260">
          <cell r="G260">
            <v>112000</v>
          </cell>
          <cell r="H260">
            <v>112000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11572</v>
          </cell>
          <cell r="G10">
            <v>6601500</v>
          </cell>
          <cell r="H10">
            <v>26273900</v>
          </cell>
        </row>
        <row r="14">
          <cell r="F14">
            <v>5692</v>
          </cell>
          <cell r="G14">
            <v>1512500</v>
          </cell>
          <cell r="H14">
            <v>11188900</v>
          </cell>
        </row>
        <row r="15">
          <cell r="F15">
            <v>5478</v>
          </cell>
          <cell r="G15">
            <v>1875100</v>
          </cell>
          <cell r="H15">
            <v>11187700</v>
          </cell>
        </row>
        <row r="16">
          <cell r="F16">
            <v>6544</v>
          </cell>
          <cell r="G16">
            <v>2371000</v>
          </cell>
          <cell r="H16">
            <v>13495800</v>
          </cell>
        </row>
        <row r="17">
          <cell r="F17">
            <v>4380</v>
          </cell>
          <cell r="G17">
            <v>1713900</v>
          </cell>
          <cell r="H17">
            <v>9159900</v>
          </cell>
        </row>
        <row r="18">
          <cell r="F18">
            <v>5817</v>
          </cell>
          <cell r="G18">
            <v>2541200</v>
          </cell>
          <cell r="H18">
            <v>12430100</v>
          </cell>
        </row>
        <row r="19">
          <cell r="F19">
            <v>5570</v>
          </cell>
          <cell r="G19">
            <v>2637700</v>
          </cell>
          <cell r="H19">
            <v>12106700</v>
          </cell>
        </row>
        <row r="20">
          <cell r="F20">
            <v>3296</v>
          </cell>
          <cell r="G20">
            <v>1405900</v>
          </cell>
          <cell r="H20">
            <v>7009100</v>
          </cell>
        </row>
        <row r="21">
          <cell r="F21">
            <v>3937</v>
          </cell>
          <cell r="G21">
            <v>1688750</v>
          </cell>
          <cell r="H21">
            <v>8381650</v>
          </cell>
        </row>
        <row r="22">
          <cell r="F22">
            <v>7902</v>
          </cell>
          <cell r="G22">
            <v>3714000</v>
          </cell>
          <cell r="H22">
            <v>17147400</v>
          </cell>
        </row>
        <row r="23">
          <cell r="F23">
            <v>3532</v>
          </cell>
          <cell r="G23">
            <v>1542600</v>
          </cell>
          <cell r="H23">
            <v>7547000</v>
          </cell>
        </row>
        <row r="24">
          <cell r="F24">
            <v>2872</v>
          </cell>
          <cell r="G24">
            <v>1409500</v>
          </cell>
          <cell r="H24">
            <v>6291900</v>
          </cell>
        </row>
        <row r="25">
          <cell r="F25">
            <v>2525</v>
          </cell>
          <cell r="G25">
            <v>1205200</v>
          </cell>
          <cell r="H25">
            <v>5497700</v>
          </cell>
        </row>
        <row r="26">
          <cell r="F26">
            <v>5457</v>
          </cell>
          <cell r="G26">
            <v>2043800</v>
          </cell>
          <cell r="H26">
            <v>11320700</v>
          </cell>
        </row>
        <row r="27">
          <cell r="F27">
            <v>15046</v>
          </cell>
          <cell r="G27">
            <v>8741300</v>
          </cell>
          <cell r="H27">
            <v>34319500</v>
          </cell>
        </row>
        <row r="28">
          <cell r="F28">
            <v>10946</v>
          </cell>
          <cell r="G28">
            <v>5286800</v>
          </cell>
          <cell r="H28">
            <v>23895000</v>
          </cell>
        </row>
        <row r="29">
          <cell r="F29">
            <v>9642</v>
          </cell>
          <cell r="G29">
            <v>4417150</v>
          </cell>
          <cell r="H29">
            <v>20808550</v>
          </cell>
        </row>
        <row r="30">
          <cell r="F30">
            <v>15436</v>
          </cell>
          <cell r="G30">
            <v>5744750</v>
          </cell>
          <cell r="H30">
            <v>31985950</v>
          </cell>
        </row>
        <row r="31">
          <cell r="F31">
            <v>8538</v>
          </cell>
          <cell r="G31">
            <v>4279700</v>
          </cell>
          <cell r="H31">
            <v>18794300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10088</v>
          </cell>
          <cell r="G33">
            <v>3494850</v>
          </cell>
          <cell r="H33">
            <v>20644450</v>
          </cell>
        </row>
        <row r="34">
          <cell r="F34">
            <v>13164</v>
          </cell>
          <cell r="G34">
            <v>4330900</v>
          </cell>
          <cell r="H34">
            <v>26709700</v>
          </cell>
        </row>
        <row r="35">
          <cell r="F35">
            <v>11324</v>
          </cell>
          <cell r="G35">
            <v>5446500</v>
          </cell>
          <cell r="H35">
            <v>24697300</v>
          </cell>
        </row>
        <row r="36">
          <cell r="F36">
            <v>12565</v>
          </cell>
          <cell r="G36">
            <v>4411700</v>
          </cell>
          <cell r="H36">
            <v>25772200</v>
          </cell>
        </row>
        <row r="37">
          <cell r="F37">
            <v>3455</v>
          </cell>
          <cell r="G37">
            <v>2589200</v>
          </cell>
          <cell r="H37">
            <v>8462700</v>
          </cell>
        </row>
        <row r="38">
          <cell r="F38">
            <v>6074</v>
          </cell>
          <cell r="G38">
            <v>3314900</v>
          </cell>
          <cell r="H38">
            <v>13640700</v>
          </cell>
        </row>
        <row r="39">
          <cell r="F39">
            <v>2370</v>
          </cell>
          <cell r="G39">
            <v>2201250</v>
          </cell>
          <cell r="H39">
            <v>6230250</v>
          </cell>
        </row>
        <row r="40">
          <cell r="F40">
            <v>12002</v>
          </cell>
          <cell r="G40">
            <v>5632700</v>
          </cell>
          <cell r="H40">
            <v>26036100</v>
          </cell>
        </row>
        <row r="41">
          <cell r="F41">
            <v>5861</v>
          </cell>
          <cell r="G41">
            <v>2454600</v>
          </cell>
          <cell r="H41">
            <v>12418300</v>
          </cell>
        </row>
        <row r="42">
          <cell r="F42">
            <v>1910</v>
          </cell>
          <cell r="G42">
            <v>1391900</v>
          </cell>
          <cell r="H42">
            <v>4638900</v>
          </cell>
        </row>
        <row r="43">
          <cell r="F43">
            <v>4044</v>
          </cell>
          <cell r="G43">
            <v>1049900</v>
          </cell>
          <cell r="H43">
            <v>7924700</v>
          </cell>
        </row>
        <row r="44">
          <cell r="F44">
            <v>885</v>
          </cell>
          <cell r="G44">
            <v>519400</v>
          </cell>
          <cell r="H44">
            <v>2023900</v>
          </cell>
        </row>
        <row r="45">
          <cell r="F45">
            <v>14031</v>
          </cell>
          <cell r="G45">
            <v>4351150</v>
          </cell>
          <cell r="H45">
            <v>28203850</v>
          </cell>
        </row>
        <row r="46">
          <cell r="F46">
            <v>2814</v>
          </cell>
          <cell r="G46">
            <v>2817550</v>
          </cell>
          <cell r="H46">
            <v>7601350</v>
          </cell>
        </row>
        <row r="47">
          <cell r="F47">
            <v>20136</v>
          </cell>
          <cell r="G47">
            <v>6789900</v>
          </cell>
          <cell r="H47">
            <v>41021100</v>
          </cell>
        </row>
        <row r="52">
          <cell r="F52">
            <v>7810</v>
          </cell>
          <cell r="G52">
            <v>2673400</v>
          </cell>
          <cell r="H52">
            <v>15950400</v>
          </cell>
        </row>
        <row r="53">
          <cell r="F53">
            <v>7016</v>
          </cell>
          <cell r="G53">
            <v>3603100</v>
          </cell>
          <cell r="H53">
            <v>15530300</v>
          </cell>
        </row>
        <row r="54">
          <cell r="F54">
            <v>13739</v>
          </cell>
          <cell r="G54">
            <v>5298900</v>
          </cell>
          <cell r="H54">
            <v>28655200</v>
          </cell>
        </row>
        <row r="55">
          <cell r="F55">
            <v>6023</v>
          </cell>
          <cell r="G55">
            <v>3639050</v>
          </cell>
          <cell r="H55">
            <v>13878150</v>
          </cell>
        </row>
        <row r="56">
          <cell r="F56">
            <v>4417</v>
          </cell>
          <cell r="G56">
            <v>1509800</v>
          </cell>
          <cell r="H56">
            <v>9018700</v>
          </cell>
        </row>
        <row r="57">
          <cell r="F57">
            <v>9686</v>
          </cell>
          <cell r="G57">
            <v>3386350</v>
          </cell>
          <cell r="H57">
            <v>19852550</v>
          </cell>
        </row>
        <row r="58">
          <cell r="F58">
            <v>14381</v>
          </cell>
          <cell r="G58">
            <v>4997000</v>
          </cell>
          <cell r="H58">
            <v>29444700</v>
          </cell>
        </row>
        <row r="59">
          <cell r="F59">
            <v>6981</v>
          </cell>
          <cell r="G59">
            <v>2368850</v>
          </cell>
          <cell r="H59">
            <v>14236550</v>
          </cell>
        </row>
        <row r="60">
          <cell r="F60">
            <v>6883</v>
          </cell>
          <cell r="G60">
            <v>2341900</v>
          </cell>
          <cell r="H60">
            <v>14043000</v>
          </cell>
        </row>
        <row r="61">
          <cell r="F61">
            <v>4771</v>
          </cell>
          <cell r="G61">
            <v>1766000</v>
          </cell>
          <cell r="H61">
            <v>9876700</v>
          </cell>
        </row>
        <row r="62">
          <cell r="F62">
            <v>11816</v>
          </cell>
          <cell r="G62">
            <v>3917000</v>
          </cell>
          <cell r="H62">
            <v>24004200</v>
          </cell>
        </row>
        <row r="63">
          <cell r="F63">
            <v>10384</v>
          </cell>
          <cell r="G63">
            <v>4510300</v>
          </cell>
          <cell r="H63">
            <v>22163100</v>
          </cell>
        </row>
        <row r="64">
          <cell r="F64">
            <v>9542</v>
          </cell>
          <cell r="G64">
            <v>3594650</v>
          </cell>
          <cell r="H64">
            <v>19816050</v>
          </cell>
        </row>
        <row r="65">
          <cell r="F65">
            <v>6518</v>
          </cell>
          <cell r="G65">
            <v>3328200</v>
          </cell>
          <cell r="H65">
            <v>14408800</v>
          </cell>
        </row>
        <row r="66">
          <cell r="F66">
            <v>6596</v>
          </cell>
          <cell r="G66">
            <v>3325400</v>
          </cell>
          <cell r="H66">
            <v>14538600</v>
          </cell>
        </row>
        <row r="67">
          <cell r="F67">
            <v>5012</v>
          </cell>
          <cell r="G67">
            <v>2241900</v>
          </cell>
          <cell r="H67">
            <v>10762300</v>
          </cell>
        </row>
        <row r="68">
          <cell r="F68">
            <v>7821</v>
          </cell>
          <cell r="G68">
            <v>3022300</v>
          </cell>
          <cell r="H68">
            <v>16318000</v>
          </cell>
        </row>
        <row r="69">
          <cell r="F69">
            <v>6343</v>
          </cell>
          <cell r="G69">
            <v>2540600</v>
          </cell>
          <cell r="H69">
            <v>13323700</v>
          </cell>
        </row>
        <row r="70">
          <cell r="F70">
            <v>10227</v>
          </cell>
          <cell r="G70">
            <v>4633600</v>
          </cell>
          <cell r="H70">
            <v>22019500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5855</v>
          </cell>
          <cell r="G72">
            <v>2165000</v>
          </cell>
          <cell r="H72">
            <v>12118500</v>
          </cell>
        </row>
        <row r="73">
          <cell r="F73">
            <v>3803</v>
          </cell>
          <cell r="G73">
            <v>982200</v>
          </cell>
          <cell r="H73">
            <v>7447300</v>
          </cell>
        </row>
        <row r="74">
          <cell r="F74">
            <v>11938</v>
          </cell>
          <cell r="G74">
            <v>2826000</v>
          </cell>
          <cell r="H74">
            <v>23120600</v>
          </cell>
        </row>
        <row r="75">
          <cell r="F75">
            <v>5329</v>
          </cell>
          <cell r="G75">
            <v>1678800</v>
          </cell>
          <cell r="H75">
            <v>10738100</v>
          </cell>
        </row>
        <row r="76">
          <cell r="F76">
            <v>18497</v>
          </cell>
          <cell r="G76">
            <v>6143500</v>
          </cell>
          <cell r="H76">
            <v>37588400</v>
          </cell>
        </row>
        <row r="77">
          <cell r="F77">
            <v>7554</v>
          </cell>
          <cell r="G77">
            <v>1342300</v>
          </cell>
          <cell r="H77">
            <v>14184100</v>
          </cell>
        </row>
        <row r="78">
          <cell r="F78">
            <v>6031</v>
          </cell>
          <cell r="G78">
            <v>1589400</v>
          </cell>
          <cell r="H78">
            <v>11842100</v>
          </cell>
        </row>
        <row r="79">
          <cell r="F79">
            <v>2050</v>
          </cell>
          <cell r="G79">
            <v>371700</v>
          </cell>
          <cell r="H79">
            <v>3856700</v>
          </cell>
        </row>
        <row r="80">
          <cell r="F80">
            <v>3937</v>
          </cell>
          <cell r="G80">
            <v>784800</v>
          </cell>
          <cell r="H80">
            <v>7477700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2221</v>
          </cell>
          <cell r="G84">
            <v>657700</v>
          </cell>
          <cell r="H84">
            <v>4433400</v>
          </cell>
        </row>
        <row r="85">
          <cell r="F85">
            <v>1169</v>
          </cell>
          <cell r="G85">
            <v>368700</v>
          </cell>
          <cell r="H85">
            <v>2356000</v>
          </cell>
        </row>
        <row r="86">
          <cell r="F86">
            <v>3196</v>
          </cell>
          <cell r="G86">
            <v>1356900</v>
          </cell>
          <cell r="H86">
            <v>6790100</v>
          </cell>
        </row>
        <row r="87">
          <cell r="F87">
            <v>2922</v>
          </cell>
          <cell r="G87">
            <v>952900</v>
          </cell>
          <cell r="H87">
            <v>5920300</v>
          </cell>
        </row>
        <row r="88">
          <cell r="F88">
            <v>4969</v>
          </cell>
          <cell r="G88">
            <v>1628650</v>
          </cell>
          <cell r="H88">
            <v>10075950</v>
          </cell>
        </row>
        <row r="89">
          <cell r="F89">
            <v>1696</v>
          </cell>
          <cell r="G89">
            <v>1432300</v>
          </cell>
          <cell r="H89">
            <v>4315500</v>
          </cell>
        </row>
        <row r="90">
          <cell r="F90">
            <v>2579</v>
          </cell>
          <cell r="G90">
            <v>1688200</v>
          </cell>
          <cell r="H90">
            <v>6072500</v>
          </cell>
        </row>
        <row r="91">
          <cell r="F91">
            <v>4117</v>
          </cell>
          <cell r="G91">
            <v>2174300</v>
          </cell>
          <cell r="H91">
            <v>9173200</v>
          </cell>
        </row>
        <row r="92">
          <cell r="F92">
            <v>2051</v>
          </cell>
          <cell r="G92">
            <v>1181800</v>
          </cell>
          <cell r="H92">
            <v>4668500</v>
          </cell>
        </row>
        <row r="93">
          <cell r="F93">
            <v>2436</v>
          </cell>
          <cell r="G93">
            <v>1518000</v>
          </cell>
          <cell r="H93">
            <v>5659200</v>
          </cell>
        </row>
        <row r="94">
          <cell r="F94">
            <v>462</v>
          </cell>
          <cell r="G94">
            <v>169000</v>
          </cell>
          <cell r="H94">
            <v>954400</v>
          </cell>
        </row>
        <row r="95">
          <cell r="F95">
            <v>2685</v>
          </cell>
          <cell r="G95">
            <v>1291050</v>
          </cell>
          <cell r="H95">
            <v>5855550</v>
          </cell>
        </row>
        <row r="96">
          <cell r="F96">
            <v>2915</v>
          </cell>
          <cell r="G96">
            <v>692050</v>
          </cell>
          <cell r="H96">
            <v>5647550</v>
          </cell>
        </row>
        <row r="97">
          <cell r="F97">
            <v>5949</v>
          </cell>
          <cell r="G97">
            <v>1295300</v>
          </cell>
          <cell r="H97">
            <v>11408600</v>
          </cell>
        </row>
        <row r="98">
          <cell r="F98">
            <v>3245</v>
          </cell>
          <cell r="G98">
            <v>907400</v>
          </cell>
          <cell r="H98">
            <v>6423900</v>
          </cell>
        </row>
        <row r="99">
          <cell r="F99">
            <v>6611</v>
          </cell>
          <cell r="G99">
            <v>1756200</v>
          </cell>
          <cell r="H99">
            <v>12994900</v>
          </cell>
        </row>
        <row r="100">
          <cell r="F100">
            <v>7291</v>
          </cell>
          <cell r="G100">
            <v>1757200</v>
          </cell>
          <cell r="H100">
            <v>14151900</v>
          </cell>
        </row>
        <row r="101">
          <cell r="F101">
            <v>2394</v>
          </cell>
          <cell r="G101">
            <v>551400</v>
          </cell>
          <cell r="H101">
            <v>4621200</v>
          </cell>
        </row>
        <row r="102">
          <cell r="F102">
            <v>13175</v>
          </cell>
          <cell r="G102">
            <v>2049950</v>
          </cell>
          <cell r="H102">
            <v>24447450</v>
          </cell>
        </row>
        <row r="103">
          <cell r="F103">
            <v>11252</v>
          </cell>
          <cell r="G103">
            <v>2745500</v>
          </cell>
          <cell r="H103">
            <v>21873900</v>
          </cell>
        </row>
        <row r="104">
          <cell r="F104">
            <v>5536</v>
          </cell>
          <cell r="G104">
            <v>1734100</v>
          </cell>
          <cell r="H104">
            <v>11145300</v>
          </cell>
        </row>
        <row r="105">
          <cell r="F105">
            <v>3379</v>
          </cell>
          <cell r="G105">
            <v>1414500</v>
          </cell>
          <cell r="H105">
            <v>7158800</v>
          </cell>
        </row>
        <row r="106">
          <cell r="F106">
            <v>2873</v>
          </cell>
          <cell r="G106">
            <v>1166700</v>
          </cell>
          <cell r="H106">
            <v>6050800</v>
          </cell>
        </row>
        <row r="107">
          <cell r="F107">
            <v>4960</v>
          </cell>
          <cell r="G107">
            <v>1237400</v>
          </cell>
          <cell r="H107">
            <v>9669400</v>
          </cell>
        </row>
        <row r="108">
          <cell r="F108">
            <v>5095</v>
          </cell>
          <cell r="G108">
            <v>1259300</v>
          </cell>
          <cell r="H108">
            <v>9920800</v>
          </cell>
        </row>
        <row r="109">
          <cell r="F109">
            <v>3029</v>
          </cell>
          <cell r="G109">
            <v>978200</v>
          </cell>
          <cell r="H109">
            <v>6127500</v>
          </cell>
        </row>
        <row r="110">
          <cell r="F110">
            <v>1999</v>
          </cell>
          <cell r="G110">
            <v>578000</v>
          </cell>
          <cell r="H110">
            <v>3976300</v>
          </cell>
        </row>
        <row r="111">
          <cell r="F111">
            <v>5506</v>
          </cell>
          <cell r="G111">
            <v>1518300</v>
          </cell>
          <cell r="H111">
            <v>10878500</v>
          </cell>
        </row>
        <row r="112">
          <cell r="F112">
            <v>3831</v>
          </cell>
          <cell r="G112">
            <v>1478000</v>
          </cell>
          <cell r="H112">
            <v>7990700</v>
          </cell>
        </row>
        <row r="113">
          <cell r="F113">
            <v>4301</v>
          </cell>
          <cell r="G113">
            <v>2369350</v>
          </cell>
          <cell r="H113">
            <v>9681050</v>
          </cell>
        </row>
        <row r="114">
          <cell r="F114">
            <v>286</v>
          </cell>
          <cell r="G114">
            <v>79100</v>
          </cell>
          <cell r="H114">
            <v>565300</v>
          </cell>
        </row>
        <row r="115">
          <cell r="F115">
            <v>1996</v>
          </cell>
          <cell r="G115">
            <v>530900</v>
          </cell>
          <cell r="H115">
            <v>3924100</v>
          </cell>
        </row>
        <row r="116">
          <cell r="F116">
            <v>279</v>
          </cell>
          <cell r="G116">
            <v>253300</v>
          </cell>
          <cell r="H116">
            <v>727600</v>
          </cell>
        </row>
        <row r="117">
          <cell r="F117">
            <v>2287</v>
          </cell>
          <cell r="G117">
            <v>481500</v>
          </cell>
          <cell r="H117">
            <v>4369400</v>
          </cell>
        </row>
        <row r="118">
          <cell r="F118">
            <v>2870</v>
          </cell>
          <cell r="G118">
            <v>1196650</v>
          </cell>
          <cell r="H118">
            <v>6075650</v>
          </cell>
        </row>
        <row r="121">
          <cell r="F121">
            <v>42210</v>
          </cell>
          <cell r="G121">
            <v>5929300</v>
          </cell>
        </row>
        <row r="122">
          <cell r="F122">
            <v>9692</v>
          </cell>
          <cell r="G122">
            <v>15649300</v>
          </cell>
          <cell r="H122">
            <v>32125700</v>
          </cell>
        </row>
        <row r="133">
          <cell r="F133">
            <v>168609</v>
          </cell>
          <cell r="G133">
            <v>63125859</v>
          </cell>
          <cell r="H133">
            <v>349761159</v>
          </cell>
        </row>
        <row r="135">
          <cell r="F135">
            <v>293</v>
          </cell>
          <cell r="G135">
            <v>429000</v>
          </cell>
          <cell r="H135">
            <v>927100</v>
          </cell>
        </row>
        <row r="136">
          <cell r="F136">
            <v>4993</v>
          </cell>
          <cell r="G136">
            <v>3534850</v>
          </cell>
          <cell r="H136">
            <v>12022950</v>
          </cell>
        </row>
        <row r="137">
          <cell r="F137">
            <v>533</v>
          </cell>
          <cell r="G137">
            <v>923100</v>
          </cell>
          <cell r="H137">
            <v>1829200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379</v>
          </cell>
          <cell r="G139">
            <v>624300</v>
          </cell>
          <cell r="H139">
            <v>1268600</v>
          </cell>
        </row>
        <row r="140">
          <cell r="F140">
            <v>731</v>
          </cell>
          <cell r="G140">
            <v>1106000</v>
          </cell>
          <cell r="H140">
            <v>2348700</v>
          </cell>
        </row>
        <row r="141">
          <cell r="F141">
            <v>217</v>
          </cell>
          <cell r="G141">
            <v>456800</v>
          </cell>
          <cell r="H141">
            <v>825700</v>
          </cell>
        </row>
        <row r="142">
          <cell r="F142">
            <v>292</v>
          </cell>
          <cell r="G142">
            <v>614600</v>
          </cell>
          <cell r="H142">
            <v>1111000</v>
          </cell>
        </row>
        <row r="143">
          <cell r="F143">
            <v>331</v>
          </cell>
          <cell r="G143">
            <v>697100</v>
          </cell>
          <cell r="H143">
            <v>1259800</v>
          </cell>
        </row>
        <row r="144">
          <cell r="F144">
            <v>253</v>
          </cell>
          <cell r="G144">
            <v>696600</v>
          </cell>
          <cell r="H144">
            <v>1126700</v>
          </cell>
          <cell r="M144">
            <v>1092835.4750000001</v>
          </cell>
        </row>
        <row r="145">
          <cell r="F145">
            <v>66</v>
          </cell>
          <cell r="G145">
            <v>213600</v>
          </cell>
          <cell r="H145">
            <v>325800</v>
          </cell>
        </row>
        <row r="146">
          <cell r="F146">
            <v>235</v>
          </cell>
          <cell r="G146">
            <v>196200</v>
          </cell>
          <cell r="H146">
            <v>595700</v>
          </cell>
        </row>
        <row r="147">
          <cell r="F147">
            <v>257</v>
          </cell>
          <cell r="G147">
            <v>524300</v>
          </cell>
          <cell r="H147">
            <v>961200</v>
          </cell>
        </row>
        <row r="148">
          <cell r="F148">
            <v>605</v>
          </cell>
          <cell r="G148">
            <v>1457600</v>
          </cell>
          <cell r="H148">
            <v>2486100</v>
          </cell>
        </row>
        <row r="149">
          <cell r="F149">
            <v>181</v>
          </cell>
          <cell r="G149">
            <v>518100</v>
          </cell>
          <cell r="H149">
            <v>825800</v>
          </cell>
        </row>
        <row r="150">
          <cell r="F150">
            <v>352</v>
          </cell>
          <cell r="G150">
            <v>567900</v>
          </cell>
          <cell r="H150">
            <v>1166300</v>
          </cell>
        </row>
        <row r="153">
          <cell r="F153">
            <v>0</v>
          </cell>
          <cell r="G153">
            <v>36000</v>
          </cell>
          <cell r="H153">
            <v>36000</v>
          </cell>
        </row>
        <row r="154">
          <cell r="F154">
            <v>0</v>
          </cell>
          <cell r="G154">
            <v>209000</v>
          </cell>
          <cell r="H154">
            <v>209000</v>
          </cell>
        </row>
        <row r="155">
          <cell r="F155">
            <v>0</v>
          </cell>
          <cell r="G155">
            <v>215000</v>
          </cell>
          <cell r="H155">
            <v>215000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1360000</v>
          </cell>
          <cell r="H158">
            <v>1360000</v>
          </cell>
        </row>
        <row r="159">
          <cell r="F159">
            <v>0</v>
          </cell>
          <cell r="G159">
            <v>1735000</v>
          </cell>
          <cell r="H159">
            <v>1735000</v>
          </cell>
        </row>
        <row r="160">
          <cell r="F160">
            <v>0</v>
          </cell>
          <cell r="G160">
            <v>1368000</v>
          </cell>
          <cell r="H160">
            <v>1368000</v>
          </cell>
        </row>
        <row r="161">
          <cell r="F161">
            <v>0</v>
          </cell>
          <cell r="G161">
            <v>2909000</v>
          </cell>
          <cell r="H161">
            <v>2909000</v>
          </cell>
        </row>
        <row r="162">
          <cell r="F162">
            <v>0</v>
          </cell>
          <cell r="G162">
            <v>1535000</v>
          </cell>
          <cell r="H162">
            <v>1535000</v>
          </cell>
        </row>
        <row r="163">
          <cell r="F163">
            <v>0</v>
          </cell>
          <cell r="G163">
            <v>1142000</v>
          </cell>
          <cell r="H163">
            <v>1142000</v>
          </cell>
        </row>
        <row r="164">
          <cell r="F164">
            <v>0</v>
          </cell>
          <cell r="G164">
            <v>317000</v>
          </cell>
          <cell r="H164">
            <v>317000</v>
          </cell>
        </row>
        <row r="165">
          <cell r="F165">
            <v>0</v>
          </cell>
          <cell r="G165">
            <v>143000</v>
          </cell>
          <cell r="H165">
            <v>143000</v>
          </cell>
        </row>
        <row r="166">
          <cell r="F166">
            <v>0</v>
          </cell>
          <cell r="G166">
            <v>135000</v>
          </cell>
          <cell r="H166">
            <v>135000</v>
          </cell>
        </row>
        <row r="167">
          <cell r="F167">
            <v>0</v>
          </cell>
          <cell r="G167">
            <v>170000</v>
          </cell>
          <cell r="H167">
            <v>170000</v>
          </cell>
        </row>
        <row r="168">
          <cell r="F168">
            <v>0</v>
          </cell>
          <cell r="G168">
            <v>62000</v>
          </cell>
          <cell r="H168">
            <v>62000</v>
          </cell>
        </row>
        <row r="169">
          <cell r="F169">
            <v>0</v>
          </cell>
          <cell r="G169">
            <v>55000</v>
          </cell>
          <cell r="H169">
            <v>55000</v>
          </cell>
        </row>
        <row r="170">
          <cell r="F170">
            <v>0</v>
          </cell>
          <cell r="G170">
            <v>97000</v>
          </cell>
          <cell r="H170">
            <v>97000</v>
          </cell>
        </row>
        <row r="171">
          <cell r="F171">
            <v>0</v>
          </cell>
          <cell r="G171">
            <v>164000</v>
          </cell>
          <cell r="H171">
            <v>164000</v>
          </cell>
        </row>
        <row r="172">
          <cell r="F172">
            <v>0</v>
          </cell>
          <cell r="G172">
            <v>63000</v>
          </cell>
          <cell r="H172">
            <v>63000</v>
          </cell>
        </row>
        <row r="173">
          <cell r="F173">
            <v>0</v>
          </cell>
          <cell r="G173">
            <v>56000</v>
          </cell>
          <cell r="H173">
            <v>56000</v>
          </cell>
        </row>
        <row r="174">
          <cell r="F174">
            <v>0</v>
          </cell>
          <cell r="G174">
            <v>4000</v>
          </cell>
          <cell r="H174">
            <v>4000</v>
          </cell>
        </row>
        <row r="175">
          <cell r="F175">
            <v>0</v>
          </cell>
          <cell r="G175">
            <v>164000</v>
          </cell>
          <cell r="H175">
            <v>164000</v>
          </cell>
        </row>
        <row r="176">
          <cell r="F176">
            <v>0</v>
          </cell>
          <cell r="G176">
            <v>74000</v>
          </cell>
          <cell r="H176">
            <v>74000</v>
          </cell>
        </row>
        <row r="177">
          <cell r="F177">
            <v>0</v>
          </cell>
          <cell r="G177">
            <v>354000</v>
          </cell>
          <cell r="H177">
            <v>354000</v>
          </cell>
        </row>
        <row r="178">
          <cell r="F178">
            <v>0</v>
          </cell>
          <cell r="G178">
            <v>726000</v>
          </cell>
          <cell r="H178">
            <v>726000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5000</v>
          </cell>
          <cell r="H181">
            <v>5000</v>
          </cell>
        </row>
        <row r="182">
          <cell r="F182">
            <v>0</v>
          </cell>
          <cell r="G182">
            <v>16000</v>
          </cell>
          <cell r="H182">
            <v>16000</v>
          </cell>
        </row>
        <row r="183">
          <cell r="F183">
            <v>0</v>
          </cell>
          <cell r="G183">
            <v>283000</v>
          </cell>
          <cell r="H183">
            <v>283000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245000</v>
          </cell>
          <cell r="H185">
            <v>245000</v>
          </cell>
        </row>
        <row r="186">
          <cell r="F186">
            <v>0</v>
          </cell>
          <cell r="G186">
            <v>38000</v>
          </cell>
          <cell r="H186">
            <v>38000</v>
          </cell>
        </row>
        <row r="187">
          <cell r="F187">
            <v>0</v>
          </cell>
          <cell r="G187">
            <v>356000</v>
          </cell>
          <cell r="H187">
            <v>356000</v>
          </cell>
        </row>
        <row r="188">
          <cell r="F188">
            <v>0</v>
          </cell>
          <cell r="G188">
            <v>33000</v>
          </cell>
          <cell r="H188">
            <v>33000</v>
          </cell>
        </row>
        <row r="189">
          <cell r="F189">
            <v>0</v>
          </cell>
          <cell r="G189">
            <v>116000</v>
          </cell>
          <cell r="H189">
            <v>116000</v>
          </cell>
        </row>
        <row r="190">
          <cell r="F190">
            <v>0</v>
          </cell>
          <cell r="G190">
            <v>75000</v>
          </cell>
          <cell r="H190">
            <v>75000</v>
          </cell>
        </row>
        <row r="191">
          <cell r="F191">
            <v>0</v>
          </cell>
          <cell r="G191">
            <v>34000</v>
          </cell>
          <cell r="H191">
            <v>34000</v>
          </cell>
        </row>
        <row r="192">
          <cell r="F192">
            <v>0</v>
          </cell>
          <cell r="G192">
            <v>79000</v>
          </cell>
          <cell r="H192">
            <v>79000</v>
          </cell>
        </row>
        <row r="193">
          <cell r="F193">
            <v>0</v>
          </cell>
          <cell r="G193">
            <v>232000</v>
          </cell>
          <cell r="H193">
            <v>232000</v>
          </cell>
        </row>
        <row r="194">
          <cell r="F194">
            <v>0</v>
          </cell>
          <cell r="G194">
            <v>54000</v>
          </cell>
          <cell r="H194">
            <v>54000</v>
          </cell>
        </row>
        <row r="195">
          <cell r="F195">
            <v>0</v>
          </cell>
          <cell r="G195">
            <v>241000</v>
          </cell>
          <cell r="H195">
            <v>241000</v>
          </cell>
        </row>
        <row r="196">
          <cell r="F196">
            <v>0</v>
          </cell>
          <cell r="G196">
            <v>130000</v>
          </cell>
          <cell r="H196">
            <v>130000</v>
          </cell>
        </row>
        <row r="197">
          <cell r="F197">
            <v>0</v>
          </cell>
          <cell r="G197">
            <v>55000</v>
          </cell>
          <cell r="H197">
            <v>55000</v>
          </cell>
        </row>
        <row r="198">
          <cell r="F198">
            <v>0</v>
          </cell>
          <cell r="G198">
            <v>149000</v>
          </cell>
          <cell r="H198">
            <v>149000</v>
          </cell>
        </row>
        <row r="199">
          <cell r="F199">
            <v>0</v>
          </cell>
          <cell r="G199">
            <v>33000</v>
          </cell>
          <cell r="H199">
            <v>33000</v>
          </cell>
        </row>
        <row r="200">
          <cell r="F200">
            <v>0</v>
          </cell>
          <cell r="G200">
            <v>105000</v>
          </cell>
          <cell r="H200">
            <v>105000</v>
          </cell>
        </row>
        <row r="201">
          <cell r="F201">
            <v>0</v>
          </cell>
          <cell r="G201">
            <v>200000</v>
          </cell>
          <cell r="H201">
            <v>200000</v>
          </cell>
        </row>
        <row r="202">
          <cell r="F202">
            <v>0</v>
          </cell>
          <cell r="G202">
            <v>82000</v>
          </cell>
          <cell r="H202">
            <v>82000</v>
          </cell>
        </row>
        <row r="203">
          <cell r="F203">
            <v>0</v>
          </cell>
          <cell r="G203">
            <v>39000</v>
          </cell>
          <cell r="H203">
            <v>39000</v>
          </cell>
        </row>
        <row r="204">
          <cell r="F204">
            <v>0</v>
          </cell>
          <cell r="G204">
            <v>195000</v>
          </cell>
          <cell r="H204">
            <v>195000</v>
          </cell>
        </row>
        <row r="205">
          <cell r="F205">
            <v>0</v>
          </cell>
          <cell r="G205">
            <v>223000</v>
          </cell>
          <cell r="H205">
            <v>223000</v>
          </cell>
        </row>
        <row r="206">
          <cell r="F206">
            <v>0</v>
          </cell>
          <cell r="G206">
            <v>19000</v>
          </cell>
          <cell r="H206">
            <v>19000</v>
          </cell>
        </row>
        <row r="207">
          <cell r="F207">
            <v>0</v>
          </cell>
          <cell r="G207">
            <v>140000</v>
          </cell>
          <cell r="H207">
            <v>140000</v>
          </cell>
        </row>
        <row r="208">
          <cell r="F208">
            <v>0</v>
          </cell>
          <cell r="G208">
            <v>129000</v>
          </cell>
          <cell r="H208">
            <v>129000</v>
          </cell>
        </row>
        <row r="209">
          <cell r="F209">
            <v>0</v>
          </cell>
          <cell r="G209">
            <v>238000</v>
          </cell>
          <cell r="H209">
            <v>238000</v>
          </cell>
        </row>
        <row r="210">
          <cell r="F210">
            <v>0</v>
          </cell>
          <cell r="G210">
            <v>583000</v>
          </cell>
          <cell r="H210">
            <v>583000</v>
          </cell>
        </row>
        <row r="211">
          <cell r="F211">
            <v>0</v>
          </cell>
          <cell r="G211">
            <v>106000</v>
          </cell>
          <cell r="H211">
            <v>106000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158000</v>
          </cell>
          <cell r="H214">
            <v>158000</v>
          </cell>
        </row>
        <row r="215">
          <cell r="F215">
            <v>0</v>
          </cell>
          <cell r="G215">
            <v>71000</v>
          </cell>
          <cell r="H215">
            <v>71000</v>
          </cell>
        </row>
        <row r="216">
          <cell r="F216">
            <v>0</v>
          </cell>
          <cell r="G216">
            <v>666000</v>
          </cell>
          <cell r="H216">
            <v>666000</v>
          </cell>
        </row>
        <row r="217">
          <cell r="F217">
            <v>0</v>
          </cell>
          <cell r="G217">
            <v>138000</v>
          </cell>
          <cell r="H217">
            <v>138000</v>
          </cell>
        </row>
        <row r="218">
          <cell r="F218">
            <v>0</v>
          </cell>
          <cell r="G218">
            <v>244000</v>
          </cell>
          <cell r="H218">
            <v>244000</v>
          </cell>
        </row>
        <row r="219">
          <cell r="F219">
            <v>0</v>
          </cell>
          <cell r="G219">
            <v>26000</v>
          </cell>
          <cell r="H219">
            <v>26000</v>
          </cell>
        </row>
        <row r="220">
          <cell r="F220">
            <v>0</v>
          </cell>
          <cell r="G220">
            <v>104000</v>
          </cell>
          <cell r="H220">
            <v>104000</v>
          </cell>
        </row>
        <row r="223">
          <cell r="F223">
            <v>405</v>
          </cell>
          <cell r="G223">
            <v>2795600</v>
          </cell>
          <cell r="H223">
            <v>3484100</v>
          </cell>
        </row>
        <row r="224">
          <cell r="F224">
            <v>0</v>
          </cell>
          <cell r="G224">
            <v>2595700</v>
          </cell>
          <cell r="H224">
            <v>2595700</v>
          </cell>
        </row>
        <row r="225">
          <cell r="F225">
            <v>608</v>
          </cell>
          <cell r="G225">
            <v>1765400</v>
          </cell>
          <cell r="H225">
            <v>2799000</v>
          </cell>
        </row>
        <row r="226">
          <cell r="F226">
            <v>353</v>
          </cell>
          <cell r="G226">
            <v>231300</v>
          </cell>
          <cell r="H226">
            <v>831400</v>
          </cell>
        </row>
        <row r="227">
          <cell r="F227">
            <v>755</v>
          </cell>
          <cell r="G227">
            <v>812100</v>
          </cell>
          <cell r="H227">
            <v>2095600</v>
          </cell>
        </row>
        <row r="228">
          <cell r="F228">
            <v>287</v>
          </cell>
          <cell r="G228">
            <v>191200</v>
          </cell>
          <cell r="H228">
            <v>679100</v>
          </cell>
        </row>
        <row r="229">
          <cell r="F229">
            <v>1321</v>
          </cell>
          <cell r="G229">
            <v>968300</v>
          </cell>
          <cell r="H229">
            <v>3214000</v>
          </cell>
        </row>
        <row r="230">
          <cell r="F230">
            <v>1080</v>
          </cell>
          <cell r="G230">
            <v>1193900</v>
          </cell>
          <cell r="H230">
            <v>3029900</v>
          </cell>
        </row>
        <row r="231">
          <cell r="F231">
            <v>0</v>
          </cell>
          <cell r="G231">
            <v>1906200</v>
          </cell>
          <cell r="H231">
            <v>1906200</v>
          </cell>
        </row>
        <row r="232">
          <cell r="F232">
            <v>0</v>
          </cell>
          <cell r="G232">
            <v>2503400</v>
          </cell>
          <cell r="H232">
            <v>2503400</v>
          </cell>
        </row>
        <row r="233">
          <cell r="F233">
            <v>1013</v>
          </cell>
          <cell r="G233">
            <v>1070200</v>
          </cell>
          <cell r="H233">
            <v>2792300</v>
          </cell>
        </row>
        <row r="234">
          <cell r="F234">
            <v>1201</v>
          </cell>
          <cell r="G234">
            <v>605000</v>
          </cell>
          <cell r="H234">
            <v>2646700</v>
          </cell>
        </row>
        <row r="235">
          <cell r="F235">
            <v>10</v>
          </cell>
          <cell r="G235">
            <v>564400</v>
          </cell>
          <cell r="H235">
            <v>581400</v>
          </cell>
        </row>
        <row r="236">
          <cell r="F236">
            <v>0</v>
          </cell>
          <cell r="G236">
            <v>894350</v>
          </cell>
          <cell r="H236">
            <v>894350</v>
          </cell>
        </row>
        <row r="237">
          <cell r="F237">
            <v>259</v>
          </cell>
          <cell r="G237">
            <v>850000</v>
          </cell>
          <cell r="H237">
            <v>1290300</v>
          </cell>
        </row>
        <row r="238">
          <cell r="F238">
            <v>570</v>
          </cell>
          <cell r="G238">
            <v>1558800</v>
          </cell>
          <cell r="H238">
            <v>2527800</v>
          </cell>
        </row>
        <row r="239">
          <cell r="F239">
            <v>208</v>
          </cell>
          <cell r="G239">
            <v>797500</v>
          </cell>
          <cell r="H239">
            <v>1151100</v>
          </cell>
        </row>
        <row r="240">
          <cell r="F240">
            <v>863</v>
          </cell>
          <cell r="G240">
            <v>1256700</v>
          </cell>
          <cell r="H240">
            <v>2723800</v>
          </cell>
        </row>
        <row r="241">
          <cell r="F241">
            <v>579</v>
          </cell>
          <cell r="G241">
            <v>1340000</v>
          </cell>
          <cell r="H241">
            <v>2324300</v>
          </cell>
        </row>
        <row r="242">
          <cell r="F242">
            <v>883</v>
          </cell>
          <cell r="G242">
            <v>2971000</v>
          </cell>
          <cell r="H242">
            <v>4472100</v>
          </cell>
        </row>
        <row r="243">
          <cell r="F243">
            <v>545</v>
          </cell>
          <cell r="G243">
            <v>622800</v>
          </cell>
          <cell r="H243">
            <v>1549300</v>
          </cell>
        </row>
        <row r="244">
          <cell r="F244">
            <v>420</v>
          </cell>
          <cell r="G244">
            <v>1365900</v>
          </cell>
          <cell r="H244">
            <v>2079900</v>
          </cell>
        </row>
        <row r="245">
          <cell r="F245">
            <v>426</v>
          </cell>
          <cell r="G245">
            <v>766500</v>
          </cell>
          <cell r="H245">
            <v>1490700</v>
          </cell>
        </row>
        <row r="246">
          <cell r="F246">
            <v>674</v>
          </cell>
          <cell r="G246">
            <v>1911400</v>
          </cell>
          <cell r="H246">
            <v>3057200</v>
          </cell>
        </row>
        <row r="247">
          <cell r="F247">
            <v>1024</v>
          </cell>
          <cell r="G247">
            <v>362300</v>
          </cell>
          <cell r="H247">
            <v>2103100</v>
          </cell>
        </row>
        <row r="248">
          <cell r="F248">
            <v>227</v>
          </cell>
          <cell r="G248">
            <v>1911600</v>
          </cell>
          <cell r="H248">
            <v>2297500</v>
          </cell>
        </row>
        <row r="249">
          <cell r="F249">
            <v>205</v>
          </cell>
          <cell r="G249">
            <v>1869400</v>
          </cell>
          <cell r="H249">
            <v>2217900</v>
          </cell>
        </row>
        <row r="250">
          <cell r="F250">
            <v>278</v>
          </cell>
          <cell r="G250">
            <v>4049150</v>
          </cell>
          <cell r="H250">
            <v>4521750</v>
          </cell>
        </row>
        <row r="251">
          <cell r="F251">
            <v>602</v>
          </cell>
          <cell r="G251">
            <v>2550800</v>
          </cell>
          <cell r="H251">
            <v>3574200</v>
          </cell>
        </row>
        <row r="252">
          <cell r="F252">
            <v>47</v>
          </cell>
          <cell r="G252">
            <v>518000</v>
          </cell>
          <cell r="H252">
            <v>597900</v>
          </cell>
        </row>
        <row r="253">
          <cell r="F253">
            <v>25</v>
          </cell>
          <cell r="G253">
            <v>2557100</v>
          </cell>
          <cell r="H253">
            <v>2599600</v>
          </cell>
        </row>
        <row r="254">
          <cell r="F254">
            <v>529</v>
          </cell>
          <cell r="G254">
            <v>1430800</v>
          </cell>
          <cell r="H254">
            <v>2330100</v>
          </cell>
        </row>
        <row r="255">
          <cell r="F255">
            <v>218</v>
          </cell>
          <cell r="G255">
            <v>707250</v>
          </cell>
          <cell r="H255">
            <v>1077850</v>
          </cell>
        </row>
        <row r="256">
          <cell r="F256">
            <v>13</v>
          </cell>
          <cell r="G256">
            <v>1261400</v>
          </cell>
          <cell r="H256">
            <v>1283500</v>
          </cell>
        </row>
        <row r="257">
          <cell r="F257">
            <v>403</v>
          </cell>
          <cell r="G257">
            <v>472900</v>
          </cell>
          <cell r="H257">
            <v>1158000</v>
          </cell>
        </row>
        <row r="260">
          <cell r="G260">
            <v>96000</v>
          </cell>
          <cell r="H260">
            <v>96000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11114</v>
          </cell>
          <cell r="G10">
            <v>4471850</v>
          </cell>
          <cell r="H10">
            <v>23365650</v>
          </cell>
        </row>
        <row r="14">
          <cell r="F14">
            <v>5475</v>
          </cell>
          <cell r="G14">
            <v>1409700</v>
          </cell>
          <cell r="H14">
            <v>10717200</v>
          </cell>
        </row>
        <row r="15">
          <cell r="F15">
            <v>5267</v>
          </cell>
          <cell r="G15">
            <v>1203800</v>
          </cell>
          <cell r="H15">
            <v>10157700</v>
          </cell>
        </row>
        <row r="16">
          <cell r="F16">
            <v>6105</v>
          </cell>
          <cell r="G16">
            <v>1612500</v>
          </cell>
          <cell r="H16">
            <v>11991000</v>
          </cell>
        </row>
        <row r="17">
          <cell r="F17">
            <v>4159</v>
          </cell>
          <cell r="G17">
            <v>1055200</v>
          </cell>
          <cell r="H17">
            <v>8125500</v>
          </cell>
        </row>
        <row r="18">
          <cell r="F18">
            <v>4907</v>
          </cell>
          <cell r="G18">
            <v>1279600</v>
          </cell>
          <cell r="H18">
            <v>9621500</v>
          </cell>
        </row>
        <row r="19">
          <cell r="F19">
            <v>5594</v>
          </cell>
          <cell r="G19">
            <v>2481400</v>
          </cell>
          <cell r="H19">
            <v>11991200</v>
          </cell>
        </row>
        <row r="20">
          <cell r="F20">
            <v>3221</v>
          </cell>
          <cell r="G20">
            <v>1038200</v>
          </cell>
          <cell r="H20">
            <v>6513900</v>
          </cell>
        </row>
        <row r="21">
          <cell r="F21">
            <v>3665</v>
          </cell>
          <cell r="G21">
            <v>1344700</v>
          </cell>
          <cell r="H21">
            <v>7575200</v>
          </cell>
        </row>
        <row r="22">
          <cell r="F22">
            <v>7641</v>
          </cell>
          <cell r="G22">
            <v>2709000</v>
          </cell>
          <cell r="H22">
            <v>15698700</v>
          </cell>
        </row>
        <row r="23">
          <cell r="F23">
            <v>3504</v>
          </cell>
          <cell r="G23">
            <v>1091500</v>
          </cell>
          <cell r="H23">
            <v>7048300</v>
          </cell>
        </row>
        <row r="24">
          <cell r="F24">
            <v>3073</v>
          </cell>
          <cell r="G24">
            <v>1252600</v>
          </cell>
          <cell r="H24">
            <v>6476700</v>
          </cell>
        </row>
        <row r="25">
          <cell r="F25">
            <v>2283</v>
          </cell>
          <cell r="G25">
            <v>840800</v>
          </cell>
          <cell r="H25">
            <v>4721900</v>
          </cell>
        </row>
        <row r="26">
          <cell r="F26">
            <v>5496</v>
          </cell>
          <cell r="G26">
            <v>1658200</v>
          </cell>
          <cell r="H26">
            <v>11001400</v>
          </cell>
        </row>
        <row r="27">
          <cell r="F27">
            <v>13978</v>
          </cell>
          <cell r="G27">
            <v>6301600</v>
          </cell>
          <cell r="H27">
            <v>30064200</v>
          </cell>
        </row>
        <row r="28">
          <cell r="F28">
            <v>10912</v>
          </cell>
          <cell r="G28">
            <v>3873800</v>
          </cell>
          <cell r="H28">
            <v>22424200</v>
          </cell>
        </row>
        <row r="29">
          <cell r="F29">
            <v>8978</v>
          </cell>
          <cell r="G29">
            <v>3577300</v>
          </cell>
          <cell r="H29">
            <v>18839900</v>
          </cell>
        </row>
        <row r="30">
          <cell r="F30">
            <v>14848</v>
          </cell>
          <cell r="G30">
            <v>5040100</v>
          </cell>
          <cell r="H30">
            <v>30281700</v>
          </cell>
        </row>
        <row r="31">
          <cell r="F31">
            <v>7610</v>
          </cell>
          <cell r="G31">
            <v>2420250</v>
          </cell>
          <cell r="H31">
            <v>15357250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9866</v>
          </cell>
          <cell r="G33">
            <v>2465150</v>
          </cell>
          <cell r="H33">
            <v>19237350</v>
          </cell>
        </row>
        <row r="34">
          <cell r="F34">
            <v>13021</v>
          </cell>
          <cell r="G34">
            <v>3659100</v>
          </cell>
          <cell r="H34">
            <v>25794800</v>
          </cell>
        </row>
        <row r="35">
          <cell r="F35">
            <v>10690</v>
          </cell>
          <cell r="G35">
            <v>3897400</v>
          </cell>
          <cell r="H35">
            <v>22070400</v>
          </cell>
        </row>
        <row r="36">
          <cell r="F36">
            <v>12099</v>
          </cell>
          <cell r="G36">
            <v>3599450</v>
          </cell>
          <cell r="H36">
            <v>24167750</v>
          </cell>
        </row>
        <row r="37">
          <cell r="F37">
            <v>3210</v>
          </cell>
          <cell r="G37">
            <v>1971450</v>
          </cell>
          <cell r="H37">
            <v>7428450</v>
          </cell>
        </row>
        <row r="38">
          <cell r="F38">
            <v>6132</v>
          </cell>
          <cell r="G38">
            <v>2826500</v>
          </cell>
          <cell r="H38">
            <v>13250900</v>
          </cell>
        </row>
        <row r="39">
          <cell r="F39">
            <v>2205</v>
          </cell>
          <cell r="G39">
            <v>1737850</v>
          </cell>
          <cell r="H39">
            <v>5486350</v>
          </cell>
        </row>
        <row r="40">
          <cell r="F40">
            <v>11547</v>
          </cell>
          <cell r="G40">
            <v>5383750</v>
          </cell>
          <cell r="H40">
            <v>25013650</v>
          </cell>
        </row>
        <row r="41">
          <cell r="F41">
            <v>5715</v>
          </cell>
          <cell r="G41">
            <v>1972800</v>
          </cell>
          <cell r="H41">
            <v>11688300</v>
          </cell>
        </row>
        <row r="42">
          <cell r="F42">
            <v>1717</v>
          </cell>
          <cell r="G42">
            <v>957400</v>
          </cell>
          <cell r="H42">
            <v>3876300</v>
          </cell>
        </row>
        <row r="43">
          <cell r="F43">
            <v>3813</v>
          </cell>
          <cell r="G43">
            <v>949200</v>
          </cell>
          <cell r="H43">
            <v>7431300</v>
          </cell>
        </row>
        <row r="44">
          <cell r="F44">
            <v>791</v>
          </cell>
          <cell r="G44">
            <v>345400</v>
          </cell>
          <cell r="H44">
            <v>1690100</v>
          </cell>
        </row>
        <row r="45">
          <cell r="F45">
            <v>13282</v>
          </cell>
          <cell r="G45">
            <v>3932150</v>
          </cell>
          <cell r="H45">
            <v>26511550</v>
          </cell>
        </row>
        <row r="46">
          <cell r="F46">
            <v>1864</v>
          </cell>
          <cell r="G46">
            <v>1659550</v>
          </cell>
          <cell r="H46">
            <v>4828350</v>
          </cell>
        </row>
        <row r="47">
          <cell r="F47">
            <v>21043</v>
          </cell>
          <cell r="G47">
            <v>5589300</v>
          </cell>
          <cell r="H47">
            <v>41362400</v>
          </cell>
        </row>
        <row r="52">
          <cell r="F52">
            <v>7747</v>
          </cell>
          <cell r="G52">
            <v>2508300</v>
          </cell>
          <cell r="H52">
            <v>15678200</v>
          </cell>
        </row>
        <row r="53">
          <cell r="F53">
            <v>6551</v>
          </cell>
          <cell r="G53">
            <v>3047200</v>
          </cell>
          <cell r="H53">
            <v>14183900</v>
          </cell>
        </row>
        <row r="54">
          <cell r="F54">
            <v>13810</v>
          </cell>
          <cell r="G54">
            <v>4702200</v>
          </cell>
          <cell r="H54">
            <v>28179200</v>
          </cell>
        </row>
        <row r="55">
          <cell r="F55">
            <v>5547</v>
          </cell>
          <cell r="G55">
            <v>2599900</v>
          </cell>
          <cell r="H55">
            <v>12029800</v>
          </cell>
        </row>
        <row r="56">
          <cell r="F56">
            <v>3855</v>
          </cell>
          <cell r="G56">
            <v>891700</v>
          </cell>
          <cell r="H56">
            <v>7445200</v>
          </cell>
        </row>
        <row r="57">
          <cell r="F57">
            <v>8794</v>
          </cell>
          <cell r="G57">
            <v>2945550</v>
          </cell>
          <cell r="H57">
            <v>17895350</v>
          </cell>
        </row>
        <row r="58">
          <cell r="F58">
            <v>13869</v>
          </cell>
          <cell r="G58">
            <v>3482700</v>
          </cell>
          <cell r="H58">
            <v>27060000</v>
          </cell>
        </row>
        <row r="59">
          <cell r="F59">
            <v>7237</v>
          </cell>
          <cell r="G59">
            <v>2185100</v>
          </cell>
          <cell r="H59">
            <v>14488000</v>
          </cell>
        </row>
        <row r="60">
          <cell r="F60">
            <v>6596</v>
          </cell>
          <cell r="G60">
            <v>1902650</v>
          </cell>
          <cell r="H60">
            <v>13115850</v>
          </cell>
        </row>
        <row r="61">
          <cell r="F61">
            <v>4795</v>
          </cell>
          <cell r="G61">
            <v>1553950</v>
          </cell>
          <cell r="H61">
            <v>9705450</v>
          </cell>
        </row>
        <row r="62">
          <cell r="F62">
            <v>11455</v>
          </cell>
          <cell r="G62">
            <v>2929300</v>
          </cell>
          <cell r="H62">
            <v>22402800</v>
          </cell>
        </row>
        <row r="63">
          <cell r="F63">
            <v>9590</v>
          </cell>
          <cell r="G63">
            <v>2931150</v>
          </cell>
          <cell r="H63">
            <v>19234150</v>
          </cell>
        </row>
        <row r="64">
          <cell r="F64">
            <v>9697</v>
          </cell>
          <cell r="G64">
            <v>2676650</v>
          </cell>
          <cell r="H64">
            <v>19161550</v>
          </cell>
        </row>
        <row r="65">
          <cell r="F65">
            <v>6520</v>
          </cell>
          <cell r="G65">
            <v>2297800</v>
          </cell>
          <cell r="H65">
            <v>13381800</v>
          </cell>
        </row>
        <row r="66">
          <cell r="F66">
            <v>6658</v>
          </cell>
          <cell r="G66">
            <v>2859400</v>
          </cell>
          <cell r="H66">
            <v>14178000</v>
          </cell>
        </row>
        <row r="67">
          <cell r="F67">
            <v>4362</v>
          </cell>
          <cell r="G67">
            <v>1950600</v>
          </cell>
          <cell r="H67">
            <v>9366000</v>
          </cell>
        </row>
        <row r="68">
          <cell r="F68">
            <v>8307</v>
          </cell>
          <cell r="G68">
            <v>2532400</v>
          </cell>
          <cell r="H68">
            <v>16654300</v>
          </cell>
        </row>
        <row r="69">
          <cell r="F69">
            <v>5569</v>
          </cell>
          <cell r="G69">
            <v>1984400</v>
          </cell>
          <cell r="H69">
            <v>11451700</v>
          </cell>
        </row>
        <row r="70">
          <cell r="F70">
            <v>10306</v>
          </cell>
          <cell r="G70">
            <v>3760750</v>
          </cell>
          <cell r="H70">
            <v>21280950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5673</v>
          </cell>
          <cell r="G72">
            <v>1659750</v>
          </cell>
          <cell r="H72">
            <v>11303850</v>
          </cell>
        </row>
        <row r="73">
          <cell r="F73">
            <v>3629</v>
          </cell>
          <cell r="G73">
            <v>795900</v>
          </cell>
          <cell r="H73">
            <v>6965200</v>
          </cell>
        </row>
        <row r="74">
          <cell r="F74">
            <v>12007</v>
          </cell>
          <cell r="G74">
            <v>2829100</v>
          </cell>
          <cell r="H74">
            <v>23241000</v>
          </cell>
        </row>
        <row r="75">
          <cell r="F75">
            <v>5342</v>
          </cell>
          <cell r="G75">
            <v>1712600</v>
          </cell>
          <cell r="H75">
            <v>10794000</v>
          </cell>
        </row>
        <row r="76">
          <cell r="F76">
            <v>19651</v>
          </cell>
          <cell r="G76">
            <v>5851401</v>
          </cell>
          <cell r="H76">
            <v>39258101</v>
          </cell>
        </row>
        <row r="77">
          <cell r="F77">
            <v>7956</v>
          </cell>
          <cell r="G77">
            <v>1015700</v>
          </cell>
          <cell r="H77">
            <v>14540900</v>
          </cell>
        </row>
        <row r="78">
          <cell r="F78">
            <v>5480</v>
          </cell>
          <cell r="G78">
            <v>1754100</v>
          </cell>
          <cell r="H78">
            <v>11070100</v>
          </cell>
        </row>
        <row r="79">
          <cell r="F79">
            <v>1999</v>
          </cell>
          <cell r="G79">
            <v>366200</v>
          </cell>
          <cell r="H79">
            <v>3764500</v>
          </cell>
        </row>
        <row r="80">
          <cell r="F80">
            <v>4076</v>
          </cell>
          <cell r="G80">
            <v>567600</v>
          </cell>
          <cell r="H80">
            <v>7496800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2455</v>
          </cell>
          <cell r="G84">
            <v>578200</v>
          </cell>
          <cell r="H84">
            <v>4751700</v>
          </cell>
        </row>
        <row r="85">
          <cell r="F85">
            <v>1186</v>
          </cell>
          <cell r="G85">
            <v>308500</v>
          </cell>
          <cell r="H85">
            <v>2324700</v>
          </cell>
        </row>
        <row r="86">
          <cell r="F86">
            <v>2972</v>
          </cell>
          <cell r="G86">
            <v>1097750</v>
          </cell>
          <cell r="H86">
            <v>6150150</v>
          </cell>
        </row>
        <row r="87">
          <cell r="F87">
            <v>3132</v>
          </cell>
          <cell r="G87">
            <v>570400</v>
          </cell>
          <cell r="H87">
            <v>5894800</v>
          </cell>
        </row>
        <row r="88">
          <cell r="F88">
            <v>4590</v>
          </cell>
          <cell r="G88">
            <v>1710000</v>
          </cell>
          <cell r="H88">
            <v>9513000</v>
          </cell>
        </row>
        <row r="89">
          <cell r="F89">
            <v>1413</v>
          </cell>
          <cell r="G89">
            <v>982650</v>
          </cell>
          <cell r="H89">
            <v>3384750</v>
          </cell>
        </row>
        <row r="90">
          <cell r="F90">
            <v>2318</v>
          </cell>
          <cell r="G90">
            <v>973600</v>
          </cell>
          <cell r="H90">
            <v>4914200</v>
          </cell>
        </row>
        <row r="91">
          <cell r="F91">
            <v>4149</v>
          </cell>
          <cell r="G91">
            <v>1410100</v>
          </cell>
          <cell r="H91">
            <v>8463400</v>
          </cell>
        </row>
        <row r="92">
          <cell r="F92">
            <v>1936</v>
          </cell>
          <cell r="G92">
            <v>984500</v>
          </cell>
          <cell r="H92">
            <v>4275700</v>
          </cell>
        </row>
        <row r="93">
          <cell r="F93">
            <v>2464</v>
          </cell>
          <cell r="G93">
            <v>939600</v>
          </cell>
          <cell r="H93">
            <v>5128400</v>
          </cell>
        </row>
        <row r="94">
          <cell r="F94">
            <v>458</v>
          </cell>
          <cell r="G94">
            <v>214500</v>
          </cell>
          <cell r="H94">
            <v>993100</v>
          </cell>
        </row>
        <row r="95">
          <cell r="F95">
            <v>2515</v>
          </cell>
          <cell r="G95">
            <v>1021700</v>
          </cell>
          <cell r="H95">
            <v>5297200</v>
          </cell>
        </row>
        <row r="96">
          <cell r="F96">
            <v>2799</v>
          </cell>
          <cell r="G96">
            <v>387500</v>
          </cell>
          <cell r="H96">
            <v>5145800</v>
          </cell>
        </row>
        <row r="97">
          <cell r="F97">
            <v>6041</v>
          </cell>
          <cell r="G97">
            <v>936900</v>
          </cell>
          <cell r="H97">
            <v>11206600</v>
          </cell>
        </row>
        <row r="98">
          <cell r="F98">
            <v>3178</v>
          </cell>
          <cell r="G98">
            <v>759800</v>
          </cell>
          <cell r="H98">
            <v>6162400</v>
          </cell>
        </row>
        <row r="99">
          <cell r="F99">
            <v>6368</v>
          </cell>
          <cell r="G99">
            <v>1639700</v>
          </cell>
          <cell r="H99">
            <v>12465300</v>
          </cell>
        </row>
        <row r="100">
          <cell r="F100">
            <v>7053</v>
          </cell>
          <cell r="G100">
            <v>1308600</v>
          </cell>
          <cell r="H100">
            <v>13298700</v>
          </cell>
        </row>
        <row r="101">
          <cell r="F101">
            <v>1809</v>
          </cell>
          <cell r="G101">
            <v>320100</v>
          </cell>
          <cell r="H101">
            <v>3395400</v>
          </cell>
        </row>
        <row r="102">
          <cell r="F102">
            <v>13369</v>
          </cell>
          <cell r="G102">
            <v>1581500</v>
          </cell>
          <cell r="H102">
            <v>24308800</v>
          </cell>
        </row>
        <row r="103">
          <cell r="F103">
            <v>10405</v>
          </cell>
          <cell r="G103">
            <v>1686300</v>
          </cell>
          <cell r="H103">
            <v>19374800</v>
          </cell>
        </row>
        <row r="104">
          <cell r="F104">
            <v>5274</v>
          </cell>
          <cell r="G104">
            <v>1356350</v>
          </cell>
          <cell r="H104">
            <v>10322150</v>
          </cell>
        </row>
        <row r="105">
          <cell r="F105">
            <v>3006</v>
          </cell>
          <cell r="G105">
            <v>955200</v>
          </cell>
          <cell r="H105">
            <v>6065400</v>
          </cell>
        </row>
        <row r="106">
          <cell r="F106">
            <v>2640</v>
          </cell>
          <cell r="G106">
            <v>1072400</v>
          </cell>
          <cell r="H106">
            <v>5560400</v>
          </cell>
        </row>
        <row r="107">
          <cell r="F107">
            <v>4449</v>
          </cell>
          <cell r="G107">
            <v>910800</v>
          </cell>
          <cell r="H107">
            <v>8474100</v>
          </cell>
        </row>
        <row r="108">
          <cell r="F108">
            <v>4165</v>
          </cell>
          <cell r="G108">
            <v>842700</v>
          </cell>
          <cell r="H108">
            <v>7923200</v>
          </cell>
        </row>
        <row r="109">
          <cell r="F109">
            <v>3270</v>
          </cell>
          <cell r="G109">
            <v>833650</v>
          </cell>
          <cell r="H109">
            <v>6392650</v>
          </cell>
        </row>
        <row r="110">
          <cell r="F110">
            <v>1937</v>
          </cell>
          <cell r="G110">
            <v>356900</v>
          </cell>
          <cell r="H110">
            <v>3649800</v>
          </cell>
        </row>
        <row r="111">
          <cell r="F111">
            <v>4993</v>
          </cell>
          <cell r="G111">
            <v>1152600</v>
          </cell>
          <cell r="H111">
            <v>9640700</v>
          </cell>
        </row>
        <row r="112">
          <cell r="F112">
            <v>3291</v>
          </cell>
          <cell r="G112">
            <v>1022300</v>
          </cell>
          <cell r="H112">
            <v>6617000</v>
          </cell>
        </row>
        <row r="113">
          <cell r="F113">
            <v>3667</v>
          </cell>
          <cell r="G113">
            <v>2074150</v>
          </cell>
          <cell r="H113">
            <v>8308050</v>
          </cell>
        </row>
        <row r="114">
          <cell r="F114">
            <v>331</v>
          </cell>
          <cell r="G114">
            <v>42000</v>
          </cell>
          <cell r="H114">
            <v>604700</v>
          </cell>
        </row>
        <row r="115">
          <cell r="F115">
            <v>2153</v>
          </cell>
          <cell r="G115">
            <v>312100</v>
          </cell>
          <cell r="H115">
            <v>3972200</v>
          </cell>
        </row>
        <row r="116">
          <cell r="F116">
            <v>272</v>
          </cell>
          <cell r="G116">
            <v>183400</v>
          </cell>
          <cell r="H116">
            <v>645800</v>
          </cell>
        </row>
        <row r="117">
          <cell r="F117">
            <v>2116</v>
          </cell>
          <cell r="G117">
            <v>400400</v>
          </cell>
          <cell r="H117">
            <v>3997600</v>
          </cell>
        </row>
        <row r="118">
          <cell r="F118">
            <v>2805</v>
          </cell>
          <cell r="G118">
            <v>955800</v>
          </cell>
          <cell r="H118">
            <v>5724300</v>
          </cell>
        </row>
        <row r="121">
          <cell r="F121">
            <v>42187</v>
          </cell>
          <cell r="G121">
            <v>5000300</v>
          </cell>
        </row>
        <row r="122">
          <cell r="F122">
            <v>9180</v>
          </cell>
          <cell r="G122">
            <v>12171000</v>
          </cell>
          <cell r="H122">
            <v>27777000</v>
          </cell>
        </row>
        <row r="133">
          <cell r="F133">
            <v>159866</v>
          </cell>
          <cell r="G133">
            <v>46303900</v>
          </cell>
          <cell r="H133">
            <v>318076100</v>
          </cell>
        </row>
        <row r="135">
          <cell r="F135">
            <v>129</v>
          </cell>
          <cell r="G135">
            <v>433800</v>
          </cell>
          <cell r="H135">
            <v>653100</v>
          </cell>
        </row>
        <row r="136">
          <cell r="F136">
            <v>4557</v>
          </cell>
          <cell r="G136">
            <v>2666200</v>
          </cell>
          <cell r="H136">
            <v>10413100</v>
          </cell>
        </row>
        <row r="137">
          <cell r="F137">
            <v>335</v>
          </cell>
          <cell r="G137">
            <v>375500</v>
          </cell>
          <cell r="H137">
            <v>945000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330</v>
          </cell>
          <cell r="G139">
            <v>428500</v>
          </cell>
          <cell r="H139">
            <v>989500</v>
          </cell>
        </row>
        <row r="140">
          <cell r="F140">
            <v>569</v>
          </cell>
          <cell r="G140">
            <v>576700</v>
          </cell>
          <cell r="H140">
            <v>1544000</v>
          </cell>
        </row>
        <row r="141">
          <cell r="F141">
            <v>225</v>
          </cell>
          <cell r="G141">
            <v>270900</v>
          </cell>
          <cell r="H141">
            <v>653400</v>
          </cell>
        </row>
        <row r="142">
          <cell r="F142">
            <v>166</v>
          </cell>
          <cell r="G142">
            <v>367400</v>
          </cell>
          <cell r="H142">
            <v>649600</v>
          </cell>
        </row>
        <row r="143">
          <cell r="F143">
            <v>353</v>
          </cell>
          <cell r="G143">
            <v>397400</v>
          </cell>
          <cell r="H143">
            <v>997500</v>
          </cell>
        </row>
        <row r="144">
          <cell r="F144">
            <v>166</v>
          </cell>
          <cell r="G144">
            <v>609800</v>
          </cell>
          <cell r="H144">
            <v>892000</v>
          </cell>
          <cell r="M144">
            <v>1018556.059</v>
          </cell>
        </row>
        <row r="145">
          <cell r="F145">
            <v>92</v>
          </cell>
          <cell r="G145">
            <v>173500</v>
          </cell>
          <cell r="H145">
            <v>329900</v>
          </cell>
        </row>
        <row r="146">
          <cell r="F146">
            <v>125</v>
          </cell>
          <cell r="G146">
            <v>113000</v>
          </cell>
          <cell r="H146">
            <v>325500</v>
          </cell>
        </row>
        <row r="147">
          <cell r="F147">
            <v>340</v>
          </cell>
          <cell r="G147">
            <v>400000</v>
          </cell>
          <cell r="H147">
            <v>978000</v>
          </cell>
        </row>
        <row r="148">
          <cell r="F148">
            <v>614</v>
          </cell>
          <cell r="G148">
            <v>983000</v>
          </cell>
          <cell r="H148">
            <v>2026800</v>
          </cell>
        </row>
        <row r="149">
          <cell r="F149">
            <v>126</v>
          </cell>
          <cell r="G149">
            <v>243100</v>
          </cell>
          <cell r="H149">
            <v>457300</v>
          </cell>
        </row>
        <row r="150">
          <cell r="F150">
            <v>194</v>
          </cell>
          <cell r="G150">
            <v>379400</v>
          </cell>
          <cell r="H150">
            <v>709200</v>
          </cell>
        </row>
        <row r="153">
          <cell r="F153">
            <v>0</v>
          </cell>
          <cell r="G153">
            <v>22000</v>
          </cell>
          <cell r="H153">
            <v>22000</v>
          </cell>
        </row>
        <row r="154">
          <cell r="F154">
            <v>0</v>
          </cell>
          <cell r="G154">
            <v>149000</v>
          </cell>
          <cell r="H154">
            <v>149000</v>
          </cell>
        </row>
        <row r="155">
          <cell r="F155">
            <v>0</v>
          </cell>
          <cell r="G155">
            <v>174000</v>
          </cell>
          <cell r="H155">
            <v>174000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20000</v>
          </cell>
          <cell r="H157">
            <v>20000</v>
          </cell>
        </row>
        <row r="158">
          <cell r="F158">
            <v>0</v>
          </cell>
          <cell r="G158">
            <v>1403000</v>
          </cell>
          <cell r="H158">
            <v>1403000</v>
          </cell>
        </row>
        <row r="159">
          <cell r="F159">
            <v>0</v>
          </cell>
          <cell r="G159">
            <v>1681000</v>
          </cell>
          <cell r="H159">
            <v>1681000</v>
          </cell>
        </row>
        <row r="160">
          <cell r="F160">
            <v>0</v>
          </cell>
          <cell r="G160">
            <v>1417000</v>
          </cell>
          <cell r="H160">
            <v>1417000</v>
          </cell>
        </row>
        <row r="161">
          <cell r="F161">
            <v>0</v>
          </cell>
          <cell r="G161">
            <v>2435000</v>
          </cell>
          <cell r="H161">
            <v>2435000</v>
          </cell>
        </row>
        <row r="162">
          <cell r="F162">
            <v>0</v>
          </cell>
          <cell r="G162">
            <v>1157000</v>
          </cell>
          <cell r="H162">
            <v>1157000</v>
          </cell>
        </row>
        <row r="163">
          <cell r="F163">
            <v>0</v>
          </cell>
          <cell r="G163">
            <v>863000</v>
          </cell>
          <cell r="H163">
            <v>863000</v>
          </cell>
        </row>
        <row r="164">
          <cell r="F164">
            <v>0</v>
          </cell>
          <cell r="G164">
            <v>236000</v>
          </cell>
          <cell r="H164">
            <v>236000</v>
          </cell>
        </row>
        <row r="165">
          <cell r="F165">
            <v>0</v>
          </cell>
          <cell r="G165">
            <v>643000</v>
          </cell>
          <cell r="H165">
            <v>643000</v>
          </cell>
        </row>
        <row r="166">
          <cell r="F166">
            <v>0</v>
          </cell>
          <cell r="G166">
            <v>121000</v>
          </cell>
          <cell r="H166">
            <v>121000</v>
          </cell>
        </row>
        <row r="167">
          <cell r="F167">
            <v>0</v>
          </cell>
          <cell r="G167">
            <v>247000</v>
          </cell>
          <cell r="H167">
            <v>247000</v>
          </cell>
        </row>
        <row r="168">
          <cell r="F168">
            <v>0</v>
          </cell>
          <cell r="G168">
            <v>70000</v>
          </cell>
          <cell r="H168">
            <v>70000</v>
          </cell>
        </row>
        <row r="169">
          <cell r="F169">
            <v>0</v>
          </cell>
          <cell r="G169">
            <v>10000</v>
          </cell>
          <cell r="H169">
            <v>10000</v>
          </cell>
        </row>
        <row r="170">
          <cell r="F170">
            <v>0</v>
          </cell>
          <cell r="G170">
            <v>53000</v>
          </cell>
          <cell r="H170">
            <v>53000</v>
          </cell>
        </row>
        <row r="171">
          <cell r="F171">
            <v>0</v>
          </cell>
          <cell r="G171">
            <v>69000</v>
          </cell>
          <cell r="H171">
            <v>69000</v>
          </cell>
        </row>
        <row r="172">
          <cell r="F172">
            <v>0</v>
          </cell>
          <cell r="G172">
            <v>59000</v>
          </cell>
          <cell r="H172">
            <v>59000</v>
          </cell>
        </row>
        <row r="173">
          <cell r="F173">
            <v>0</v>
          </cell>
          <cell r="G173">
            <v>18000</v>
          </cell>
          <cell r="H173">
            <v>18000</v>
          </cell>
        </row>
        <row r="174">
          <cell r="F174">
            <v>0</v>
          </cell>
          <cell r="G174">
            <v>2000</v>
          </cell>
          <cell r="H174">
            <v>2000</v>
          </cell>
        </row>
        <row r="175">
          <cell r="F175">
            <v>0</v>
          </cell>
          <cell r="G175">
            <v>199000</v>
          </cell>
          <cell r="H175">
            <v>199000</v>
          </cell>
        </row>
        <row r="176">
          <cell r="F176">
            <v>0</v>
          </cell>
          <cell r="G176">
            <v>42000</v>
          </cell>
          <cell r="H176">
            <v>42000</v>
          </cell>
        </row>
        <row r="177">
          <cell r="F177">
            <v>0</v>
          </cell>
          <cell r="G177">
            <v>202000</v>
          </cell>
          <cell r="H177">
            <v>202000</v>
          </cell>
        </row>
        <row r="178">
          <cell r="F178">
            <v>0</v>
          </cell>
          <cell r="G178">
            <v>505000</v>
          </cell>
          <cell r="H178">
            <v>505000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31000</v>
          </cell>
          <cell r="H180">
            <v>31000</v>
          </cell>
        </row>
        <row r="181">
          <cell r="F181">
            <v>0</v>
          </cell>
          <cell r="G181">
            <v>20000</v>
          </cell>
          <cell r="H181">
            <v>20000</v>
          </cell>
        </row>
        <row r="182">
          <cell r="F182">
            <v>0</v>
          </cell>
          <cell r="G182">
            <v>17000</v>
          </cell>
          <cell r="H182">
            <v>17000</v>
          </cell>
        </row>
        <row r="183">
          <cell r="F183">
            <v>0</v>
          </cell>
          <cell r="G183">
            <v>286000</v>
          </cell>
          <cell r="H183">
            <v>286000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234000</v>
          </cell>
          <cell r="H185">
            <v>234000</v>
          </cell>
        </row>
        <row r="186">
          <cell r="F186">
            <v>0</v>
          </cell>
          <cell r="G186">
            <v>43000</v>
          </cell>
          <cell r="H186">
            <v>43000</v>
          </cell>
        </row>
        <row r="187">
          <cell r="F187">
            <v>0</v>
          </cell>
          <cell r="G187">
            <v>412000</v>
          </cell>
          <cell r="H187">
            <v>412000</v>
          </cell>
        </row>
        <row r="188">
          <cell r="F188">
            <v>0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54000</v>
          </cell>
          <cell r="H189">
            <v>54000</v>
          </cell>
        </row>
        <row r="190">
          <cell r="F190">
            <v>0</v>
          </cell>
          <cell r="G190">
            <v>99000</v>
          </cell>
          <cell r="H190">
            <v>99000</v>
          </cell>
        </row>
        <row r="191">
          <cell r="F191">
            <v>0</v>
          </cell>
          <cell r="G191">
            <v>30000</v>
          </cell>
          <cell r="H191">
            <v>30000</v>
          </cell>
        </row>
        <row r="192">
          <cell r="F192">
            <v>0</v>
          </cell>
          <cell r="G192">
            <v>50000</v>
          </cell>
          <cell r="H192">
            <v>50000</v>
          </cell>
        </row>
        <row r="193">
          <cell r="F193">
            <v>0</v>
          </cell>
          <cell r="G193">
            <v>109000</v>
          </cell>
          <cell r="H193">
            <v>109000</v>
          </cell>
        </row>
        <row r="194">
          <cell r="F194">
            <v>0</v>
          </cell>
          <cell r="G194">
            <v>82000</v>
          </cell>
          <cell r="H194">
            <v>82000</v>
          </cell>
        </row>
        <row r="195">
          <cell r="F195">
            <v>0</v>
          </cell>
          <cell r="G195">
            <v>131000</v>
          </cell>
          <cell r="H195">
            <v>131000</v>
          </cell>
        </row>
        <row r="196">
          <cell r="F196">
            <v>0</v>
          </cell>
          <cell r="G196">
            <v>87000</v>
          </cell>
          <cell r="H196">
            <v>87000</v>
          </cell>
        </row>
        <row r="197">
          <cell r="F197">
            <v>0</v>
          </cell>
          <cell r="G197">
            <v>27000</v>
          </cell>
          <cell r="H197">
            <v>27000</v>
          </cell>
        </row>
        <row r="198">
          <cell r="F198">
            <v>0</v>
          </cell>
          <cell r="G198">
            <v>130000</v>
          </cell>
          <cell r="H198">
            <v>130000</v>
          </cell>
        </row>
        <row r="199">
          <cell r="F199">
            <v>0</v>
          </cell>
          <cell r="G199">
            <v>4000</v>
          </cell>
          <cell r="H199">
            <v>4000</v>
          </cell>
        </row>
        <row r="200">
          <cell r="F200">
            <v>0</v>
          </cell>
          <cell r="G200">
            <v>30000</v>
          </cell>
          <cell r="H200">
            <v>30000</v>
          </cell>
        </row>
        <row r="201">
          <cell r="F201">
            <v>0</v>
          </cell>
          <cell r="G201">
            <v>23000</v>
          </cell>
          <cell r="H201">
            <v>23000</v>
          </cell>
        </row>
        <row r="202">
          <cell r="F202">
            <v>0</v>
          </cell>
          <cell r="G202">
            <v>106000</v>
          </cell>
          <cell r="H202">
            <v>106000</v>
          </cell>
        </row>
        <row r="203">
          <cell r="F203">
            <v>0</v>
          </cell>
          <cell r="G203">
            <v>36000</v>
          </cell>
          <cell r="H203">
            <v>36000</v>
          </cell>
        </row>
        <row r="204">
          <cell r="F204">
            <v>0</v>
          </cell>
          <cell r="G204">
            <v>136000</v>
          </cell>
          <cell r="H204">
            <v>136000</v>
          </cell>
        </row>
        <row r="205">
          <cell r="F205">
            <v>0</v>
          </cell>
          <cell r="G205">
            <v>132000</v>
          </cell>
          <cell r="H205">
            <v>132000</v>
          </cell>
        </row>
        <row r="206">
          <cell r="F206">
            <v>0</v>
          </cell>
          <cell r="G206">
            <v>70000</v>
          </cell>
          <cell r="H206">
            <v>70000</v>
          </cell>
        </row>
        <row r="207">
          <cell r="F207">
            <v>0</v>
          </cell>
          <cell r="G207">
            <v>109000</v>
          </cell>
          <cell r="H207">
            <v>109000</v>
          </cell>
        </row>
        <row r="208">
          <cell r="F208">
            <v>0</v>
          </cell>
          <cell r="G208">
            <v>93000</v>
          </cell>
          <cell r="H208">
            <v>93000</v>
          </cell>
        </row>
        <row r="209">
          <cell r="F209">
            <v>0</v>
          </cell>
          <cell r="G209">
            <v>428000</v>
          </cell>
          <cell r="H209">
            <v>428000</v>
          </cell>
        </row>
        <row r="210">
          <cell r="F210">
            <v>0</v>
          </cell>
          <cell r="G210">
            <v>306000</v>
          </cell>
          <cell r="H210">
            <v>306000</v>
          </cell>
        </row>
        <row r="211">
          <cell r="F211">
            <v>0</v>
          </cell>
          <cell r="G211">
            <v>70000</v>
          </cell>
          <cell r="H211">
            <v>70000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10000</v>
          </cell>
          <cell r="H213">
            <v>10000</v>
          </cell>
        </row>
        <row r="214">
          <cell r="F214">
            <v>0</v>
          </cell>
          <cell r="G214">
            <v>108000</v>
          </cell>
          <cell r="H214">
            <v>108000</v>
          </cell>
        </row>
        <row r="215">
          <cell r="F215">
            <v>0</v>
          </cell>
          <cell r="G215">
            <v>30000</v>
          </cell>
          <cell r="H215">
            <v>30000</v>
          </cell>
        </row>
        <row r="216">
          <cell r="F216">
            <v>0</v>
          </cell>
          <cell r="G216">
            <v>438000</v>
          </cell>
          <cell r="H216">
            <v>438000</v>
          </cell>
        </row>
        <row r="217">
          <cell r="F217">
            <v>0</v>
          </cell>
          <cell r="G217">
            <v>130000</v>
          </cell>
          <cell r="H217">
            <v>130000</v>
          </cell>
        </row>
        <row r="218">
          <cell r="F218">
            <v>0</v>
          </cell>
          <cell r="G218">
            <v>248000</v>
          </cell>
          <cell r="H218">
            <v>248000</v>
          </cell>
        </row>
        <row r="219">
          <cell r="F219">
            <v>0</v>
          </cell>
          <cell r="G219">
            <v>105000</v>
          </cell>
          <cell r="H219">
            <v>105000</v>
          </cell>
        </row>
        <row r="220">
          <cell r="F220">
            <v>0</v>
          </cell>
          <cell r="G220">
            <v>142000</v>
          </cell>
          <cell r="H220">
            <v>142000</v>
          </cell>
        </row>
        <row r="223">
          <cell r="F223">
            <v>621</v>
          </cell>
          <cell r="G223">
            <v>2249300</v>
          </cell>
          <cell r="H223">
            <v>3305000</v>
          </cell>
        </row>
        <row r="224">
          <cell r="F224">
            <v>0</v>
          </cell>
          <cell r="G224">
            <v>1993800</v>
          </cell>
          <cell r="H224">
            <v>1993800</v>
          </cell>
        </row>
        <row r="225">
          <cell r="F225">
            <v>599</v>
          </cell>
          <cell r="G225">
            <v>1305400</v>
          </cell>
          <cell r="H225">
            <v>2323700</v>
          </cell>
        </row>
        <row r="226">
          <cell r="F226">
            <v>1146</v>
          </cell>
          <cell r="G226">
            <v>932650</v>
          </cell>
          <cell r="H226">
            <v>2880850</v>
          </cell>
        </row>
        <row r="227">
          <cell r="F227">
            <v>1050</v>
          </cell>
          <cell r="G227">
            <v>496350</v>
          </cell>
          <cell r="H227">
            <v>2281350</v>
          </cell>
        </row>
        <row r="228">
          <cell r="F228">
            <v>371</v>
          </cell>
          <cell r="G228">
            <v>1395400</v>
          </cell>
          <cell r="H228">
            <v>2026100</v>
          </cell>
        </row>
        <row r="229">
          <cell r="F229">
            <v>1258</v>
          </cell>
          <cell r="G229">
            <v>1046900</v>
          </cell>
          <cell r="H229">
            <v>3185500</v>
          </cell>
        </row>
        <row r="230">
          <cell r="F230">
            <v>1301</v>
          </cell>
          <cell r="G230">
            <v>1439500</v>
          </cell>
          <cell r="H230">
            <v>3651200</v>
          </cell>
        </row>
        <row r="231">
          <cell r="F231">
            <v>0</v>
          </cell>
          <cell r="G231">
            <v>4283000</v>
          </cell>
          <cell r="H231">
            <v>4283000</v>
          </cell>
        </row>
        <row r="232">
          <cell r="F232">
            <v>0</v>
          </cell>
          <cell r="G232">
            <v>2196700</v>
          </cell>
          <cell r="H232">
            <v>2196700</v>
          </cell>
        </row>
        <row r="233">
          <cell r="F233">
            <v>1143</v>
          </cell>
          <cell r="G233">
            <v>971200</v>
          </cell>
          <cell r="H233">
            <v>2914300</v>
          </cell>
        </row>
        <row r="234">
          <cell r="F234">
            <v>1423</v>
          </cell>
          <cell r="G234">
            <v>946700</v>
          </cell>
          <cell r="H234">
            <v>3365800</v>
          </cell>
        </row>
        <row r="235">
          <cell r="F235">
            <v>0</v>
          </cell>
          <cell r="G235">
            <v>390900</v>
          </cell>
          <cell r="H235">
            <v>390900</v>
          </cell>
        </row>
        <row r="236">
          <cell r="F236">
            <v>1</v>
          </cell>
          <cell r="G236">
            <v>680800</v>
          </cell>
          <cell r="H236">
            <v>682500</v>
          </cell>
        </row>
        <row r="237">
          <cell r="F237">
            <v>50</v>
          </cell>
          <cell r="G237">
            <v>1236200</v>
          </cell>
          <cell r="H237">
            <v>1321200</v>
          </cell>
        </row>
        <row r="238">
          <cell r="F238">
            <v>728</v>
          </cell>
          <cell r="G238">
            <v>1196400</v>
          </cell>
          <cell r="H238">
            <v>2434000</v>
          </cell>
        </row>
        <row r="239">
          <cell r="F239">
            <v>399</v>
          </cell>
          <cell r="G239">
            <v>1774100</v>
          </cell>
          <cell r="H239">
            <v>2452400</v>
          </cell>
        </row>
        <row r="240">
          <cell r="F240">
            <v>977</v>
          </cell>
          <cell r="G240">
            <v>1324400</v>
          </cell>
          <cell r="H240">
            <v>2985300</v>
          </cell>
        </row>
        <row r="241">
          <cell r="F241">
            <v>727</v>
          </cell>
          <cell r="G241">
            <v>982400</v>
          </cell>
          <cell r="H241">
            <v>2218300</v>
          </cell>
        </row>
        <row r="242">
          <cell r="F242">
            <v>1009</v>
          </cell>
          <cell r="G242">
            <v>1764400</v>
          </cell>
          <cell r="H242">
            <v>3479700</v>
          </cell>
        </row>
        <row r="243">
          <cell r="F243">
            <v>1054</v>
          </cell>
          <cell r="G243">
            <v>864900</v>
          </cell>
          <cell r="H243">
            <v>2656700</v>
          </cell>
        </row>
        <row r="244">
          <cell r="F244">
            <v>497</v>
          </cell>
          <cell r="G244">
            <v>1114900</v>
          </cell>
          <cell r="H244">
            <v>1959800</v>
          </cell>
        </row>
        <row r="245">
          <cell r="F245">
            <v>586</v>
          </cell>
          <cell r="G245">
            <v>891400</v>
          </cell>
          <cell r="H245">
            <v>1887600</v>
          </cell>
        </row>
        <row r="246">
          <cell r="F246">
            <v>907</v>
          </cell>
          <cell r="G246">
            <v>2189700</v>
          </cell>
          <cell r="H246">
            <v>3731600</v>
          </cell>
        </row>
        <row r="247">
          <cell r="F247">
            <v>1270</v>
          </cell>
          <cell r="G247">
            <v>469100</v>
          </cell>
          <cell r="H247">
            <v>2628100</v>
          </cell>
        </row>
        <row r="248">
          <cell r="F248">
            <v>285</v>
          </cell>
          <cell r="G248">
            <v>1680800</v>
          </cell>
          <cell r="H248">
            <v>2165300</v>
          </cell>
        </row>
        <row r="249">
          <cell r="F249">
            <v>115</v>
          </cell>
          <cell r="G249">
            <v>1409800</v>
          </cell>
          <cell r="H249">
            <v>1605300</v>
          </cell>
        </row>
        <row r="250">
          <cell r="F250">
            <v>124</v>
          </cell>
          <cell r="G250">
            <v>2435200</v>
          </cell>
          <cell r="H250">
            <v>2646000</v>
          </cell>
        </row>
        <row r="251">
          <cell r="F251">
            <v>252</v>
          </cell>
          <cell r="G251">
            <v>1781700</v>
          </cell>
          <cell r="H251">
            <v>2210100</v>
          </cell>
        </row>
        <row r="252">
          <cell r="F252">
            <v>284</v>
          </cell>
          <cell r="G252">
            <v>449400</v>
          </cell>
          <cell r="H252">
            <v>932200</v>
          </cell>
        </row>
        <row r="253">
          <cell r="F253">
            <v>66</v>
          </cell>
          <cell r="G253">
            <v>2829700</v>
          </cell>
          <cell r="H253">
            <v>2941900</v>
          </cell>
        </row>
        <row r="254">
          <cell r="F254">
            <v>573</v>
          </cell>
          <cell r="G254">
            <v>1080200</v>
          </cell>
          <cell r="H254">
            <v>2054300</v>
          </cell>
        </row>
        <row r="255">
          <cell r="F255">
            <v>383</v>
          </cell>
          <cell r="G255">
            <v>442150</v>
          </cell>
          <cell r="H255">
            <v>1093250</v>
          </cell>
        </row>
        <row r="256">
          <cell r="F256">
            <v>527</v>
          </cell>
          <cell r="G256">
            <v>345900</v>
          </cell>
          <cell r="H256">
            <v>1241800</v>
          </cell>
        </row>
        <row r="257">
          <cell r="F257">
            <v>619</v>
          </cell>
          <cell r="G257">
            <v>756400</v>
          </cell>
          <cell r="H257">
            <v>1808700</v>
          </cell>
        </row>
        <row r="260">
          <cell r="G260">
            <v>53000</v>
          </cell>
          <cell r="H260">
            <v>53000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9416</v>
          </cell>
          <cell r="G10">
            <v>3580100</v>
          </cell>
          <cell r="H10">
            <v>19587300</v>
          </cell>
        </row>
        <row r="14">
          <cell r="F14">
            <v>4033</v>
          </cell>
          <cell r="G14">
            <v>913700</v>
          </cell>
          <cell r="H14">
            <v>7769800</v>
          </cell>
        </row>
        <row r="15">
          <cell r="F15">
            <v>3972</v>
          </cell>
          <cell r="G15">
            <v>936350</v>
          </cell>
          <cell r="H15">
            <v>7688750</v>
          </cell>
        </row>
        <row r="16">
          <cell r="F16">
            <v>4835</v>
          </cell>
          <cell r="G16">
            <v>1172700</v>
          </cell>
          <cell r="H16">
            <v>9392200</v>
          </cell>
        </row>
        <row r="17">
          <cell r="F17">
            <v>3136</v>
          </cell>
          <cell r="G17">
            <v>892900</v>
          </cell>
          <cell r="H17">
            <v>6224100</v>
          </cell>
        </row>
        <row r="18">
          <cell r="F18">
            <v>4121</v>
          </cell>
          <cell r="G18">
            <v>1458600</v>
          </cell>
          <cell r="H18">
            <v>8464300</v>
          </cell>
        </row>
        <row r="19">
          <cell r="F19">
            <v>4156</v>
          </cell>
          <cell r="G19">
            <v>1489650</v>
          </cell>
          <cell r="H19">
            <v>8554850</v>
          </cell>
        </row>
        <row r="20">
          <cell r="F20">
            <v>2320</v>
          </cell>
          <cell r="G20">
            <v>854500</v>
          </cell>
          <cell r="H20">
            <v>4798500</v>
          </cell>
        </row>
        <row r="21">
          <cell r="F21">
            <v>2988</v>
          </cell>
          <cell r="G21">
            <v>995200</v>
          </cell>
          <cell r="H21">
            <v>6074800</v>
          </cell>
        </row>
        <row r="22">
          <cell r="F22">
            <v>5683</v>
          </cell>
          <cell r="G22">
            <v>2202650</v>
          </cell>
          <cell r="H22">
            <v>11863750</v>
          </cell>
        </row>
        <row r="23">
          <cell r="F23">
            <v>2358</v>
          </cell>
          <cell r="G23">
            <v>606700</v>
          </cell>
          <cell r="H23">
            <v>4615300</v>
          </cell>
        </row>
        <row r="24">
          <cell r="F24">
            <v>2152</v>
          </cell>
          <cell r="G24">
            <v>724100</v>
          </cell>
          <cell r="H24">
            <v>4382500</v>
          </cell>
        </row>
        <row r="25">
          <cell r="F25">
            <v>1809</v>
          </cell>
          <cell r="G25">
            <v>605400</v>
          </cell>
          <cell r="H25">
            <v>3680700</v>
          </cell>
        </row>
        <row r="26">
          <cell r="F26">
            <v>3971</v>
          </cell>
          <cell r="G26">
            <v>995950</v>
          </cell>
          <cell r="H26">
            <v>7746650</v>
          </cell>
        </row>
        <row r="27">
          <cell r="F27">
            <v>8423</v>
          </cell>
          <cell r="G27">
            <v>3504700</v>
          </cell>
          <cell r="H27">
            <v>17823800</v>
          </cell>
        </row>
        <row r="28">
          <cell r="F28">
            <v>6913</v>
          </cell>
          <cell r="G28">
            <v>2988200</v>
          </cell>
          <cell r="H28">
            <v>14740300</v>
          </cell>
        </row>
        <row r="29">
          <cell r="F29">
            <v>5224</v>
          </cell>
          <cell r="G29">
            <v>2360400</v>
          </cell>
          <cell r="H29">
            <v>11241200</v>
          </cell>
        </row>
        <row r="30">
          <cell r="F30">
            <v>8922</v>
          </cell>
          <cell r="G30">
            <v>2932950</v>
          </cell>
          <cell r="H30">
            <v>18100350</v>
          </cell>
        </row>
        <row r="31">
          <cell r="F31">
            <v>4681</v>
          </cell>
          <cell r="G31">
            <v>1813900</v>
          </cell>
          <cell r="H31">
            <v>9771600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6408</v>
          </cell>
          <cell r="G33">
            <v>1885400</v>
          </cell>
          <cell r="H33">
            <v>12779000</v>
          </cell>
        </row>
        <row r="34">
          <cell r="F34">
            <v>9179</v>
          </cell>
          <cell r="G34">
            <v>3191600</v>
          </cell>
          <cell r="H34">
            <v>18795900</v>
          </cell>
        </row>
        <row r="35">
          <cell r="F35">
            <v>8840</v>
          </cell>
          <cell r="G35">
            <v>3193200</v>
          </cell>
          <cell r="H35">
            <v>18221200</v>
          </cell>
        </row>
        <row r="36">
          <cell r="F36">
            <v>8719</v>
          </cell>
          <cell r="G36">
            <v>2548900</v>
          </cell>
          <cell r="H36">
            <v>17371200</v>
          </cell>
        </row>
        <row r="37">
          <cell r="F37">
            <v>2288</v>
          </cell>
          <cell r="G37">
            <v>1027100</v>
          </cell>
          <cell r="H37">
            <v>4916700</v>
          </cell>
        </row>
        <row r="38">
          <cell r="F38">
            <v>4876</v>
          </cell>
          <cell r="G38">
            <v>2479200</v>
          </cell>
          <cell r="H38">
            <v>10768400</v>
          </cell>
        </row>
        <row r="39">
          <cell r="F39">
            <v>1390</v>
          </cell>
          <cell r="G39">
            <v>690900</v>
          </cell>
          <cell r="H39">
            <v>3053900</v>
          </cell>
        </row>
        <row r="40">
          <cell r="F40">
            <v>8238</v>
          </cell>
          <cell r="G40">
            <v>3501500</v>
          </cell>
          <cell r="H40">
            <v>17506100</v>
          </cell>
        </row>
        <row r="41">
          <cell r="F41">
            <v>4191</v>
          </cell>
          <cell r="G41">
            <v>1554800</v>
          </cell>
          <cell r="H41">
            <v>8679500</v>
          </cell>
        </row>
        <row r="42">
          <cell r="F42">
            <v>974</v>
          </cell>
          <cell r="G42">
            <v>682700</v>
          </cell>
          <cell r="H42">
            <v>2338500</v>
          </cell>
        </row>
        <row r="43">
          <cell r="F43">
            <v>2500</v>
          </cell>
          <cell r="G43">
            <v>541700</v>
          </cell>
          <cell r="H43">
            <v>4791700</v>
          </cell>
        </row>
        <row r="44">
          <cell r="F44">
            <v>563</v>
          </cell>
          <cell r="G44">
            <v>253400</v>
          </cell>
          <cell r="H44">
            <v>1210500</v>
          </cell>
        </row>
        <row r="45">
          <cell r="F45">
            <v>9066</v>
          </cell>
          <cell r="G45">
            <v>2376400</v>
          </cell>
          <cell r="H45">
            <v>17788600</v>
          </cell>
        </row>
        <row r="46">
          <cell r="F46">
            <v>1133</v>
          </cell>
          <cell r="G46">
            <v>876500</v>
          </cell>
          <cell r="H46">
            <v>2802600</v>
          </cell>
        </row>
        <row r="47">
          <cell r="F47">
            <v>19191</v>
          </cell>
          <cell r="G47">
            <v>4368700</v>
          </cell>
          <cell r="H47">
            <v>36993400</v>
          </cell>
        </row>
        <row r="52">
          <cell r="F52">
            <v>5271</v>
          </cell>
          <cell r="G52">
            <v>1549100</v>
          </cell>
          <cell r="H52">
            <v>10509800</v>
          </cell>
        </row>
        <row r="53">
          <cell r="F53">
            <v>3497</v>
          </cell>
          <cell r="G53">
            <v>1444700</v>
          </cell>
          <cell r="H53">
            <v>7389600</v>
          </cell>
        </row>
        <row r="54">
          <cell r="F54">
            <v>9699</v>
          </cell>
          <cell r="G54">
            <v>3150700</v>
          </cell>
          <cell r="H54">
            <v>19639000</v>
          </cell>
        </row>
        <row r="55">
          <cell r="F55">
            <v>2592</v>
          </cell>
          <cell r="G55">
            <v>1293900</v>
          </cell>
          <cell r="H55">
            <v>5700300</v>
          </cell>
        </row>
        <row r="56">
          <cell r="F56">
            <v>2383</v>
          </cell>
          <cell r="G56">
            <v>509500</v>
          </cell>
          <cell r="H56">
            <v>4560600</v>
          </cell>
        </row>
        <row r="57">
          <cell r="F57">
            <v>6580</v>
          </cell>
          <cell r="G57">
            <v>2052900</v>
          </cell>
          <cell r="H57">
            <v>13238900</v>
          </cell>
        </row>
        <row r="58">
          <cell r="F58">
            <v>12214</v>
          </cell>
          <cell r="G58">
            <v>3372400</v>
          </cell>
          <cell r="H58">
            <v>24136200</v>
          </cell>
        </row>
        <row r="59">
          <cell r="F59">
            <v>5523</v>
          </cell>
          <cell r="G59">
            <v>2003500</v>
          </cell>
          <cell r="H59">
            <v>11392600</v>
          </cell>
        </row>
        <row r="60">
          <cell r="F60">
            <v>4961</v>
          </cell>
          <cell r="G60">
            <v>1427800</v>
          </cell>
          <cell r="H60">
            <v>9861500</v>
          </cell>
        </row>
        <row r="61">
          <cell r="F61">
            <v>3296</v>
          </cell>
          <cell r="G61">
            <v>854500</v>
          </cell>
          <cell r="H61">
            <v>6457700</v>
          </cell>
        </row>
        <row r="62">
          <cell r="F62">
            <v>8249</v>
          </cell>
          <cell r="G62">
            <v>2116000</v>
          </cell>
          <cell r="H62">
            <v>16139300</v>
          </cell>
        </row>
        <row r="63">
          <cell r="F63">
            <v>6256</v>
          </cell>
          <cell r="G63">
            <v>1928550</v>
          </cell>
          <cell r="H63">
            <v>12563750</v>
          </cell>
        </row>
        <row r="64">
          <cell r="F64">
            <v>6769</v>
          </cell>
          <cell r="G64">
            <v>1987550</v>
          </cell>
          <cell r="H64">
            <v>13494850</v>
          </cell>
        </row>
        <row r="65">
          <cell r="F65">
            <v>3869</v>
          </cell>
          <cell r="G65">
            <v>1566900</v>
          </cell>
          <cell r="H65">
            <v>8144200</v>
          </cell>
        </row>
        <row r="66">
          <cell r="F66">
            <v>3304</v>
          </cell>
          <cell r="G66">
            <v>1038400</v>
          </cell>
          <cell r="H66">
            <v>6655200</v>
          </cell>
        </row>
        <row r="67">
          <cell r="F67">
            <v>1731</v>
          </cell>
          <cell r="G67">
            <v>753500</v>
          </cell>
          <cell r="H67">
            <v>3696200</v>
          </cell>
        </row>
        <row r="68">
          <cell r="F68">
            <v>4151</v>
          </cell>
          <cell r="G68">
            <v>1421900</v>
          </cell>
          <cell r="H68">
            <v>8478600</v>
          </cell>
        </row>
        <row r="69">
          <cell r="F69">
            <v>2943</v>
          </cell>
          <cell r="G69">
            <v>847600</v>
          </cell>
          <cell r="H69">
            <v>5850700</v>
          </cell>
        </row>
        <row r="70">
          <cell r="F70">
            <v>4758</v>
          </cell>
          <cell r="G70">
            <v>1317800</v>
          </cell>
          <cell r="H70">
            <v>9406400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3587</v>
          </cell>
          <cell r="G72">
            <v>924300</v>
          </cell>
          <cell r="H72">
            <v>7022200</v>
          </cell>
        </row>
        <row r="73">
          <cell r="F73">
            <v>3062</v>
          </cell>
          <cell r="G73">
            <v>661900</v>
          </cell>
          <cell r="H73">
            <v>5867300</v>
          </cell>
        </row>
        <row r="74">
          <cell r="F74">
            <v>8646</v>
          </cell>
          <cell r="G74">
            <v>1767700</v>
          </cell>
          <cell r="H74">
            <v>16465900</v>
          </cell>
        </row>
        <row r="75">
          <cell r="F75">
            <v>3451</v>
          </cell>
          <cell r="G75">
            <v>831200</v>
          </cell>
          <cell r="H75">
            <v>6697900</v>
          </cell>
        </row>
        <row r="76">
          <cell r="F76">
            <v>14058</v>
          </cell>
          <cell r="G76">
            <v>3166500</v>
          </cell>
          <cell r="H76">
            <v>27065100</v>
          </cell>
        </row>
        <row r="77">
          <cell r="F77">
            <v>8292</v>
          </cell>
          <cell r="G77">
            <v>1240800</v>
          </cell>
          <cell r="H77">
            <v>15337200</v>
          </cell>
        </row>
        <row r="78">
          <cell r="F78">
            <v>4936</v>
          </cell>
          <cell r="G78">
            <v>1224800</v>
          </cell>
          <cell r="H78">
            <v>9616000</v>
          </cell>
        </row>
        <row r="79">
          <cell r="F79">
            <v>1430</v>
          </cell>
          <cell r="G79">
            <v>323500</v>
          </cell>
          <cell r="H79">
            <v>2754500</v>
          </cell>
        </row>
        <row r="80">
          <cell r="F80">
            <v>3252</v>
          </cell>
          <cell r="G80">
            <v>458300</v>
          </cell>
          <cell r="H80">
            <v>5986700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1870</v>
          </cell>
          <cell r="G84">
            <v>403200</v>
          </cell>
          <cell r="H84">
            <v>3582200</v>
          </cell>
        </row>
        <row r="85">
          <cell r="F85">
            <v>1119</v>
          </cell>
          <cell r="G85">
            <v>114300</v>
          </cell>
          <cell r="H85">
            <v>2016600</v>
          </cell>
        </row>
        <row r="86">
          <cell r="F86">
            <v>2361</v>
          </cell>
          <cell r="G86">
            <v>1001000</v>
          </cell>
          <cell r="H86">
            <v>5014700</v>
          </cell>
        </row>
        <row r="87">
          <cell r="F87">
            <v>3014</v>
          </cell>
          <cell r="G87">
            <v>690100</v>
          </cell>
          <cell r="H87">
            <v>5813900</v>
          </cell>
        </row>
        <row r="88">
          <cell r="F88">
            <v>3023</v>
          </cell>
          <cell r="G88">
            <v>857900</v>
          </cell>
          <cell r="H88">
            <v>5997000</v>
          </cell>
        </row>
        <row r="89">
          <cell r="F89">
            <v>727</v>
          </cell>
          <cell r="G89">
            <v>323200</v>
          </cell>
          <cell r="H89">
            <v>1559100</v>
          </cell>
        </row>
        <row r="90">
          <cell r="F90">
            <v>1039</v>
          </cell>
          <cell r="G90">
            <v>255700</v>
          </cell>
          <cell r="H90">
            <v>2022000</v>
          </cell>
        </row>
        <row r="91">
          <cell r="F91">
            <v>3010</v>
          </cell>
          <cell r="G91">
            <v>1298500</v>
          </cell>
          <cell r="H91">
            <v>6415500</v>
          </cell>
        </row>
        <row r="92">
          <cell r="F92">
            <v>1013</v>
          </cell>
          <cell r="G92">
            <v>539200</v>
          </cell>
          <cell r="H92">
            <v>2261300</v>
          </cell>
        </row>
        <row r="93">
          <cell r="F93">
            <v>1219</v>
          </cell>
          <cell r="G93">
            <v>637300</v>
          </cell>
          <cell r="H93">
            <v>2709600</v>
          </cell>
        </row>
        <row r="94">
          <cell r="F94">
            <v>177</v>
          </cell>
          <cell r="G94">
            <v>96900</v>
          </cell>
          <cell r="H94">
            <v>397800</v>
          </cell>
        </row>
        <row r="95">
          <cell r="F95">
            <v>1322</v>
          </cell>
          <cell r="G95">
            <v>381000</v>
          </cell>
          <cell r="H95">
            <v>2628400</v>
          </cell>
        </row>
        <row r="96">
          <cell r="F96">
            <v>2500</v>
          </cell>
          <cell r="G96">
            <v>296950</v>
          </cell>
          <cell r="H96">
            <v>4546950</v>
          </cell>
        </row>
        <row r="97">
          <cell r="F97">
            <v>4229</v>
          </cell>
          <cell r="G97">
            <v>745000</v>
          </cell>
          <cell r="H97">
            <v>7934300</v>
          </cell>
        </row>
        <row r="98">
          <cell r="F98">
            <v>2208</v>
          </cell>
          <cell r="G98">
            <v>368900</v>
          </cell>
          <cell r="H98">
            <v>4122500</v>
          </cell>
        </row>
        <row r="99">
          <cell r="F99">
            <v>5038</v>
          </cell>
          <cell r="G99">
            <v>1210400</v>
          </cell>
          <cell r="H99">
            <v>9775000</v>
          </cell>
        </row>
        <row r="100">
          <cell r="F100">
            <v>6330</v>
          </cell>
          <cell r="G100">
            <v>1338700</v>
          </cell>
          <cell r="H100">
            <v>12099700</v>
          </cell>
        </row>
        <row r="101">
          <cell r="F101">
            <v>2271</v>
          </cell>
          <cell r="G101">
            <v>450700</v>
          </cell>
          <cell r="H101">
            <v>4311400</v>
          </cell>
        </row>
        <row r="102">
          <cell r="F102">
            <v>11393</v>
          </cell>
          <cell r="G102">
            <v>1284600</v>
          </cell>
          <cell r="H102">
            <v>20652700</v>
          </cell>
        </row>
        <row r="103">
          <cell r="F103">
            <v>8510</v>
          </cell>
          <cell r="G103">
            <v>1593700</v>
          </cell>
          <cell r="H103">
            <v>16060700</v>
          </cell>
        </row>
        <row r="104">
          <cell r="F104">
            <v>4304</v>
          </cell>
          <cell r="G104">
            <v>814400</v>
          </cell>
          <cell r="H104">
            <v>8131200</v>
          </cell>
        </row>
        <row r="105">
          <cell r="F105">
            <v>2369</v>
          </cell>
          <cell r="G105">
            <v>839300</v>
          </cell>
          <cell r="H105">
            <v>4866600</v>
          </cell>
        </row>
        <row r="106">
          <cell r="F106">
            <v>2106</v>
          </cell>
          <cell r="G106">
            <v>666200</v>
          </cell>
          <cell r="H106">
            <v>4246400</v>
          </cell>
        </row>
        <row r="107">
          <cell r="F107">
            <v>4026</v>
          </cell>
          <cell r="G107">
            <v>822800</v>
          </cell>
          <cell r="H107">
            <v>7667000</v>
          </cell>
        </row>
        <row r="108">
          <cell r="F108">
            <v>3818</v>
          </cell>
          <cell r="G108">
            <v>806700</v>
          </cell>
          <cell r="H108">
            <v>7297300</v>
          </cell>
        </row>
        <row r="109">
          <cell r="F109">
            <v>2556</v>
          </cell>
          <cell r="G109">
            <v>561900</v>
          </cell>
          <cell r="H109">
            <v>4907100</v>
          </cell>
        </row>
        <row r="110">
          <cell r="F110">
            <v>1377</v>
          </cell>
          <cell r="G110">
            <v>184600</v>
          </cell>
          <cell r="H110">
            <v>2525500</v>
          </cell>
        </row>
        <row r="111">
          <cell r="F111">
            <v>4140</v>
          </cell>
          <cell r="G111">
            <v>870800</v>
          </cell>
          <cell r="H111">
            <v>7908800</v>
          </cell>
        </row>
        <row r="112">
          <cell r="F112">
            <v>2567</v>
          </cell>
          <cell r="G112">
            <v>535300</v>
          </cell>
          <cell r="H112">
            <v>4899200</v>
          </cell>
        </row>
        <row r="113">
          <cell r="F113">
            <v>3293</v>
          </cell>
          <cell r="G113">
            <v>1334600</v>
          </cell>
          <cell r="H113">
            <v>6932700</v>
          </cell>
        </row>
        <row r="114">
          <cell r="F114">
            <v>214</v>
          </cell>
          <cell r="G114">
            <v>74000</v>
          </cell>
          <cell r="H114">
            <v>437800</v>
          </cell>
        </row>
        <row r="115">
          <cell r="F115">
            <v>1427</v>
          </cell>
          <cell r="G115">
            <v>212200</v>
          </cell>
          <cell r="H115">
            <v>2638100</v>
          </cell>
        </row>
        <row r="116">
          <cell r="F116">
            <v>146</v>
          </cell>
          <cell r="G116">
            <v>34000</v>
          </cell>
          <cell r="H116">
            <v>282200</v>
          </cell>
        </row>
        <row r="117">
          <cell r="F117">
            <v>1622</v>
          </cell>
          <cell r="G117">
            <v>334900</v>
          </cell>
          <cell r="H117">
            <v>3092300</v>
          </cell>
        </row>
        <row r="118">
          <cell r="F118">
            <v>1870</v>
          </cell>
          <cell r="G118">
            <v>809900</v>
          </cell>
          <cell r="H118">
            <v>3988900</v>
          </cell>
        </row>
        <row r="121">
          <cell r="F121">
            <v>28282</v>
          </cell>
          <cell r="G121">
            <v>2340900</v>
          </cell>
        </row>
        <row r="122">
          <cell r="F122">
            <v>7393</v>
          </cell>
          <cell r="G122">
            <v>8768201</v>
          </cell>
          <cell r="H122">
            <v>21336301</v>
          </cell>
        </row>
        <row r="133">
          <cell r="F133">
            <v>127459</v>
          </cell>
          <cell r="G133">
            <v>31909800</v>
          </cell>
          <cell r="H133">
            <v>248590100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2677</v>
          </cell>
          <cell r="G136">
            <v>1954650</v>
          </cell>
          <cell r="H136">
            <v>6505550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725303.76500000001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196</v>
          </cell>
          <cell r="G147">
            <v>413500</v>
          </cell>
          <cell r="H147">
            <v>746700</v>
          </cell>
        </row>
        <row r="148">
          <cell r="F148">
            <v>599</v>
          </cell>
          <cell r="G148">
            <v>1414300</v>
          </cell>
          <cell r="H148">
            <v>2432600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99000</v>
          </cell>
          <cell r="H154">
            <v>99000</v>
          </cell>
        </row>
        <row r="155">
          <cell r="F155">
            <v>0</v>
          </cell>
          <cell r="G155">
            <v>78000</v>
          </cell>
          <cell r="H155">
            <v>78000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1064000</v>
          </cell>
          <cell r="H158">
            <v>1064000</v>
          </cell>
        </row>
        <row r="159">
          <cell r="F159">
            <v>0</v>
          </cell>
          <cell r="G159">
            <v>1358000</v>
          </cell>
          <cell r="H159">
            <v>1358000</v>
          </cell>
        </row>
        <row r="160">
          <cell r="F160">
            <v>0</v>
          </cell>
          <cell r="G160">
            <v>862000</v>
          </cell>
          <cell r="H160">
            <v>862000</v>
          </cell>
        </row>
        <row r="161">
          <cell r="F161">
            <v>0</v>
          </cell>
          <cell r="G161">
            <v>1064000</v>
          </cell>
          <cell r="H161">
            <v>1064000</v>
          </cell>
        </row>
        <row r="162">
          <cell r="F162">
            <v>0</v>
          </cell>
          <cell r="G162">
            <v>887000</v>
          </cell>
          <cell r="H162">
            <v>887000</v>
          </cell>
        </row>
        <row r="163">
          <cell r="F163">
            <v>0</v>
          </cell>
          <cell r="G163">
            <v>779000</v>
          </cell>
          <cell r="H163">
            <v>779000</v>
          </cell>
        </row>
        <row r="164">
          <cell r="F164">
            <v>0</v>
          </cell>
          <cell r="G164">
            <v>164000</v>
          </cell>
          <cell r="H164">
            <v>164000</v>
          </cell>
        </row>
        <row r="165">
          <cell r="F165">
            <v>0</v>
          </cell>
          <cell r="G165">
            <v>616000</v>
          </cell>
          <cell r="H165">
            <v>616000</v>
          </cell>
        </row>
        <row r="166">
          <cell r="F166">
            <v>0</v>
          </cell>
          <cell r="G166">
            <v>38000</v>
          </cell>
          <cell r="H166">
            <v>38000</v>
          </cell>
        </row>
        <row r="167">
          <cell r="F167">
            <v>0</v>
          </cell>
          <cell r="G167">
            <v>155000</v>
          </cell>
          <cell r="H167">
            <v>155000</v>
          </cell>
        </row>
        <row r="168">
          <cell r="F168">
            <v>0</v>
          </cell>
          <cell r="G168">
            <v>4000</v>
          </cell>
          <cell r="H168">
            <v>4000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39000</v>
          </cell>
          <cell r="H170">
            <v>39000</v>
          </cell>
        </row>
        <row r="171">
          <cell r="F171">
            <v>0</v>
          </cell>
          <cell r="G171">
            <v>69000</v>
          </cell>
          <cell r="H171">
            <v>69000</v>
          </cell>
        </row>
        <row r="172">
          <cell r="F172">
            <v>0</v>
          </cell>
          <cell r="G172">
            <v>14000</v>
          </cell>
          <cell r="H172">
            <v>14000</v>
          </cell>
        </row>
        <row r="173">
          <cell r="F173">
            <v>0</v>
          </cell>
          <cell r="G173">
            <v>18000</v>
          </cell>
          <cell r="H173">
            <v>18000</v>
          </cell>
        </row>
        <row r="174">
          <cell r="F174">
            <v>0</v>
          </cell>
          <cell r="G174">
            <v>28000</v>
          </cell>
          <cell r="H174">
            <v>28000</v>
          </cell>
        </row>
        <row r="175">
          <cell r="F175">
            <v>0</v>
          </cell>
          <cell r="G175">
            <v>152000</v>
          </cell>
          <cell r="H175">
            <v>152000</v>
          </cell>
        </row>
        <row r="176">
          <cell r="F176">
            <v>0</v>
          </cell>
          <cell r="G176">
            <v>4000</v>
          </cell>
          <cell r="H176">
            <v>4000</v>
          </cell>
        </row>
        <row r="177">
          <cell r="F177">
            <v>0</v>
          </cell>
          <cell r="G177">
            <v>206000</v>
          </cell>
          <cell r="H177">
            <v>206000</v>
          </cell>
        </row>
        <row r="178">
          <cell r="F178">
            <v>0</v>
          </cell>
          <cell r="G178">
            <v>72000</v>
          </cell>
          <cell r="H178">
            <v>72000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9000</v>
          </cell>
          <cell r="H181">
            <v>9000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15000</v>
          </cell>
          <cell r="H183">
            <v>15000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62000</v>
          </cell>
          <cell r="H185">
            <v>62000</v>
          </cell>
        </row>
        <row r="186">
          <cell r="F186">
            <v>0</v>
          </cell>
          <cell r="G186">
            <v>35000</v>
          </cell>
          <cell r="H186">
            <v>35000</v>
          </cell>
        </row>
        <row r="187">
          <cell r="F187">
            <v>0</v>
          </cell>
          <cell r="G187">
            <v>39000</v>
          </cell>
          <cell r="H187">
            <v>39000</v>
          </cell>
        </row>
        <row r="188">
          <cell r="F188">
            <v>0</v>
          </cell>
          <cell r="G188">
            <v>20000</v>
          </cell>
          <cell r="H188">
            <v>20000</v>
          </cell>
        </row>
        <row r="189">
          <cell r="F189">
            <v>0</v>
          </cell>
          <cell r="G189">
            <v>34000</v>
          </cell>
          <cell r="H189">
            <v>34000</v>
          </cell>
        </row>
        <row r="190">
          <cell r="F190">
            <v>0</v>
          </cell>
          <cell r="G190">
            <v>18000</v>
          </cell>
          <cell r="H190">
            <v>18000</v>
          </cell>
        </row>
        <row r="191">
          <cell r="F191">
            <v>0</v>
          </cell>
          <cell r="G191">
            <v>30000</v>
          </cell>
          <cell r="H191">
            <v>30000</v>
          </cell>
        </row>
        <row r="192">
          <cell r="F192">
            <v>0</v>
          </cell>
          <cell r="G192">
            <v>35000</v>
          </cell>
          <cell r="H192">
            <v>35000</v>
          </cell>
        </row>
        <row r="193">
          <cell r="F193">
            <v>0</v>
          </cell>
          <cell r="G193">
            <v>13000</v>
          </cell>
          <cell r="H193">
            <v>13000</v>
          </cell>
        </row>
        <row r="194">
          <cell r="F194">
            <v>0</v>
          </cell>
          <cell r="G194">
            <v>16000</v>
          </cell>
          <cell r="H194">
            <v>16000</v>
          </cell>
        </row>
        <row r="195">
          <cell r="F195">
            <v>0</v>
          </cell>
          <cell r="G195">
            <v>65000</v>
          </cell>
          <cell r="H195">
            <v>65000</v>
          </cell>
        </row>
        <row r="196">
          <cell r="F196">
            <v>0</v>
          </cell>
          <cell r="G196">
            <v>20000</v>
          </cell>
          <cell r="H196">
            <v>20000</v>
          </cell>
        </row>
        <row r="197">
          <cell r="F197">
            <v>0</v>
          </cell>
          <cell r="G197">
            <v>6000</v>
          </cell>
          <cell r="H197">
            <v>6000</v>
          </cell>
        </row>
        <row r="198">
          <cell r="F198">
            <v>0</v>
          </cell>
          <cell r="G198">
            <v>37000</v>
          </cell>
          <cell r="H198">
            <v>37000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7000</v>
          </cell>
          <cell r="H201">
            <v>7000</v>
          </cell>
        </row>
        <row r="202">
          <cell r="F202">
            <v>0</v>
          </cell>
          <cell r="G202">
            <v>37000</v>
          </cell>
          <cell r="H202">
            <v>37000</v>
          </cell>
        </row>
        <row r="203">
          <cell r="F203">
            <v>0</v>
          </cell>
          <cell r="G203">
            <v>20000</v>
          </cell>
          <cell r="H203">
            <v>20000</v>
          </cell>
        </row>
        <row r="204">
          <cell r="F204">
            <v>0</v>
          </cell>
          <cell r="G204">
            <v>21000</v>
          </cell>
          <cell r="H204">
            <v>21000</v>
          </cell>
        </row>
        <row r="205">
          <cell r="F205">
            <v>0</v>
          </cell>
          <cell r="G205">
            <v>74000</v>
          </cell>
          <cell r="H205">
            <v>74000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60000</v>
          </cell>
          <cell r="H207">
            <v>60000</v>
          </cell>
        </row>
        <row r="208">
          <cell r="F208">
            <v>0</v>
          </cell>
          <cell r="G208">
            <v>21000</v>
          </cell>
          <cell r="H208">
            <v>21000</v>
          </cell>
        </row>
        <row r="209">
          <cell r="F209">
            <v>0</v>
          </cell>
          <cell r="G209">
            <v>47000</v>
          </cell>
          <cell r="H209">
            <v>47000</v>
          </cell>
        </row>
        <row r="210">
          <cell r="F210">
            <v>0</v>
          </cell>
          <cell r="G210">
            <v>319000</v>
          </cell>
          <cell r="H210">
            <v>319000</v>
          </cell>
        </row>
        <row r="211">
          <cell r="F211">
            <v>0</v>
          </cell>
          <cell r="G211">
            <v>51000</v>
          </cell>
          <cell r="H211">
            <v>51000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8000</v>
          </cell>
          <cell r="H214">
            <v>8000</v>
          </cell>
        </row>
        <row r="215">
          <cell r="F215">
            <v>0</v>
          </cell>
          <cell r="G215">
            <v>15000</v>
          </cell>
          <cell r="H215">
            <v>15000</v>
          </cell>
        </row>
        <row r="216">
          <cell r="F216">
            <v>0</v>
          </cell>
          <cell r="G216">
            <v>0</v>
          </cell>
          <cell r="H216">
            <v>0</v>
          </cell>
        </row>
        <row r="217">
          <cell r="F217">
            <v>0</v>
          </cell>
          <cell r="G217">
            <v>10000</v>
          </cell>
          <cell r="H217">
            <v>10000</v>
          </cell>
        </row>
        <row r="218">
          <cell r="F218">
            <v>0</v>
          </cell>
          <cell r="G218">
            <v>25000</v>
          </cell>
          <cell r="H218">
            <v>25000</v>
          </cell>
        </row>
        <row r="219">
          <cell r="F219">
            <v>0</v>
          </cell>
          <cell r="G219">
            <v>17000</v>
          </cell>
          <cell r="H219">
            <v>17000</v>
          </cell>
        </row>
        <row r="220">
          <cell r="F220">
            <v>0</v>
          </cell>
          <cell r="G220">
            <v>119000</v>
          </cell>
          <cell r="H220">
            <v>119000</v>
          </cell>
        </row>
        <row r="223">
          <cell r="F223">
            <v>8</v>
          </cell>
          <cell r="G223">
            <v>804900</v>
          </cell>
          <cell r="H223">
            <v>818500</v>
          </cell>
        </row>
        <row r="224">
          <cell r="F224">
            <v>0</v>
          </cell>
          <cell r="G224">
            <v>467900</v>
          </cell>
          <cell r="H224">
            <v>467900</v>
          </cell>
        </row>
        <row r="225">
          <cell r="F225">
            <v>596</v>
          </cell>
          <cell r="G225">
            <v>455300</v>
          </cell>
          <cell r="H225">
            <v>1468500</v>
          </cell>
        </row>
        <row r="226">
          <cell r="F226">
            <v>905</v>
          </cell>
          <cell r="G226">
            <v>1014200</v>
          </cell>
          <cell r="H226">
            <v>2552700</v>
          </cell>
        </row>
        <row r="227">
          <cell r="F227">
            <v>653</v>
          </cell>
          <cell r="G227">
            <v>449950</v>
          </cell>
          <cell r="H227">
            <v>1560050</v>
          </cell>
        </row>
        <row r="228">
          <cell r="F228">
            <v>317</v>
          </cell>
          <cell r="G228">
            <v>310500</v>
          </cell>
          <cell r="H228">
            <v>849400</v>
          </cell>
        </row>
        <row r="229">
          <cell r="F229">
            <v>573</v>
          </cell>
          <cell r="G229">
            <v>427350</v>
          </cell>
          <cell r="H229">
            <v>1401450</v>
          </cell>
        </row>
        <row r="230">
          <cell r="F230">
            <v>1274</v>
          </cell>
          <cell r="G230">
            <v>947700</v>
          </cell>
          <cell r="H230">
            <v>3113500</v>
          </cell>
        </row>
        <row r="231">
          <cell r="F231">
            <v>0</v>
          </cell>
          <cell r="G231">
            <v>1808800</v>
          </cell>
          <cell r="H231">
            <v>1808800</v>
          </cell>
        </row>
        <row r="232">
          <cell r="F232">
            <v>2</v>
          </cell>
          <cell r="G232">
            <v>507000</v>
          </cell>
          <cell r="H232">
            <v>510400</v>
          </cell>
        </row>
        <row r="233">
          <cell r="F233">
            <v>832</v>
          </cell>
          <cell r="G233">
            <v>304500</v>
          </cell>
          <cell r="H233">
            <v>1718900</v>
          </cell>
        </row>
        <row r="234">
          <cell r="F234">
            <v>1383</v>
          </cell>
          <cell r="G234">
            <v>865700</v>
          </cell>
          <cell r="H234">
            <v>3216800</v>
          </cell>
        </row>
        <row r="235">
          <cell r="F235">
            <v>0</v>
          </cell>
          <cell r="G235">
            <v>70100</v>
          </cell>
          <cell r="H235">
            <v>70100</v>
          </cell>
        </row>
        <row r="236">
          <cell r="F236">
            <v>0</v>
          </cell>
          <cell r="G236">
            <v>161400</v>
          </cell>
          <cell r="H236">
            <v>161400</v>
          </cell>
        </row>
        <row r="237">
          <cell r="F237">
            <v>405</v>
          </cell>
          <cell r="G237">
            <v>569200</v>
          </cell>
          <cell r="H237">
            <v>1257700</v>
          </cell>
        </row>
        <row r="238">
          <cell r="F238">
            <v>485</v>
          </cell>
          <cell r="G238">
            <v>513400</v>
          </cell>
          <cell r="H238">
            <v>1337900</v>
          </cell>
        </row>
        <row r="239">
          <cell r="F239">
            <v>170</v>
          </cell>
          <cell r="G239">
            <v>339400</v>
          </cell>
          <cell r="H239">
            <v>628400</v>
          </cell>
        </row>
        <row r="240">
          <cell r="F240">
            <v>872</v>
          </cell>
          <cell r="G240">
            <v>848200</v>
          </cell>
          <cell r="H240">
            <v>2330600</v>
          </cell>
        </row>
        <row r="241">
          <cell r="F241">
            <v>533</v>
          </cell>
          <cell r="G241">
            <v>427800</v>
          </cell>
          <cell r="H241">
            <v>1333900</v>
          </cell>
        </row>
        <row r="242">
          <cell r="F242">
            <v>445</v>
          </cell>
          <cell r="G242">
            <v>1104300</v>
          </cell>
          <cell r="H242">
            <v>1860800</v>
          </cell>
        </row>
        <row r="243">
          <cell r="F243">
            <v>295</v>
          </cell>
          <cell r="G243">
            <v>287800</v>
          </cell>
          <cell r="H243">
            <v>789300</v>
          </cell>
        </row>
        <row r="244">
          <cell r="F244">
            <v>353</v>
          </cell>
          <cell r="G244">
            <v>593850</v>
          </cell>
          <cell r="H244">
            <v>1193950</v>
          </cell>
        </row>
        <row r="245">
          <cell r="F245">
            <v>444</v>
          </cell>
          <cell r="G245">
            <v>698300</v>
          </cell>
          <cell r="H245">
            <v>1453100</v>
          </cell>
        </row>
        <row r="246">
          <cell r="F246">
            <v>498</v>
          </cell>
          <cell r="G246">
            <v>687500</v>
          </cell>
          <cell r="H246">
            <v>1534100</v>
          </cell>
        </row>
        <row r="247">
          <cell r="F247">
            <v>1326</v>
          </cell>
          <cell r="G247">
            <v>389400</v>
          </cell>
          <cell r="H247">
            <v>2643600</v>
          </cell>
        </row>
        <row r="248">
          <cell r="F248">
            <v>103</v>
          </cell>
          <cell r="G248">
            <v>710000</v>
          </cell>
          <cell r="H248">
            <v>885100</v>
          </cell>
        </row>
        <row r="249">
          <cell r="F249">
            <v>269</v>
          </cell>
          <cell r="G249">
            <v>511400</v>
          </cell>
          <cell r="H249">
            <v>968700</v>
          </cell>
        </row>
        <row r="250">
          <cell r="F250">
            <v>12</v>
          </cell>
          <cell r="G250">
            <v>554300</v>
          </cell>
          <cell r="H250">
            <v>574700</v>
          </cell>
        </row>
        <row r="251">
          <cell r="F251">
            <v>586</v>
          </cell>
          <cell r="G251">
            <v>961700</v>
          </cell>
          <cell r="H251">
            <v>1957900</v>
          </cell>
        </row>
        <row r="252">
          <cell r="F252">
            <v>171</v>
          </cell>
          <cell r="G252">
            <v>697900</v>
          </cell>
          <cell r="H252">
            <v>988600</v>
          </cell>
        </row>
        <row r="253">
          <cell r="F253">
            <v>39</v>
          </cell>
          <cell r="G253">
            <v>955300</v>
          </cell>
          <cell r="H253">
            <v>1021600</v>
          </cell>
        </row>
        <row r="254">
          <cell r="F254">
            <v>133</v>
          </cell>
          <cell r="G254">
            <v>679300</v>
          </cell>
          <cell r="H254">
            <v>905400</v>
          </cell>
        </row>
        <row r="255">
          <cell r="F255">
            <v>97</v>
          </cell>
          <cell r="G255">
            <v>189400</v>
          </cell>
          <cell r="H255">
            <v>354300</v>
          </cell>
        </row>
        <row r="256">
          <cell r="F256">
            <v>424</v>
          </cell>
          <cell r="G256">
            <v>477500</v>
          </cell>
          <cell r="H256">
            <v>1198300</v>
          </cell>
        </row>
        <row r="257">
          <cell r="F257">
            <v>475</v>
          </cell>
          <cell r="G257">
            <v>442200</v>
          </cell>
          <cell r="H257">
            <v>1249700</v>
          </cell>
        </row>
        <row r="260">
          <cell r="G260">
            <v>19000</v>
          </cell>
          <cell r="H260">
            <v>19000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6108</v>
          </cell>
          <cell r="G10">
            <v>2496100</v>
          </cell>
          <cell r="H10">
            <v>12879700</v>
          </cell>
        </row>
        <row r="14">
          <cell r="F14">
            <v>2142</v>
          </cell>
          <cell r="G14">
            <v>407550</v>
          </cell>
          <cell r="H14">
            <v>4048950</v>
          </cell>
        </row>
        <row r="15">
          <cell r="F15">
            <v>1699</v>
          </cell>
          <cell r="G15">
            <v>492800</v>
          </cell>
          <cell r="H15">
            <v>3381100</v>
          </cell>
        </row>
        <row r="16">
          <cell r="F16">
            <v>2241</v>
          </cell>
          <cell r="G16">
            <v>463700</v>
          </cell>
          <cell r="H16">
            <v>4273400</v>
          </cell>
        </row>
        <row r="17">
          <cell r="F17">
            <v>1652</v>
          </cell>
          <cell r="G17">
            <v>337300</v>
          </cell>
          <cell r="H17">
            <v>3145700</v>
          </cell>
        </row>
        <row r="18">
          <cell r="F18">
            <v>1860</v>
          </cell>
          <cell r="G18">
            <v>411600</v>
          </cell>
          <cell r="H18">
            <v>3573600</v>
          </cell>
        </row>
        <row r="19">
          <cell r="F19">
            <v>1565</v>
          </cell>
          <cell r="G19">
            <v>470400</v>
          </cell>
          <cell r="H19">
            <v>3130900</v>
          </cell>
        </row>
        <row r="20">
          <cell r="F20">
            <v>854</v>
          </cell>
          <cell r="G20">
            <v>251700</v>
          </cell>
          <cell r="H20">
            <v>1703500</v>
          </cell>
        </row>
        <row r="21">
          <cell r="F21">
            <v>1585</v>
          </cell>
          <cell r="G21">
            <v>383400</v>
          </cell>
          <cell r="H21">
            <v>3077900</v>
          </cell>
        </row>
        <row r="22">
          <cell r="F22">
            <v>2823</v>
          </cell>
          <cell r="G22">
            <v>816100</v>
          </cell>
          <cell r="H22">
            <v>5615200</v>
          </cell>
        </row>
        <row r="23">
          <cell r="F23">
            <v>1177</v>
          </cell>
          <cell r="G23">
            <v>286700</v>
          </cell>
          <cell r="H23">
            <v>2287600</v>
          </cell>
        </row>
        <row r="24">
          <cell r="F24">
            <v>1280</v>
          </cell>
          <cell r="G24">
            <v>246200</v>
          </cell>
          <cell r="H24">
            <v>2422200</v>
          </cell>
        </row>
        <row r="25">
          <cell r="F25">
            <v>1352</v>
          </cell>
          <cell r="G25">
            <v>210900</v>
          </cell>
          <cell r="H25">
            <v>2509300</v>
          </cell>
        </row>
        <row r="26">
          <cell r="F26">
            <v>1467</v>
          </cell>
          <cell r="G26">
            <v>262900</v>
          </cell>
          <cell r="H26">
            <v>2756800</v>
          </cell>
        </row>
        <row r="27">
          <cell r="F27">
            <v>2087</v>
          </cell>
          <cell r="G27">
            <v>567200</v>
          </cell>
          <cell r="H27">
            <v>4115100</v>
          </cell>
        </row>
        <row r="28">
          <cell r="F28">
            <v>2141</v>
          </cell>
          <cell r="G28">
            <v>827000</v>
          </cell>
          <cell r="H28">
            <v>4466700</v>
          </cell>
        </row>
        <row r="29">
          <cell r="F29">
            <v>1421</v>
          </cell>
          <cell r="G29">
            <v>501400</v>
          </cell>
          <cell r="H29">
            <v>2917100</v>
          </cell>
        </row>
        <row r="30">
          <cell r="F30">
            <v>2992</v>
          </cell>
          <cell r="G30">
            <v>1061500</v>
          </cell>
          <cell r="H30">
            <v>6147900</v>
          </cell>
        </row>
        <row r="31">
          <cell r="F31">
            <v>1794</v>
          </cell>
          <cell r="G31">
            <v>512100</v>
          </cell>
          <cell r="H31">
            <v>3561900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2268</v>
          </cell>
          <cell r="G33">
            <v>843000</v>
          </cell>
          <cell r="H33">
            <v>4698600</v>
          </cell>
        </row>
        <row r="34">
          <cell r="F34">
            <v>3517</v>
          </cell>
          <cell r="G34">
            <v>1088300</v>
          </cell>
          <cell r="H34">
            <v>7067200</v>
          </cell>
        </row>
        <row r="35">
          <cell r="F35">
            <v>4201</v>
          </cell>
          <cell r="G35">
            <v>1322500</v>
          </cell>
          <cell r="H35">
            <v>8464200</v>
          </cell>
        </row>
        <row r="36">
          <cell r="F36">
            <v>3867</v>
          </cell>
          <cell r="G36">
            <v>955300</v>
          </cell>
          <cell r="H36">
            <v>7529200</v>
          </cell>
        </row>
        <row r="37">
          <cell r="F37">
            <v>1080</v>
          </cell>
          <cell r="G37">
            <v>432200</v>
          </cell>
          <cell r="H37">
            <v>2268200</v>
          </cell>
        </row>
        <row r="38">
          <cell r="F38">
            <v>1807</v>
          </cell>
          <cell r="G38">
            <v>950950</v>
          </cell>
          <cell r="H38">
            <v>4022850</v>
          </cell>
        </row>
        <row r="39">
          <cell r="F39">
            <v>728</v>
          </cell>
          <cell r="G39">
            <v>545400</v>
          </cell>
          <cell r="H39">
            <v>1783000</v>
          </cell>
        </row>
        <row r="40">
          <cell r="F40">
            <v>4417</v>
          </cell>
          <cell r="G40">
            <v>1940300</v>
          </cell>
          <cell r="H40">
            <v>9449200</v>
          </cell>
        </row>
        <row r="41">
          <cell r="F41">
            <v>1441</v>
          </cell>
          <cell r="G41">
            <v>469500</v>
          </cell>
          <cell r="H41">
            <v>2919200</v>
          </cell>
        </row>
        <row r="42">
          <cell r="F42">
            <v>551</v>
          </cell>
          <cell r="G42">
            <v>358700</v>
          </cell>
          <cell r="H42">
            <v>1295400</v>
          </cell>
        </row>
        <row r="43">
          <cell r="F43">
            <v>1128</v>
          </cell>
          <cell r="G43">
            <v>137700</v>
          </cell>
          <cell r="H43">
            <v>2055300</v>
          </cell>
        </row>
        <row r="44">
          <cell r="F44">
            <v>262</v>
          </cell>
          <cell r="G44">
            <v>70800</v>
          </cell>
          <cell r="H44">
            <v>516200</v>
          </cell>
        </row>
        <row r="45">
          <cell r="F45">
            <v>4314</v>
          </cell>
          <cell r="G45">
            <v>1433500</v>
          </cell>
          <cell r="H45">
            <v>8767300</v>
          </cell>
        </row>
        <row r="46">
          <cell r="F46">
            <v>371</v>
          </cell>
          <cell r="G46">
            <v>214500</v>
          </cell>
          <cell r="H46">
            <v>845200</v>
          </cell>
        </row>
        <row r="47">
          <cell r="F47">
            <v>11208</v>
          </cell>
          <cell r="G47">
            <v>2451300</v>
          </cell>
          <cell r="H47">
            <v>21504900</v>
          </cell>
        </row>
        <row r="52">
          <cell r="F52">
            <v>1370</v>
          </cell>
          <cell r="G52">
            <v>384500</v>
          </cell>
          <cell r="H52">
            <v>2713500</v>
          </cell>
        </row>
        <row r="53">
          <cell r="F53">
            <v>640</v>
          </cell>
          <cell r="G53">
            <v>192400</v>
          </cell>
          <cell r="H53">
            <v>1280400</v>
          </cell>
        </row>
        <row r="54">
          <cell r="F54">
            <v>3862</v>
          </cell>
          <cell r="G54">
            <v>953200</v>
          </cell>
          <cell r="H54">
            <v>7518600</v>
          </cell>
        </row>
        <row r="55">
          <cell r="F55">
            <v>736</v>
          </cell>
          <cell r="G55">
            <v>295400</v>
          </cell>
          <cell r="H55">
            <v>1546600</v>
          </cell>
        </row>
        <row r="56">
          <cell r="F56">
            <v>922</v>
          </cell>
          <cell r="G56">
            <v>150500</v>
          </cell>
          <cell r="H56">
            <v>1717900</v>
          </cell>
        </row>
        <row r="57">
          <cell r="F57">
            <v>2824</v>
          </cell>
          <cell r="G57">
            <v>698500</v>
          </cell>
          <cell r="H57">
            <v>5499300</v>
          </cell>
        </row>
        <row r="58">
          <cell r="F58">
            <v>5275</v>
          </cell>
          <cell r="G58">
            <v>1041200</v>
          </cell>
          <cell r="H58">
            <v>10008700</v>
          </cell>
        </row>
        <row r="59">
          <cell r="F59">
            <v>1681</v>
          </cell>
          <cell r="G59">
            <v>513700</v>
          </cell>
          <cell r="H59">
            <v>3371400</v>
          </cell>
        </row>
        <row r="60">
          <cell r="F60">
            <v>1880</v>
          </cell>
          <cell r="G60">
            <v>504600</v>
          </cell>
          <cell r="H60">
            <v>3700600</v>
          </cell>
        </row>
        <row r="61">
          <cell r="F61">
            <v>1441</v>
          </cell>
          <cell r="G61">
            <v>235500</v>
          </cell>
          <cell r="H61">
            <v>2685200</v>
          </cell>
        </row>
        <row r="62">
          <cell r="F62">
            <v>3180</v>
          </cell>
          <cell r="G62">
            <v>860950</v>
          </cell>
          <cell r="H62">
            <v>6266950</v>
          </cell>
        </row>
        <row r="63">
          <cell r="F63">
            <v>2178</v>
          </cell>
          <cell r="G63">
            <v>560300</v>
          </cell>
          <cell r="H63">
            <v>4262900</v>
          </cell>
        </row>
        <row r="64">
          <cell r="F64">
            <v>2693</v>
          </cell>
          <cell r="G64">
            <v>656200</v>
          </cell>
          <cell r="H64">
            <v>5234300</v>
          </cell>
        </row>
        <row r="65">
          <cell r="F65">
            <v>1369</v>
          </cell>
          <cell r="G65">
            <v>421100</v>
          </cell>
          <cell r="H65">
            <v>2748400</v>
          </cell>
        </row>
        <row r="66">
          <cell r="F66">
            <v>1108</v>
          </cell>
          <cell r="G66">
            <v>333200</v>
          </cell>
          <cell r="H66">
            <v>2216800</v>
          </cell>
        </row>
        <row r="67">
          <cell r="F67">
            <v>460</v>
          </cell>
          <cell r="G67">
            <v>129300</v>
          </cell>
          <cell r="H67">
            <v>911300</v>
          </cell>
        </row>
        <row r="68">
          <cell r="F68">
            <v>1606</v>
          </cell>
          <cell r="G68">
            <v>335700</v>
          </cell>
          <cell r="H68">
            <v>3065900</v>
          </cell>
        </row>
        <row r="69">
          <cell r="F69">
            <v>1562</v>
          </cell>
          <cell r="G69">
            <v>384800</v>
          </cell>
          <cell r="H69">
            <v>3040200</v>
          </cell>
        </row>
        <row r="70">
          <cell r="F70">
            <v>1983</v>
          </cell>
          <cell r="G70">
            <v>595100</v>
          </cell>
          <cell r="H70">
            <v>3966200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1761</v>
          </cell>
          <cell r="G72">
            <v>356600</v>
          </cell>
          <cell r="H72">
            <v>3350300</v>
          </cell>
        </row>
        <row r="73">
          <cell r="F73">
            <v>1483</v>
          </cell>
          <cell r="G73">
            <v>234400</v>
          </cell>
          <cell r="H73">
            <v>2755500</v>
          </cell>
        </row>
        <row r="74">
          <cell r="F74">
            <v>4016</v>
          </cell>
          <cell r="G74">
            <v>621800</v>
          </cell>
          <cell r="H74">
            <v>7449000</v>
          </cell>
        </row>
        <row r="75">
          <cell r="F75">
            <v>1036</v>
          </cell>
          <cell r="G75">
            <v>168500</v>
          </cell>
          <cell r="H75">
            <v>1929700</v>
          </cell>
        </row>
        <row r="76">
          <cell r="F76">
            <v>7136</v>
          </cell>
          <cell r="G76">
            <v>1462700</v>
          </cell>
          <cell r="H76">
            <v>13593900</v>
          </cell>
        </row>
        <row r="77">
          <cell r="F77">
            <v>2810</v>
          </cell>
          <cell r="G77">
            <v>381000</v>
          </cell>
          <cell r="H77">
            <v>5158000</v>
          </cell>
        </row>
        <row r="78">
          <cell r="F78">
            <v>1554</v>
          </cell>
          <cell r="G78">
            <v>221000</v>
          </cell>
          <cell r="H78">
            <v>2862800</v>
          </cell>
        </row>
        <row r="79">
          <cell r="F79">
            <v>380</v>
          </cell>
          <cell r="G79">
            <v>38900</v>
          </cell>
          <cell r="H79">
            <v>684900</v>
          </cell>
        </row>
        <row r="80">
          <cell r="F80">
            <v>1813</v>
          </cell>
          <cell r="G80">
            <v>232900</v>
          </cell>
          <cell r="H80">
            <v>3315000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548</v>
          </cell>
          <cell r="G84">
            <v>78600</v>
          </cell>
          <cell r="H84">
            <v>1010200</v>
          </cell>
        </row>
        <row r="85">
          <cell r="F85">
            <v>351</v>
          </cell>
          <cell r="G85">
            <v>27300</v>
          </cell>
          <cell r="H85">
            <v>624000</v>
          </cell>
        </row>
        <row r="86">
          <cell r="F86">
            <v>961</v>
          </cell>
          <cell r="G86">
            <v>206200</v>
          </cell>
          <cell r="H86">
            <v>1839900</v>
          </cell>
        </row>
        <row r="87">
          <cell r="F87">
            <v>1084</v>
          </cell>
          <cell r="G87">
            <v>182300</v>
          </cell>
          <cell r="H87">
            <v>2025100</v>
          </cell>
        </row>
        <row r="88">
          <cell r="F88">
            <v>582</v>
          </cell>
          <cell r="G88">
            <v>136900</v>
          </cell>
          <cell r="H88">
            <v>1126300</v>
          </cell>
        </row>
        <row r="89">
          <cell r="F89">
            <v>117</v>
          </cell>
          <cell r="G89">
            <v>53600</v>
          </cell>
          <cell r="H89">
            <v>252500</v>
          </cell>
        </row>
        <row r="90">
          <cell r="F90">
            <v>309</v>
          </cell>
          <cell r="G90">
            <v>66800</v>
          </cell>
          <cell r="H90">
            <v>592100</v>
          </cell>
        </row>
        <row r="91">
          <cell r="F91">
            <v>1053</v>
          </cell>
          <cell r="G91">
            <v>237200</v>
          </cell>
          <cell r="H91">
            <v>2027300</v>
          </cell>
        </row>
        <row r="92">
          <cell r="F92">
            <v>299</v>
          </cell>
          <cell r="G92">
            <v>119700</v>
          </cell>
          <cell r="H92">
            <v>628000</v>
          </cell>
        </row>
        <row r="93">
          <cell r="F93">
            <v>310</v>
          </cell>
          <cell r="G93">
            <v>145200</v>
          </cell>
          <cell r="H93">
            <v>672200</v>
          </cell>
        </row>
        <row r="94">
          <cell r="F94">
            <v>24</v>
          </cell>
          <cell r="G94">
            <v>0</v>
          </cell>
          <cell r="H94">
            <v>40800</v>
          </cell>
        </row>
        <row r="95">
          <cell r="F95">
            <v>696</v>
          </cell>
          <cell r="G95">
            <v>128400</v>
          </cell>
          <cell r="H95">
            <v>1311600</v>
          </cell>
        </row>
        <row r="96">
          <cell r="F96">
            <v>1518</v>
          </cell>
          <cell r="G96">
            <v>198500</v>
          </cell>
          <cell r="H96">
            <v>2779100</v>
          </cell>
        </row>
        <row r="97">
          <cell r="F97">
            <v>1941</v>
          </cell>
          <cell r="G97">
            <v>354600</v>
          </cell>
          <cell r="H97">
            <v>3654300</v>
          </cell>
        </row>
        <row r="98">
          <cell r="F98">
            <v>1111</v>
          </cell>
          <cell r="G98">
            <v>139100</v>
          </cell>
          <cell r="H98">
            <v>2027800</v>
          </cell>
        </row>
        <row r="99">
          <cell r="F99">
            <v>2765</v>
          </cell>
          <cell r="G99">
            <v>383200</v>
          </cell>
          <cell r="H99">
            <v>5083700</v>
          </cell>
        </row>
        <row r="100">
          <cell r="F100">
            <v>2704</v>
          </cell>
          <cell r="G100">
            <v>590300</v>
          </cell>
          <cell r="H100">
            <v>5187100</v>
          </cell>
        </row>
        <row r="101">
          <cell r="F101">
            <v>1032</v>
          </cell>
          <cell r="G101">
            <v>182600</v>
          </cell>
          <cell r="H101">
            <v>1937000</v>
          </cell>
        </row>
        <row r="102">
          <cell r="F102">
            <v>6484</v>
          </cell>
          <cell r="G102">
            <v>922200</v>
          </cell>
          <cell r="H102">
            <v>11945000</v>
          </cell>
        </row>
        <row r="103">
          <cell r="F103">
            <v>4949</v>
          </cell>
          <cell r="G103">
            <v>974300</v>
          </cell>
          <cell r="H103">
            <v>9387600</v>
          </cell>
        </row>
        <row r="104">
          <cell r="F104">
            <v>2901</v>
          </cell>
          <cell r="G104">
            <v>589400</v>
          </cell>
          <cell r="H104">
            <v>5521100</v>
          </cell>
        </row>
        <row r="105">
          <cell r="F105">
            <v>1176</v>
          </cell>
          <cell r="G105">
            <v>347000</v>
          </cell>
          <cell r="H105">
            <v>2346200</v>
          </cell>
        </row>
        <row r="106">
          <cell r="F106">
            <v>1125</v>
          </cell>
          <cell r="G106">
            <v>219800</v>
          </cell>
          <cell r="H106">
            <v>2132300</v>
          </cell>
        </row>
        <row r="107">
          <cell r="F107">
            <v>2418</v>
          </cell>
          <cell r="G107">
            <v>398200</v>
          </cell>
          <cell r="H107">
            <v>4508800</v>
          </cell>
        </row>
        <row r="108">
          <cell r="F108">
            <v>2562</v>
          </cell>
          <cell r="G108">
            <v>369600</v>
          </cell>
          <cell r="H108">
            <v>4725000</v>
          </cell>
        </row>
        <row r="109">
          <cell r="F109">
            <v>1507</v>
          </cell>
          <cell r="G109">
            <v>368750</v>
          </cell>
          <cell r="H109">
            <v>2930650</v>
          </cell>
        </row>
        <row r="110">
          <cell r="F110">
            <v>713</v>
          </cell>
          <cell r="G110">
            <v>147400</v>
          </cell>
          <cell r="H110">
            <v>1359500</v>
          </cell>
        </row>
        <row r="111">
          <cell r="F111">
            <v>2628</v>
          </cell>
          <cell r="G111">
            <v>527300</v>
          </cell>
          <cell r="H111">
            <v>4994900</v>
          </cell>
        </row>
        <row r="112">
          <cell r="F112">
            <v>1534</v>
          </cell>
          <cell r="G112">
            <v>330500</v>
          </cell>
          <cell r="H112">
            <v>2938300</v>
          </cell>
        </row>
        <row r="113">
          <cell r="F113">
            <v>2038</v>
          </cell>
          <cell r="G113">
            <v>803200</v>
          </cell>
          <cell r="H113">
            <v>4267800</v>
          </cell>
        </row>
        <row r="114">
          <cell r="F114">
            <v>216</v>
          </cell>
          <cell r="G114">
            <v>113300</v>
          </cell>
          <cell r="H114">
            <v>480500</v>
          </cell>
        </row>
        <row r="115">
          <cell r="F115">
            <v>774</v>
          </cell>
          <cell r="G115">
            <v>83100</v>
          </cell>
          <cell r="H115">
            <v>1398900</v>
          </cell>
        </row>
        <row r="116">
          <cell r="F116">
            <v>93</v>
          </cell>
          <cell r="G116">
            <v>0</v>
          </cell>
          <cell r="H116">
            <v>158100</v>
          </cell>
        </row>
        <row r="117">
          <cell r="F117">
            <v>723</v>
          </cell>
          <cell r="G117">
            <v>104200</v>
          </cell>
          <cell r="H117">
            <v>1333300</v>
          </cell>
        </row>
        <row r="118">
          <cell r="F118">
            <v>1314</v>
          </cell>
          <cell r="G118">
            <v>554900</v>
          </cell>
          <cell r="H118">
            <v>2788700</v>
          </cell>
        </row>
        <row r="121">
          <cell r="F121">
            <v>14961</v>
          </cell>
          <cell r="G121">
            <v>1548100</v>
          </cell>
        </row>
        <row r="122">
          <cell r="F122">
            <v>4044</v>
          </cell>
          <cell r="G122">
            <v>2728100</v>
          </cell>
          <cell r="H122">
            <v>9602900</v>
          </cell>
        </row>
        <row r="133">
          <cell r="F133">
            <v>68415</v>
          </cell>
          <cell r="G133">
            <v>15534050</v>
          </cell>
          <cell r="H133">
            <v>131839550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430</v>
          </cell>
          <cell r="G136">
            <v>280000</v>
          </cell>
          <cell r="H136">
            <v>1011000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321683.20500000002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364</v>
          </cell>
          <cell r="G147">
            <v>783400</v>
          </cell>
          <cell r="H147">
            <v>1402200</v>
          </cell>
        </row>
        <row r="148">
          <cell r="F148">
            <v>801</v>
          </cell>
          <cell r="G148">
            <v>1763500</v>
          </cell>
          <cell r="H148">
            <v>3125200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12000</v>
          </cell>
          <cell r="H155">
            <v>12000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622000</v>
          </cell>
          <cell r="H158">
            <v>622000</v>
          </cell>
        </row>
        <row r="159">
          <cell r="F159">
            <v>0</v>
          </cell>
          <cell r="G159">
            <v>714000</v>
          </cell>
          <cell r="H159">
            <v>714000</v>
          </cell>
        </row>
        <row r="160">
          <cell r="F160">
            <v>0</v>
          </cell>
          <cell r="G160">
            <v>306000</v>
          </cell>
          <cell r="H160">
            <v>306000</v>
          </cell>
        </row>
        <row r="161">
          <cell r="F161">
            <v>0</v>
          </cell>
          <cell r="G161">
            <v>666000</v>
          </cell>
          <cell r="H161">
            <v>666000</v>
          </cell>
        </row>
        <row r="162">
          <cell r="F162">
            <v>0</v>
          </cell>
          <cell r="G162">
            <v>325000</v>
          </cell>
          <cell r="H162">
            <v>325000</v>
          </cell>
        </row>
        <row r="163">
          <cell r="F163">
            <v>0</v>
          </cell>
          <cell r="G163">
            <v>306000</v>
          </cell>
          <cell r="H163">
            <v>306000</v>
          </cell>
        </row>
        <row r="164">
          <cell r="F164">
            <v>0</v>
          </cell>
          <cell r="G164">
            <v>22000</v>
          </cell>
          <cell r="H164">
            <v>22000</v>
          </cell>
        </row>
        <row r="165">
          <cell r="F165">
            <v>0</v>
          </cell>
          <cell r="G165">
            <v>104000</v>
          </cell>
          <cell r="H165">
            <v>104000</v>
          </cell>
        </row>
        <row r="166">
          <cell r="F166">
            <v>0</v>
          </cell>
          <cell r="G166">
            <v>36000</v>
          </cell>
          <cell r="H166">
            <v>36000</v>
          </cell>
        </row>
        <row r="167">
          <cell r="F167">
            <v>0</v>
          </cell>
          <cell r="G167">
            <v>47000</v>
          </cell>
          <cell r="H167">
            <v>47000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21000</v>
          </cell>
          <cell r="H170">
            <v>21000</v>
          </cell>
        </row>
        <row r="171">
          <cell r="F171">
            <v>0</v>
          </cell>
          <cell r="G171">
            <v>0</v>
          </cell>
          <cell r="H171">
            <v>0</v>
          </cell>
        </row>
        <row r="172">
          <cell r="F172">
            <v>0</v>
          </cell>
          <cell r="G172">
            <v>32000</v>
          </cell>
          <cell r="H172">
            <v>32000</v>
          </cell>
        </row>
        <row r="173">
          <cell r="F173">
            <v>0</v>
          </cell>
          <cell r="G173">
            <v>14000</v>
          </cell>
          <cell r="H173">
            <v>14000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0</v>
          </cell>
          <cell r="H175">
            <v>0</v>
          </cell>
        </row>
        <row r="176">
          <cell r="F176">
            <v>0</v>
          </cell>
          <cell r="G176">
            <v>0</v>
          </cell>
          <cell r="H176">
            <v>0</v>
          </cell>
        </row>
        <row r="177">
          <cell r="F177">
            <v>0</v>
          </cell>
          <cell r="G177">
            <v>156000</v>
          </cell>
          <cell r="H177">
            <v>156000</v>
          </cell>
        </row>
        <row r="178">
          <cell r="F178">
            <v>0</v>
          </cell>
          <cell r="G178">
            <v>95000</v>
          </cell>
          <cell r="H178">
            <v>95000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2000</v>
          </cell>
          <cell r="H181">
            <v>2000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3000</v>
          </cell>
          <cell r="H188">
            <v>3000</v>
          </cell>
        </row>
        <row r="189">
          <cell r="F189">
            <v>0</v>
          </cell>
          <cell r="G189">
            <v>117000</v>
          </cell>
          <cell r="H189">
            <v>117000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1">
          <cell r="F191">
            <v>0</v>
          </cell>
          <cell r="G191">
            <v>87000</v>
          </cell>
          <cell r="H191">
            <v>87000</v>
          </cell>
        </row>
        <row r="192">
          <cell r="F192">
            <v>0</v>
          </cell>
          <cell r="G192">
            <v>2000</v>
          </cell>
          <cell r="H192">
            <v>2000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15000</v>
          </cell>
          <cell r="H209">
            <v>15000</v>
          </cell>
        </row>
        <row r="210">
          <cell r="F210">
            <v>0</v>
          </cell>
          <cell r="G210">
            <v>34000</v>
          </cell>
          <cell r="H210">
            <v>34000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20000</v>
          </cell>
          <cell r="H214">
            <v>20000</v>
          </cell>
        </row>
        <row r="215">
          <cell r="F215">
            <v>0</v>
          </cell>
          <cell r="G215">
            <v>2000</v>
          </cell>
          <cell r="H215">
            <v>2000</v>
          </cell>
        </row>
        <row r="216">
          <cell r="F216">
            <v>0</v>
          </cell>
          <cell r="G216">
            <v>0</v>
          </cell>
          <cell r="H216">
            <v>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0</v>
          </cell>
          <cell r="H218">
            <v>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19000</v>
          </cell>
          <cell r="H220">
            <v>19000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</row>
        <row r="251">
          <cell r="F251">
            <v>0</v>
          </cell>
          <cell r="G251">
            <v>0</v>
          </cell>
          <cell r="H251">
            <v>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0</v>
          </cell>
          <cell r="H253">
            <v>0</v>
          </cell>
        </row>
        <row r="254">
          <cell r="F254">
            <v>0</v>
          </cell>
          <cell r="G254">
            <v>0</v>
          </cell>
          <cell r="H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</row>
        <row r="256">
          <cell r="F256">
            <v>0</v>
          </cell>
          <cell r="G256">
            <v>0</v>
          </cell>
          <cell r="H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7000</v>
          </cell>
          <cell r="H260">
            <v>7000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13114</v>
          </cell>
          <cell r="G10">
            <v>7079400</v>
          </cell>
          <cell r="H10">
            <v>29373200</v>
          </cell>
        </row>
        <row r="14">
          <cell r="F14">
            <v>6460</v>
          </cell>
          <cell r="G14">
            <v>2058100</v>
          </cell>
          <cell r="H14">
            <v>13040100</v>
          </cell>
        </row>
        <row r="15">
          <cell r="F15">
            <v>6694</v>
          </cell>
          <cell r="G15">
            <v>1916200</v>
          </cell>
          <cell r="H15">
            <v>13296000</v>
          </cell>
        </row>
        <row r="16">
          <cell r="F16">
            <v>8019</v>
          </cell>
          <cell r="G16">
            <v>2731600</v>
          </cell>
          <cell r="H16">
            <v>16363900</v>
          </cell>
        </row>
        <row r="17">
          <cell r="F17">
            <v>5300</v>
          </cell>
          <cell r="G17">
            <v>1944400</v>
          </cell>
          <cell r="H17">
            <v>10954400</v>
          </cell>
        </row>
        <row r="18">
          <cell r="F18">
            <v>6380</v>
          </cell>
          <cell r="G18">
            <v>2517700</v>
          </cell>
          <cell r="H18">
            <v>13363700</v>
          </cell>
        </row>
        <row r="19">
          <cell r="F19">
            <v>6343</v>
          </cell>
          <cell r="G19">
            <v>3128050</v>
          </cell>
          <cell r="H19">
            <v>13911150</v>
          </cell>
        </row>
        <row r="20">
          <cell r="F20">
            <v>3791</v>
          </cell>
          <cell r="G20">
            <v>2263150</v>
          </cell>
          <cell r="H20">
            <v>8707850</v>
          </cell>
        </row>
        <row r="21">
          <cell r="F21">
            <v>4147</v>
          </cell>
          <cell r="G21">
            <v>2336000</v>
          </cell>
          <cell r="H21">
            <v>9385900</v>
          </cell>
        </row>
        <row r="22">
          <cell r="F22">
            <v>8943</v>
          </cell>
          <cell r="G22">
            <v>4775950</v>
          </cell>
          <cell r="H22">
            <v>19979050</v>
          </cell>
        </row>
        <row r="23">
          <cell r="F23">
            <v>3945</v>
          </cell>
          <cell r="G23">
            <v>1248500</v>
          </cell>
          <cell r="H23">
            <v>7955000</v>
          </cell>
        </row>
        <row r="24">
          <cell r="F24">
            <v>3203</v>
          </cell>
          <cell r="G24">
            <v>1649400</v>
          </cell>
          <cell r="H24">
            <v>7094500</v>
          </cell>
        </row>
        <row r="25">
          <cell r="F25">
            <v>2788</v>
          </cell>
          <cell r="G25">
            <v>839300</v>
          </cell>
          <cell r="H25">
            <v>5578900</v>
          </cell>
        </row>
        <row r="26">
          <cell r="F26">
            <v>6323</v>
          </cell>
          <cell r="G26">
            <v>2629000</v>
          </cell>
          <cell r="H26">
            <v>13378100</v>
          </cell>
        </row>
        <row r="27">
          <cell r="F27">
            <v>16483</v>
          </cell>
          <cell r="G27">
            <v>9401650</v>
          </cell>
          <cell r="H27">
            <v>37422750</v>
          </cell>
        </row>
        <row r="28">
          <cell r="F28">
            <v>12836</v>
          </cell>
          <cell r="G28">
            <v>6382700</v>
          </cell>
          <cell r="H28">
            <v>28203900</v>
          </cell>
        </row>
        <row r="29">
          <cell r="F29">
            <v>11437</v>
          </cell>
          <cell r="G29">
            <v>5177100</v>
          </cell>
          <cell r="H29">
            <v>24620000</v>
          </cell>
        </row>
        <row r="30">
          <cell r="F30">
            <v>16944</v>
          </cell>
          <cell r="G30">
            <v>5868800</v>
          </cell>
          <cell r="H30">
            <v>34673600</v>
          </cell>
        </row>
        <row r="31">
          <cell r="F31">
            <v>9045</v>
          </cell>
          <cell r="G31">
            <v>3786650</v>
          </cell>
          <cell r="H31">
            <v>19163150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11855</v>
          </cell>
          <cell r="G33">
            <v>3750200</v>
          </cell>
          <cell r="H33">
            <v>23903700</v>
          </cell>
        </row>
        <row r="34">
          <cell r="F34">
            <v>15700</v>
          </cell>
          <cell r="G34">
            <v>5716200</v>
          </cell>
          <cell r="H34">
            <v>32406200</v>
          </cell>
        </row>
        <row r="35">
          <cell r="F35">
            <v>13021</v>
          </cell>
          <cell r="G35">
            <v>5553500</v>
          </cell>
          <cell r="H35">
            <v>27689200</v>
          </cell>
        </row>
        <row r="36">
          <cell r="F36">
            <v>15453</v>
          </cell>
          <cell r="G36">
            <v>5979500</v>
          </cell>
          <cell r="H36">
            <v>32249600</v>
          </cell>
        </row>
        <row r="37">
          <cell r="F37">
            <v>4187</v>
          </cell>
          <cell r="G37">
            <v>3586800</v>
          </cell>
          <cell r="H37">
            <v>10704700</v>
          </cell>
        </row>
        <row r="38">
          <cell r="F38">
            <v>7292</v>
          </cell>
          <cell r="G38">
            <v>4247600</v>
          </cell>
          <cell r="H38">
            <v>16644000</v>
          </cell>
        </row>
        <row r="39">
          <cell r="F39">
            <v>3061</v>
          </cell>
          <cell r="G39">
            <v>3651400</v>
          </cell>
          <cell r="H39">
            <v>8855100</v>
          </cell>
        </row>
        <row r="40">
          <cell r="F40">
            <v>15539</v>
          </cell>
          <cell r="G40">
            <v>8533450</v>
          </cell>
          <cell r="H40">
            <v>34949750</v>
          </cell>
        </row>
        <row r="41">
          <cell r="F41">
            <v>7087</v>
          </cell>
          <cell r="G41">
            <v>2459000</v>
          </cell>
          <cell r="H41">
            <v>14506900</v>
          </cell>
        </row>
        <row r="42">
          <cell r="F42">
            <v>2732</v>
          </cell>
          <cell r="G42">
            <v>1847700</v>
          </cell>
          <cell r="H42">
            <v>6492100</v>
          </cell>
        </row>
        <row r="43">
          <cell r="F43">
            <v>4828</v>
          </cell>
          <cell r="G43">
            <v>1835600</v>
          </cell>
          <cell r="H43">
            <v>10043200</v>
          </cell>
        </row>
        <row r="44">
          <cell r="F44">
            <v>1215</v>
          </cell>
          <cell r="G44">
            <v>450700</v>
          </cell>
          <cell r="H44">
            <v>2516200</v>
          </cell>
        </row>
        <row r="45">
          <cell r="F45">
            <v>16805</v>
          </cell>
          <cell r="G45">
            <v>5466050</v>
          </cell>
          <cell r="H45">
            <v>34034550</v>
          </cell>
        </row>
        <row r="46">
          <cell r="F46">
            <v>3264</v>
          </cell>
          <cell r="G46">
            <v>2366600</v>
          </cell>
          <cell r="H46">
            <v>7915400</v>
          </cell>
        </row>
        <row r="47">
          <cell r="F47">
            <v>26376</v>
          </cell>
          <cell r="G47">
            <v>8605400</v>
          </cell>
          <cell r="H47">
            <v>53444600</v>
          </cell>
        </row>
        <row r="52">
          <cell r="F52">
            <v>9094</v>
          </cell>
          <cell r="G52">
            <v>3002900</v>
          </cell>
          <cell r="H52">
            <v>18462700</v>
          </cell>
        </row>
        <row r="53">
          <cell r="F53">
            <v>7931</v>
          </cell>
          <cell r="G53">
            <v>4949300</v>
          </cell>
          <cell r="H53">
            <v>18432000</v>
          </cell>
        </row>
        <row r="54">
          <cell r="F54">
            <v>16663</v>
          </cell>
          <cell r="G54">
            <v>6336300</v>
          </cell>
          <cell r="H54">
            <v>34663400</v>
          </cell>
        </row>
        <row r="55">
          <cell r="F55">
            <v>6845</v>
          </cell>
          <cell r="G55">
            <v>4628900</v>
          </cell>
          <cell r="H55">
            <v>16265400</v>
          </cell>
        </row>
        <row r="56">
          <cell r="F56">
            <v>4443</v>
          </cell>
          <cell r="G56">
            <v>1606200</v>
          </cell>
          <cell r="H56">
            <v>9159300</v>
          </cell>
        </row>
        <row r="57">
          <cell r="F57">
            <v>10182</v>
          </cell>
          <cell r="G57">
            <v>4133250</v>
          </cell>
          <cell r="H57">
            <v>21442650</v>
          </cell>
        </row>
        <row r="58">
          <cell r="F58">
            <v>15969</v>
          </cell>
          <cell r="G58">
            <v>5263650</v>
          </cell>
          <cell r="H58">
            <v>32410950</v>
          </cell>
        </row>
        <row r="59">
          <cell r="F59">
            <v>8805</v>
          </cell>
          <cell r="G59">
            <v>3729500</v>
          </cell>
          <cell r="H59">
            <v>18698000</v>
          </cell>
        </row>
        <row r="60">
          <cell r="F60">
            <v>7419</v>
          </cell>
          <cell r="G60">
            <v>2578900</v>
          </cell>
          <cell r="H60">
            <v>15191200</v>
          </cell>
        </row>
        <row r="61">
          <cell r="F61">
            <v>5366</v>
          </cell>
          <cell r="G61">
            <v>1959700</v>
          </cell>
          <cell r="H61">
            <v>11081900</v>
          </cell>
        </row>
        <row r="62">
          <cell r="F62">
            <v>12955</v>
          </cell>
          <cell r="G62">
            <v>4423200</v>
          </cell>
          <cell r="H62">
            <v>26446700</v>
          </cell>
        </row>
        <row r="63">
          <cell r="F63">
            <v>11204</v>
          </cell>
          <cell r="G63">
            <v>4131050</v>
          </cell>
          <cell r="H63">
            <v>23177850</v>
          </cell>
        </row>
        <row r="64">
          <cell r="F64">
            <v>11487</v>
          </cell>
          <cell r="G64">
            <v>4362700</v>
          </cell>
          <cell r="H64">
            <v>23890600</v>
          </cell>
        </row>
        <row r="65">
          <cell r="F65">
            <v>8565</v>
          </cell>
          <cell r="G65">
            <v>3798600</v>
          </cell>
          <cell r="H65">
            <v>18359100</v>
          </cell>
        </row>
        <row r="66">
          <cell r="F66">
            <v>7746</v>
          </cell>
          <cell r="G66">
            <v>3745300</v>
          </cell>
          <cell r="H66">
            <v>16913500</v>
          </cell>
        </row>
        <row r="67">
          <cell r="F67">
            <v>5536</v>
          </cell>
          <cell r="G67">
            <v>3462300</v>
          </cell>
          <cell r="H67">
            <v>12873500</v>
          </cell>
        </row>
        <row r="68">
          <cell r="F68">
            <v>10103</v>
          </cell>
          <cell r="G68">
            <v>3658300</v>
          </cell>
          <cell r="H68">
            <v>20833400</v>
          </cell>
        </row>
        <row r="69">
          <cell r="F69">
            <v>6901</v>
          </cell>
          <cell r="G69">
            <v>2511200</v>
          </cell>
          <cell r="H69">
            <v>14242900</v>
          </cell>
        </row>
        <row r="70">
          <cell r="F70">
            <v>13194</v>
          </cell>
          <cell r="G70">
            <v>4912000</v>
          </cell>
          <cell r="H70">
            <v>27341800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6432</v>
          </cell>
          <cell r="G72">
            <v>2488650</v>
          </cell>
          <cell r="H72">
            <v>13423050</v>
          </cell>
        </row>
        <row r="73">
          <cell r="F73">
            <v>4063</v>
          </cell>
          <cell r="G73">
            <v>826400</v>
          </cell>
          <cell r="H73">
            <v>7733500</v>
          </cell>
        </row>
        <row r="74">
          <cell r="F74">
            <v>13346</v>
          </cell>
          <cell r="G74">
            <v>3519000</v>
          </cell>
          <cell r="H74">
            <v>26207200</v>
          </cell>
        </row>
        <row r="75">
          <cell r="F75">
            <v>6027</v>
          </cell>
          <cell r="G75">
            <v>2403350</v>
          </cell>
          <cell r="H75">
            <v>12649250</v>
          </cell>
        </row>
        <row r="76">
          <cell r="F76">
            <v>21174</v>
          </cell>
          <cell r="G76">
            <v>8320200</v>
          </cell>
          <cell r="H76">
            <v>44316000</v>
          </cell>
        </row>
        <row r="77">
          <cell r="F77">
            <v>8547</v>
          </cell>
          <cell r="G77">
            <v>1670400</v>
          </cell>
          <cell r="H77">
            <v>16200300</v>
          </cell>
        </row>
        <row r="78">
          <cell r="F78">
            <v>6982</v>
          </cell>
          <cell r="G78">
            <v>2463500</v>
          </cell>
          <cell r="H78">
            <v>14332900</v>
          </cell>
        </row>
        <row r="79">
          <cell r="F79">
            <v>2437</v>
          </cell>
          <cell r="G79">
            <v>586800</v>
          </cell>
          <cell r="H79">
            <v>4729700</v>
          </cell>
        </row>
        <row r="80">
          <cell r="F80">
            <v>4582</v>
          </cell>
          <cell r="G80">
            <v>1024800</v>
          </cell>
          <cell r="H80">
            <v>8814200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2678</v>
          </cell>
          <cell r="G84">
            <v>728300</v>
          </cell>
          <cell r="H84">
            <v>5280900</v>
          </cell>
        </row>
        <row r="85">
          <cell r="F85">
            <v>1355</v>
          </cell>
          <cell r="G85">
            <v>247000</v>
          </cell>
          <cell r="H85">
            <v>2550500</v>
          </cell>
        </row>
        <row r="86">
          <cell r="F86">
            <v>3460</v>
          </cell>
          <cell r="G86">
            <v>1134800</v>
          </cell>
          <cell r="H86">
            <v>7016800</v>
          </cell>
        </row>
        <row r="87">
          <cell r="F87">
            <v>3068</v>
          </cell>
          <cell r="G87">
            <v>668950</v>
          </cell>
          <cell r="H87">
            <v>5884550</v>
          </cell>
        </row>
        <row r="88">
          <cell r="F88">
            <v>4938</v>
          </cell>
          <cell r="G88">
            <v>1458900</v>
          </cell>
          <cell r="H88">
            <v>9853500</v>
          </cell>
        </row>
        <row r="89">
          <cell r="F89">
            <v>1830</v>
          </cell>
          <cell r="G89">
            <v>1048000</v>
          </cell>
          <cell r="H89">
            <v>4159000</v>
          </cell>
        </row>
        <row r="90">
          <cell r="F90">
            <v>2678</v>
          </cell>
          <cell r="G90">
            <v>1315600</v>
          </cell>
          <cell r="H90">
            <v>5868200</v>
          </cell>
        </row>
        <row r="91">
          <cell r="F91">
            <v>4644</v>
          </cell>
          <cell r="G91">
            <v>2099900</v>
          </cell>
          <cell r="H91">
            <v>9994700</v>
          </cell>
        </row>
        <row r="92">
          <cell r="F92">
            <v>2563</v>
          </cell>
          <cell r="G92">
            <v>1462300</v>
          </cell>
          <cell r="H92">
            <v>5819400</v>
          </cell>
        </row>
        <row r="93">
          <cell r="F93">
            <v>2662</v>
          </cell>
          <cell r="G93">
            <v>1763200</v>
          </cell>
          <cell r="H93">
            <v>6288600</v>
          </cell>
        </row>
        <row r="94">
          <cell r="F94">
            <v>564</v>
          </cell>
          <cell r="G94">
            <v>192600</v>
          </cell>
          <cell r="H94">
            <v>1151400</v>
          </cell>
        </row>
        <row r="95">
          <cell r="F95">
            <v>3055</v>
          </cell>
          <cell r="G95">
            <v>1393500</v>
          </cell>
          <cell r="H95">
            <v>6587000</v>
          </cell>
        </row>
        <row r="96">
          <cell r="F96">
            <v>3413</v>
          </cell>
          <cell r="G96">
            <v>885000</v>
          </cell>
          <cell r="H96">
            <v>6687100</v>
          </cell>
        </row>
        <row r="97">
          <cell r="F97">
            <v>7041</v>
          </cell>
          <cell r="G97">
            <v>1389000</v>
          </cell>
          <cell r="H97">
            <v>13358700</v>
          </cell>
        </row>
        <row r="98">
          <cell r="F98">
            <v>3945</v>
          </cell>
          <cell r="G98">
            <v>1308900</v>
          </cell>
          <cell r="H98">
            <v>8015400</v>
          </cell>
        </row>
        <row r="99">
          <cell r="F99">
            <v>7908</v>
          </cell>
          <cell r="G99">
            <v>2738800</v>
          </cell>
          <cell r="H99">
            <v>16182400</v>
          </cell>
        </row>
        <row r="100">
          <cell r="F100">
            <v>8593</v>
          </cell>
          <cell r="G100">
            <v>2128900</v>
          </cell>
          <cell r="H100">
            <v>16737000</v>
          </cell>
        </row>
        <row r="101">
          <cell r="F101">
            <v>2920</v>
          </cell>
          <cell r="G101">
            <v>763400</v>
          </cell>
          <cell r="H101">
            <v>5727400</v>
          </cell>
        </row>
        <row r="102">
          <cell r="F102">
            <v>14743</v>
          </cell>
          <cell r="G102">
            <v>2414600</v>
          </cell>
          <cell r="H102">
            <v>27477700</v>
          </cell>
        </row>
        <row r="103">
          <cell r="F103">
            <v>13725</v>
          </cell>
          <cell r="G103">
            <v>2848600</v>
          </cell>
          <cell r="H103">
            <v>26181100</v>
          </cell>
        </row>
        <row r="104">
          <cell r="F104">
            <v>6037</v>
          </cell>
          <cell r="G104">
            <v>2003300</v>
          </cell>
          <cell r="H104">
            <v>12266200</v>
          </cell>
        </row>
        <row r="105">
          <cell r="F105">
            <v>3921</v>
          </cell>
          <cell r="G105">
            <v>1827500</v>
          </cell>
          <cell r="H105">
            <v>8493200</v>
          </cell>
        </row>
        <row r="106">
          <cell r="F106">
            <v>3919</v>
          </cell>
          <cell r="G106">
            <v>1571900</v>
          </cell>
          <cell r="H106">
            <v>8234200</v>
          </cell>
        </row>
        <row r="107">
          <cell r="F107">
            <v>6391</v>
          </cell>
          <cell r="G107">
            <v>1716100</v>
          </cell>
          <cell r="H107">
            <v>12580800</v>
          </cell>
        </row>
        <row r="108">
          <cell r="F108">
            <v>6034</v>
          </cell>
          <cell r="G108">
            <v>1625200</v>
          </cell>
          <cell r="H108">
            <v>11883000</v>
          </cell>
        </row>
        <row r="109">
          <cell r="F109">
            <v>3755</v>
          </cell>
          <cell r="G109">
            <v>1620800</v>
          </cell>
          <cell r="H109">
            <v>8004300</v>
          </cell>
        </row>
        <row r="110">
          <cell r="F110">
            <v>2505</v>
          </cell>
          <cell r="G110">
            <v>641700</v>
          </cell>
          <cell r="H110">
            <v>4900200</v>
          </cell>
        </row>
        <row r="111">
          <cell r="F111">
            <v>6756</v>
          </cell>
          <cell r="G111">
            <v>1827000</v>
          </cell>
          <cell r="H111">
            <v>13312200</v>
          </cell>
        </row>
        <row r="112">
          <cell r="F112">
            <v>4701</v>
          </cell>
          <cell r="G112">
            <v>1429500</v>
          </cell>
          <cell r="H112">
            <v>9421200</v>
          </cell>
        </row>
        <row r="113">
          <cell r="F113">
            <v>4926</v>
          </cell>
          <cell r="G113">
            <v>3224000</v>
          </cell>
          <cell r="H113">
            <v>11598200</v>
          </cell>
        </row>
        <row r="114">
          <cell r="F114">
            <v>368</v>
          </cell>
          <cell r="G114">
            <v>103700</v>
          </cell>
          <cell r="H114">
            <v>729300</v>
          </cell>
        </row>
        <row r="115">
          <cell r="F115">
            <v>2669</v>
          </cell>
          <cell r="G115">
            <v>574500</v>
          </cell>
          <cell r="H115">
            <v>5111800</v>
          </cell>
        </row>
        <row r="116">
          <cell r="F116">
            <v>467</v>
          </cell>
          <cell r="G116">
            <v>147400</v>
          </cell>
          <cell r="H116">
            <v>941300</v>
          </cell>
        </row>
        <row r="117">
          <cell r="F117">
            <v>2904</v>
          </cell>
          <cell r="G117">
            <v>735100</v>
          </cell>
          <cell r="H117">
            <v>5671900</v>
          </cell>
        </row>
        <row r="118">
          <cell r="F118">
            <v>3549</v>
          </cell>
          <cell r="G118">
            <v>1797300</v>
          </cell>
          <cell r="H118">
            <v>7830600</v>
          </cell>
        </row>
        <row r="121">
          <cell r="F121">
            <v>45402</v>
          </cell>
          <cell r="G121">
            <v>7563800</v>
          </cell>
        </row>
        <row r="122">
          <cell r="F122">
            <v>9822</v>
          </cell>
          <cell r="G122">
            <v>19222800</v>
          </cell>
          <cell r="H122">
            <v>35920200</v>
          </cell>
        </row>
        <row r="133">
          <cell r="F133">
            <v>210797</v>
          </cell>
          <cell r="G133">
            <v>90309500</v>
          </cell>
          <cell r="H133">
            <v>448664400</v>
          </cell>
        </row>
        <row r="135">
          <cell r="F135">
            <v>261</v>
          </cell>
          <cell r="G135">
            <v>507600</v>
          </cell>
          <cell r="H135">
            <v>951300</v>
          </cell>
        </row>
        <row r="136">
          <cell r="F136">
            <v>6240</v>
          </cell>
          <cell r="G136">
            <v>3911650</v>
          </cell>
          <cell r="H136">
            <v>14519650</v>
          </cell>
        </row>
        <row r="137">
          <cell r="F137">
            <v>576</v>
          </cell>
          <cell r="G137">
            <v>1195600</v>
          </cell>
          <cell r="H137">
            <v>2174800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445</v>
          </cell>
          <cell r="G139">
            <v>648100</v>
          </cell>
          <cell r="H139">
            <v>1404600</v>
          </cell>
        </row>
        <row r="140">
          <cell r="F140">
            <v>896</v>
          </cell>
          <cell r="G140">
            <v>1196800</v>
          </cell>
          <cell r="H140">
            <v>2720000</v>
          </cell>
        </row>
        <row r="141">
          <cell r="F141">
            <v>465</v>
          </cell>
          <cell r="G141">
            <v>560700</v>
          </cell>
          <cell r="H141">
            <v>1351200</v>
          </cell>
        </row>
        <row r="142">
          <cell r="F142">
            <v>476</v>
          </cell>
          <cell r="G142">
            <v>594550</v>
          </cell>
          <cell r="H142">
            <v>1403750</v>
          </cell>
        </row>
        <row r="143">
          <cell r="F143">
            <v>510</v>
          </cell>
          <cell r="G143">
            <v>914300</v>
          </cell>
          <cell r="H143">
            <v>1781300</v>
          </cell>
        </row>
        <row r="144">
          <cell r="F144">
            <v>407</v>
          </cell>
          <cell r="G144">
            <v>1010000</v>
          </cell>
          <cell r="H144">
            <v>1701900</v>
          </cell>
          <cell r="M144">
            <v>1320447.352</v>
          </cell>
        </row>
        <row r="145">
          <cell r="F145">
            <v>148</v>
          </cell>
          <cell r="G145">
            <v>237300</v>
          </cell>
          <cell r="H145">
            <v>488900</v>
          </cell>
        </row>
        <row r="146">
          <cell r="F146">
            <v>171</v>
          </cell>
          <cell r="G146">
            <v>442200</v>
          </cell>
          <cell r="H146">
            <v>732900</v>
          </cell>
        </row>
        <row r="147">
          <cell r="F147">
            <v>272</v>
          </cell>
          <cell r="G147">
            <v>539600</v>
          </cell>
          <cell r="H147">
            <v>1002000</v>
          </cell>
        </row>
        <row r="148">
          <cell r="F148">
            <v>852</v>
          </cell>
          <cell r="G148">
            <v>2082400</v>
          </cell>
          <cell r="H148">
            <v>3530800</v>
          </cell>
        </row>
        <row r="149">
          <cell r="F149">
            <v>295</v>
          </cell>
          <cell r="G149">
            <v>523200</v>
          </cell>
          <cell r="H149">
            <v>1024700</v>
          </cell>
        </row>
        <row r="150">
          <cell r="F150">
            <v>404</v>
          </cell>
          <cell r="G150">
            <v>741900</v>
          </cell>
          <cell r="H150">
            <v>1428700</v>
          </cell>
        </row>
        <row r="153">
          <cell r="F153">
            <v>0</v>
          </cell>
          <cell r="G153">
            <v>65000</v>
          </cell>
          <cell r="H153">
            <v>65000</v>
          </cell>
        </row>
        <row r="154">
          <cell r="F154">
            <v>0</v>
          </cell>
          <cell r="G154">
            <v>441000</v>
          </cell>
          <cell r="H154">
            <v>441000</v>
          </cell>
        </row>
        <row r="155">
          <cell r="F155">
            <v>0</v>
          </cell>
          <cell r="G155">
            <v>361000</v>
          </cell>
          <cell r="H155">
            <v>361000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2166000</v>
          </cell>
          <cell r="H158">
            <v>2166000</v>
          </cell>
        </row>
        <row r="159">
          <cell r="F159">
            <v>0</v>
          </cell>
          <cell r="G159">
            <v>2652000</v>
          </cell>
          <cell r="H159">
            <v>2652000</v>
          </cell>
        </row>
        <row r="160">
          <cell r="F160">
            <v>0</v>
          </cell>
          <cell r="G160">
            <v>1297000</v>
          </cell>
          <cell r="H160">
            <v>1297000</v>
          </cell>
        </row>
        <row r="161">
          <cell r="F161">
            <v>0</v>
          </cell>
          <cell r="G161">
            <v>2265000</v>
          </cell>
          <cell r="H161">
            <v>2265000</v>
          </cell>
        </row>
        <row r="162">
          <cell r="F162">
            <v>0</v>
          </cell>
          <cell r="G162">
            <v>2258000</v>
          </cell>
          <cell r="H162">
            <v>2258000</v>
          </cell>
        </row>
        <row r="163">
          <cell r="F163">
            <v>0</v>
          </cell>
          <cell r="G163">
            <v>1818000</v>
          </cell>
          <cell r="H163">
            <v>1818000</v>
          </cell>
        </row>
        <row r="164">
          <cell r="F164">
            <v>0</v>
          </cell>
          <cell r="G164">
            <v>483000</v>
          </cell>
          <cell r="H164">
            <v>483000</v>
          </cell>
        </row>
        <row r="165">
          <cell r="F165">
            <v>0</v>
          </cell>
          <cell r="G165">
            <v>2071000</v>
          </cell>
          <cell r="H165">
            <v>2071000</v>
          </cell>
        </row>
        <row r="166">
          <cell r="F166">
            <v>0</v>
          </cell>
          <cell r="G166">
            <v>80000</v>
          </cell>
          <cell r="H166">
            <v>80000</v>
          </cell>
        </row>
        <row r="167">
          <cell r="F167">
            <v>0</v>
          </cell>
          <cell r="G167">
            <v>443000</v>
          </cell>
          <cell r="H167">
            <v>443000</v>
          </cell>
        </row>
        <row r="168">
          <cell r="F168">
            <v>0</v>
          </cell>
          <cell r="G168">
            <v>30000</v>
          </cell>
          <cell r="H168">
            <v>30000</v>
          </cell>
        </row>
        <row r="169">
          <cell r="F169">
            <v>0</v>
          </cell>
          <cell r="G169">
            <v>70000</v>
          </cell>
          <cell r="H169">
            <v>70000</v>
          </cell>
        </row>
        <row r="170">
          <cell r="F170">
            <v>0</v>
          </cell>
          <cell r="G170">
            <v>142000</v>
          </cell>
          <cell r="H170">
            <v>142000</v>
          </cell>
        </row>
        <row r="171">
          <cell r="F171">
            <v>0</v>
          </cell>
          <cell r="G171">
            <v>251000</v>
          </cell>
          <cell r="H171">
            <v>251000</v>
          </cell>
        </row>
        <row r="172">
          <cell r="F172">
            <v>0</v>
          </cell>
          <cell r="G172">
            <v>68000</v>
          </cell>
          <cell r="H172">
            <v>68000</v>
          </cell>
        </row>
        <row r="173">
          <cell r="F173">
            <v>0</v>
          </cell>
          <cell r="G173">
            <v>77000</v>
          </cell>
          <cell r="H173">
            <v>77000</v>
          </cell>
        </row>
        <row r="174">
          <cell r="F174">
            <v>0</v>
          </cell>
          <cell r="G174">
            <v>16000</v>
          </cell>
          <cell r="H174">
            <v>16000</v>
          </cell>
        </row>
        <row r="175">
          <cell r="F175">
            <v>0</v>
          </cell>
          <cell r="G175">
            <v>221000</v>
          </cell>
          <cell r="H175">
            <v>221000</v>
          </cell>
        </row>
        <row r="176">
          <cell r="F176">
            <v>0</v>
          </cell>
          <cell r="G176">
            <v>121000</v>
          </cell>
          <cell r="H176">
            <v>121000</v>
          </cell>
        </row>
        <row r="177">
          <cell r="F177">
            <v>0</v>
          </cell>
          <cell r="G177">
            <v>834000</v>
          </cell>
          <cell r="H177">
            <v>834000</v>
          </cell>
        </row>
        <row r="178">
          <cell r="F178">
            <v>0</v>
          </cell>
          <cell r="G178">
            <v>810000</v>
          </cell>
          <cell r="H178">
            <v>810000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23000</v>
          </cell>
          <cell r="H181">
            <v>23000</v>
          </cell>
        </row>
        <row r="182">
          <cell r="F182">
            <v>0</v>
          </cell>
          <cell r="G182">
            <v>91000</v>
          </cell>
          <cell r="H182">
            <v>91000</v>
          </cell>
        </row>
        <row r="183">
          <cell r="F183">
            <v>0</v>
          </cell>
          <cell r="G183">
            <v>463000</v>
          </cell>
          <cell r="H183">
            <v>463000</v>
          </cell>
        </row>
        <row r="184">
          <cell r="F184">
            <v>0</v>
          </cell>
          <cell r="G184">
            <v>33000</v>
          </cell>
          <cell r="H184">
            <v>33000</v>
          </cell>
        </row>
        <row r="185">
          <cell r="F185">
            <v>0</v>
          </cell>
          <cell r="G185">
            <v>572000</v>
          </cell>
          <cell r="H185">
            <v>572000</v>
          </cell>
        </row>
        <row r="186">
          <cell r="F186">
            <v>0</v>
          </cell>
          <cell r="G186">
            <v>135000</v>
          </cell>
          <cell r="H186">
            <v>135000</v>
          </cell>
        </row>
        <row r="187">
          <cell r="F187">
            <v>0</v>
          </cell>
          <cell r="G187">
            <v>645000</v>
          </cell>
          <cell r="H187">
            <v>645000</v>
          </cell>
        </row>
        <row r="188">
          <cell r="F188">
            <v>0</v>
          </cell>
          <cell r="G188">
            <v>32000</v>
          </cell>
          <cell r="H188">
            <v>32000</v>
          </cell>
        </row>
        <row r="189">
          <cell r="F189">
            <v>0</v>
          </cell>
          <cell r="G189">
            <v>121000</v>
          </cell>
          <cell r="H189">
            <v>121000</v>
          </cell>
        </row>
        <row r="190">
          <cell r="F190">
            <v>0</v>
          </cell>
          <cell r="G190">
            <v>104000</v>
          </cell>
          <cell r="H190">
            <v>104000</v>
          </cell>
        </row>
        <row r="191">
          <cell r="F191">
            <v>0</v>
          </cell>
          <cell r="G191">
            <v>107000</v>
          </cell>
          <cell r="H191">
            <v>107000</v>
          </cell>
        </row>
        <row r="192">
          <cell r="F192">
            <v>0</v>
          </cell>
          <cell r="G192">
            <v>136000</v>
          </cell>
          <cell r="H192">
            <v>136000</v>
          </cell>
        </row>
        <row r="193">
          <cell r="F193">
            <v>0</v>
          </cell>
          <cell r="G193">
            <v>276000</v>
          </cell>
          <cell r="H193">
            <v>276000</v>
          </cell>
        </row>
        <row r="194">
          <cell r="F194">
            <v>0</v>
          </cell>
          <cell r="G194">
            <v>93000</v>
          </cell>
          <cell r="H194">
            <v>93000</v>
          </cell>
        </row>
        <row r="195">
          <cell r="F195">
            <v>0</v>
          </cell>
          <cell r="G195">
            <v>167000</v>
          </cell>
          <cell r="H195">
            <v>167000</v>
          </cell>
        </row>
        <row r="196">
          <cell r="F196">
            <v>0</v>
          </cell>
          <cell r="G196">
            <v>232000</v>
          </cell>
          <cell r="H196">
            <v>232000</v>
          </cell>
        </row>
        <row r="197">
          <cell r="F197">
            <v>0</v>
          </cell>
          <cell r="G197">
            <v>92000</v>
          </cell>
          <cell r="H197">
            <v>92000</v>
          </cell>
        </row>
        <row r="198">
          <cell r="F198">
            <v>0</v>
          </cell>
          <cell r="G198">
            <v>285000</v>
          </cell>
          <cell r="H198">
            <v>285000</v>
          </cell>
        </row>
        <row r="199">
          <cell r="F199">
            <v>0</v>
          </cell>
          <cell r="G199">
            <v>47000</v>
          </cell>
          <cell r="H199">
            <v>47000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281000</v>
          </cell>
          <cell r="H201">
            <v>281000</v>
          </cell>
        </row>
        <row r="202">
          <cell r="F202">
            <v>0</v>
          </cell>
          <cell r="G202">
            <v>185000</v>
          </cell>
          <cell r="H202">
            <v>185000</v>
          </cell>
        </row>
        <row r="203">
          <cell r="F203">
            <v>0</v>
          </cell>
          <cell r="G203">
            <v>135000</v>
          </cell>
          <cell r="H203">
            <v>135000</v>
          </cell>
        </row>
        <row r="204">
          <cell r="F204">
            <v>0</v>
          </cell>
          <cell r="G204">
            <v>483000</v>
          </cell>
          <cell r="H204">
            <v>483000</v>
          </cell>
        </row>
        <row r="205">
          <cell r="F205">
            <v>0</v>
          </cell>
          <cell r="G205">
            <v>186000</v>
          </cell>
          <cell r="H205">
            <v>186000</v>
          </cell>
        </row>
        <row r="206">
          <cell r="F206">
            <v>0</v>
          </cell>
          <cell r="G206">
            <v>150000</v>
          </cell>
          <cell r="H206">
            <v>150000</v>
          </cell>
        </row>
        <row r="207">
          <cell r="F207">
            <v>0</v>
          </cell>
          <cell r="G207">
            <v>457000</v>
          </cell>
          <cell r="H207">
            <v>457000</v>
          </cell>
        </row>
        <row r="208">
          <cell r="F208">
            <v>0</v>
          </cell>
          <cell r="G208">
            <v>99000</v>
          </cell>
          <cell r="H208">
            <v>99000</v>
          </cell>
        </row>
        <row r="209">
          <cell r="F209">
            <v>0</v>
          </cell>
          <cell r="G209">
            <v>249000</v>
          </cell>
          <cell r="H209">
            <v>249000</v>
          </cell>
        </row>
        <row r="210">
          <cell r="F210">
            <v>0</v>
          </cell>
          <cell r="G210">
            <v>778000</v>
          </cell>
          <cell r="H210">
            <v>778000</v>
          </cell>
        </row>
        <row r="211">
          <cell r="F211">
            <v>0</v>
          </cell>
          <cell r="G211">
            <v>194000</v>
          </cell>
          <cell r="H211">
            <v>194000</v>
          </cell>
        </row>
        <row r="212">
          <cell r="F212">
            <v>0</v>
          </cell>
          <cell r="G212">
            <v>20000</v>
          </cell>
          <cell r="H212">
            <v>20000</v>
          </cell>
        </row>
        <row r="213">
          <cell r="F213">
            <v>0</v>
          </cell>
          <cell r="G213">
            <v>24000</v>
          </cell>
          <cell r="H213">
            <v>24000</v>
          </cell>
        </row>
        <row r="214">
          <cell r="F214">
            <v>0</v>
          </cell>
          <cell r="G214">
            <v>195000</v>
          </cell>
          <cell r="H214">
            <v>195000</v>
          </cell>
        </row>
        <row r="215">
          <cell r="F215">
            <v>0</v>
          </cell>
          <cell r="G215">
            <v>100000</v>
          </cell>
          <cell r="H215">
            <v>100000</v>
          </cell>
        </row>
        <row r="216">
          <cell r="F216">
            <v>0</v>
          </cell>
          <cell r="G216">
            <v>808000</v>
          </cell>
          <cell r="H216">
            <v>808000</v>
          </cell>
        </row>
        <row r="217">
          <cell r="F217">
            <v>0</v>
          </cell>
          <cell r="G217">
            <v>182000</v>
          </cell>
          <cell r="H217">
            <v>182000</v>
          </cell>
        </row>
        <row r="218">
          <cell r="F218">
            <v>0</v>
          </cell>
          <cell r="G218">
            <v>536000</v>
          </cell>
          <cell r="H218">
            <v>536000</v>
          </cell>
        </row>
        <row r="219">
          <cell r="F219">
            <v>0</v>
          </cell>
          <cell r="G219">
            <v>189000</v>
          </cell>
          <cell r="H219">
            <v>189000</v>
          </cell>
        </row>
        <row r="220">
          <cell r="F220">
            <v>0</v>
          </cell>
          <cell r="G220">
            <v>152000</v>
          </cell>
          <cell r="H220">
            <v>152000</v>
          </cell>
        </row>
        <row r="223">
          <cell r="F223">
            <v>594</v>
          </cell>
          <cell r="G223">
            <v>5317350</v>
          </cell>
          <cell r="H223">
            <v>6327150</v>
          </cell>
        </row>
        <row r="224">
          <cell r="F224">
            <v>0</v>
          </cell>
          <cell r="G224">
            <v>4726300</v>
          </cell>
          <cell r="H224">
            <v>4726300</v>
          </cell>
        </row>
        <row r="225">
          <cell r="F225">
            <v>730</v>
          </cell>
          <cell r="G225">
            <v>2758600</v>
          </cell>
          <cell r="H225">
            <v>3999600</v>
          </cell>
        </row>
        <row r="226">
          <cell r="F226">
            <v>1387</v>
          </cell>
          <cell r="G226">
            <v>1101700</v>
          </cell>
          <cell r="H226">
            <v>3459600</v>
          </cell>
        </row>
        <row r="227">
          <cell r="F227">
            <v>1145</v>
          </cell>
          <cell r="G227">
            <v>1346600</v>
          </cell>
          <cell r="H227">
            <v>3293100</v>
          </cell>
        </row>
        <row r="228">
          <cell r="F228">
            <v>665</v>
          </cell>
          <cell r="G228">
            <v>3063000</v>
          </cell>
          <cell r="H228">
            <v>4193500</v>
          </cell>
        </row>
        <row r="229">
          <cell r="F229">
            <v>1024</v>
          </cell>
          <cell r="G229">
            <v>2140700</v>
          </cell>
          <cell r="H229">
            <v>3881500</v>
          </cell>
        </row>
        <row r="230">
          <cell r="F230">
            <v>2005</v>
          </cell>
          <cell r="G230">
            <v>1663200</v>
          </cell>
          <cell r="H230">
            <v>5071700</v>
          </cell>
        </row>
        <row r="231">
          <cell r="F231">
            <v>0</v>
          </cell>
          <cell r="G231">
            <v>5552100</v>
          </cell>
          <cell r="H231">
            <v>5552100</v>
          </cell>
        </row>
        <row r="232">
          <cell r="F232">
            <v>0</v>
          </cell>
          <cell r="G232">
            <v>3998400</v>
          </cell>
          <cell r="H232">
            <v>3998400</v>
          </cell>
        </row>
        <row r="233">
          <cell r="F233">
            <v>1479</v>
          </cell>
          <cell r="G233">
            <v>1752200</v>
          </cell>
          <cell r="H233">
            <v>4266500</v>
          </cell>
        </row>
        <row r="234">
          <cell r="F234">
            <v>1490</v>
          </cell>
          <cell r="G234">
            <v>947750</v>
          </cell>
          <cell r="H234">
            <v>3480750</v>
          </cell>
        </row>
        <row r="235">
          <cell r="F235">
            <v>0</v>
          </cell>
          <cell r="G235">
            <v>657500</v>
          </cell>
          <cell r="H235">
            <v>657500</v>
          </cell>
        </row>
        <row r="236">
          <cell r="F236">
            <v>0</v>
          </cell>
          <cell r="G236">
            <v>245100</v>
          </cell>
          <cell r="H236">
            <v>245100</v>
          </cell>
        </row>
        <row r="237">
          <cell r="F237">
            <v>27</v>
          </cell>
          <cell r="G237">
            <v>1939100</v>
          </cell>
          <cell r="H237">
            <v>1985000</v>
          </cell>
        </row>
        <row r="238">
          <cell r="F238">
            <v>835</v>
          </cell>
          <cell r="G238">
            <v>1522600</v>
          </cell>
          <cell r="H238">
            <v>2942100</v>
          </cell>
        </row>
        <row r="239">
          <cell r="F239">
            <v>305</v>
          </cell>
          <cell r="G239">
            <v>3475550</v>
          </cell>
          <cell r="H239">
            <v>3994050</v>
          </cell>
        </row>
        <row r="240">
          <cell r="F240">
            <v>1042</v>
          </cell>
          <cell r="G240">
            <v>1723800</v>
          </cell>
          <cell r="H240">
            <v>3495200</v>
          </cell>
        </row>
        <row r="241">
          <cell r="F241">
            <v>837</v>
          </cell>
          <cell r="G241">
            <v>1951800</v>
          </cell>
          <cell r="H241">
            <v>3374700</v>
          </cell>
        </row>
        <row r="242">
          <cell r="F242">
            <v>1214</v>
          </cell>
          <cell r="G242">
            <v>2411100</v>
          </cell>
          <cell r="H242">
            <v>4474900</v>
          </cell>
        </row>
        <row r="243">
          <cell r="F243">
            <v>1011</v>
          </cell>
          <cell r="G243">
            <v>1574600</v>
          </cell>
          <cell r="H243">
            <v>3293300</v>
          </cell>
        </row>
        <row r="244">
          <cell r="F244">
            <v>540</v>
          </cell>
          <cell r="G244">
            <v>940300</v>
          </cell>
          <cell r="H244">
            <v>1858300</v>
          </cell>
        </row>
        <row r="245">
          <cell r="F245">
            <v>213</v>
          </cell>
          <cell r="G245">
            <v>401200</v>
          </cell>
          <cell r="H245">
            <v>763300</v>
          </cell>
        </row>
        <row r="246">
          <cell r="F246">
            <v>1163</v>
          </cell>
          <cell r="G246">
            <v>3239900</v>
          </cell>
          <cell r="H246">
            <v>5217000</v>
          </cell>
        </row>
        <row r="247">
          <cell r="F247">
            <v>1015</v>
          </cell>
          <cell r="G247">
            <v>703800</v>
          </cell>
          <cell r="H247">
            <v>2429300</v>
          </cell>
        </row>
        <row r="248">
          <cell r="F248">
            <v>207</v>
          </cell>
          <cell r="G248">
            <v>2464500</v>
          </cell>
          <cell r="H248">
            <v>2816400</v>
          </cell>
        </row>
        <row r="249">
          <cell r="F249">
            <v>73</v>
          </cell>
          <cell r="G249">
            <v>1900900</v>
          </cell>
          <cell r="H249">
            <v>2025000</v>
          </cell>
        </row>
        <row r="250">
          <cell r="F250">
            <v>43</v>
          </cell>
          <cell r="G250">
            <v>4650100</v>
          </cell>
          <cell r="H250">
            <v>4723200</v>
          </cell>
        </row>
        <row r="251">
          <cell r="F251">
            <v>930</v>
          </cell>
          <cell r="G251">
            <v>3490650</v>
          </cell>
          <cell r="H251">
            <v>5071650</v>
          </cell>
        </row>
        <row r="252">
          <cell r="F252">
            <v>267</v>
          </cell>
          <cell r="G252">
            <v>781200</v>
          </cell>
          <cell r="H252">
            <v>1235100</v>
          </cell>
        </row>
        <row r="253">
          <cell r="F253">
            <v>215</v>
          </cell>
          <cell r="G253">
            <v>5199300</v>
          </cell>
          <cell r="H253">
            <v>5564800</v>
          </cell>
        </row>
        <row r="254">
          <cell r="F254">
            <v>962</v>
          </cell>
          <cell r="G254">
            <v>2720900</v>
          </cell>
          <cell r="H254">
            <v>4356300</v>
          </cell>
        </row>
        <row r="255">
          <cell r="F255">
            <v>409</v>
          </cell>
          <cell r="G255">
            <v>1182900</v>
          </cell>
          <cell r="H255">
            <v>1878200</v>
          </cell>
        </row>
        <row r="256">
          <cell r="F256">
            <v>298</v>
          </cell>
          <cell r="G256">
            <v>3625000</v>
          </cell>
          <cell r="H256">
            <v>4131600</v>
          </cell>
        </row>
        <row r="257">
          <cell r="F257">
            <v>813</v>
          </cell>
          <cell r="G257">
            <v>1285050</v>
          </cell>
          <cell r="H257">
            <v>2667150</v>
          </cell>
        </row>
        <row r="260">
          <cell r="G260">
            <v>128000</v>
          </cell>
          <cell r="H260">
            <v>128000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10554</v>
          </cell>
          <cell r="G10">
            <v>5056800</v>
          </cell>
          <cell r="H10">
            <v>22998600</v>
          </cell>
        </row>
        <row r="14">
          <cell r="F14">
            <v>5559</v>
          </cell>
          <cell r="G14">
            <v>1607200</v>
          </cell>
          <cell r="H14">
            <v>11057500</v>
          </cell>
        </row>
        <row r="15">
          <cell r="F15">
            <v>5469</v>
          </cell>
          <cell r="G15">
            <v>1105450</v>
          </cell>
          <cell r="H15">
            <v>10402750</v>
          </cell>
        </row>
        <row r="16">
          <cell r="F16">
            <v>6469</v>
          </cell>
          <cell r="G16">
            <v>1923100</v>
          </cell>
          <cell r="H16">
            <v>12920400</v>
          </cell>
        </row>
        <row r="17">
          <cell r="F17">
            <v>4448</v>
          </cell>
          <cell r="G17">
            <v>1180000</v>
          </cell>
          <cell r="H17">
            <v>8741600</v>
          </cell>
        </row>
        <row r="18">
          <cell r="F18">
            <v>4703</v>
          </cell>
          <cell r="G18">
            <v>1588500</v>
          </cell>
          <cell r="H18">
            <v>9583600</v>
          </cell>
        </row>
        <row r="19">
          <cell r="F19">
            <v>5362</v>
          </cell>
          <cell r="G19">
            <v>2709650</v>
          </cell>
          <cell r="H19">
            <v>11825050</v>
          </cell>
        </row>
        <row r="20">
          <cell r="F20">
            <v>3221</v>
          </cell>
          <cell r="G20">
            <v>1390700</v>
          </cell>
          <cell r="H20">
            <v>6866400</v>
          </cell>
        </row>
        <row r="21">
          <cell r="F21">
            <v>3789</v>
          </cell>
          <cell r="G21">
            <v>1572600</v>
          </cell>
          <cell r="H21">
            <v>8013900</v>
          </cell>
        </row>
        <row r="22">
          <cell r="F22">
            <v>7598</v>
          </cell>
          <cell r="G22">
            <v>3410500</v>
          </cell>
          <cell r="H22">
            <v>16327100</v>
          </cell>
        </row>
        <row r="23">
          <cell r="F23">
            <v>3641</v>
          </cell>
          <cell r="G23">
            <v>1125500</v>
          </cell>
          <cell r="H23">
            <v>7315200</v>
          </cell>
        </row>
        <row r="24">
          <cell r="F24">
            <v>2975</v>
          </cell>
          <cell r="G24">
            <v>1247800</v>
          </cell>
          <cell r="H24">
            <v>6305300</v>
          </cell>
        </row>
        <row r="25">
          <cell r="F25">
            <v>2454</v>
          </cell>
          <cell r="G25">
            <v>982900</v>
          </cell>
          <cell r="H25">
            <v>5154700</v>
          </cell>
        </row>
        <row r="26">
          <cell r="F26">
            <v>5486</v>
          </cell>
          <cell r="G26">
            <v>1779400</v>
          </cell>
          <cell r="H26">
            <v>11105600</v>
          </cell>
        </row>
        <row r="27">
          <cell r="F27">
            <v>14549</v>
          </cell>
          <cell r="G27">
            <v>6860000</v>
          </cell>
          <cell r="H27">
            <v>31593300</v>
          </cell>
        </row>
        <row r="28">
          <cell r="F28">
            <v>10933</v>
          </cell>
          <cell r="G28">
            <v>4119400</v>
          </cell>
          <cell r="H28">
            <v>22705500</v>
          </cell>
        </row>
        <row r="29">
          <cell r="F29">
            <v>9876</v>
          </cell>
          <cell r="G29">
            <v>4559500</v>
          </cell>
          <cell r="H29">
            <v>21348700</v>
          </cell>
        </row>
        <row r="30">
          <cell r="F30">
            <v>15532</v>
          </cell>
          <cell r="G30">
            <v>4701000</v>
          </cell>
          <cell r="H30">
            <v>31105400</v>
          </cell>
        </row>
        <row r="31">
          <cell r="F31">
            <v>8459</v>
          </cell>
          <cell r="G31">
            <v>3087250</v>
          </cell>
          <cell r="H31">
            <v>17467550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10226</v>
          </cell>
          <cell r="G33">
            <v>2560100</v>
          </cell>
          <cell r="H33">
            <v>19944300</v>
          </cell>
        </row>
        <row r="34">
          <cell r="F34">
            <v>13448</v>
          </cell>
          <cell r="G34">
            <v>3701600</v>
          </cell>
          <cell r="H34">
            <v>26563200</v>
          </cell>
        </row>
        <row r="35">
          <cell r="F35">
            <v>11326</v>
          </cell>
          <cell r="G35">
            <v>4143050</v>
          </cell>
          <cell r="H35">
            <v>23397250</v>
          </cell>
        </row>
        <row r="36">
          <cell r="F36">
            <v>12943</v>
          </cell>
          <cell r="G36">
            <v>4621300</v>
          </cell>
          <cell r="H36">
            <v>26624400</v>
          </cell>
        </row>
        <row r="37">
          <cell r="F37">
            <v>3703</v>
          </cell>
          <cell r="G37">
            <v>2045100</v>
          </cell>
          <cell r="H37">
            <v>8340200</v>
          </cell>
        </row>
        <row r="38">
          <cell r="F38">
            <v>6154</v>
          </cell>
          <cell r="G38">
            <v>2856800</v>
          </cell>
          <cell r="H38">
            <v>13318600</v>
          </cell>
        </row>
        <row r="39">
          <cell r="F39">
            <v>2446</v>
          </cell>
          <cell r="G39">
            <v>2455000</v>
          </cell>
          <cell r="H39">
            <v>6613200</v>
          </cell>
        </row>
        <row r="40">
          <cell r="F40">
            <v>12326</v>
          </cell>
          <cell r="G40">
            <v>5388550</v>
          </cell>
          <cell r="H40">
            <v>26342750</v>
          </cell>
        </row>
        <row r="41">
          <cell r="F41">
            <v>5760</v>
          </cell>
          <cell r="G41">
            <v>1823800</v>
          </cell>
          <cell r="H41">
            <v>11615800</v>
          </cell>
        </row>
        <row r="42">
          <cell r="F42">
            <v>1761</v>
          </cell>
          <cell r="G42">
            <v>1330100</v>
          </cell>
          <cell r="H42">
            <v>4323800</v>
          </cell>
        </row>
        <row r="43">
          <cell r="F43">
            <v>3850</v>
          </cell>
          <cell r="G43">
            <v>1279400</v>
          </cell>
          <cell r="H43">
            <v>7824400</v>
          </cell>
        </row>
        <row r="44">
          <cell r="F44">
            <v>938</v>
          </cell>
          <cell r="G44">
            <v>587300</v>
          </cell>
          <cell r="H44">
            <v>2181900</v>
          </cell>
        </row>
        <row r="45">
          <cell r="F45">
            <v>14225</v>
          </cell>
          <cell r="G45">
            <v>4219350</v>
          </cell>
          <cell r="H45">
            <v>28401850</v>
          </cell>
        </row>
        <row r="46">
          <cell r="F46">
            <v>2324</v>
          </cell>
          <cell r="G46">
            <v>1760200</v>
          </cell>
          <cell r="H46">
            <v>5711000</v>
          </cell>
        </row>
        <row r="47">
          <cell r="F47">
            <v>21561</v>
          </cell>
          <cell r="G47">
            <v>6473650</v>
          </cell>
          <cell r="H47">
            <v>43127350</v>
          </cell>
        </row>
        <row r="52">
          <cell r="F52">
            <v>7947</v>
          </cell>
          <cell r="G52">
            <v>2756600</v>
          </cell>
          <cell r="H52">
            <v>16266500</v>
          </cell>
        </row>
        <row r="53">
          <cell r="F53">
            <v>6855</v>
          </cell>
          <cell r="G53">
            <v>3054700</v>
          </cell>
          <cell r="H53">
            <v>14708200</v>
          </cell>
        </row>
        <row r="54">
          <cell r="F54">
            <v>14630</v>
          </cell>
          <cell r="G54">
            <v>4827900</v>
          </cell>
          <cell r="H54">
            <v>29698900</v>
          </cell>
        </row>
        <row r="55">
          <cell r="F55">
            <v>5930</v>
          </cell>
          <cell r="G55">
            <v>3539700</v>
          </cell>
          <cell r="H55">
            <v>13620700</v>
          </cell>
        </row>
        <row r="56">
          <cell r="F56">
            <v>3662</v>
          </cell>
          <cell r="G56">
            <v>1200000</v>
          </cell>
          <cell r="H56">
            <v>7425400</v>
          </cell>
        </row>
        <row r="57">
          <cell r="F57">
            <v>9511</v>
          </cell>
          <cell r="G57">
            <v>2954200</v>
          </cell>
          <cell r="H57">
            <v>19122900</v>
          </cell>
        </row>
        <row r="58">
          <cell r="F58">
            <v>14056</v>
          </cell>
          <cell r="G58">
            <v>3900300</v>
          </cell>
          <cell r="H58">
            <v>27795500</v>
          </cell>
        </row>
        <row r="59">
          <cell r="F59">
            <v>7691</v>
          </cell>
          <cell r="G59">
            <v>2533400</v>
          </cell>
          <cell r="H59">
            <v>15608100</v>
          </cell>
        </row>
        <row r="60">
          <cell r="F60">
            <v>6718</v>
          </cell>
          <cell r="G60">
            <v>2280050</v>
          </cell>
          <cell r="H60">
            <v>13700650</v>
          </cell>
        </row>
        <row r="61">
          <cell r="F61">
            <v>5255</v>
          </cell>
          <cell r="G61">
            <v>1621600</v>
          </cell>
          <cell r="H61">
            <v>10555100</v>
          </cell>
        </row>
        <row r="62">
          <cell r="F62">
            <v>12360</v>
          </cell>
          <cell r="G62">
            <v>3479100</v>
          </cell>
          <cell r="H62">
            <v>24491100</v>
          </cell>
        </row>
        <row r="63">
          <cell r="F63">
            <v>10118</v>
          </cell>
          <cell r="G63">
            <v>3070800</v>
          </cell>
          <cell r="H63">
            <v>20271400</v>
          </cell>
        </row>
        <row r="64">
          <cell r="F64">
            <v>10005</v>
          </cell>
          <cell r="G64">
            <v>3434450</v>
          </cell>
          <cell r="H64">
            <v>20442950</v>
          </cell>
        </row>
        <row r="65">
          <cell r="F65">
            <v>6831</v>
          </cell>
          <cell r="G65">
            <v>2748300</v>
          </cell>
          <cell r="H65">
            <v>14361000</v>
          </cell>
        </row>
        <row r="66">
          <cell r="F66">
            <v>7019</v>
          </cell>
          <cell r="G66">
            <v>2886200</v>
          </cell>
          <cell r="H66">
            <v>14818500</v>
          </cell>
        </row>
        <row r="67">
          <cell r="F67">
            <v>4945</v>
          </cell>
          <cell r="G67">
            <v>2594700</v>
          </cell>
          <cell r="H67">
            <v>11001200</v>
          </cell>
        </row>
        <row r="68">
          <cell r="F68">
            <v>8926</v>
          </cell>
          <cell r="G68">
            <v>2880400</v>
          </cell>
          <cell r="H68">
            <v>18054600</v>
          </cell>
        </row>
        <row r="69">
          <cell r="F69">
            <v>6384</v>
          </cell>
          <cell r="G69">
            <v>2352400</v>
          </cell>
          <cell r="H69">
            <v>13205200</v>
          </cell>
        </row>
        <row r="70">
          <cell r="F70">
            <v>11406</v>
          </cell>
          <cell r="G70">
            <v>4780050</v>
          </cell>
          <cell r="H70">
            <v>24170250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5746</v>
          </cell>
          <cell r="G72">
            <v>2045000</v>
          </cell>
          <cell r="H72">
            <v>11813200</v>
          </cell>
        </row>
        <row r="73">
          <cell r="F73">
            <v>3767</v>
          </cell>
          <cell r="G73">
            <v>887500</v>
          </cell>
          <cell r="H73">
            <v>7291400</v>
          </cell>
        </row>
        <row r="74">
          <cell r="F74">
            <v>12066</v>
          </cell>
          <cell r="G74">
            <v>2888100</v>
          </cell>
          <cell r="H74">
            <v>23400300</v>
          </cell>
        </row>
        <row r="75">
          <cell r="F75">
            <v>5565</v>
          </cell>
          <cell r="G75">
            <v>1948600</v>
          </cell>
          <cell r="H75">
            <v>11409100</v>
          </cell>
        </row>
        <row r="76">
          <cell r="F76">
            <v>19666</v>
          </cell>
          <cell r="G76">
            <v>5449200</v>
          </cell>
          <cell r="H76">
            <v>38881400</v>
          </cell>
        </row>
        <row r="77">
          <cell r="F77">
            <v>7903</v>
          </cell>
          <cell r="G77">
            <v>1382400</v>
          </cell>
          <cell r="H77">
            <v>14817500</v>
          </cell>
        </row>
        <row r="78">
          <cell r="F78">
            <v>6010</v>
          </cell>
          <cell r="G78">
            <v>1901800</v>
          </cell>
          <cell r="H78">
            <v>12118800</v>
          </cell>
        </row>
        <row r="79">
          <cell r="F79">
            <v>2294</v>
          </cell>
          <cell r="G79">
            <v>513600</v>
          </cell>
          <cell r="H79">
            <v>4413400</v>
          </cell>
        </row>
        <row r="80">
          <cell r="F80">
            <v>4270</v>
          </cell>
          <cell r="G80">
            <v>636250</v>
          </cell>
          <cell r="H80">
            <v>7895250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2589</v>
          </cell>
          <cell r="G84">
            <v>1101100</v>
          </cell>
          <cell r="H84">
            <v>5502400</v>
          </cell>
        </row>
        <row r="85">
          <cell r="F85">
            <v>1204</v>
          </cell>
          <cell r="G85">
            <v>240400</v>
          </cell>
          <cell r="H85">
            <v>2287200</v>
          </cell>
        </row>
        <row r="86">
          <cell r="F86">
            <v>3215</v>
          </cell>
          <cell r="G86">
            <v>1000500</v>
          </cell>
          <cell r="H86">
            <v>6466000</v>
          </cell>
        </row>
        <row r="87">
          <cell r="F87">
            <v>2957</v>
          </cell>
          <cell r="G87">
            <v>637850</v>
          </cell>
          <cell r="H87">
            <v>5664750</v>
          </cell>
        </row>
        <row r="88">
          <cell r="F88">
            <v>4483</v>
          </cell>
          <cell r="G88">
            <v>1286800</v>
          </cell>
          <cell r="H88">
            <v>8907900</v>
          </cell>
        </row>
        <row r="89">
          <cell r="F89">
            <v>1527</v>
          </cell>
          <cell r="G89">
            <v>740600</v>
          </cell>
          <cell r="H89">
            <v>3336500</v>
          </cell>
        </row>
        <row r="90">
          <cell r="F90">
            <v>2550</v>
          </cell>
          <cell r="G90">
            <v>1183500</v>
          </cell>
          <cell r="H90">
            <v>5518500</v>
          </cell>
        </row>
        <row r="91">
          <cell r="F91">
            <v>4208</v>
          </cell>
          <cell r="G91">
            <v>1933300</v>
          </cell>
          <cell r="H91">
            <v>9086900</v>
          </cell>
        </row>
        <row r="92">
          <cell r="F92">
            <v>2181</v>
          </cell>
          <cell r="G92">
            <v>960800</v>
          </cell>
          <cell r="H92">
            <v>4668500</v>
          </cell>
        </row>
        <row r="93">
          <cell r="F93">
            <v>2089</v>
          </cell>
          <cell r="G93">
            <v>1055000</v>
          </cell>
          <cell r="H93">
            <v>4606300</v>
          </cell>
        </row>
        <row r="94">
          <cell r="F94">
            <v>698</v>
          </cell>
          <cell r="G94">
            <v>147500</v>
          </cell>
          <cell r="H94">
            <v>1334100</v>
          </cell>
        </row>
        <row r="95">
          <cell r="F95">
            <v>2681</v>
          </cell>
          <cell r="G95">
            <v>881400</v>
          </cell>
          <cell r="H95">
            <v>5439100</v>
          </cell>
        </row>
        <row r="96">
          <cell r="F96">
            <v>2744</v>
          </cell>
          <cell r="G96">
            <v>373500</v>
          </cell>
          <cell r="H96">
            <v>5038300</v>
          </cell>
        </row>
        <row r="97">
          <cell r="F97">
            <v>6183</v>
          </cell>
          <cell r="G97">
            <v>1210000</v>
          </cell>
          <cell r="H97">
            <v>11721100</v>
          </cell>
        </row>
        <row r="98">
          <cell r="F98">
            <v>3563</v>
          </cell>
          <cell r="G98">
            <v>883100</v>
          </cell>
          <cell r="H98">
            <v>6940200</v>
          </cell>
        </row>
        <row r="99">
          <cell r="F99">
            <v>6692</v>
          </cell>
          <cell r="G99">
            <v>1691100</v>
          </cell>
          <cell r="H99">
            <v>13067500</v>
          </cell>
        </row>
        <row r="100">
          <cell r="F100">
            <v>7195</v>
          </cell>
          <cell r="G100">
            <v>1758300</v>
          </cell>
          <cell r="H100">
            <v>13989800</v>
          </cell>
        </row>
        <row r="101">
          <cell r="F101">
            <v>2382</v>
          </cell>
          <cell r="G101">
            <v>635400</v>
          </cell>
          <cell r="H101">
            <v>4684800</v>
          </cell>
        </row>
        <row r="102">
          <cell r="F102">
            <v>13087</v>
          </cell>
          <cell r="G102">
            <v>1859300</v>
          </cell>
          <cell r="H102">
            <v>24107200</v>
          </cell>
        </row>
        <row r="103">
          <cell r="F103">
            <v>10853</v>
          </cell>
          <cell r="G103">
            <v>2380850</v>
          </cell>
          <cell r="H103">
            <v>20830950</v>
          </cell>
        </row>
        <row r="104">
          <cell r="F104">
            <v>5260</v>
          </cell>
          <cell r="G104">
            <v>1567000</v>
          </cell>
          <cell r="H104">
            <v>10509000</v>
          </cell>
        </row>
        <row r="105">
          <cell r="F105">
            <v>3498</v>
          </cell>
          <cell r="G105">
            <v>1172000</v>
          </cell>
          <cell r="H105">
            <v>7118600</v>
          </cell>
        </row>
        <row r="106">
          <cell r="F106">
            <v>3233</v>
          </cell>
          <cell r="G106">
            <v>1029600</v>
          </cell>
          <cell r="H106">
            <v>6525700</v>
          </cell>
        </row>
        <row r="107">
          <cell r="F107">
            <v>4775</v>
          </cell>
          <cell r="G107">
            <v>1003200</v>
          </cell>
          <cell r="H107">
            <v>9120700</v>
          </cell>
        </row>
        <row r="108">
          <cell r="F108">
            <v>4853</v>
          </cell>
          <cell r="G108">
            <v>1046100</v>
          </cell>
          <cell r="H108">
            <v>9296200</v>
          </cell>
        </row>
        <row r="109">
          <cell r="F109">
            <v>3265</v>
          </cell>
          <cell r="G109">
            <v>845900</v>
          </cell>
          <cell r="H109">
            <v>6396400</v>
          </cell>
        </row>
        <row r="110">
          <cell r="F110">
            <v>1997</v>
          </cell>
          <cell r="G110">
            <v>383000</v>
          </cell>
          <cell r="H110">
            <v>3777900</v>
          </cell>
        </row>
        <row r="111">
          <cell r="F111">
            <v>5315</v>
          </cell>
          <cell r="G111">
            <v>1446000</v>
          </cell>
          <cell r="H111">
            <v>10481500</v>
          </cell>
        </row>
        <row r="112">
          <cell r="F112">
            <v>3693</v>
          </cell>
          <cell r="G112">
            <v>1387600</v>
          </cell>
          <cell r="H112">
            <v>7665700</v>
          </cell>
        </row>
        <row r="113">
          <cell r="F113">
            <v>3800</v>
          </cell>
          <cell r="G113">
            <v>1677650</v>
          </cell>
          <cell r="H113">
            <v>8137650</v>
          </cell>
        </row>
        <row r="114">
          <cell r="F114">
            <v>294</v>
          </cell>
          <cell r="G114">
            <v>123300</v>
          </cell>
          <cell r="H114">
            <v>623100</v>
          </cell>
        </row>
        <row r="115">
          <cell r="F115">
            <v>2197</v>
          </cell>
          <cell r="G115">
            <v>480700</v>
          </cell>
          <cell r="H115">
            <v>4215600</v>
          </cell>
        </row>
        <row r="116">
          <cell r="F116">
            <v>431</v>
          </cell>
          <cell r="G116">
            <v>77850</v>
          </cell>
          <cell r="H116">
            <v>810550</v>
          </cell>
        </row>
        <row r="117">
          <cell r="F117">
            <v>2138</v>
          </cell>
          <cell r="G117">
            <v>461100</v>
          </cell>
          <cell r="H117">
            <v>4095700</v>
          </cell>
        </row>
        <row r="118">
          <cell r="F118">
            <v>2808</v>
          </cell>
          <cell r="G118">
            <v>1064150</v>
          </cell>
          <cell r="H118">
            <v>5837750</v>
          </cell>
        </row>
        <row r="121">
          <cell r="F121">
            <v>43718</v>
          </cell>
          <cell r="G121">
            <v>5583250</v>
          </cell>
        </row>
        <row r="122">
          <cell r="F122">
            <v>9150</v>
          </cell>
          <cell r="G122">
            <v>12912200</v>
          </cell>
          <cell r="H122">
            <v>28467200</v>
          </cell>
        </row>
        <row r="133">
          <cell r="F133">
            <v>168518</v>
          </cell>
          <cell r="G133">
            <v>52509000</v>
          </cell>
          <cell r="H133">
            <v>338989600</v>
          </cell>
        </row>
        <row r="135">
          <cell r="F135">
            <v>76</v>
          </cell>
          <cell r="G135">
            <v>282900</v>
          </cell>
          <cell r="H135">
            <v>412100</v>
          </cell>
        </row>
        <row r="136">
          <cell r="F136">
            <v>4911</v>
          </cell>
          <cell r="G136">
            <v>3534650</v>
          </cell>
          <cell r="H136">
            <v>11883350</v>
          </cell>
        </row>
        <row r="137">
          <cell r="F137">
            <v>446</v>
          </cell>
          <cell r="G137">
            <v>606700</v>
          </cell>
          <cell r="H137">
            <v>1364900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934</v>
          </cell>
          <cell r="G139">
            <v>496700</v>
          </cell>
          <cell r="H139">
            <v>2084500</v>
          </cell>
        </row>
        <row r="140">
          <cell r="F140">
            <v>620</v>
          </cell>
          <cell r="G140">
            <v>643900</v>
          </cell>
          <cell r="H140">
            <v>1697900</v>
          </cell>
        </row>
        <row r="141">
          <cell r="F141">
            <v>317</v>
          </cell>
          <cell r="G141">
            <v>410100</v>
          </cell>
          <cell r="H141">
            <v>949000</v>
          </cell>
        </row>
        <row r="142">
          <cell r="F142">
            <v>328</v>
          </cell>
          <cell r="G142">
            <v>698000</v>
          </cell>
          <cell r="H142">
            <v>1255600</v>
          </cell>
        </row>
        <row r="143">
          <cell r="F143">
            <v>523</v>
          </cell>
          <cell r="G143">
            <v>1022900</v>
          </cell>
          <cell r="H143">
            <v>1912000</v>
          </cell>
        </row>
        <row r="144">
          <cell r="F144">
            <v>294</v>
          </cell>
          <cell r="G144">
            <v>770900</v>
          </cell>
          <cell r="H144">
            <v>1270700</v>
          </cell>
          <cell r="M144">
            <v>1082865.5290000001</v>
          </cell>
        </row>
        <row r="145">
          <cell r="F145">
            <v>111</v>
          </cell>
          <cell r="G145">
            <v>153500</v>
          </cell>
          <cell r="H145">
            <v>342200</v>
          </cell>
        </row>
        <row r="146">
          <cell r="F146">
            <v>131</v>
          </cell>
          <cell r="G146">
            <v>200100</v>
          </cell>
          <cell r="H146">
            <v>422800</v>
          </cell>
        </row>
        <row r="147">
          <cell r="F147">
            <v>321</v>
          </cell>
          <cell r="G147">
            <v>438800</v>
          </cell>
          <cell r="H147">
            <v>984500</v>
          </cell>
        </row>
        <row r="148">
          <cell r="F148">
            <v>615</v>
          </cell>
          <cell r="G148">
            <v>826700</v>
          </cell>
          <cell r="H148">
            <v>1872200</v>
          </cell>
        </row>
        <row r="149">
          <cell r="F149">
            <v>280</v>
          </cell>
          <cell r="G149">
            <v>426500</v>
          </cell>
          <cell r="H149">
            <v>902500</v>
          </cell>
        </row>
        <row r="150">
          <cell r="F150">
            <v>368</v>
          </cell>
          <cell r="G150">
            <v>524300</v>
          </cell>
          <cell r="H150">
            <v>1149900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157000</v>
          </cell>
          <cell r="H154">
            <v>157000</v>
          </cell>
        </row>
        <row r="155">
          <cell r="F155">
            <v>0</v>
          </cell>
          <cell r="G155">
            <v>211000</v>
          </cell>
          <cell r="H155">
            <v>211000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1186000</v>
          </cell>
          <cell r="H158">
            <v>1186000</v>
          </cell>
        </row>
        <row r="159">
          <cell r="F159">
            <v>0</v>
          </cell>
          <cell r="G159">
            <v>1902000</v>
          </cell>
          <cell r="H159">
            <v>1902000</v>
          </cell>
        </row>
        <row r="160">
          <cell r="F160">
            <v>0</v>
          </cell>
          <cell r="G160">
            <v>1428000</v>
          </cell>
          <cell r="H160">
            <v>1428000</v>
          </cell>
        </row>
        <row r="161">
          <cell r="F161">
            <v>0</v>
          </cell>
          <cell r="G161">
            <v>2251000</v>
          </cell>
          <cell r="H161">
            <v>2251000</v>
          </cell>
        </row>
        <row r="162">
          <cell r="F162">
            <v>0</v>
          </cell>
          <cell r="G162">
            <v>1393000</v>
          </cell>
          <cell r="H162">
            <v>1393000</v>
          </cell>
        </row>
        <row r="163">
          <cell r="F163">
            <v>0</v>
          </cell>
          <cell r="G163">
            <v>1130000</v>
          </cell>
          <cell r="H163">
            <v>1130000</v>
          </cell>
        </row>
        <row r="164">
          <cell r="F164">
            <v>0</v>
          </cell>
          <cell r="G164">
            <v>263000</v>
          </cell>
          <cell r="H164">
            <v>263000</v>
          </cell>
        </row>
        <row r="165">
          <cell r="F165">
            <v>0</v>
          </cell>
          <cell r="G165">
            <v>1233000</v>
          </cell>
          <cell r="H165">
            <v>1233000</v>
          </cell>
        </row>
        <row r="166">
          <cell r="F166">
            <v>0</v>
          </cell>
          <cell r="G166">
            <v>134000</v>
          </cell>
          <cell r="H166">
            <v>134000</v>
          </cell>
        </row>
        <row r="167">
          <cell r="F167">
            <v>0</v>
          </cell>
          <cell r="G167">
            <v>377000</v>
          </cell>
          <cell r="H167">
            <v>377000</v>
          </cell>
        </row>
        <row r="168">
          <cell r="F168">
            <v>0</v>
          </cell>
          <cell r="G168">
            <v>87000</v>
          </cell>
          <cell r="H168">
            <v>87000</v>
          </cell>
        </row>
        <row r="169">
          <cell r="F169">
            <v>0</v>
          </cell>
          <cell r="G169">
            <v>40000</v>
          </cell>
          <cell r="H169">
            <v>40000</v>
          </cell>
        </row>
        <row r="170">
          <cell r="F170">
            <v>0</v>
          </cell>
          <cell r="G170">
            <v>36000</v>
          </cell>
          <cell r="H170">
            <v>36000</v>
          </cell>
        </row>
        <row r="171">
          <cell r="F171">
            <v>0</v>
          </cell>
          <cell r="G171">
            <v>325000</v>
          </cell>
          <cell r="H171">
            <v>325000</v>
          </cell>
        </row>
        <row r="172">
          <cell r="F172">
            <v>0</v>
          </cell>
          <cell r="G172">
            <v>117000</v>
          </cell>
          <cell r="H172">
            <v>117000</v>
          </cell>
        </row>
        <row r="173">
          <cell r="F173">
            <v>0</v>
          </cell>
          <cell r="G173">
            <v>50000</v>
          </cell>
          <cell r="H173">
            <v>50000</v>
          </cell>
        </row>
        <row r="174">
          <cell r="F174">
            <v>0</v>
          </cell>
          <cell r="G174">
            <v>18000</v>
          </cell>
          <cell r="H174">
            <v>18000</v>
          </cell>
        </row>
        <row r="175">
          <cell r="F175">
            <v>0</v>
          </cell>
          <cell r="G175">
            <v>129000</v>
          </cell>
          <cell r="H175">
            <v>129000</v>
          </cell>
        </row>
        <row r="176">
          <cell r="F176">
            <v>0</v>
          </cell>
          <cell r="G176">
            <v>50000</v>
          </cell>
          <cell r="H176">
            <v>50000</v>
          </cell>
        </row>
        <row r="177">
          <cell r="F177">
            <v>0</v>
          </cell>
          <cell r="G177">
            <v>533000</v>
          </cell>
          <cell r="H177">
            <v>533000</v>
          </cell>
        </row>
        <row r="178">
          <cell r="F178">
            <v>0</v>
          </cell>
          <cell r="G178">
            <v>568000</v>
          </cell>
          <cell r="H178">
            <v>568000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7000</v>
          </cell>
          <cell r="H180">
            <v>7000</v>
          </cell>
        </row>
        <row r="181">
          <cell r="F181">
            <v>0</v>
          </cell>
          <cell r="G181">
            <v>26000</v>
          </cell>
          <cell r="H181">
            <v>26000</v>
          </cell>
        </row>
        <row r="182">
          <cell r="F182">
            <v>0</v>
          </cell>
          <cell r="G182">
            <v>99000</v>
          </cell>
          <cell r="H182">
            <v>99000</v>
          </cell>
        </row>
        <row r="183">
          <cell r="F183">
            <v>0</v>
          </cell>
          <cell r="G183">
            <v>394000</v>
          </cell>
          <cell r="H183">
            <v>394000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401000</v>
          </cell>
          <cell r="H185">
            <v>401000</v>
          </cell>
        </row>
        <row r="186">
          <cell r="F186">
            <v>0</v>
          </cell>
          <cell r="G186">
            <v>88000</v>
          </cell>
          <cell r="H186">
            <v>88000</v>
          </cell>
        </row>
        <row r="187">
          <cell r="F187">
            <v>0</v>
          </cell>
          <cell r="G187">
            <v>477000</v>
          </cell>
          <cell r="H187">
            <v>477000</v>
          </cell>
        </row>
        <row r="188">
          <cell r="F188">
            <v>0</v>
          </cell>
          <cell r="G188">
            <v>13000</v>
          </cell>
          <cell r="H188">
            <v>13000</v>
          </cell>
        </row>
        <row r="189">
          <cell r="F189">
            <v>0</v>
          </cell>
          <cell r="G189">
            <v>133000</v>
          </cell>
          <cell r="H189">
            <v>133000</v>
          </cell>
        </row>
        <row r="190">
          <cell r="F190">
            <v>0</v>
          </cell>
          <cell r="G190">
            <v>145000</v>
          </cell>
          <cell r="H190">
            <v>145000</v>
          </cell>
        </row>
        <row r="191">
          <cell r="F191">
            <v>0</v>
          </cell>
          <cell r="G191">
            <v>20000</v>
          </cell>
          <cell r="H191">
            <v>20000</v>
          </cell>
        </row>
        <row r="192">
          <cell r="F192">
            <v>0</v>
          </cell>
          <cell r="G192">
            <v>26000</v>
          </cell>
          <cell r="H192">
            <v>26000</v>
          </cell>
        </row>
        <row r="193">
          <cell r="F193">
            <v>0</v>
          </cell>
          <cell r="G193">
            <v>415000</v>
          </cell>
          <cell r="H193">
            <v>415000</v>
          </cell>
        </row>
        <row r="194">
          <cell r="F194">
            <v>0</v>
          </cell>
          <cell r="G194">
            <v>30000</v>
          </cell>
          <cell r="H194">
            <v>30000</v>
          </cell>
        </row>
        <row r="195">
          <cell r="F195">
            <v>0</v>
          </cell>
          <cell r="G195">
            <v>89000</v>
          </cell>
          <cell r="H195">
            <v>89000</v>
          </cell>
        </row>
        <row r="196">
          <cell r="F196">
            <v>0</v>
          </cell>
          <cell r="G196">
            <v>165000</v>
          </cell>
          <cell r="H196">
            <v>165000</v>
          </cell>
        </row>
        <row r="197">
          <cell r="F197">
            <v>0</v>
          </cell>
          <cell r="G197">
            <v>78000</v>
          </cell>
          <cell r="H197">
            <v>78000</v>
          </cell>
        </row>
        <row r="198">
          <cell r="F198">
            <v>0</v>
          </cell>
          <cell r="G198">
            <v>227000</v>
          </cell>
          <cell r="H198">
            <v>227000</v>
          </cell>
        </row>
        <row r="199">
          <cell r="F199">
            <v>0</v>
          </cell>
          <cell r="G199">
            <v>60000</v>
          </cell>
          <cell r="H199">
            <v>60000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199000</v>
          </cell>
          <cell r="H201">
            <v>199000</v>
          </cell>
        </row>
        <row r="202">
          <cell r="F202">
            <v>0</v>
          </cell>
          <cell r="G202">
            <v>196000</v>
          </cell>
          <cell r="H202">
            <v>196000</v>
          </cell>
        </row>
        <row r="203">
          <cell r="F203">
            <v>0</v>
          </cell>
          <cell r="G203">
            <v>110000</v>
          </cell>
          <cell r="H203">
            <v>110000</v>
          </cell>
        </row>
        <row r="204">
          <cell r="F204">
            <v>0</v>
          </cell>
          <cell r="G204">
            <v>282000</v>
          </cell>
          <cell r="H204">
            <v>282000</v>
          </cell>
        </row>
        <row r="205">
          <cell r="F205">
            <v>0</v>
          </cell>
          <cell r="G205">
            <v>193000</v>
          </cell>
          <cell r="H205">
            <v>193000</v>
          </cell>
        </row>
        <row r="206">
          <cell r="F206">
            <v>0</v>
          </cell>
          <cell r="G206">
            <v>164000</v>
          </cell>
          <cell r="H206">
            <v>164000</v>
          </cell>
        </row>
        <row r="207">
          <cell r="F207">
            <v>0</v>
          </cell>
          <cell r="G207">
            <v>305000</v>
          </cell>
          <cell r="H207">
            <v>305000</v>
          </cell>
        </row>
        <row r="208">
          <cell r="F208">
            <v>0</v>
          </cell>
          <cell r="G208">
            <v>64000</v>
          </cell>
          <cell r="H208">
            <v>64000</v>
          </cell>
        </row>
        <row r="209">
          <cell r="F209">
            <v>0</v>
          </cell>
          <cell r="G209">
            <v>425000</v>
          </cell>
          <cell r="H209">
            <v>425000</v>
          </cell>
        </row>
        <row r="210">
          <cell r="F210">
            <v>0</v>
          </cell>
          <cell r="G210">
            <v>0</v>
          </cell>
          <cell r="H210">
            <v>0</v>
          </cell>
        </row>
        <row r="211">
          <cell r="F211">
            <v>0</v>
          </cell>
          <cell r="G211">
            <v>144000</v>
          </cell>
          <cell r="H211">
            <v>144000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110000</v>
          </cell>
          <cell r="H214">
            <v>110000</v>
          </cell>
        </row>
        <row r="215">
          <cell r="F215">
            <v>0</v>
          </cell>
          <cell r="G215">
            <v>60000</v>
          </cell>
          <cell r="H215">
            <v>60000</v>
          </cell>
        </row>
        <row r="216">
          <cell r="F216">
            <v>0</v>
          </cell>
          <cell r="G216">
            <v>333000</v>
          </cell>
          <cell r="H216">
            <v>333000</v>
          </cell>
        </row>
        <row r="217">
          <cell r="F217">
            <v>0</v>
          </cell>
          <cell r="G217">
            <v>54000</v>
          </cell>
          <cell r="H217">
            <v>54000</v>
          </cell>
        </row>
        <row r="218">
          <cell r="F218">
            <v>0</v>
          </cell>
          <cell r="G218">
            <v>377000</v>
          </cell>
          <cell r="H218">
            <v>377000</v>
          </cell>
        </row>
        <row r="219">
          <cell r="F219">
            <v>0</v>
          </cell>
          <cell r="G219">
            <v>128000</v>
          </cell>
          <cell r="H219">
            <v>128000</v>
          </cell>
        </row>
        <row r="220">
          <cell r="F220">
            <v>0</v>
          </cell>
          <cell r="G220">
            <v>173000</v>
          </cell>
          <cell r="H220">
            <v>173000</v>
          </cell>
        </row>
        <row r="223">
          <cell r="F223">
            <v>643</v>
          </cell>
          <cell r="G223">
            <v>2568400</v>
          </cell>
          <cell r="H223">
            <v>3661500</v>
          </cell>
        </row>
        <row r="224">
          <cell r="F224">
            <v>0</v>
          </cell>
          <cell r="G224">
            <v>3505800</v>
          </cell>
          <cell r="H224">
            <v>3505800</v>
          </cell>
        </row>
        <row r="225">
          <cell r="F225">
            <v>555</v>
          </cell>
          <cell r="G225">
            <v>1559900</v>
          </cell>
          <cell r="H225">
            <v>2503400</v>
          </cell>
        </row>
        <row r="226">
          <cell r="F226">
            <v>1269</v>
          </cell>
          <cell r="G226">
            <v>1123300</v>
          </cell>
          <cell r="H226">
            <v>3280600</v>
          </cell>
        </row>
        <row r="227">
          <cell r="F227">
            <v>1106</v>
          </cell>
          <cell r="G227">
            <v>1060900</v>
          </cell>
          <cell r="H227">
            <v>2941100</v>
          </cell>
        </row>
        <row r="228">
          <cell r="F228">
            <v>510</v>
          </cell>
          <cell r="G228">
            <v>1249700</v>
          </cell>
          <cell r="H228">
            <v>2116700</v>
          </cell>
        </row>
        <row r="229">
          <cell r="F229">
            <v>670</v>
          </cell>
          <cell r="G229">
            <v>1723400</v>
          </cell>
          <cell r="H229">
            <v>2862400</v>
          </cell>
        </row>
        <row r="230">
          <cell r="F230">
            <v>1565</v>
          </cell>
          <cell r="G230">
            <v>1292600</v>
          </cell>
          <cell r="H230">
            <v>3953100</v>
          </cell>
        </row>
        <row r="231">
          <cell r="F231">
            <v>0</v>
          </cell>
          <cell r="G231">
            <v>3412200</v>
          </cell>
          <cell r="H231">
            <v>3412200</v>
          </cell>
        </row>
        <row r="232">
          <cell r="F232">
            <v>3</v>
          </cell>
          <cell r="G232">
            <v>3306300</v>
          </cell>
          <cell r="H232">
            <v>3311400</v>
          </cell>
        </row>
        <row r="233">
          <cell r="F233">
            <v>1316</v>
          </cell>
          <cell r="G233">
            <v>1200900</v>
          </cell>
          <cell r="H233">
            <v>3438100</v>
          </cell>
        </row>
        <row r="234">
          <cell r="F234">
            <v>1268</v>
          </cell>
          <cell r="G234">
            <v>628600</v>
          </cell>
          <cell r="H234">
            <v>2784200</v>
          </cell>
        </row>
        <row r="235">
          <cell r="F235">
            <v>15</v>
          </cell>
          <cell r="G235">
            <v>751400</v>
          </cell>
          <cell r="H235">
            <v>776900</v>
          </cell>
        </row>
        <row r="236">
          <cell r="F236">
            <v>0</v>
          </cell>
          <cell r="G236">
            <v>781400</v>
          </cell>
          <cell r="H236">
            <v>781400</v>
          </cell>
        </row>
        <row r="237">
          <cell r="F237">
            <v>2</v>
          </cell>
          <cell r="G237">
            <v>874600</v>
          </cell>
          <cell r="H237">
            <v>878000</v>
          </cell>
        </row>
        <row r="238">
          <cell r="F238">
            <v>856</v>
          </cell>
          <cell r="G238">
            <v>1310600</v>
          </cell>
          <cell r="H238">
            <v>2765800</v>
          </cell>
        </row>
        <row r="239">
          <cell r="F239">
            <v>273</v>
          </cell>
          <cell r="G239">
            <v>2153100</v>
          </cell>
          <cell r="H239">
            <v>2617200</v>
          </cell>
        </row>
        <row r="240">
          <cell r="F240">
            <v>771</v>
          </cell>
          <cell r="G240">
            <v>1171900</v>
          </cell>
          <cell r="H240">
            <v>2482600</v>
          </cell>
        </row>
        <row r="241">
          <cell r="F241">
            <v>832</v>
          </cell>
          <cell r="G241">
            <v>1053900</v>
          </cell>
          <cell r="H241">
            <v>2468300</v>
          </cell>
        </row>
        <row r="242">
          <cell r="F242">
            <v>1042</v>
          </cell>
          <cell r="G242">
            <v>1331500</v>
          </cell>
          <cell r="H242">
            <v>3102900</v>
          </cell>
        </row>
        <row r="243">
          <cell r="F243">
            <v>943</v>
          </cell>
          <cell r="G243">
            <v>1088700</v>
          </cell>
          <cell r="H243">
            <v>2691800</v>
          </cell>
        </row>
        <row r="244">
          <cell r="F244">
            <v>638</v>
          </cell>
          <cell r="G244">
            <v>1281800</v>
          </cell>
          <cell r="H244">
            <v>2366400</v>
          </cell>
        </row>
        <row r="245">
          <cell r="F245">
            <v>574</v>
          </cell>
          <cell r="G245">
            <v>744900</v>
          </cell>
          <cell r="H245">
            <v>1720700</v>
          </cell>
        </row>
        <row r="246">
          <cell r="F246">
            <v>795</v>
          </cell>
          <cell r="G246">
            <v>2338000</v>
          </cell>
          <cell r="H246">
            <v>3689500</v>
          </cell>
        </row>
        <row r="247">
          <cell r="F247">
            <v>1103</v>
          </cell>
          <cell r="G247">
            <v>699700</v>
          </cell>
          <cell r="H247">
            <v>2574800</v>
          </cell>
        </row>
        <row r="248">
          <cell r="F248">
            <v>337</v>
          </cell>
          <cell r="G248">
            <v>2126100</v>
          </cell>
          <cell r="H248">
            <v>2699000</v>
          </cell>
        </row>
        <row r="249">
          <cell r="F249">
            <v>133</v>
          </cell>
          <cell r="G249">
            <v>2436100</v>
          </cell>
          <cell r="H249">
            <v>2662200</v>
          </cell>
        </row>
        <row r="250">
          <cell r="F250">
            <v>213</v>
          </cell>
          <cell r="G250">
            <v>3350200</v>
          </cell>
          <cell r="H250">
            <v>3712300</v>
          </cell>
        </row>
        <row r="251">
          <cell r="F251">
            <v>405</v>
          </cell>
          <cell r="G251">
            <v>1969400</v>
          </cell>
          <cell r="H251">
            <v>2657900</v>
          </cell>
        </row>
        <row r="252">
          <cell r="F252">
            <v>133</v>
          </cell>
          <cell r="G252">
            <v>661850</v>
          </cell>
          <cell r="H252">
            <v>887950</v>
          </cell>
        </row>
        <row r="253">
          <cell r="F253">
            <v>104</v>
          </cell>
          <cell r="G253">
            <v>3836900</v>
          </cell>
          <cell r="H253">
            <v>4013700</v>
          </cell>
        </row>
        <row r="254">
          <cell r="F254">
            <v>495</v>
          </cell>
          <cell r="G254">
            <v>1614000</v>
          </cell>
          <cell r="H254">
            <v>2455500</v>
          </cell>
        </row>
        <row r="255">
          <cell r="F255">
            <v>292</v>
          </cell>
          <cell r="G255">
            <v>1055300</v>
          </cell>
          <cell r="H255">
            <v>1551700</v>
          </cell>
        </row>
        <row r="256">
          <cell r="F256">
            <v>622</v>
          </cell>
          <cell r="G256">
            <v>2289500</v>
          </cell>
          <cell r="H256">
            <v>3346900</v>
          </cell>
        </row>
        <row r="257">
          <cell r="F257">
            <v>471</v>
          </cell>
          <cell r="G257">
            <v>674450</v>
          </cell>
          <cell r="H257">
            <v>1475150</v>
          </cell>
        </row>
        <row r="260">
          <cell r="G260">
            <v>53000</v>
          </cell>
          <cell r="H260">
            <v>53000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9896</v>
          </cell>
          <cell r="G10">
            <v>3990000</v>
          </cell>
          <cell r="H10">
            <v>20813200</v>
          </cell>
        </row>
        <row r="14">
          <cell r="F14">
            <v>5544</v>
          </cell>
          <cell r="G14">
            <v>1422300</v>
          </cell>
          <cell r="H14">
            <v>10847100</v>
          </cell>
        </row>
        <row r="15">
          <cell r="F15">
            <v>5116</v>
          </cell>
          <cell r="G15">
            <v>1371550</v>
          </cell>
          <cell r="H15">
            <v>10068750</v>
          </cell>
        </row>
        <row r="16">
          <cell r="F16">
            <v>5964</v>
          </cell>
          <cell r="G16">
            <v>1457100</v>
          </cell>
          <cell r="H16">
            <v>11595900</v>
          </cell>
        </row>
        <row r="17">
          <cell r="F17">
            <v>4102</v>
          </cell>
          <cell r="G17">
            <v>1304900</v>
          </cell>
          <cell r="H17">
            <v>8278300</v>
          </cell>
        </row>
        <row r="18">
          <cell r="F18">
            <v>5113</v>
          </cell>
          <cell r="G18">
            <v>1511350</v>
          </cell>
          <cell r="H18">
            <v>10203450</v>
          </cell>
        </row>
        <row r="19">
          <cell r="F19">
            <v>5129</v>
          </cell>
          <cell r="G19">
            <v>2390100</v>
          </cell>
          <cell r="H19">
            <v>11109400</v>
          </cell>
        </row>
        <row r="20">
          <cell r="F20">
            <v>3133</v>
          </cell>
          <cell r="G20">
            <v>1007800</v>
          </cell>
          <cell r="H20">
            <v>6333900</v>
          </cell>
        </row>
        <row r="21">
          <cell r="F21">
            <v>3710</v>
          </cell>
          <cell r="G21">
            <v>1440400</v>
          </cell>
          <cell r="H21">
            <v>7747400</v>
          </cell>
        </row>
        <row r="22">
          <cell r="F22">
            <v>7541</v>
          </cell>
          <cell r="G22">
            <v>3296550</v>
          </cell>
          <cell r="H22">
            <v>16116250</v>
          </cell>
        </row>
        <row r="23">
          <cell r="F23">
            <v>3499</v>
          </cell>
          <cell r="G23">
            <v>1155900</v>
          </cell>
          <cell r="H23">
            <v>7104200</v>
          </cell>
        </row>
        <row r="24">
          <cell r="F24">
            <v>2814</v>
          </cell>
          <cell r="G24">
            <v>1089600</v>
          </cell>
          <cell r="H24">
            <v>5873400</v>
          </cell>
        </row>
        <row r="25">
          <cell r="F25">
            <v>2307</v>
          </cell>
          <cell r="G25">
            <v>681000</v>
          </cell>
          <cell r="H25">
            <v>4602900</v>
          </cell>
        </row>
        <row r="26">
          <cell r="F26">
            <v>5221</v>
          </cell>
          <cell r="G26">
            <v>2045300</v>
          </cell>
          <cell r="H26">
            <v>10921000</v>
          </cell>
        </row>
        <row r="27">
          <cell r="F27">
            <v>14315</v>
          </cell>
          <cell r="G27">
            <v>6831900</v>
          </cell>
          <cell r="H27">
            <v>31167400</v>
          </cell>
        </row>
        <row r="28">
          <cell r="F28">
            <v>10744</v>
          </cell>
          <cell r="G28">
            <v>3721700</v>
          </cell>
          <cell r="H28">
            <v>21986500</v>
          </cell>
        </row>
        <row r="29">
          <cell r="F29">
            <v>9491</v>
          </cell>
          <cell r="G29">
            <v>4070800</v>
          </cell>
          <cell r="H29">
            <v>20205500</v>
          </cell>
        </row>
        <row r="30">
          <cell r="F30">
            <v>14893</v>
          </cell>
          <cell r="G30">
            <v>4363150</v>
          </cell>
          <cell r="H30">
            <v>29681250</v>
          </cell>
        </row>
        <row r="31">
          <cell r="F31">
            <v>7678</v>
          </cell>
          <cell r="G31">
            <v>2850700</v>
          </cell>
          <cell r="H31">
            <v>15903300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9868</v>
          </cell>
          <cell r="G33">
            <v>2344500</v>
          </cell>
          <cell r="H33">
            <v>19120100</v>
          </cell>
        </row>
        <row r="34">
          <cell r="F34">
            <v>12874</v>
          </cell>
          <cell r="G34">
            <v>3716600</v>
          </cell>
          <cell r="H34">
            <v>25602400</v>
          </cell>
        </row>
        <row r="35">
          <cell r="F35">
            <v>10739</v>
          </cell>
          <cell r="G35">
            <v>4048600</v>
          </cell>
          <cell r="H35">
            <v>22304900</v>
          </cell>
        </row>
        <row r="36">
          <cell r="F36">
            <v>12384</v>
          </cell>
          <cell r="G36">
            <v>3473750</v>
          </cell>
          <cell r="H36">
            <v>24526550</v>
          </cell>
        </row>
        <row r="37">
          <cell r="F37">
            <v>3681</v>
          </cell>
          <cell r="G37">
            <v>2161100</v>
          </cell>
          <cell r="H37">
            <v>8418800</v>
          </cell>
        </row>
        <row r="38">
          <cell r="F38">
            <v>5989</v>
          </cell>
          <cell r="G38">
            <v>2654800</v>
          </cell>
          <cell r="H38">
            <v>12836100</v>
          </cell>
        </row>
        <row r="39">
          <cell r="F39">
            <v>2292</v>
          </cell>
          <cell r="G39">
            <v>1820250</v>
          </cell>
          <cell r="H39">
            <v>5716650</v>
          </cell>
        </row>
        <row r="40">
          <cell r="F40">
            <v>11927</v>
          </cell>
          <cell r="G40">
            <v>5275000</v>
          </cell>
          <cell r="H40">
            <v>25550900</v>
          </cell>
        </row>
        <row r="41">
          <cell r="F41">
            <v>5576</v>
          </cell>
          <cell r="G41">
            <v>1805300</v>
          </cell>
          <cell r="H41">
            <v>11284500</v>
          </cell>
        </row>
        <row r="42">
          <cell r="F42">
            <v>1685</v>
          </cell>
          <cell r="G42">
            <v>1071800</v>
          </cell>
          <cell r="H42">
            <v>3936300</v>
          </cell>
        </row>
        <row r="43">
          <cell r="F43">
            <v>3909</v>
          </cell>
          <cell r="G43">
            <v>1100300</v>
          </cell>
          <cell r="H43">
            <v>7745600</v>
          </cell>
        </row>
        <row r="44">
          <cell r="F44">
            <v>915</v>
          </cell>
          <cell r="G44">
            <v>539800</v>
          </cell>
          <cell r="H44">
            <v>2095300</v>
          </cell>
        </row>
        <row r="45">
          <cell r="F45">
            <v>13675</v>
          </cell>
          <cell r="G45">
            <v>4839350</v>
          </cell>
          <cell r="H45">
            <v>28086850</v>
          </cell>
        </row>
        <row r="46">
          <cell r="F46">
            <v>2396</v>
          </cell>
          <cell r="G46">
            <v>1868500</v>
          </cell>
          <cell r="H46">
            <v>5941700</v>
          </cell>
        </row>
        <row r="47">
          <cell r="F47">
            <v>21001</v>
          </cell>
          <cell r="G47">
            <v>6673300</v>
          </cell>
          <cell r="H47">
            <v>42375000</v>
          </cell>
        </row>
        <row r="52">
          <cell r="F52">
            <v>8195</v>
          </cell>
          <cell r="G52">
            <v>2832200</v>
          </cell>
          <cell r="H52">
            <v>16763700</v>
          </cell>
        </row>
        <row r="53">
          <cell r="F53">
            <v>6602</v>
          </cell>
          <cell r="G53">
            <v>2881200</v>
          </cell>
          <cell r="H53">
            <v>14104600</v>
          </cell>
        </row>
        <row r="54">
          <cell r="F54">
            <v>14030</v>
          </cell>
          <cell r="G54">
            <v>4434700</v>
          </cell>
          <cell r="H54">
            <v>28285700</v>
          </cell>
        </row>
        <row r="55">
          <cell r="F55">
            <v>5799</v>
          </cell>
          <cell r="G55">
            <v>2782500</v>
          </cell>
          <cell r="H55">
            <v>12640800</v>
          </cell>
        </row>
        <row r="56">
          <cell r="F56">
            <v>3928</v>
          </cell>
          <cell r="G56">
            <v>1119200</v>
          </cell>
          <cell r="H56">
            <v>7796800</v>
          </cell>
        </row>
        <row r="57">
          <cell r="F57">
            <v>8998</v>
          </cell>
          <cell r="G57">
            <v>3007900</v>
          </cell>
          <cell r="H57">
            <v>18304500</v>
          </cell>
        </row>
        <row r="58">
          <cell r="F58">
            <v>14019</v>
          </cell>
          <cell r="G58">
            <v>3594300</v>
          </cell>
          <cell r="H58">
            <v>27426600</v>
          </cell>
        </row>
        <row r="59">
          <cell r="F59">
            <v>7445</v>
          </cell>
          <cell r="G59">
            <v>2241500</v>
          </cell>
          <cell r="H59">
            <v>14898000</v>
          </cell>
        </row>
        <row r="60">
          <cell r="F60">
            <v>6603</v>
          </cell>
          <cell r="G60">
            <v>1907900</v>
          </cell>
          <cell r="H60">
            <v>13133000</v>
          </cell>
        </row>
        <row r="61">
          <cell r="F61">
            <v>4872</v>
          </cell>
          <cell r="G61">
            <v>1734700</v>
          </cell>
          <cell r="H61">
            <v>10017100</v>
          </cell>
        </row>
        <row r="62">
          <cell r="F62">
            <v>11244</v>
          </cell>
          <cell r="G62">
            <v>3566500</v>
          </cell>
          <cell r="H62">
            <v>22681300</v>
          </cell>
        </row>
        <row r="63">
          <cell r="F63">
            <v>9345</v>
          </cell>
          <cell r="G63">
            <v>3083550</v>
          </cell>
          <cell r="H63">
            <v>18970050</v>
          </cell>
        </row>
        <row r="64">
          <cell r="F64">
            <v>9823</v>
          </cell>
          <cell r="G64">
            <v>3298400</v>
          </cell>
          <cell r="H64">
            <v>19997500</v>
          </cell>
        </row>
        <row r="65">
          <cell r="F65">
            <v>6589</v>
          </cell>
          <cell r="G65">
            <v>2882900</v>
          </cell>
          <cell r="H65">
            <v>14084200</v>
          </cell>
        </row>
        <row r="66">
          <cell r="F66">
            <v>6743</v>
          </cell>
          <cell r="G66">
            <v>2454500</v>
          </cell>
          <cell r="H66">
            <v>13917600</v>
          </cell>
        </row>
        <row r="67">
          <cell r="F67">
            <v>4710</v>
          </cell>
          <cell r="G67">
            <v>2051700</v>
          </cell>
          <cell r="H67">
            <v>10058700</v>
          </cell>
        </row>
        <row r="68">
          <cell r="F68">
            <v>8445</v>
          </cell>
          <cell r="G68">
            <v>3067300</v>
          </cell>
          <cell r="H68">
            <v>17423800</v>
          </cell>
        </row>
        <row r="69">
          <cell r="F69">
            <v>6106</v>
          </cell>
          <cell r="G69">
            <v>2554900</v>
          </cell>
          <cell r="H69">
            <v>12935100</v>
          </cell>
        </row>
        <row r="70">
          <cell r="F70">
            <v>11220</v>
          </cell>
          <cell r="G70">
            <v>3873300</v>
          </cell>
          <cell r="H70">
            <v>22947300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5421</v>
          </cell>
          <cell r="G72">
            <v>1699400</v>
          </cell>
          <cell r="H72">
            <v>10915100</v>
          </cell>
        </row>
        <row r="73">
          <cell r="F73">
            <v>3833</v>
          </cell>
          <cell r="G73">
            <v>842600</v>
          </cell>
          <cell r="H73">
            <v>7358700</v>
          </cell>
        </row>
        <row r="74">
          <cell r="F74">
            <v>11766</v>
          </cell>
          <cell r="G74">
            <v>2802000</v>
          </cell>
          <cell r="H74">
            <v>22804200</v>
          </cell>
        </row>
        <row r="75">
          <cell r="F75">
            <v>5538</v>
          </cell>
          <cell r="G75">
            <v>1641000</v>
          </cell>
          <cell r="H75">
            <v>11055600</v>
          </cell>
        </row>
        <row r="76">
          <cell r="F76">
            <v>18979</v>
          </cell>
          <cell r="G76">
            <v>5500400</v>
          </cell>
          <cell r="H76">
            <v>37764700</v>
          </cell>
        </row>
        <row r="77">
          <cell r="F77">
            <v>8395</v>
          </cell>
          <cell r="G77">
            <v>1219700</v>
          </cell>
          <cell r="H77">
            <v>15491200</v>
          </cell>
        </row>
        <row r="78">
          <cell r="F78">
            <v>6088</v>
          </cell>
          <cell r="G78">
            <v>1603800</v>
          </cell>
          <cell r="H78">
            <v>11953400</v>
          </cell>
        </row>
        <row r="79">
          <cell r="F79">
            <v>2196</v>
          </cell>
          <cell r="G79">
            <v>449100</v>
          </cell>
          <cell r="H79">
            <v>4182300</v>
          </cell>
        </row>
        <row r="80">
          <cell r="F80">
            <v>4139</v>
          </cell>
          <cell r="G80">
            <v>817500</v>
          </cell>
          <cell r="H80">
            <v>7853800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2506</v>
          </cell>
          <cell r="G84">
            <v>577400</v>
          </cell>
          <cell r="H84">
            <v>4837600</v>
          </cell>
        </row>
        <row r="85">
          <cell r="F85">
            <v>1191</v>
          </cell>
          <cell r="G85">
            <v>151900</v>
          </cell>
          <cell r="H85">
            <v>2176600</v>
          </cell>
        </row>
        <row r="86">
          <cell r="F86">
            <v>3052</v>
          </cell>
          <cell r="G86">
            <v>944100</v>
          </cell>
          <cell r="H86">
            <v>6132500</v>
          </cell>
        </row>
        <row r="87">
          <cell r="F87">
            <v>2866</v>
          </cell>
          <cell r="G87">
            <v>653300</v>
          </cell>
          <cell r="H87">
            <v>5525500</v>
          </cell>
        </row>
        <row r="88">
          <cell r="F88">
            <v>4735</v>
          </cell>
          <cell r="G88">
            <v>1140300</v>
          </cell>
          <cell r="H88">
            <v>9189800</v>
          </cell>
        </row>
        <row r="89">
          <cell r="F89">
            <v>1653</v>
          </cell>
          <cell r="G89">
            <v>595700</v>
          </cell>
          <cell r="H89">
            <v>3405800</v>
          </cell>
        </row>
        <row r="90">
          <cell r="F90">
            <v>2442</v>
          </cell>
          <cell r="G90">
            <v>901000</v>
          </cell>
          <cell r="H90">
            <v>5052400</v>
          </cell>
        </row>
        <row r="91">
          <cell r="F91">
            <v>4167</v>
          </cell>
          <cell r="G91">
            <v>1414400</v>
          </cell>
          <cell r="H91">
            <v>8498300</v>
          </cell>
        </row>
        <row r="92">
          <cell r="F92">
            <v>1860</v>
          </cell>
          <cell r="G92">
            <v>820650</v>
          </cell>
          <cell r="H92">
            <v>3982650</v>
          </cell>
        </row>
        <row r="93">
          <cell r="F93">
            <v>2530</v>
          </cell>
          <cell r="G93">
            <v>831800</v>
          </cell>
          <cell r="H93">
            <v>5132800</v>
          </cell>
        </row>
        <row r="94">
          <cell r="F94">
            <v>498</v>
          </cell>
          <cell r="G94">
            <v>179800</v>
          </cell>
          <cell r="H94">
            <v>1026400</v>
          </cell>
        </row>
        <row r="95">
          <cell r="F95">
            <v>2554</v>
          </cell>
          <cell r="G95">
            <v>977200</v>
          </cell>
          <cell r="H95">
            <v>5319000</v>
          </cell>
        </row>
        <row r="96">
          <cell r="F96">
            <v>3090</v>
          </cell>
          <cell r="G96">
            <v>359400</v>
          </cell>
          <cell r="H96">
            <v>5612400</v>
          </cell>
        </row>
        <row r="97">
          <cell r="F97">
            <v>6226</v>
          </cell>
          <cell r="G97">
            <v>1181400</v>
          </cell>
          <cell r="H97">
            <v>11765600</v>
          </cell>
        </row>
        <row r="98">
          <cell r="F98">
            <v>3360</v>
          </cell>
          <cell r="G98">
            <v>654000</v>
          </cell>
          <cell r="H98">
            <v>6366000</v>
          </cell>
        </row>
        <row r="99">
          <cell r="F99">
            <v>6486</v>
          </cell>
          <cell r="G99">
            <v>1572200</v>
          </cell>
          <cell r="H99">
            <v>12598400</v>
          </cell>
        </row>
        <row r="100">
          <cell r="F100">
            <v>6878</v>
          </cell>
          <cell r="G100">
            <v>1559100</v>
          </cell>
          <cell r="H100">
            <v>13251700</v>
          </cell>
        </row>
        <row r="101">
          <cell r="F101">
            <v>2269</v>
          </cell>
          <cell r="G101">
            <v>606500</v>
          </cell>
          <cell r="H101">
            <v>4463800</v>
          </cell>
        </row>
        <row r="102">
          <cell r="F102">
            <v>12711</v>
          </cell>
          <cell r="G102">
            <v>1690200</v>
          </cell>
          <cell r="H102">
            <v>23298900</v>
          </cell>
        </row>
        <row r="103">
          <cell r="F103">
            <v>11226</v>
          </cell>
          <cell r="G103">
            <v>1831500</v>
          </cell>
          <cell r="H103">
            <v>20915700</v>
          </cell>
        </row>
        <row r="104">
          <cell r="F104">
            <v>4856</v>
          </cell>
          <cell r="G104">
            <v>1226800</v>
          </cell>
          <cell r="H104">
            <v>9482000</v>
          </cell>
        </row>
        <row r="105">
          <cell r="F105">
            <v>3321</v>
          </cell>
          <cell r="G105">
            <v>822000</v>
          </cell>
          <cell r="H105">
            <v>6467700</v>
          </cell>
        </row>
        <row r="106">
          <cell r="F106">
            <v>2907</v>
          </cell>
          <cell r="G106">
            <v>905500</v>
          </cell>
          <cell r="H106">
            <v>5847400</v>
          </cell>
        </row>
        <row r="107">
          <cell r="F107">
            <v>4729</v>
          </cell>
          <cell r="G107">
            <v>961500</v>
          </cell>
          <cell r="H107">
            <v>9000800</v>
          </cell>
        </row>
        <row r="108">
          <cell r="F108">
            <v>4620</v>
          </cell>
          <cell r="G108">
            <v>964500</v>
          </cell>
          <cell r="H108">
            <v>8818500</v>
          </cell>
        </row>
        <row r="109">
          <cell r="F109">
            <v>3026</v>
          </cell>
          <cell r="G109">
            <v>911900</v>
          </cell>
          <cell r="H109">
            <v>6056100</v>
          </cell>
        </row>
        <row r="110">
          <cell r="F110">
            <v>1962</v>
          </cell>
          <cell r="G110">
            <v>310800</v>
          </cell>
          <cell r="H110">
            <v>3646200</v>
          </cell>
        </row>
        <row r="111">
          <cell r="F111">
            <v>5395</v>
          </cell>
          <cell r="G111">
            <v>1152900</v>
          </cell>
          <cell r="H111">
            <v>10324400</v>
          </cell>
        </row>
        <row r="112">
          <cell r="F112">
            <v>3408</v>
          </cell>
          <cell r="G112">
            <v>1043900</v>
          </cell>
          <cell r="H112">
            <v>6837500</v>
          </cell>
        </row>
        <row r="113">
          <cell r="F113">
            <v>3837</v>
          </cell>
          <cell r="G113">
            <v>1954800</v>
          </cell>
          <cell r="H113">
            <v>8477700</v>
          </cell>
        </row>
        <row r="114">
          <cell r="F114">
            <v>415</v>
          </cell>
          <cell r="G114">
            <v>45700</v>
          </cell>
          <cell r="H114">
            <v>751200</v>
          </cell>
        </row>
        <row r="115">
          <cell r="F115">
            <v>1885</v>
          </cell>
          <cell r="G115">
            <v>482200</v>
          </cell>
          <cell r="H115">
            <v>3686700</v>
          </cell>
        </row>
        <row r="116">
          <cell r="F116">
            <v>317</v>
          </cell>
          <cell r="G116">
            <v>86000</v>
          </cell>
          <cell r="H116">
            <v>624900</v>
          </cell>
        </row>
        <row r="117">
          <cell r="F117">
            <v>2074</v>
          </cell>
          <cell r="G117">
            <v>296600</v>
          </cell>
          <cell r="H117">
            <v>3822400</v>
          </cell>
        </row>
        <row r="118">
          <cell r="F118">
            <v>2782</v>
          </cell>
          <cell r="G118">
            <v>1130150</v>
          </cell>
          <cell r="H118">
            <v>5859550</v>
          </cell>
        </row>
        <row r="121">
          <cell r="F121">
            <v>42809</v>
          </cell>
          <cell r="G121">
            <v>5629500</v>
          </cell>
        </row>
        <row r="122">
          <cell r="F122">
            <v>8772</v>
          </cell>
          <cell r="G122">
            <v>12199900</v>
          </cell>
          <cell r="H122">
            <v>27112300</v>
          </cell>
        </row>
        <row r="133">
          <cell r="F133">
            <v>160449</v>
          </cell>
          <cell r="G133">
            <v>48542500</v>
          </cell>
          <cell r="H133">
            <v>321305800</v>
          </cell>
        </row>
        <row r="135">
          <cell r="F135">
            <v>167</v>
          </cell>
          <cell r="G135">
            <v>293700</v>
          </cell>
          <cell r="H135">
            <v>577600</v>
          </cell>
        </row>
        <row r="136">
          <cell r="F136">
            <v>4706</v>
          </cell>
          <cell r="G136">
            <v>3354400</v>
          </cell>
          <cell r="H136">
            <v>11354600</v>
          </cell>
        </row>
        <row r="137">
          <cell r="F137">
            <v>412</v>
          </cell>
          <cell r="G137">
            <v>742000</v>
          </cell>
          <cell r="H137">
            <v>1442400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459</v>
          </cell>
          <cell r="G139">
            <v>410100</v>
          </cell>
          <cell r="H139">
            <v>1190400</v>
          </cell>
        </row>
        <row r="140">
          <cell r="F140">
            <v>633</v>
          </cell>
          <cell r="G140">
            <v>781400</v>
          </cell>
          <cell r="H140">
            <v>1857500</v>
          </cell>
        </row>
        <row r="141">
          <cell r="F141">
            <v>285</v>
          </cell>
          <cell r="G141">
            <v>253800</v>
          </cell>
          <cell r="H141">
            <v>738300</v>
          </cell>
        </row>
        <row r="142">
          <cell r="F142">
            <v>222</v>
          </cell>
          <cell r="G142">
            <v>397500</v>
          </cell>
          <cell r="H142">
            <v>774900</v>
          </cell>
        </row>
        <row r="143">
          <cell r="F143">
            <v>366</v>
          </cell>
          <cell r="G143">
            <v>668600</v>
          </cell>
          <cell r="H143">
            <v>1290800</v>
          </cell>
        </row>
        <row r="144">
          <cell r="F144">
            <v>236</v>
          </cell>
          <cell r="G144">
            <v>924600</v>
          </cell>
          <cell r="H144">
            <v>1325800</v>
          </cell>
          <cell r="M144">
            <v>1033140.97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86</v>
          </cell>
          <cell r="G146">
            <v>164000</v>
          </cell>
          <cell r="H146">
            <v>310200</v>
          </cell>
        </row>
        <row r="147">
          <cell r="F147">
            <v>420</v>
          </cell>
          <cell r="G147">
            <v>976000</v>
          </cell>
          <cell r="H147">
            <v>1690000</v>
          </cell>
        </row>
        <row r="148">
          <cell r="F148">
            <v>648</v>
          </cell>
          <cell r="G148">
            <v>1366800</v>
          </cell>
          <cell r="H148">
            <v>2468400</v>
          </cell>
        </row>
        <row r="149">
          <cell r="F149">
            <v>199</v>
          </cell>
          <cell r="G149">
            <v>311000</v>
          </cell>
          <cell r="H149">
            <v>649300</v>
          </cell>
        </row>
        <row r="150">
          <cell r="F150">
            <v>220</v>
          </cell>
          <cell r="G150">
            <v>407400</v>
          </cell>
          <cell r="H150">
            <v>781400</v>
          </cell>
        </row>
        <row r="153">
          <cell r="F153">
            <v>0</v>
          </cell>
          <cell r="G153">
            <v>73000</v>
          </cell>
          <cell r="H153">
            <v>73000</v>
          </cell>
        </row>
        <row r="154">
          <cell r="F154">
            <v>0</v>
          </cell>
          <cell r="G154">
            <v>196000</v>
          </cell>
          <cell r="H154">
            <v>196000</v>
          </cell>
        </row>
        <row r="155">
          <cell r="F155">
            <v>0</v>
          </cell>
          <cell r="G155">
            <v>252000</v>
          </cell>
          <cell r="H155">
            <v>252000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1726000</v>
          </cell>
          <cell r="H158">
            <v>1726000</v>
          </cell>
        </row>
        <row r="159">
          <cell r="F159">
            <v>0</v>
          </cell>
          <cell r="G159">
            <v>1756000</v>
          </cell>
          <cell r="H159">
            <v>1756000</v>
          </cell>
        </row>
        <row r="160">
          <cell r="F160">
            <v>0</v>
          </cell>
          <cell r="G160">
            <v>1709000</v>
          </cell>
          <cell r="H160">
            <v>1709000</v>
          </cell>
        </row>
        <row r="161">
          <cell r="F161">
            <v>0</v>
          </cell>
          <cell r="G161">
            <v>2659000</v>
          </cell>
          <cell r="H161">
            <v>2659000</v>
          </cell>
        </row>
        <row r="162">
          <cell r="F162">
            <v>0</v>
          </cell>
          <cell r="G162">
            <v>200000</v>
          </cell>
          <cell r="H162">
            <v>200000</v>
          </cell>
        </row>
        <row r="163">
          <cell r="F163">
            <v>0</v>
          </cell>
          <cell r="G163">
            <v>911000</v>
          </cell>
          <cell r="H163">
            <v>911000</v>
          </cell>
        </row>
        <row r="164">
          <cell r="F164">
            <v>0</v>
          </cell>
          <cell r="G164">
            <v>266000</v>
          </cell>
          <cell r="H164">
            <v>266000</v>
          </cell>
        </row>
        <row r="165">
          <cell r="F165">
            <v>0</v>
          </cell>
          <cell r="G165">
            <v>542000</v>
          </cell>
          <cell r="H165">
            <v>542000</v>
          </cell>
        </row>
        <row r="166">
          <cell r="F166">
            <v>0</v>
          </cell>
          <cell r="G166">
            <v>109000</v>
          </cell>
          <cell r="H166">
            <v>109000</v>
          </cell>
        </row>
        <row r="167">
          <cell r="F167">
            <v>0</v>
          </cell>
          <cell r="G167">
            <v>201000</v>
          </cell>
          <cell r="H167">
            <v>201000</v>
          </cell>
        </row>
        <row r="168">
          <cell r="F168">
            <v>0</v>
          </cell>
          <cell r="G168">
            <v>51000</v>
          </cell>
          <cell r="H168">
            <v>51000</v>
          </cell>
        </row>
        <row r="169">
          <cell r="F169">
            <v>0</v>
          </cell>
          <cell r="G169">
            <v>22000</v>
          </cell>
          <cell r="H169">
            <v>22000</v>
          </cell>
        </row>
        <row r="170">
          <cell r="F170">
            <v>0</v>
          </cell>
          <cell r="G170">
            <v>82000</v>
          </cell>
          <cell r="H170">
            <v>82000</v>
          </cell>
        </row>
        <row r="171">
          <cell r="F171">
            <v>0</v>
          </cell>
          <cell r="G171">
            <v>153000</v>
          </cell>
          <cell r="H171">
            <v>153000</v>
          </cell>
        </row>
        <row r="172">
          <cell r="F172">
            <v>0</v>
          </cell>
          <cell r="G172">
            <v>14000</v>
          </cell>
          <cell r="H172">
            <v>14000</v>
          </cell>
        </row>
        <row r="173">
          <cell r="F173">
            <v>0</v>
          </cell>
          <cell r="G173">
            <v>34000</v>
          </cell>
          <cell r="H173">
            <v>34000</v>
          </cell>
        </row>
        <row r="174">
          <cell r="F174">
            <v>0</v>
          </cell>
          <cell r="G174">
            <v>31000</v>
          </cell>
          <cell r="H174">
            <v>31000</v>
          </cell>
        </row>
        <row r="175">
          <cell r="F175">
            <v>0</v>
          </cell>
          <cell r="G175">
            <v>157000</v>
          </cell>
          <cell r="H175">
            <v>157000</v>
          </cell>
        </row>
        <row r="176">
          <cell r="F176">
            <v>0</v>
          </cell>
          <cell r="G176">
            <v>62000</v>
          </cell>
          <cell r="H176">
            <v>62000</v>
          </cell>
        </row>
        <row r="177">
          <cell r="F177">
            <v>0</v>
          </cell>
          <cell r="G177">
            <v>393000</v>
          </cell>
          <cell r="H177">
            <v>393000</v>
          </cell>
        </row>
        <row r="178">
          <cell r="F178">
            <v>0</v>
          </cell>
          <cell r="G178">
            <v>368000</v>
          </cell>
          <cell r="H178">
            <v>368000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14000</v>
          </cell>
          <cell r="H180">
            <v>14000</v>
          </cell>
        </row>
        <row r="181">
          <cell r="F181">
            <v>0</v>
          </cell>
          <cell r="G181">
            <v>10000</v>
          </cell>
          <cell r="H181">
            <v>10000</v>
          </cell>
        </row>
        <row r="182">
          <cell r="F182">
            <v>0</v>
          </cell>
          <cell r="G182">
            <v>33000</v>
          </cell>
          <cell r="H182">
            <v>33000</v>
          </cell>
        </row>
        <row r="183">
          <cell r="F183">
            <v>0</v>
          </cell>
          <cell r="G183">
            <v>285000</v>
          </cell>
          <cell r="H183">
            <v>285000</v>
          </cell>
        </row>
        <row r="184">
          <cell r="F184">
            <v>0</v>
          </cell>
          <cell r="G184">
            <v>17000</v>
          </cell>
          <cell r="H184">
            <v>17000</v>
          </cell>
        </row>
        <row r="185">
          <cell r="F185">
            <v>0</v>
          </cell>
          <cell r="G185">
            <v>374000</v>
          </cell>
          <cell r="H185">
            <v>374000</v>
          </cell>
        </row>
        <row r="186">
          <cell r="F186">
            <v>0</v>
          </cell>
          <cell r="G186">
            <v>74000</v>
          </cell>
          <cell r="H186">
            <v>74000</v>
          </cell>
        </row>
        <row r="187">
          <cell r="F187">
            <v>0</v>
          </cell>
          <cell r="G187">
            <v>319000</v>
          </cell>
          <cell r="H187">
            <v>319000</v>
          </cell>
        </row>
        <row r="188">
          <cell r="F188">
            <v>0</v>
          </cell>
          <cell r="G188">
            <v>10000</v>
          </cell>
          <cell r="H188">
            <v>10000</v>
          </cell>
        </row>
        <row r="189">
          <cell r="F189">
            <v>0</v>
          </cell>
          <cell r="G189">
            <v>99000</v>
          </cell>
          <cell r="H189">
            <v>99000</v>
          </cell>
        </row>
        <row r="190">
          <cell r="F190">
            <v>0</v>
          </cell>
          <cell r="G190">
            <v>90000</v>
          </cell>
          <cell r="H190">
            <v>90000</v>
          </cell>
        </row>
        <row r="191">
          <cell r="F191">
            <v>0</v>
          </cell>
          <cell r="G191">
            <v>46000</v>
          </cell>
          <cell r="H191">
            <v>46000</v>
          </cell>
        </row>
        <row r="192">
          <cell r="F192">
            <v>0</v>
          </cell>
          <cell r="G192">
            <v>67000</v>
          </cell>
          <cell r="H192">
            <v>67000</v>
          </cell>
        </row>
        <row r="193">
          <cell r="F193">
            <v>0</v>
          </cell>
          <cell r="G193">
            <v>163000</v>
          </cell>
          <cell r="H193">
            <v>163000</v>
          </cell>
        </row>
        <row r="194">
          <cell r="F194">
            <v>0</v>
          </cell>
          <cell r="G194">
            <v>69000</v>
          </cell>
          <cell r="H194">
            <v>69000</v>
          </cell>
        </row>
        <row r="195">
          <cell r="F195">
            <v>0</v>
          </cell>
          <cell r="G195">
            <v>38000</v>
          </cell>
          <cell r="H195">
            <v>38000</v>
          </cell>
        </row>
        <row r="196">
          <cell r="F196">
            <v>0</v>
          </cell>
          <cell r="G196">
            <v>131000</v>
          </cell>
          <cell r="H196">
            <v>131000</v>
          </cell>
        </row>
        <row r="197">
          <cell r="F197">
            <v>0</v>
          </cell>
          <cell r="G197">
            <v>27000</v>
          </cell>
          <cell r="H197">
            <v>27000</v>
          </cell>
        </row>
        <row r="198">
          <cell r="F198">
            <v>0</v>
          </cell>
          <cell r="G198">
            <v>108000</v>
          </cell>
          <cell r="H198">
            <v>108000</v>
          </cell>
        </row>
        <row r="199">
          <cell r="F199">
            <v>0</v>
          </cell>
          <cell r="G199">
            <v>6000</v>
          </cell>
          <cell r="H199">
            <v>6000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173000</v>
          </cell>
          <cell r="H201">
            <v>173000</v>
          </cell>
        </row>
        <row r="202">
          <cell r="F202">
            <v>0</v>
          </cell>
          <cell r="G202">
            <v>117000</v>
          </cell>
          <cell r="H202">
            <v>117000</v>
          </cell>
        </row>
        <row r="203">
          <cell r="F203">
            <v>0</v>
          </cell>
          <cell r="G203">
            <v>32000</v>
          </cell>
          <cell r="H203">
            <v>32000</v>
          </cell>
        </row>
        <row r="204">
          <cell r="F204">
            <v>0</v>
          </cell>
          <cell r="G204">
            <v>248000</v>
          </cell>
          <cell r="H204">
            <v>248000</v>
          </cell>
        </row>
        <row r="205">
          <cell r="F205">
            <v>0</v>
          </cell>
          <cell r="G205">
            <v>121000</v>
          </cell>
          <cell r="H205">
            <v>121000</v>
          </cell>
        </row>
        <row r="206">
          <cell r="F206">
            <v>0</v>
          </cell>
          <cell r="G206">
            <v>169000</v>
          </cell>
          <cell r="H206">
            <v>169000</v>
          </cell>
        </row>
        <row r="207">
          <cell r="F207">
            <v>0</v>
          </cell>
          <cell r="G207">
            <v>187000</v>
          </cell>
          <cell r="H207">
            <v>187000</v>
          </cell>
        </row>
        <row r="208">
          <cell r="F208">
            <v>0</v>
          </cell>
          <cell r="G208">
            <v>189000</v>
          </cell>
          <cell r="H208">
            <v>189000</v>
          </cell>
        </row>
        <row r="209">
          <cell r="F209">
            <v>0</v>
          </cell>
          <cell r="G209">
            <v>59000</v>
          </cell>
          <cell r="H209">
            <v>59000</v>
          </cell>
        </row>
        <row r="210">
          <cell r="F210">
            <v>0</v>
          </cell>
          <cell r="G210">
            <v>1044000</v>
          </cell>
          <cell r="H210">
            <v>1044000</v>
          </cell>
        </row>
        <row r="211">
          <cell r="F211">
            <v>0</v>
          </cell>
          <cell r="G211">
            <v>56000</v>
          </cell>
          <cell r="H211">
            <v>56000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11000</v>
          </cell>
          <cell r="H213">
            <v>11000</v>
          </cell>
        </row>
        <row r="214">
          <cell r="F214">
            <v>0</v>
          </cell>
          <cell r="G214">
            <v>116000</v>
          </cell>
          <cell r="H214">
            <v>116000</v>
          </cell>
        </row>
        <row r="215">
          <cell r="F215">
            <v>0</v>
          </cell>
          <cell r="G215">
            <v>89000</v>
          </cell>
          <cell r="H215">
            <v>89000</v>
          </cell>
        </row>
        <row r="216">
          <cell r="F216">
            <v>0</v>
          </cell>
          <cell r="G216">
            <v>544000</v>
          </cell>
          <cell r="H216">
            <v>544000</v>
          </cell>
        </row>
        <row r="217">
          <cell r="F217">
            <v>0</v>
          </cell>
          <cell r="G217">
            <v>59000</v>
          </cell>
          <cell r="H217">
            <v>59000</v>
          </cell>
        </row>
        <row r="218">
          <cell r="F218">
            <v>0</v>
          </cell>
          <cell r="G218">
            <v>281000</v>
          </cell>
          <cell r="H218">
            <v>281000</v>
          </cell>
        </row>
        <row r="219">
          <cell r="F219">
            <v>0</v>
          </cell>
          <cell r="G219">
            <v>87000</v>
          </cell>
          <cell r="H219">
            <v>87000</v>
          </cell>
        </row>
        <row r="220">
          <cell r="F220">
            <v>0</v>
          </cell>
          <cell r="G220">
            <v>352000</v>
          </cell>
          <cell r="H220">
            <v>352000</v>
          </cell>
        </row>
        <row r="223">
          <cell r="F223">
            <v>225</v>
          </cell>
          <cell r="G223">
            <v>1059500</v>
          </cell>
          <cell r="H223">
            <v>1442000</v>
          </cell>
        </row>
        <row r="224">
          <cell r="F224">
            <v>0</v>
          </cell>
          <cell r="G224">
            <v>681400</v>
          </cell>
          <cell r="H224">
            <v>681400</v>
          </cell>
        </row>
        <row r="225">
          <cell r="F225">
            <v>571</v>
          </cell>
          <cell r="G225">
            <v>1822700</v>
          </cell>
          <cell r="H225">
            <v>2793400</v>
          </cell>
        </row>
        <row r="226">
          <cell r="F226">
            <v>1358</v>
          </cell>
          <cell r="G226">
            <v>1052400</v>
          </cell>
          <cell r="H226">
            <v>3361000</v>
          </cell>
        </row>
        <row r="227">
          <cell r="F227">
            <v>1026</v>
          </cell>
          <cell r="G227">
            <v>790700</v>
          </cell>
          <cell r="H227">
            <v>2534900</v>
          </cell>
        </row>
        <row r="228">
          <cell r="F228">
            <v>374</v>
          </cell>
          <cell r="G228">
            <v>1170700</v>
          </cell>
          <cell r="H228">
            <v>1806500</v>
          </cell>
        </row>
        <row r="229">
          <cell r="F229">
            <v>623</v>
          </cell>
          <cell r="G229">
            <v>1209800</v>
          </cell>
          <cell r="H229">
            <v>2268900</v>
          </cell>
        </row>
        <row r="230">
          <cell r="F230">
            <v>1812</v>
          </cell>
          <cell r="G230">
            <v>1383400</v>
          </cell>
          <cell r="H230">
            <v>4463800</v>
          </cell>
        </row>
        <row r="231">
          <cell r="F231">
            <v>2</v>
          </cell>
          <cell r="G231">
            <v>3147600</v>
          </cell>
          <cell r="H231">
            <v>3151000</v>
          </cell>
        </row>
        <row r="232">
          <cell r="F232">
            <v>0</v>
          </cell>
          <cell r="G232">
            <v>2720000</v>
          </cell>
          <cell r="H232">
            <v>2720000</v>
          </cell>
        </row>
        <row r="233">
          <cell r="F233">
            <v>1064</v>
          </cell>
          <cell r="G233">
            <v>1043200</v>
          </cell>
          <cell r="H233">
            <v>2852000</v>
          </cell>
        </row>
        <row r="234">
          <cell r="F234">
            <v>1391</v>
          </cell>
          <cell r="G234">
            <v>818200</v>
          </cell>
          <cell r="H234">
            <v>3182900</v>
          </cell>
        </row>
        <row r="235">
          <cell r="F235">
            <v>0</v>
          </cell>
          <cell r="G235">
            <v>545800</v>
          </cell>
          <cell r="H235">
            <v>545800</v>
          </cell>
        </row>
        <row r="236">
          <cell r="F236">
            <v>0</v>
          </cell>
          <cell r="G236">
            <v>436300</v>
          </cell>
          <cell r="H236">
            <v>436300</v>
          </cell>
        </row>
        <row r="237">
          <cell r="F237">
            <v>20</v>
          </cell>
          <cell r="G237">
            <v>1452200</v>
          </cell>
          <cell r="H237">
            <v>1486200</v>
          </cell>
        </row>
        <row r="238">
          <cell r="F238">
            <v>875</v>
          </cell>
          <cell r="G238">
            <v>1160600</v>
          </cell>
          <cell r="H238">
            <v>2648100</v>
          </cell>
        </row>
        <row r="239">
          <cell r="F239">
            <v>358</v>
          </cell>
          <cell r="G239">
            <v>1944400</v>
          </cell>
          <cell r="H239">
            <v>2553000</v>
          </cell>
        </row>
        <row r="240">
          <cell r="F240">
            <v>705</v>
          </cell>
          <cell r="G240">
            <v>790400</v>
          </cell>
          <cell r="H240">
            <v>1988900</v>
          </cell>
        </row>
        <row r="241">
          <cell r="F241">
            <v>458</v>
          </cell>
          <cell r="G241">
            <v>749200</v>
          </cell>
          <cell r="H241">
            <v>1527800</v>
          </cell>
        </row>
        <row r="242">
          <cell r="F242">
            <v>1178</v>
          </cell>
          <cell r="G242">
            <v>1014400</v>
          </cell>
          <cell r="H242">
            <v>3017000</v>
          </cell>
        </row>
        <row r="243">
          <cell r="F243">
            <v>826</v>
          </cell>
          <cell r="G243">
            <v>892300</v>
          </cell>
          <cell r="H243">
            <v>2296500</v>
          </cell>
        </row>
        <row r="244">
          <cell r="F244">
            <v>570</v>
          </cell>
          <cell r="G244">
            <v>1376600</v>
          </cell>
          <cell r="H244">
            <v>2345600</v>
          </cell>
        </row>
        <row r="245">
          <cell r="F245">
            <v>519</v>
          </cell>
          <cell r="G245">
            <v>857400</v>
          </cell>
          <cell r="H245">
            <v>1739700</v>
          </cell>
        </row>
        <row r="246">
          <cell r="F246">
            <v>975</v>
          </cell>
          <cell r="G246">
            <v>2273500</v>
          </cell>
          <cell r="H246">
            <v>3931000</v>
          </cell>
        </row>
        <row r="247">
          <cell r="F247">
            <v>1204</v>
          </cell>
          <cell r="G247">
            <v>699400</v>
          </cell>
          <cell r="H247">
            <v>2746200</v>
          </cell>
        </row>
        <row r="248">
          <cell r="F248">
            <v>302</v>
          </cell>
          <cell r="G248">
            <v>1993400</v>
          </cell>
          <cell r="H248">
            <v>2506800</v>
          </cell>
        </row>
        <row r="249">
          <cell r="F249">
            <v>79</v>
          </cell>
          <cell r="G249">
            <v>1908100</v>
          </cell>
          <cell r="H249">
            <v>2042400</v>
          </cell>
        </row>
        <row r="250">
          <cell r="F250">
            <v>51</v>
          </cell>
          <cell r="G250">
            <v>3131600</v>
          </cell>
          <cell r="H250">
            <v>3218300</v>
          </cell>
        </row>
        <row r="251">
          <cell r="F251">
            <v>267</v>
          </cell>
          <cell r="G251">
            <v>181100</v>
          </cell>
          <cell r="H251">
            <v>635000</v>
          </cell>
        </row>
        <row r="252">
          <cell r="F252">
            <v>178</v>
          </cell>
          <cell r="G252">
            <v>676400</v>
          </cell>
          <cell r="H252">
            <v>979000</v>
          </cell>
        </row>
        <row r="253">
          <cell r="F253">
            <v>108</v>
          </cell>
          <cell r="G253">
            <v>1332500</v>
          </cell>
          <cell r="H253">
            <v>1516100</v>
          </cell>
        </row>
        <row r="254">
          <cell r="F254">
            <v>525</v>
          </cell>
          <cell r="G254">
            <v>1630800</v>
          </cell>
          <cell r="H254">
            <v>2523300</v>
          </cell>
        </row>
        <row r="255">
          <cell r="F255">
            <v>330</v>
          </cell>
          <cell r="G255">
            <v>968600</v>
          </cell>
          <cell r="H255">
            <v>1529600</v>
          </cell>
        </row>
        <row r="256">
          <cell r="F256">
            <v>562</v>
          </cell>
          <cell r="G256">
            <v>1786750</v>
          </cell>
          <cell r="H256">
            <v>2742150</v>
          </cell>
        </row>
        <row r="257">
          <cell r="F257">
            <v>398</v>
          </cell>
          <cell r="G257">
            <v>668400</v>
          </cell>
          <cell r="H257">
            <v>1345000</v>
          </cell>
        </row>
        <row r="262">
          <cell r="G262">
            <v>67000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10419</v>
          </cell>
          <cell r="G10">
            <v>4312000</v>
          </cell>
          <cell r="H10">
            <v>22024300</v>
          </cell>
        </row>
        <row r="14">
          <cell r="F14">
            <v>4856</v>
          </cell>
          <cell r="G14">
            <v>1026400</v>
          </cell>
          <cell r="H14">
            <v>9281600</v>
          </cell>
        </row>
        <row r="15">
          <cell r="F15">
            <v>4993</v>
          </cell>
          <cell r="G15">
            <v>1140900</v>
          </cell>
          <cell r="H15">
            <v>9629000</v>
          </cell>
        </row>
        <row r="16">
          <cell r="F16">
            <v>6085</v>
          </cell>
          <cell r="G16">
            <v>1687100</v>
          </cell>
          <cell r="H16">
            <v>12031600</v>
          </cell>
        </row>
        <row r="17">
          <cell r="F17">
            <v>3973</v>
          </cell>
          <cell r="G17">
            <v>1024400</v>
          </cell>
          <cell r="H17">
            <v>7778500</v>
          </cell>
        </row>
        <row r="18">
          <cell r="F18">
            <v>5144</v>
          </cell>
          <cell r="G18">
            <v>1260800</v>
          </cell>
          <cell r="H18">
            <v>10005600</v>
          </cell>
        </row>
        <row r="19">
          <cell r="F19">
            <v>5256</v>
          </cell>
          <cell r="G19">
            <v>2106650</v>
          </cell>
          <cell r="H19">
            <v>11041850</v>
          </cell>
        </row>
        <row r="20">
          <cell r="F20">
            <v>3136</v>
          </cell>
          <cell r="G20">
            <v>1210800</v>
          </cell>
          <cell r="H20">
            <v>6542000</v>
          </cell>
        </row>
        <row r="21">
          <cell r="F21">
            <v>3508</v>
          </cell>
          <cell r="G21">
            <v>1151750</v>
          </cell>
          <cell r="H21">
            <v>7115350</v>
          </cell>
        </row>
        <row r="22">
          <cell r="F22">
            <v>7157</v>
          </cell>
          <cell r="G22">
            <v>2535000</v>
          </cell>
          <cell r="H22">
            <v>14701900</v>
          </cell>
        </row>
        <row r="23">
          <cell r="F23">
            <v>3272</v>
          </cell>
          <cell r="G23">
            <v>863400</v>
          </cell>
          <cell r="H23">
            <v>6425800</v>
          </cell>
        </row>
        <row r="24">
          <cell r="F24">
            <v>2639</v>
          </cell>
          <cell r="G24">
            <v>1093400</v>
          </cell>
          <cell r="H24">
            <v>5579700</v>
          </cell>
        </row>
        <row r="25">
          <cell r="F25">
            <v>2169</v>
          </cell>
          <cell r="G25">
            <v>896800</v>
          </cell>
          <cell r="H25">
            <v>4584100</v>
          </cell>
        </row>
        <row r="26">
          <cell r="F26">
            <v>5314</v>
          </cell>
          <cell r="G26">
            <v>1934800</v>
          </cell>
          <cell r="H26">
            <v>10968600</v>
          </cell>
        </row>
        <row r="27">
          <cell r="F27">
            <v>13432</v>
          </cell>
          <cell r="G27">
            <v>6015100</v>
          </cell>
          <cell r="H27">
            <v>28849500</v>
          </cell>
        </row>
        <row r="28">
          <cell r="F28">
            <v>10237</v>
          </cell>
          <cell r="G28">
            <v>3462150</v>
          </cell>
          <cell r="H28">
            <v>20865050</v>
          </cell>
        </row>
        <row r="29">
          <cell r="F29">
            <v>8334</v>
          </cell>
          <cell r="G29">
            <v>3657650</v>
          </cell>
          <cell r="H29">
            <v>17825450</v>
          </cell>
        </row>
        <row r="30">
          <cell r="F30">
            <v>14109</v>
          </cell>
          <cell r="G30">
            <v>3511350</v>
          </cell>
          <cell r="H30">
            <v>27496650</v>
          </cell>
        </row>
        <row r="31">
          <cell r="F31">
            <v>7702</v>
          </cell>
          <cell r="G31">
            <v>2275800</v>
          </cell>
          <cell r="H31">
            <v>15369200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9295</v>
          </cell>
          <cell r="G33">
            <v>2657500</v>
          </cell>
          <cell r="H33">
            <v>18459000</v>
          </cell>
        </row>
        <row r="34">
          <cell r="F34">
            <v>12543</v>
          </cell>
          <cell r="G34">
            <v>2785900</v>
          </cell>
          <cell r="H34">
            <v>24109000</v>
          </cell>
        </row>
        <row r="35">
          <cell r="F35">
            <v>10422</v>
          </cell>
          <cell r="G35">
            <v>3648500</v>
          </cell>
          <cell r="H35">
            <v>21365900</v>
          </cell>
        </row>
        <row r="36">
          <cell r="F36">
            <v>11810</v>
          </cell>
          <cell r="G36">
            <v>3319200</v>
          </cell>
          <cell r="H36">
            <v>23396200</v>
          </cell>
        </row>
        <row r="37">
          <cell r="F37">
            <v>3111</v>
          </cell>
          <cell r="G37">
            <v>2258700</v>
          </cell>
          <cell r="H37">
            <v>7547400</v>
          </cell>
        </row>
        <row r="38">
          <cell r="F38">
            <v>5889</v>
          </cell>
          <cell r="G38">
            <v>2813300</v>
          </cell>
          <cell r="H38">
            <v>12824600</v>
          </cell>
        </row>
        <row r="39">
          <cell r="F39">
            <v>2048</v>
          </cell>
          <cell r="G39">
            <v>2282950</v>
          </cell>
          <cell r="H39">
            <v>5764550</v>
          </cell>
        </row>
        <row r="40">
          <cell r="F40">
            <v>11419</v>
          </cell>
          <cell r="G40">
            <v>5056150</v>
          </cell>
          <cell r="H40">
            <v>24468450</v>
          </cell>
        </row>
        <row r="41">
          <cell r="F41">
            <v>5205</v>
          </cell>
          <cell r="G41">
            <v>1680500</v>
          </cell>
          <cell r="H41">
            <v>10529000</v>
          </cell>
        </row>
        <row r="42">
          <cell r="F42">
            <v>1612</v>
          </cell>
          <cell r="G42">
            <v>881700</v>
          </cell>
          <cell r="H42">
            <v>3622100</v>
          </cell>
        </row>
        <row r="43">
          <cell r="F43">
            <v>3617</v>
          </cell>
          <cell r="G43">
            <v>871550</v>
          </cell>
          <cell r="H43">
            <v>7020450</v>
          </cell>
        </row>
        <row r="44">
          <cell r="F44">
            <v>909</v>
          </cell>
          <cell r="G44">
            <v>370800</v>
          </cell>
          <cell r="H44">
            <v>1916100</v>
          </cell>
        </row>
        <row r="45">
          <cell r="F45">
            <v>12887</v>
          </cell>
          <cell r="G45">
            <v>4125350</v>
          </cell>
          <cell r="H45">
            <v>26033250</v>
          </cell>
        </row>
        <row r="46">
          <cell r="F46">
            <v>2255</v>
          </cell>
          <cell r="G46">
            <v>1703600</v>
          </cell>
          <cell r="H46">
            <v>5537100</v>
          </cell>
        </row>
        <row r="47">
          <cell r="F47">
            <v>20353</v>
          </cell>
          <cell r="G47">
            <v>3864600</v>
          </cell>
          <cell r="H47">
            <v>38464700</v>
          </cell>
        </row>
        <row r="52">
          <cell r="F52">
            <v>7652</v>
          </cell>
          <cell r="G52">
            <v>2121600</v>
          </cell>
          <cell r="H52">
            <v>15130000</v>
          </cell>
        </row>
        <row r="53">
          <cell r="F53">
            <v>6609</v>
          </cell>
          <cell r="G53">
            <v>2797200</v>
          </cell>
          <cell r="H53">
            <v>14032500</v>
          </cell>
        </row>
        <row r="54">
          <cell r="F54">
            <v>13131</v>
          </cell>
          <cell r="G54">
            <v>3836800</v>
          </cell>
          <cell r="H54">
            <v>26159500</v>
          </cell>
        </row>
        <row r="55">
          <cell r="F55">
            <v>6076</v>
          </cell>
          <cell r="G55">
            <v>2714000</v>
          </cell>
          <cell r="H55">
            <v>13043200</v>
          </cell>
        </row>
        <row r="56">
          <cell r="F56">
            <v>3878</v>
          </cell>
          <cell r="G56">
            <v>1160100</v>
          </cell>
          <cell r="H56">
            <v>7752700</v>
          </cell>
        </row>
        <row r="57">
          <cell r="F57">
            <v>8619</v>
          </cell>
          <cell r="G57">
            <v>2478350</v>
          </cell>
          <cell r="H57">
            <v>17130650</v>
          </cell>
        </row>
        <row r="58">
          <cell r="F58">
            <v>13370</v>
          </cell>
          <cell r="G58">
            <v>3250200</v>
          </cell>
          <cell r="H58">
            <v>25979200</v>
          </cell>
        </row>
        <row r="59">
          <cell r="F59">
            <v>7018</v>
          </cell>
          <cell r="G59">
            <v>2264800</v>
          </cell>
          <cell r="H59">
            <v>14195400</v>
          </cell>
        </row>
        <row r="60">
          <cell r="F60">
            <v>6168</v>
          </cell>
          <cell r="G60">
            <v>1905000</v>
          </cell>
          <cell r="H60">
            <v>12390600</v>
          </cell>
        </row>
        <row r="61">
          <cell r="F61">
            <v>4480</v>
          </cell>
          <cell r="G61">
            <v>1335600</v>
          </cell>
          <cell r="H61">
            <v>8951600</v>
          </cell>
        </row>
        <row r="62">
          <cell r="F62">
            <v>10667</v>
          </cell>
          <cell r="G62">
            <v>3238350</v>
          </cell>
          <cell r="H62">
            <v>21372250</v>
          </cell>
        </row>
        <row r="63">
          <cell r="F63">
            <v>9145</v>
          </cell>
          <cell r="G63">
            <v>3087800</v>
          </cell>
          <cell r="H63">
            <v>18634300</v>
          </cell>
        </row>
        <row r="64">
          <cell r="F64">
            <v>9332</v>
          </cell>
          <cell r="G64">
            <v>2988600</v>
          </cell>
          <cell r="H64">
            <v>18853000</v>
          </cell>
        </row>
        <row r="65">
          <cell r="F65">
            <v>6882</v>
          </cell>
          <cell r="G65">
            <v>2871300</v>
          </cell>
          <cell r="H65">
            <v>14570700</v>
          </cell>
        </row>
        <row r="66">
          <cell r="F66">
            <v>6486</v>
          </cell>
          <cell r="G66">
            <v>2365450</v>
          </cell>
          <cell r="H66">
            <v>13391650</v>
          </cell>
        </row>
        <row r="67">
          <cell r="F67">
            <v>4507</v>
          </cell>
          <cell r="G67">
            <v>1917400</v>
          </cell>
          <cell r="H67">
            <v>9579300</v>
          </cell>
        </row>
        <row r="68">
          <cell r="F68">
            <v>8397</v>
          </cell>
          <cell r="G68">
            <v>2730500</v>
          </cell>
          <cell r="H68">
            <v>17005400</v>
          </cell>
        </row>
        <row r="69">
          <cell r="F69">
            <v>5846</v>
          </cell>
          <cell r="G69">
            <v>1823300</v>
          </cell>
          <cell r="H69">
            <v>11761500</v>
          </cell>
        </row>
        <row r="70">
          <cell r="F70">
            <v>10312</v>
          </cell>
          <cell r="G70">
            <v>4277900</v>
          </cell>
          <cell r="H70">
            <v>21808300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5642</v>
          </cell>
          <cell r="G72">
            <v>1411150</v>
          </cell>
          <cell r="H72">
            <v>11002550</v>
          </cell>
        </row>
        <row r="73">
          <cell r="F73">
            <v>3657</v>
          </cell>
          <cell r="G73">
            <v>910700</v>
          </cell>
          <cell r="H73">
            <v>7127600</v>
          </cell>
        </row>
        <row r="74">
          <cell r="F74">
            <v>12257</v>
          </cell>
          <cell r="G74">
            <v>2916500</v>
          </cell>
          <cell r="H74">
            <v>23753400</v>
          </cell>
        </row>
        <row r="75">
          <cell r="F75">
            <v>5262</v>
          </cell>
          <cell r="G75">
            <v>1682900</v>
          </cell>
          <cell r="H75">
            <v>10628300</v>
          </cell>
        </row>
        <row r="76">
          <cell r="F76">
            <v>17513</v>
          </cell>
          <cell r="G76">
            <v>5373400</v>
          </cell>
          <cell r="H76">
            <v>35145500</v>
          </cell>
        </row>
        <row r="77">
          <cell r="F77">
            <v>7187</v>
          </cell>
          <cell r="G77">
            <v>1028050</v>
          </cell>
          <cell r="H77">
            <v>13245950</v>
          </cell>
        </row>
        <row r="78">
          <cell r="F78">
            <v>6111</v>
          </cell>
          <cell r="G78">
            <v>1662100</v>
          </cell>
          <cell r="H78">
            <v>12050800</v>
          </cell>
        </row>
        <row r="79">
          <cell r="F79">
            <v>2105</v>
          </cell>
          <cell r="G79">
            <v>513700</v>
          </cell>
          <cell r="H79">
            <v>4092200</v>
          </cell>
        </row>
        <row r="80">
          <cell r="F80">
            <v>3936</v>
          </cell>
          <cell r="G80">
            <v>596600</v>
          </cell>
          <cell r="H80">
            <v>7287800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2583</v>
          </cell>
          <cell r="G84">
            <v>458100</v>
          </cell>
          <cell r="H84">
            <v>4849200</v>
          </cell>
        </row>
        <row r="85">
          <cell r="F85">
            <v>1220</v>
          </cell>
          <cell r="G85">
            <v>232100</v>
          </cell>
          <cell r="H85">
            <v>2306100</v>
          </cell>
        </row>
        <row r="86">
          <cell r="F86">
            <v>2834</v>
          </cell>
          <cell r="G86">
            <v>953400</v>
          </cell>
          <cell r="H86">
            <v>5771200</v>
          </cell>
        </row>
        <row r="87">
          <cell r="F87">
            <v>2679</v>
          </cell>
          <cell r="G87">
            <v>658400</v>
          </cell>
          <cell r="H87">
            <v>5212700</v>
          </cell>
        </row>
        <row r="88">
          <cell r="F88">
            <v>4514</v>
          </cell>
          <cell r="G88">
            <v>1459250</v>
          </cell>
          <cell r="H88">
            <v>9133050</v>
          </cell>
        </row>
        <row r="89">
          <cell r="F89">
            <v>1480</v>
          </cell>
          <cell r="G89">
            <v>764700</v>
          </cell>
          <cell r="H89">
            <v>3280700</v>
          </cell>
        </row>
        <row r="90">
          <cell r="F90">
            <v>2425</v>
          </cell>
          <cell r="G90">
            <v>939600</v>
          </cell>
          <cell r="H90">
            <v>5062100</v>
          </cell>
        </row>
        <row r="91">
          <cell r="F91">
            <v>4007</v>
          </cell>
          <cell r="G91">
            <v>1107800</v>
          </cell>
          <cell r="H91">
            <v>7919700</v>
          </cell>
        </row>
        <row r="92">
          <cell r="F92">
            <v>1952</v>
          </cell>
          <cell r="G92">
            <v>923600</v>
          </cell>
          <cell r="H92">
            <v>4242000</v>
          </cell>
        </row>
        <row r="93">
          <cell r="F93">
            <v>2289</v>
          </cell>
          <cell r="G93">
            <v>907800</v>
          </cell>
          <cell r="H93">
            <v>4799100</v>
          </cell>
        </row>
        <row r="94">
          <cell r="F94">
            <v>526</v>
          </cell>
          <cell r="G94">
            <v>135900</v>
          </cell>
          <cell r="H94">
            <v>1030100</v>
          </cell>
        </row>
        <row r="95">
          <cell r="F95">
            <v>2715</v>
          </cell>
          <cell r="G95">
            <v>845000</v>
          </cell>
          <cell r="H95">
            <v>5460500</v>
          </cell>
        </row>
        <row r="96">
          <cell r="F96">
            <v>2891</v>
          </cell>
          <cell r="G96">
            <v>325500</v>
          </cell>
          <cell r="H96">
            <v>5240200</v>
          </cell>
        </row>
        <row r="97">
          <cell r="F97">
            <v>6026</v>
          </cell>
          <cell r="G97">
            <v>1004100</v>
          </cell>
          <cell r="H97">
            <v>11248300</v>
          </cell>
        </row>
        <row r="98">
          <cell r="F98">
            <v>2957</v>
          </cell>
          <cell r="G98">
            <v>765000</v>
          </cell>
          <cell r="H98">
            <v>5791900</v>
          </cell>
        </row>
        <row r="99">
          <cell r="F99">
            <v>6237</v>
          </cell>
          <cell r="G99">
            <v>1283500</v>
          </cell>
          <cell r="H99">
            <v>11886400</v>
          </cell>
        </row>
        <row r="100">
          <cell r="F100">
            <v>6593</v>
          </cell>
          <cell r="G100">
            <v>1363100</v>
          </cell>
          <cell r="H100">
            <v>12571200</v>
          </cell>
        </row>
        <row r="101">
          <cell r="F101">
            <v>2155</v>
          </cell>
          <cell r="G101">
            <v>563600</v>
          </cell>
          <cell r="H101">
            <v>4227100</v>
          </cell>
        </row>
        <row r="102">
          <cell r="F102">
            <v>12719</v>
          </cell>
          <cell r="G102">
            <v>1676200</v>
          </cell>
          <cell r="H102">
            <v>23298500</v>
          </cell>
        </row>
        <row r="103">
          <cell r="F103">
            <v>10716</v>
          </cell>
          <cell r="G103">
            <v>1877650</v>
          </cell>
          <cell r="H103">
            <v>20094850</v>
          </cell>
        </row>
        <row r="104">
          <cell r="F104">
            <v>4882</v>
          </cell>
          <cell r="G104">
            <v>1134600</v>
          </cell>
          <cell r="H104">
            <v>9434000</v>
          </cell>
        </row>
        <row r="105">
          <cell r="F105">
            <v>3284</v>
          </cell>
          <cell r="G105">
            <v>903000</v>
          </cell>
          <cell r="H105">
            <v>6485800</v>
          </cell>
        </row>
        <row r="106">
          <cell r="F106">
            <v>2924</v>
          </cell>
          <cell r="G106">
            <v>799100</v>
          </cell>
          <cell r="H106">
            <v>5769900</v>
          </cell>
        </row>
        <row r="107">
          <cell r="F107">
            <v>4687</v>
          </cell>
          <cell r="G107">
            <v>665900</v>
          </cell>
          <cell r="H107">
            <v>8633800</v>
          </cell>
        </row>
        <row r="108">
          <cell r="F108">
            <v>4301</v>
          </cell>
          <cell r="G108">
            <v>766900</v>
          </cell>
          <cell r="H108">
            <v>8078600</v>
          </cell>
        </row>
        <row r="109">
          <cell r="F109">
            <v>2975</v>
          </cell>
          <cell r="G109">
            <v>726600</v>
          </cell>
          <cell r="H109">
            <v>5784100</v>
          </cell>
        </row>
        <row r="110">
          <cell r="F110">
            <v>1875</v>
          </cell>
          <cell r="G110">
            <v>383900</v>
          </cell>
          <cell r="H110">
            <v>3571400</v>
          </cell>
        </row>
        <row r="111">
          <cell r="F111">
            <v>5140</v>
          </cell>
          <cell r="G111">
            <v>1344400</v>
          </cell>
          <cell r="H111">
            <v>10082400</v>
          </cell>
        </row>
        <row r="112">
          <cell r="F112">
            <v>3379</v>
          </cell>
          <cell r="G112">
            <v>900200</v>
          </cell>
          <cell r="H112">
            <v>6644500</v>
          </cell>
        </row>
        <row r="113">
          <cell r="F113">
            <v>3671</v>
          </cell>
          <cell r="G113">
            <v>1652550</v>
          </cell>
          <cell r="H113">
            <v>7893250</v>
          </cell>
        </row>
        <row r="114">
          <cell r="F114">
            <v>295</v>
          </cell>
          <cell r="G114">
            <v>58000</v>
          </cell>
          <cell r="H114">
            <v>559500</v>
          </cell>
        </row>
        <row r="115">
          <cell r="F115">
            <v>1883</v>
          </cell>
          <cell r="G115">
            <v>231300</v>
          </cell>
          <cell r="H115">
            <v>3432400</v>
          </cell>
        </row>
        <row r="116">
          <cell r="F116">
            <v>283</v>
          </cell>
          <cell r="G116">
            <v>31800</v>
          </cell>
          <cell r="H116">
            <v>512900</v>
          </cell>
        </row>
        <row r="117">
          <cell r="F117">
            <v>2242</v>
          </cell>
          <cell r="G117">
            <v>478600</v>
          </cell>
          <cell r="H117">
            <v>4290000</v>
          </cell>
        </row>
        <row r="118">
          <cell r="F118">
            <v>2899</v>
          </cell>
          <cell r="G118">
            <v>910500</v>
          </cell>
          <cell r="H118">
            <v>5838800</v>
          </cell>
        </row>
        <row r="121">
          <cell r="F121">
            <v>42201</v>
          </cell>
          <cell r="G121">
            <v>4395600</v>
          </cell>
        </row>
        <row r="122">
          <cell r="F122">
            <v>8776</v>
          </cell>
          <cell r="G122">
            <v>11535750</v>
          </cell>
          <cell r="H122">
            <v>26454950</v>
          </cell>
        </row>
        <row r="133">
          <cell r="F133">
            <v>152895</v>
          </cell>
          <cell r="G133">
            <v>44536300</v>
          </cell>
          <cell r="H133">
            <v>304457800</v>
          </cell>
        </row>
        <row r="135">
          <cell r="F135">
            <v>164</v>
          </cell>
          <cell r="G135">
            <v>330500</v>
          </cell>
          <cell r="H135">
            <v>609300</v>
          </cell>
        </row>
        <row r="136">
          <cell r="F136">
            <v>4600</v>
          </cell>
          <cell r="G136">
            <v>2286600</v>
          </cell>
          <cell r="H136">
            <v>10106600</v>
          </cell>
        </row>
        <row r="137">
          <cell r="F137">
            <v>355</v>
          </cell>
          <cell r="G137">
            <v>358900</v>
          </cell>
          <cell r="H137">
            <v>962400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279</v>
          </cell>
          <cell r="G139">
            <v>388500</v>
          </cell>
          <cell r="H139">
            <v>862800</v>
          </cell>
        </row>
        <row r="140">
          <cell r="F140">
            <v>631</v>
          </cell>
          <cell r="G140">
            <v>499600</v>
          </cell>
          <cell r="H140">
            <v>1572300</v>
          </cell>
        </row>
        <row r="141">
          <cell r="F141">
            <v>358</v>
          </cell>
          <cell r="G141">
            <v>275800</v>
          </cell>
          <cell r="H141">
            <v>884400</v>
          </cell>
        </row>
        <row r="142">
          <cell r="F142">
            <v>152</v>
          </cell>
          <cell r="G142">
            <v>389900</v>
          </cell>
          <cell r="H142">
            <v>648300</v>
          </cell>
        </row>
        <row r="143">
          <cell r="F143">
            <v>394</v>
          </cell>
          <cell r="G143">
            <v>487600</v>
          </cell>
          <cell r="H143">
            <v>1157400</v>
          </cell>
        </row>
        <row r="144">
          <cell r="F144">
            <v>239</v>
          </cell>
          <cell r="G144">
            <v>602500</v>
          </cell>
          <cell r="H144">
            <v>1008800</v>
          </cell>
          <cell r="M144">
            <v>988762.55799999996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94</v>
          </cell>
          <cell r="G146">
            <v>114800</v>
          </cell>
          <cell r="H146">
            <v>274600</v>
          </cell>
        </row>
        <row r="147">
          <cell r="F147">
            <v>370</v>
          </cell>
          <cell r="G147">
            <v>534200</v>
          </cell>
          <cell r="H147">
            <v>1163200</v>
          </cell>
        </row>
        <row r="148">
          <cell r="F148">
            <v>687</v>
          </cell>
          <cell r="G148">
            <v>1181000</v>
          </cell>
          <cell r="H148">
            <v>2348900</v>
          </cell>
        </row>
        <row r="149">
          <cell r="F149">
            <v>209</v>
          </cell>
          <cell r="G149">
            <v>538900</v>
          </cell>
          <cell r="H149">
            <v>894200</v>
          </cell>
        </row>
        <row r="150">
          <cell r="F150">
            <v>196</v>
          </cell>
          <cell r="G150">
            <v>389100</v>
          </cell>
          <cell r="H150">
            <v>722300</v>
          </cell>
        </row>
        <row r="153">
          <cell r="F153">
            <v>0</v>
          </cell>
          <cell r="G153">
            <v>50000</v>
          </cell>
          <cell r="H153">
            <v>50000</v>
          </cell>
        </row>
        <row r="154">
          <cell r="F154">
            <v>0</v>
          </cell>
          <cell r="G154">
            <v>207000</v>
          </cell>
          <cell r="H154">
            <v>207000</v>
          </cell>
        </row>
        <row r="155">
          <cell r="F155">
            <v>0</v>
          </cell>
          <cell r="G155">
            <v>148000</v>
          </cell>
          <cell r="H155">
            <v>148000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1775000</v>
          </cell>
          <cell r="H158">
            <v>1775000</v>
          </cell>
        </row>
        <row r="159">
          <cell r="F159">
            <v>0</v>
          </cell>
          <cell r="G159">
            <v>1329000</v>
          </cell>
          <cell r="H159">
            <v>1329000</v>
          </cell>
        </row>
        <row r="160">
          <cell r="F160">
            <v>0</v>
          </cell>
          <cell r="G160">
            <v>1103000</v>
          </cell>
          <cell r="H160">
            <v>1103000</v>
          </cell>
        </row>
        <row r="161">
          <cell r="F161">
            <v>0</v>
          </cell>
          <cell r="G161">
            <v>1909000</v>
          </cell>
          <cell r="H161">
            <v>1909000</v>
          </cell>
        </row>
        <row r="162">
          <cell r="F162">
            <v>0</v>
          </cell>
          <cell r="G162">
            <v>1313000</v>
          </cell>
          <cell r="H162">
            <v>1313000</v>
          </cell>
        </row>
        <row r="163">
          <cell r="F163">
            <v>0</v>
          </cell>
          <cell r="G163">
            <v>403000</v>
          </cell>
          <cell r="H163">
            <v>403000</v>
          </cell>
        </row>
        <row r="164">
          <cell r="F164">
            <v>0</v>
          </cell>
          <cell r="G164">
            <v>196000</v>
          </cell>
          <cell r="H164">
            <v>196000</v>
          </cell>
        </row>
        <row r="165">
          <cell r="F165">
            <v>0</v>
          </cell>
          <cell r="G165">
            <v>224000</v>
          </cell>
          <cell r="H165">
            <v>224000</v>
          </cell>
        </row>
        <row r="166">
          <cell r="F166">
            <v>0</v>
          </cell>
          <cell r="G166">
            <v>53000</v>
          </cell>
          <cell r="H166">
            <v>53000</v>
          </cell>
        </row>
        <row r="167">
          <cell r="F167">
            <v>0</v>
          </cell>
          <cell r="G167">
            <v>208000</v>
          </cell>
          <cell r="H167">
            <v>208000</v>
          </cell>
        </row>
        <row r="168">
          <cell r="F168">
            <v>0</v>
          </cell>
          <cell r="G168">
            <v>66000</v>
          </cell>
          <cell r="H168">
            <v>66000</v>
          </cell>
        </row>
        <row r="169">
          <cell r="F169">
            <v>0</v>
          </cell>
          <cell r="G169">
            <v>60000</v>
          </cell>
          <cell r="H169">
            <v>60000</v>
          </cell>
        </row>
        <row r="170">
          <cell r="F170">
            <v>0</v>
          </cell>
          <cell r="G170">
            <v>93000</v>
          </cell>
          <cell r="H170">
            <v>93000</v>
          </cell>
        </row>
        <row r="171">
          <cell r="F171">
            <v>0</v>
          </cell>
          <cell r="G171">
            <v>138000</v>
          </cell>
          <cell r="H171">
            <v>138000</v>
          </cell>
        </row>
        <row r="172">
          <cell r="F172">
            <v>0</v>
          </cell>
          <cell r="G172">
            <v>39000</v>
          </cell>
          <cell r="H172">
            <v>39000</v>
          </cell>
        </row>
        <row r="173">
          <cell r="F173">
            <v>0</v>
          </cell>
          <cell r="G173">
            <v>46000</v>
          </cell>
          <cell r="H173">
            <v>46000</v>
          </cell>
        </row>
        <row r="174">
          <cell r="F174">
            <v>0</v>
          </cell>
          <cell r="G174">
            <v>3000</v>
          </cell>
          <cell r="H174">
            <v>3000</v>
          </cell>
        </row>
        <row r="175">
          <cell r="F175">
            <v>0</v>
          </cell>
          <cell r="G175">
            <v>154000</v>
          </cell>
          <cell r="H175">
            <v>154000</v>
          </cell>
        </row>
        <row r="176">
          <cell r="F176">
            <v>0</v>
          </cell>
          <cell r="G176">
            <v>116000</v>
          </cell>
          <cell r="H176">
            <v>116000</v>
          </cell>
        </row>
        <row r="177">
          <cell r="F177">
            <v>0</v>
          </cell>
          <cell r="G177">
            <v>399000</v>
          </cell>
          <cell r="H177">
            <v>399000</v>
          </cell>
        </row>
        <row r="178">
          <cell r="F178">
            <v>0</v>
          </cell>
          <cell r="G178">
            <v>319000</v>
          </cell>
          <cell r="H178">
            <v>319000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</v>
          </cell>
          <cell r="H180">
            <v>2000</v>
          </cell>
        </row>
        <row r="181">
          <cell r="F181">
            <v>0</v>
          </cell>
          <cell r="G181">
            <v>15000</v>
          </cell>
          <cell r="H181">
            <v>15000</v>
          </cell>
        </row>
        <row r="182">
          <cell r="F182">
            <v>0</v>
          </cell>
          <cell r="G182">
            <v>34000</v>
          </cell>
          <cell r="H182">
            <v>34000</v>
          </cell>
        </row>
        <row r="183">
          <cell r="F183">
            <v>0</v>
          </cell>
          <cell r="G183">
            <v>200000</v>
          </cell>
          <cell r="H183">
            <v>200000</v>
          </cell>
        </row>
        <row r="184">
          <cell r="F184">
            <v>0</v>
          </cell>
          <cell r="G184">
            <v>10000</v>
          </cell>
          <cell r="H184">
            <v>10000</v>
          </cell>
        </row>
        <row r="185">
          <cell r="F185">
            <v>0</v>
          </cell>
          <cell r="G185">
            <v>59000</v>
          </cell>
          <cell r="H185">
            <v>59000</v>
          </cell>
        </row>
        <row r="186">
          <cell r="F186">
            <v>0</v>
          </cell>
          <cell r="G186">
            <v>8000</v>
          </cell>
          <cell r="H186">
            <v>8000</v>
          </cell>
        </row>
        <row r="187">
          <cell r="F187">
            <v>0</v>
          </cell>
          <cell r="G187">
            <v>378000</v>
          </cell>
          <cell r="H187">
            <v>378000</v>
          </cell>
        </row>
        <row r="188">
          <cell r="F188">
            <v>0</v>
          </cell>
          <cell r="G188">
            <v>16000</v>
          </cell>
          <cell r="H188">
            <v>16000</v>
          </cell>
        </row>
        <row r="189">
          <cell r="F189">
            <v>0</v>
          </cell>
          <cell r="G189">
            <v>111000</v>
          </cell>
          <cell r="H189">
            <v>111000</v>
          </cell>
        </row>
        <row r="190">
          <cell r="F190">
            <v>0</v>
          </cell>
          <cell r="G190">
            <v>71000</v>
          </cell>
          <cell r="H190">
            <v>71000</v>
          </cell>
        </row>
        <row r="191">
          <cell r="F191">
            <v>0</v>
          </cell>
          <cell r="G191">
            <v>38000</v>
          </cell>
          <cell r="H191">
            <v>38000</v>
          </cell>
        </row>
        <row r="192">
          <cell r="F192">
            <v>0</v>
          </cell>
          <cell r="G192">
            <v>58000</v>
          </cell>
          <cell r="H192">
            <v>58000</v>
          </cell>
        </row>
        <row r="193">
          <cell r="F193">
            <v>0</v>
          </cell>
          <cell r="G193">
            <v>149000</v>
          </cell>
          <cell r="H193">
            <v>149000</v>
          </cell>
        </row>
        <row r="194">
          <cell r="F194">
            <v>0</v>
          </cell>
          <cell r="G194">
            <v>46000</v>
          </cell>
          <cell r="H194">
            <v>46000</v>
          </cell>
        </row>
        <row r="195">
          <cell r="F195">
            <v>0</v>
          </cell>
          <cell r="G195">
            <v>94000</v>
          </cell>
          <cell r="H195">
            <v>94000</v>
          </cell>
        </row>
        <row r="196">
          <cell r="F196">
            <v>0</v>
          </cell>
          <cell r="G196">
            <v>220000</v>
          </cell>
          <cell r="H196">
            <v>220000</v>
          </cell>
        </row>
        <row r="197">
          <cell r="F197">
            <v>0</v>
          </cell>
          <cell r="G197">
            <v>41000</v>
          </cell>
          <cell r="H197">
            <v>41000</v>
          </cell>
        </row>
        <row r="198">
          <cell r="F198">
            <v>0</v>
          </cell>
          <cell r="G198">
            <v>108000</v>
          </cell>
          <cell r="H198">
            <v>108000</v>
          </cell>
        </row>
        <row r="199">
          <cell r="F199">
            <v>0</v>
          </cell>
          <cell r="G199">
            <v>21000</v>
          </cell>
          <cell r="H199">
            <v>21000</v>
          </cell>
        </row>
        <row r="200">
          <cell r="F200">
            <v>0</v>
          </cell>
          <cell r="G200">
            <v>93000</v>
          </cell>
          <cell r="H200">
            <v>93000</v>
          </cell>
        </row>
        <row r="201">
          <cell r="F201">
            <v>0</v>
          </cell>
          <cell r="G201">
            <v>126000</v>
          </cell>
          <cell r="H201">
            <v>126000</v>
          </cell>
        </row>
        <row r="202">
          <cell r="F202">
            <v>0</v>
          </cell>
          <cell r="G202">
            <v>160000</v>
          </cell>
          <cell r="H202">
            <v>160000</v>
          </cell>
        </row>
        <row r="203">
          <cell r="F203">
            <v>0</v>
          </cell>
          <cell r="G203">
            <v>65000</v>
          </cell>
          <cell r="H203">
            <v>65000</v>
          </cell>
        </row>
        <row r="204">
          <cell r="F204">
            <v>0</v>
          </cell>
          <cell r="G204">
            <v>245000</v>
          </cell>
          <cell r="H204">
            <v>245000</v>
          </cell>
        </row>
        <row r="205">
          <cell r="F205">
            <v>0</v>
          </cell>
          <cell r="G205">
            <v>135000</v>
          </cell>
          <cell r="H205">
            <v>135000</v>
          </cell>
        </row>
        <row r="206">
          <cell r="F206">
            <v>0</v>
          </cell>
          <cell r="G206">
            <v>122000</v>
          </cell>
          <cell r="H206">
            <v>122000</v>
          </cell>
        </row>
        <row r="207">
          <cell r="F207">
            <v>0</v>
          </cell>
          <cell r="G207">
            <v>194000</v>
          </cell>
          <cell r="H207">
            <v>194000</v>
          </cell>
        </row>
        <row r="208">
          <cell r="F208">
            <v>0</v>
          </cell>
          <cell r="G208">
            <v>111000</v>
          </cell>
          <cell r="H208">
            <v>111000</v>
          </cell>
        </row>
        <row r="209">
          <cell r="F209">
            <v>0</v>
          </cell>
          <cell r="G209">
            <v>118000</v>
          </cell>
          <cell r="H209">
            <v>118000</v>
          </cell>
        </row>
        <row r="210">
          <cell r="F210">
            <v>0</v>
          </cell>
          <cell r="G210">
            <v>660000</v>
          </cell>
          <cell r="H210">
            <v>660000</v>
          </cell>
        </row>
        <row r="211">
          <cell r="F211">
            <v>0</v>
          </cell>
          <cell r="G211">
            <v>104000</v>
          </cell>
          <cell r="H211">
            <v>104000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75000</v>
          </cell>
          <cell r="H214">
            <v>75000</v>
          </cell>
        </row>
        <row r="215">
          <cell r="F215">
            <v>0</v>
          </cell>
          <cell r="G215">
            <v>90000</v>
          </cell>
          <cell r="H215">
            <v>90000</v>
          </cell>
        </row>
        <row r="216">
          <cell r="F216">
            <v>0</v>
          </cell>
          <cell r="G216">
            <v>462000</v>
          </cell>
          <cell r="H216">
            <v>462000</v>
          </cell>
        </row>
        <row r="217">
          <cell r="F217">
            <v>0</v>
          </cell>
          <cell r="G217">
            <v>67000</v>
          </cell>
          <cell r="H217">
            <v>67000</v>
          </cell>
        </row>
        <row r="218">
          <cell r="F218">
            <v>0</v>
          </cell>
          <cell r="G218">
            <v>241000</v>
          </cell>
          <cell r="H218">
            <v>241000</v>
          </cell>
        </row>
        <row r="219">
          <cell r="F219">
            <v>0</v>
          </cell>
          <cell r="G219">
            <v>144000</v>
          </cell>
          <cell r="H219">
            <v>144000</v>
          </cell>
        </row>
        <row r="220">
          <cell r="F220">
            <v>0</v>
          </cell>
          <cell r="G220">
            <v>55000</v>
          </cell>
          <cell r="H220">
            <v>55000</v>
          </cell>
        </row>
        <row r="223">
          <cell r="F223">
            <v>984</v>
          </cell>
          <cell r="G223">
            <v>2585100</v>
          </cell>
          <cell r="H223">
            <v>4257900</v>
          </cell>
        </row>
        <row r="224">
          <cell r="F224">
            <v>0</v>
          </cell>
          <cell r="G224">
            <v>2503200</v>
          </cell>
          <cell r="H224">
            <v>2503200</v>
          </cell>
        </row>
        <row r="225">
          <cell r="F225">
            <v>614</v>
          </cell>
          <cell r="G225">
            <v>1137400</v>
          </cell>
          <cell r="H225">
            <v>2181200</v>
          </cell>
        </row>
        <row r="226">
          <cell r="F226">
            <v>1184</v>
          </cell>
          <cell r="G226">
            <v>886900</v>
          </cell>
          <cell r="H226">
            <v>2899700</v>
          </cell>
        </row>
        <row r="227">
          <cell r="F227">
            <v>1015</v>
          </cell>
          <cell r="G227">
            <v>650700</v>
          </cell>
          <cell r="H227">
            <v>2376200</v>
          </cell>
        </row>
        <row r="228">
          <cell r="F228">
            <v>424</v>
          </cell>
          <cell r="G228">
            <v>978500</v>
          </cell>
          <cell r="H228">
            <v>1699300</v>
          </cell>
        </row>
        <row r="229">
          <cell r="F229">
            <v>697</v>
          </cell>
          <cell r="G229">
            <v>1232700</v>
          </cell>
          <cell r="H229">
            <v>2417600</v>
          </cell>
        </row>
        <row r="230">
          <cell r="F230">
            <v>1766</v>
          </cell>
          <cell r="G230">
            <v>865200</v>
          </cell>
          <cell r="H230">
            <v>3867400</v>
          </cell>
        </row>
        <row r="231">
          <cell r="F231">
            <v>0</v>
          </cell>
          <cell r="G231">
            <v>2810900</v>
          </cell>
          <cell r="H231">
            <v>2810900</v>
          </cell>
        </row>
        <row r="232">
          <cell r="F232">
            <v>0</v>
          </cell>
          <cell r="G232">
            <v>2455000</v>
          </cell>
          <cell r="H232">
            <v>2455000</v>
          </cell>
        </row>
        <row r="233">
          <cell r="F233">
            <v>563</v>
          </cell>
          <cell r="G233">
            <v>1122300</v>
          </cell>
          <cell r="H233">
            <v>2079400</v>
          </cell>
        </row>
        <row r="234">
          <cell r="F234">
            <v>717</v>
          </cell>
          <cell r="G234">
            <v>306300</v>
          </cell>
          <cell r="H234">
            <v>1525200</v>
          </cell>
        </row>
        <row r="235">
          <cell r="F235">
            <v>5</v>
          </cell>
          <cell r="G235">
            <v>589400</v>
          </cell>
          <cell r="H235">
            <v>597900</v>
          </cell>
        </row>
        <row r="236">
          <cell r="F236">
            <v>0</v>
          </cell>
          <cell r="G236">
            <v>633800</v>
          </cell>
          <cell r="H236">
            <v>633800</v>
          </cell>
        </row>
        <row r="237">
          <cell r="F237">
            <v>464</v>
          </cell>
          <cell r="G237">
            <v>703200</v>
          </cell>
          <cell r="H237">
            <v>1492000</v>
          </cell>
        </row>
        <row r="238">
          <cell r="F238">
            <v>783</v>
          </cell>
          <cell r="G238">
            <v>1136200</v>
          </cell>
          <cell r="H238">
            <v>2467300</v>
          </cell>
        </row>
        <row r="239">
          <cell r="F239">
            <v>381</v>
          </cell>
          <cell r="G239">
            <v>2063900</v>
          </cell>
          <cell r="H239">
            <v>2711600</v>
          </cell>
        </row>
        <row r="240">
          <cell r="F240">
            <v>852</v>
          </cell>
          <cell r="G240">
            <v>1039100</v>
          </cell>
          <cell r="H240">
            <v>2487500</v>
          </cell>
        </row>
        <row r="241">
          <cell r="F241">
            <v>723</v>
          </cell>
          <cell r="G241">
            <v>969600</v>
          </cell>
          <cell r="H241">
            <v>2198700</v>
          </cell>
        </row>
        <row r="242">
          <cell r="F242">
            <v>1174</v>
          </cell>
          <cell r="G242">
            <v>1162700</v>
          </cell>
          <cell r="H242">
            <v>3158500</v>
          </cell>
        </row>
        <row r="243">
          <cell r="F243">
            <v>1057</v>
          </cell>
          <cell r="G243">
            <v>1203200</v>
          </cell>
          <cell r="H243">
            <v>3000100</v>
          </cell>
        </row>
        <row r="244">
          <cell r="F244">
            <v>628</v>
          </cell>
          <cell r="G244">
            <v>976700</v>
          </cell>
          <cell r="H244">
            <v>2044300</v>
          </cell>
        </row>
        <row r="245">
          <cell r="F245">
            <v>529</v>
          </cell>
          <cell r="G245">
            <v>778500</v>
          </cell>
          <cell r="H245">
            <v>1677800</v>
          </cell>
        </row>
        <row r="246">
          <cell r="F246">
            <v>1005</v>
          </cell>
          <cell r="G246">
            <v>2398900</v>
          </cell>
          <cell r="H246">
            <v>4107400</v>
          </cell>
        </row>
        <row r="247">
          <cell r="F247">
            <v>1358</v>
          </cell>
          <cell r="G247">
            <v>606000</v>
          </cell>
          <cell r="H247">
            <v>2914600</v>
          </cell>
        </row>
        <row r="248">
          <cell r="F248">
            <v>310</v>
          </cell>
          <cell r="G248">
            <v>1369200</v>
          </cell>
          <cell r="H248">
            <v>1896200</v>
          </cell>
        </row>
        <row r="249">
          <cell r="F249">
            <v>159</v>
          </cell>
          <cell r="G249">
            <v>1799700</v>
          </cell>
          <cell r="H249">
            <v>2070000</v>
          </cell>
        </row>
        <row r="250">
          <cell r="F250">
            <v>115</v>
          </cell>
          <cell r="G250">
            <v>2909150</v>
          </cell>
          <cell r="H250">
            <v>3104650</v>
          </cell>
        </row>
        <row r="251">
          <cell r="F251">
            <v>242</v>
          </cell>
          <cell r="G251">
            <v>1501900</v>
          </cell>
          <cell r="H251">
            <v>1913300</v>
          </cell>
        </row>
        <row r="252">
          <cell r="F252">
            <v>245</v>
          </cell>
          <cell r="G252">
            <v>619800</v>
          </cell>
          <cell r="H252">
            <v>1036300</v>
          </cell>
        </row>
        <row r="253">
          <cell r="F253">
            <v>160</v>
          </cell>
          <cell r="G253">
            <v>3316850</v>
          </cell>
          <cell r="H253">
            <v>3588850</v>
          </cell>
        </row>
        <row r="254">
          <cell r="F254">
            <v>529</v>
          </cell>
          <cell r="G254">
            <v>1345200</v>
          </cell>
          <cell r="H254">
            <v>2244500</v>
          </cell>
        </row>
        <row r="255">
          <cell r="F255">
            <v>502</v>
          </cell>
          <cell r="G255">
            <v>839750</v>
          </cell>
          <cell r="H255">
            <v>1693150</v>
          </cell>
        </row>
        <row r="256">
          <cell r="F256">
            <v>694</v>
          </cell>
          <cell r="G256">
            <v>1756200</v>
          </cell>
          <cell r="H256">
            <v>2936000</v>
          </cell>
        </row>
        <row r="257">
          <cell r="F257">
            <v>687</v>
          </cell>
          <cell r="G257">
            <v>874200</v>
          </cell>
          <cell r="H257">
            <v>2042100</v>
          </cell>
        </row>
        <row r="260">
          <cell r="G260">
            <v>41000</v>
          </cell>
          <cell r="H260">
            <v>41000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10707</v>
          </cell>
          <cell r="G10">
            <v>4771400</v>
          </cell>
          <cell r="H10">
            <v>22973300</v>
          </cell>
        </row>
        <row r="14">
          <cell r="F14">
            <v>5348</v>
          </cell>
          <cell r="G14">
            <v>1495900</v>
          </cell>
          <cell r="H14">
            <v>10587500</v>
          </cell>
        </row>
        <row r="15">
          <cell r="F15">
            <v>4880</v>
          </cell>
          <cell r="G15">
            <v>1302100</v>
          </cell>
          <cell r="H15">
            <v>9598100</v>
          </cell>
        </row>
        <row r="16">
          <cell r="F16">
            <v>6107</v>
          </cell>
          <cell r="G16">
            <v>1382600</v>
          </cell>
          <cell r="H16">
            <v>11764500</v>
          </cell>
        </row>
        <row r="17">
          <cell r="F17">
            <v>3910</v>
          </cell>
          <cell r="G17">
            <v>917800</v>
          </cell>
          <cell r="H17">
            <v>7564800</v>
          </cell>
        </row>
        <row r="18">
          <cell r="F18">
            <v>5173</v>
          </cell>
          <cell r="G18">
            <v>1582300</v>
          </cell>
          <cell r="H18">
            <v>10376400</v>
          </cell>
        </row>
        <row r="19">
          <cell r="F19">
            <v>5570</v>
          </cell>
          <cell r="G19">
            <v>2204800</v>
          </cell>
          <cell r="H19">
            <v>11673800</v>
          </cell>
        </row>
        <row r="20">
          <cell r="F20">
            <v>3061</v>
          </cell>
          <cell r="G20">
            <v>1050700</v>
          </cell>
          <cell r="H20">
            <v>6254400</v>
          </cell>
        </row>
        <row r="21">
          <cell r="F21">
            <v>3549</v>
          </cell>
          <cell r="G21">
            <v>935000</v>
          </cell>
          <cell r="H21">
            <v>6968300</v>
          </cell>
        </row>
        <row r="22">
          <cell r="F22">
            <v>7473</v>
          </cell>
          <cell r="G22">
            <v>3695700</v>
          </cell>
          <cell r="H22">
            <v>16399800</v>
          </cell>
        </row>
        <row r="23">
          <cell r="F23">
            <v>3428</v>
          </cell>
          <cell r="G23">
            <v>1135400</v>
          </cell>
          <cell r="H23">
            <v>6963000</v>
          </cell>
        </row>
        <row r="24">
          <cell r="F24">
            <v>2902</v>
          </cell>
          <cell r="G24">
            <v>1146500</v>
          </cell>
          <cell r="H24">
            <v>6079900</v>
          </cell>
        </row>
        <row r="25">
          <cell r="F25">
            <v>2370</v>
          </cell>
          <cell r="G25">
            <v>826400</v>
          </cell>
          <cell r="H25">
            <v>4855400</v>
          </cell>
        </row>
        <row r="26">
          <cell r="F26">
            <v>5193</v>
          </cell>
          <cell r="G26">
            <v>1531200</v>
          </cell>
          <cell r="H26">
            <v>10359300</v>
          </cell>
        </row>
        <row r="27">
          <cell r="F27">
            <v>13394</v>
          </cell>
          <cell r="G27">
            <v>6746000</v>
          </cell>
          <cell r="H27">
            <v>29515800</v>
          </cell>
        </row>
        <row r="28">
          <cell r="F28">
            <v>10507</v>
          </cell>
          <cell r="G28">
            <v>3590400</v>
          </cell>
          <cell r="H28">
            <v>21452300</v>
          </cell>
        </row>
        <row r="29">
          <cell r="F29">
            <v>8704</v>
          </cell>
          <cell r="G29">
            <v>4453800</v>
          </cell>
          <cell r="H29">
            <v>19250600</v>
          </cell>
        </row>
        <row r="30">
          <cell r="F30">
            <v>14456</v>
          </cell>
          <cell r="G30">
            <v>4799250</v>
          </cell>
          <cell r="H30">
            <v>29374450</v>
          </cell>
        </row>
        <row r="31">
          <cell r="F31">
            <v>7386</v>
          </cell>
          <cell r="G31">
            <v>2503150</v>
          </cell>
          <cell r="H31">
            <v>15059350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9402</v>
          </cell>
          <cell r="G33">
            <v>2174800</v>
          </cell>
          <cell r="H33">
            <v>18158200</v>
          </cell>
        </row>
        <row r="34">
          <cell r="F34">
            <v>12495</v>
          </cell>
          <cell r="G34">
            <v>3287400</v>
          </cell>
          <cell r="H34">
            <v>24528900</v>
          </cell>
        </row>
        <row r="35">
          <cell r="F35">
            <v>10191</v>
          </cell>
          <cell r="G35">
            <v>3635900</v>
          </cell>
          <cell r="H35">
            <v>20960600</v>
          </cell>
        </row>
        <row r="36">
          <cell r="F36">
            <v>11846</v>
          </cell>
          <cell r="G36">
            <v>3682800</v>
          </cell>
          <cell r="H36">
            <v>23821000</v>
          </cell>
        </row>
        <row r="37">
          <cell r="F37">
            <v>3091</v>
          </cell>
          <cell r="G37">
            <v>1888900</v>
          </cell>
          <cell r="H37">
            <v>7143600</v>
          </cell>
        </row>
        <row r="38">
          <cell r="F38">
            <v>5349</v>
          </cell>
          <cell r="G38">
            <v>2540700</v>
          </cell>
          <cell r="H38">
            <v>11634000</v>
          </cell>
        </row>
        <row r="39">
          <cell r="F39">
            <v>2278</v>
          </cell>
          <cell r="G39">
            <v>1506050</v>
          </cell>
          <cell r="H39">
            <v>5378650</v>
          </cell>
        </row>
        <row r="40">
          <cell r="F40">
            <v>11417</v>
          </cell>
          <cell r="G40">
            <v>5345200</v>
          </cell>
          <cell r="H40">
            <v>24754100</v>
          </cell>
        </row>
        <row r="41">
          <cell r="F41">
            <v>5545</v>
          </cell>
          <cell r="G41">
            <v>1540400</v>
          </cell>
          <cell r="H41">
            <v>10966900</v>
          </cell>
        </row>
        <row r="42">
          <cell r="F42">
            <v>1818</v>
          </cell>
          <cell r="G42">
            <v>1030500</v>
          </cell>
          <cell r="H42">
            <v>4121100</v>
          </cell>
        </row>
        <row r="43">
          <cell r="F43">
            <v>3671</v>
          </cell>
          <cell r="G43">
            <v>787500</v>
          </cell>
          <cell r="H43">
            <v>7028200</v>
          </cell>
        </row>
        <row r="44">
          <cell r="F44">
            <v>833</v>
          </cell>
          <cell r="G44">
            <v>354600</v>
          </cell>
          <cell r="H44">
            <v>1770700</v>
          </cell>
        </row>
        <row r="45">
          <cell r="F45">
            <v>13163</v>
          </cell>
          <cell r="G45">
            <v>3811700</v>
          </cell>
          <cell r="H45">
            <v>26188800</v>
          </cell>
        </row>
        <row r="46">
          <cell r="F46">
            <v>1986</v>
          </cell>
          <cell r="G46">
            <v>1532400</v>
          </cell>
          <cell r="H46">
            <v>4908600</v>
          </cell>
        </row>
        <row r="47">
          <cell r="F47">
            <v>22244</v>
          </cell>
          <cell r="G47">
            <v>5613000</v>
          </cell>
          <cell r="H47">
            <v>43427800</v>
          </cell>
        </row>
        <row r="52">
          <cell r="F52">
            <v>8217</v>
          </cell>
          <cell r="G52">
            <v>2383300</v>
          </cell>
          <cell r="H52">
            <v>16352200</v>
          </cell>
        </row>
        <row r="53">
          <cell r="F53">
            <v>6450</v>
          </cell>
          <cell r="G53">
            <v>2815700</v>
          </cell>
          <cell r="H53">
            <v>13780700</v>
          </cell>
        </row>
        <row r="54">
          <cell r="F54">
            <v>14490</v>
          </cell>
          <cell r="G54">
            <v>5855100</v>
          </cell>
          <cell r="H54">
            <v>30488100</v>
          </cell>
        </row>
        <row r="55">
          <cell r="F55">
            <v>5450</v>
          </cell>
          <cell r="G55">
            <v>3419500</v>
          </cell>
          <cell r="H55">
            <v>12684500</v>
          </cell>
        </row>
        <row r="56">
          <cell r="F56">
            <v>3810</v>
          </cell>
          <cell r="G56">
            <v>1143800</v>
          </cell>
          <cell r="H56">
            <v>7620800</v>
          </cell>
        </row>
        <row r="57">
          <cell r="F57">
            <v>9224</v>
          </cell>
          <cell r="G57">
            <v>3050000</v>
          </cell>
          <cell r="H57">
            <v>18730800</v>
          </cell>
        </row>
        <row r="58">
          <cell r="F58">
            <v>14142</v>
          </cell>
          <cell r="G58">
            <v>4539600</v>
          </cell>
          <cell r="H58">
            <v>28581000</v>
          </cell>
        </row>
        <row r="59">
          <cell r="F59">
            <v>7518</v>
          </cell>
          <cell r="G59">
            <v>2435200</v>
          </cell>
          <cell r="H59">
            <v>15215800</v>
          </cell>
        </row>
        <row r="60">
          <cell r="F60">
            <v>6364</v>
          </cell>
          <cell r="G60">
            <v>2134200</v>
          </cell>
          <cell r="H60">
            <v>12953000</v>
          </cell>
        </row>
        <row r="61">
          <cell r="F61">
            <v>4523</v>
          </cell>
          <cell r="G61">
            <v>1381600</v>
          </cell>
          <cell r="H61">
            <v>9070700</v>
          </cell>
        </row>
        <row r="62">
          <cell r="F62">
            <v>11521</v>
          </cell>
          <cell r="G62">
            <v>3863900</v>
          </cell>
          <cell r="H62">
            <v>23449600</v>
          </cell>
        </row>
        <row r="63">
          <cell r="F63">
            <v>9375</v>
          </cell>
          <cell r="G63">
            <v>2886300</v>
          </cell>
          <cell r="H63">
            <v>18823800</v>
          </cell>
        </row>
        <row r="64">
          <cell r="F64">
            <v>10316</v>
          </cell>
          <cell r="G64">
            <v>3099500</v>
          </cell>
          <cell r="H64">
            <v>20636700</v>
          </cell>
        </row>
        <row r="65">
          <cell r="F65">
            <v>6818</v>
          </cell>
          <cell r="G65">
            <v>2859800</v>
          </cell>
          <cell r="H65">
            <v>14450400</v>
          </cell>
        </row>
        <row r="66">
          <cell r="F66">
            <v>6752</v>
          </cell>
          <cell r="G66">
            <v>3455500</v>
          </cell>
          <cell r="H66">
            <v>14933900</v>
          </cell>
        </row>
        <row r="67">
          <cell r="F67">
            <v>4609</v>
          </cell>
          <cell r="G67">
            <v>2194700</v>
          </cell>
          <cell r="H67">
            <v>10030000</v>
          </cell>
        </row>
        <row r="68">
          <cell r="F68">
            <v>8409</v>
          </cell>
          <cell r="G68">
            <v>2800400</v>
          </cell>
          <cell r="H68">
            <v>17095700</v>
          </cell>
        </row>
        <row r="69">
          <cell r="F69">
            <v>6371</v>
          </cell>
          <cell r="G69">
            <v>2202000</v>
          </cell>
          <cell r="H69">
            <v>13032700</v>
          </cell>
        </row>
        <row r="70">
          <cell r="F70">
            <v>10434</v>
          </cell>
          <cell r="G70">
            <v>4546700</v>
          </cell>
          <cell r="H70">
            <v>22284500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5856</v>
          </cell>
          <cell r="G72">
            <v>1869150</v>
          </cell>
          <cell r="H72">
            <v>11824350</v>
          </cell>
        </row>
        <row r="73">
          <cell r="F73">
            <v>3775</v>
          </cell>
          <cell r="G73">
            <v>844300</v>
          </cell>
          <cell r="H73">
            <v>7261800</v>
          </cell>
        </row>
        <row r="74">
          <cell r="F74">
            <v>13147</v>
          </cell>
          <cell r="G74">
            <v>3109650</v>
          </cell>
          <cell r="H74">
            <v>25459550</v>
          </cell>
        </row>
        <row r="75">
          <cell r="F75">
            <v>5223</v>
          </cell>
          <cell r="G75">
            <v>1838100</v>
          </cell>
          <cell r="H75">
            <v>10717200</v>
          </cell>
        </row>
        <row r="76">
          <cell r="F76">
            <v>18980</v>
          </cell>
          <cell r="G76">
            <v>6184450</v>
          </cell>
          <cell r="H76">
            <v>38450450</v>
          </cell>
        </row>
        <row r="77">
          <cell r="F77">
            <v>7256</v>
          </cell>
          <cell r="G77">
            <v>1216400</v>
          </cell>
          <cell r="H77">
            <v>13551600</v>
          </cell>
        </row>
        <row r="78">
          <cell r="F78">
            <v>5474</v>
          </cell>
          <cell r="G78">
            <v>1849100</v>
          </cell>
          <cell r="H78">
            <v>11154900</v>
          </cell>
        </row>
        <row r="79">
          <cell r="F79">
            <v>2209</v>
          </cell>
          <cell r="G79">
            <v>514500</v>
          </cell>
          <cell r="H79">
            <v>4269800</v>
          </cell>
        </row>
        <row r="80">
          <cell r="F80">
            <v>4228</v>
          </cell>
          <cell r="G80">
            <v>834500</v>
          </cell>
          <cell r="H80">
            <v>8022100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2527</v>
          </cell>
          <cell r="G84">
            <v>565000</v>
          </cell>
          <cell r="H84">
            <v>4860900</v>
          </cell>
        </row>
        <row r="85">
          <cell r="F85">
            <v>1152</v>
          </cell>
          <cell r="G85">
            <v>221500</v>
          </cell>
          <cell r="H85">
            <v>2179900</v>
          </cell>
        </row>
        <row r="86">
          <cell r="F86">
            <v>2987</v>
          </cell>
          <cell r="G86">
            <v>700300</v>
          </cell>
          <cell r="H86">
            <v>5778200</v>
          </cell>
        </row>
        <row r="87">
          <cell r="F87">
            <v>2740</v>
          </cell>
          <cell r="G87">
            <v>742000</v>
          </cell>
          <cell r="H87">
            <v>5400000</v>
          </cell>
        </row>
        <row r="88">
          <cell r="F88">
            <v>4600</v>
          </cell>
          <cell r="G88">
            <v>1299200</v>
          </cell>
          <cell r="H88">
            <v>9119200</v>
          </cell>
        </row>
        <row r="89">
          <cell r="F89">
            <v>1632</v>
          </cell>
          <cell r="G89">
            <v>770200</v>
          </cell>
          <cell r="H89">
            <v>3544600</v>
          </cell>
        </row>
        <row r="90">
          <cell r="F90">
            <v>2101</v>
          </cell>
          <cell r="G90">
            <v>775200</v>
          </cell>
          <cell r="H90">
            <v>4346900</v>
          </cell>
        </row>
        <row r="91">
          <cell r="F91">
            <v>4406</v>
          </cell>
          <cell r="G91">
            <v>1574400</v>
          </cell>
          <cell r="H91">
            <v>9064600</v>
          </cell>
        </row>
        <row r="92">
          <cell r="F92">
            <v>1975</v>
          </cell>
          <cell r="G92">
            <v>702900</v>
          </cell>
          <cell r="H92">
            <v>4060400</v>
          </cell>
        </row>
        <row r="93">
          <cell r="F93">
            <v>2309</v>
          </cell>
          <cell r="G93">
            <v>924700</v>
          </cell>
          <cell r="H93">
            <v>4850000</v>
          </cell>
        </row>
        <row r="94">
          <cell r="F94">
            <v>501</v>
          </cell>
          <cell r="G94">
            <v>176000</v>
          </cell>
          <cell r="H94">
            <v>1027700</v>
          </cell>
        </row>
        <row r="95">
          <cell r="F95">
            <v>2727</v>
          </cell>
          <cell r="G95">
            <v>1090800</v>
          </cell>
          <cell r="H95">
            <v>5726700</v>
          </cell>
        </row>
        <row r="96">
          <cell r="F96">
            <v>2600</v>
          </cell>
          <cell r="G96">
            <v>425000</v>
          </cell>
          <cell r="H96">
            <v>4845000</v>
          </cell>
        </row>
        <row r="97">
          <cell r="F97">
            <v>5951</v>
          </cell>
          <cell r="G97">
            <v>865501</v>
          </cell>
          <cell r="H97">
            <v>10982201</v>
          </cell>
        </row>
        <row r="98">
          <cell r="F98">
            <v>3178</v>
          </cell>
          <cell r="G98">
            <v>596900</v>
          </cell>
          <cell r="H98">
            <v>5999500</v>
          </cell>
        </row>
        <row r="99">
          <cell r="F99">
            <v>6130</v>
          </cell>
          <cell r="G99">
            <v>1344700</v>
          </cell>
          <cell r="H99">
            <v>11765700</v>
          </cell>
        </row>
        <row r="100">
          <cell r="F100">
            <v>7161</v>
          </cell>
          <cell r="G100">
            <v>1595400</v>
          </cell>
          <cell r="H100">
            <v>13769100</v>
          </cell>
        </row>
        <row r="101">
          <cell r="F101">
            <v>2296</v>
          </cell>
          <cell r="G101">
            <v>588400</v>
          </cell>
          <cell r="H101">
            <v>4491600</v>
          </cell>
        </row>
        <row r="102">
          <cell r="F102">
            <v>13568</v>
          </cell>
          <cell r="G102">
            <v>1966550</v>
          </cell>
          <cell r="H102">
            <v>25032150</v>
          </cell>
        </row>
        <row r="103">
          <cell r="F103">
            <v>10599</v>
          </cell>
          <cell r="G103">
            <v>1947800</v>
          </cell>
          <cell r="H103">
            <v>19966100</v>
          </cell>
        </row>
        <row r="104">
          <cell r="F104">
            <v>5063</v>
          </cell>
          <cell r="G104">
            <v>1248750</v>
          </cell>
          <cell r="H104">
            <v>9855850</v>
          </cell>
        </row>
        <row r="105">
          <cell r="F105">
            <v>3121</v>
          </cell>
          <cell r="G105">
            <v>776600</v>
          </cell>
          <cell r="H105">
            <v>6082300</v>
          </cell>
        </row>
        <row r="106">
          <cell r="F106">
            <v>2778</v>
          </cell>
          <cell r="G106">
            <v>867400</v>
          </cell>
          <cell r="H106">
            <v>5590000</v>
          </cell>
        </row>
        <row r="107">
          <cell r="F107">
            <v>4542</v>
          </cell>
          <cell r="G107">
            <v>900200</v>
          </cell>
          <cell r="H107">
            <v>8621600</v>
          </cell>
        </row>
        <row r="108">
          <cell r="F108">
            <v>4493</v>
          </cell>
          <cell r="G108">
            <v>783700</v>
          </cell>
          <cell r="H108">
            <v>8421800</v>
          </cell>
        </row>
        <row r="109">
          <cell r="F109">
            <v>2869</v>
          </cell>
          <cell r="G109">
            <v>692200</v>
          </cell>
          <cell r="H109">
            <v>5569500</v>
          </cell>
        </row>
        <row r="110">
          <cell r="F110">
            <v>1748</v>
          </cell>
          <cell r="G110">
            <v>316800</v>
          </cell>
          <cell r="H110">
            <v>3288400</v>
          </cell>
        </row>
        <row r="111">
          <cell r="F111">
            <v>4803</v>
          </cell>
          <cell r="G111">
            <v>1235600</v>
          </cell>
          <cell r="H111">
            <v>9400700</v>
          </cell>
        </row>
        <row r="112">
          <cell r="F112">
            <v>3142</v>
          </cell>
          <cell r="G112">
            <v>1173200</v>
          </cell>
          <cell r="H112">
            <v>6514600</v>
          </cell>
        </row>
        <row r="113">
          <cell r="F113">
            <v>3791</v>
          </cell>
          <cell r="G113">
            <v>1767400</v>
          </cell>
          <cell r="H113">
            <v>8212100</v>
          </cell>
        </row>
        <row r="114">
          <cell r="F114">
            <v>286</v>
          </cell>
          <cell r="G114">
            <v>154200</v>
          </cell>
          <cell r="H114">
            <v>640400</v>
          </cell>
        </row>
        <row r="115">
          <cell r="F115">
            <v>1936</v>
          </cell>
          <cell r="G115">
            <v>302200</v>
          </cell>
          <cell r="H115">
            <v>3593400</v>
          </cell>
        </row>
        <row r="116">
          <cell r="F116">
            <v>278</v>
          </cell>
          <cell r="G116">
            <v>155900</v>
          </cell>
          <cell r="H116">
            <v>628500</v>
          </cell>
        </row>
        <row r="117">
          <cell r="F117">
            <v>1970</v>
          </cell>
          <cell r="G117">
            <v>236300</v>
          </cell>
          <cell r="H117">
            <v>3585300</v>
          </cell>
        </row>
        <row r="118">
          <cell r="F118">
            <v>2893</v>
          </cell>
          <cell r="G118">
            <v>757100</v>
          </cell>
          <cell r="H118">
            <v>5675200</v>
          </cell>
        </row>
        <row r="121">
          <cell r="F121">
            <v>41542</v>
          </cell>
          <cell r="G121">
            <v>4311700</v>
          </cell>
        </row>
        <row r="122">
          <cell r="F122">
            <v>9202</v>
          </cell>
          <cell r="G122">
            <v>11502600</v>
          </cell>
          <cell r="H122">
            <v>27146000</v>
          </cell>
        </row>
        <row r="133">
          <cell r="F133">
            <v>154937</v>
          </cell>
          <cell r="G133">
            <v>43052150</v>
          </cell>
          <cell r="H133">
            <v>306445050</v>
          </cell>
        </row>
        <row r="135">
          <cell r="F135">
            <v>209</v>
          </cell>
          <cell r="G135">
            <v>336200</v>
          </cell>
          <cell r="H135">
            <v>691500</v>
          </cell>
        </row>
        <row r="136">
          <cell r="F136">
            <v>4455</v>
          </cell>
          <cell r="G136">
            <v>3462050</v>
          </cell>
          <cell r="H136">
            <v>11035550</v>
          </cell>
        </row>
        <row r="137">
          <cell r="F137">
            <v>323</v>
          </cell>
          <cell r="G137">
            <v>567100</v>
          </cell>
          <cell r="H137">
            <v>1116200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337</v>
          </cell>
          <cell r="G139">
            <v>546100</v>
          </cell>
          <cell r="H139">
            <v>1119000</v>
          </cell>
        </row>
        <row r="140">
          <cell r="F140">
            <v>798</v>
          </cell>
          <cell r="G140">
            <v>764200</v>
          </cell>
          <cell r="H140">
            <v>2120800</v>
          </cell>
        </row>
        <row r="141">
          <cell r="F141">
            <v>296</v>
          </cell>
          <cell r="G141">
            <v>423800</v>
          </cell>
          <cell r="H141">
            <v>927000</v>
          </cell>
        </row>
        <row r="142">
          <cell r="F142">
            <v>191</v>
          </cell>
          <cell r="G142">
            <v>440300</v>
          </cell>
          <cell r="H142">
            <v>765000</v>
          </cell>
        </row>
        <row r="143">
          <cell r="F143">
            <v>337</v>
          </cell>
          <cell r="G143">
            <v>521200</v>
          </cell>
          <cell r="H143">
            <v>1094100</v>
          </cell>
        </row>
        <row r="144">
          <cell r="F144">
            <v>403</v>
          </cell>
          <cell r="G144">
            <v>914100</v>
          </cell>
          <cell r="H144">
            <v>1599200</v>
          </cell>
          <cell r="M144">
            <v>1013619.588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185</v>
          </cell>
          <cell r="G146">
            <v>242500</v>
          </cell>
          <cell r="H146">
            <v>557000</v>
          </cell>
        </row>
        <row r="147">
          <cell r="F147">
            <v>280</v>
          </cell>
          <cell r="G147">
            <v>589900</v>
          </cell>
          <cell r="H147">
            <v>1065900</v>
          </cell>
        </row>
        <row r="148">
          <cell r="F148">
            <v>782</v>
          </cell>
          <cell r="G148">
            <v>1572000</v>
          </cell>
          <cell r="H148">
            <v>2901400</v>
          </cell>
        </row>
        <row r="149">
          <cell r="F149">
            <v>210</v>
          </cell>
          <cell r="G149">
            <v>522500</v>
          </cell>
          <cell r="H149">
            <v>879500</v>
          </cell>
        </row>
        <row r="150">
          <cell r="F150">
            <v>475</v>
          </cell>
          <cell r="G150">
            <v>586700</v>
          </cell>
          <cell r="H150">
            <v>1394200</v>
          </cell>
        </row>
        <row r="153">
          <cell r="F153">
            <v>0</v>
          </cell>
          <cell r="G153">
            <v>3000</v>
          </cell>
          <cell r="H153">
            <v>3000</v>
          </cell>
        </row>
        <row r="154">
          <cell r="F154">
            <v>0</v>
          </cell>
          <cell r="G154">
            <v>61000</v>
          </cell>
          <cell r="H154">
            <v>61000</v>
          </cell>
        </row>
        <row r="155">
          <cell r="F155">
            <v>0</v>
          </cell>
          <cell r="G155">
            <v>232000</v>
          </cell>
          <cell r="H155">
            <v>232000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1619000</v>
          </cell>
          <cell r="H158">
            <v>1619000</v>
          </cell>
        </row>
        <row r="159">
          <cell r="F159">
            <v>0</v>
          </cell>
          <cell r="G159">
            <v>1497000</v>
          </cell>
          <cell r="H159">
            <v>1497000</v>
          </cell>
        </row>
        <row r="160">
          <cell r="F160">
            <v>0</v>
          </cell>
          <cell r="G160">
            <v>1430000</v>
          </cell>
          <cell r="H160">
            <v>1430000</v>
          </cell>
        </row>
        <row r="161">
          <cell r="F161">
            <v>0</v>
          </cell>
          <cell r="G161">
            <v>2552000</v>
          </cell>
          <cell r="H161">
            <v>2552000</v>
          </cell>
        </row>
        <row r="162">
          <cell r="F162">
            <v>0</v>
          </cell>
          <cell r="G162">
            <v>415000</v>
          </cell>
          <cell r="H162">
            <v>415000</v>
          </cell>
        </row>
        <row r="163">
          <cell r="F163">
            <v>0</v>
          </cell>
          <cell r="G163">
            <v>849000</v>
          </cell>
          <cell r="H163">
            <v>849000</v>
          </cell>
        </row>
        <row r="164">
          <cell r="F164">
            <v>0</v>
          </cell>
          <cell r="G164">
            <v>197000</v>
          </cell>
          <cell r="H164">
            <v>197000</v>
          </cell>
        </row>
        <row r="165">
          <cell r="F165">
            <v>0</v>
          </cell>
          <cell r="G165">
            <v>970000</v>
          </cell>
          <cell r="H165">
            <v>970000</v>
          </cell>
        </row>
        <row r="166">
          <cell r="F166">
            <v>0</v>
          </cell>
          <cell r="G166">
            <v>72000</v>
          </cell>
          <cell r="H166">
            <v>72000</v>
          </cell>
        </row>
        <row r="167">
          <cell r="F167">
            <v>0</v>
          </cell>
          <cell r="G167">
            <v>263000</v>
          </cell>
          <cell r="H167">
            <v>263000</v>
          </cell>
        </row>
        <row r="168">
          <cell r="F168">
            <v>0</v>
          </cell>
          <cell r="G168">
            <v>52000</v>
          </cell>
          <cell r="H168">
            <v>52000</v>
          </cell>
        </row>
        <row r="169">
          <cell r="F169">
            <v>0</v>
          </cell>
          <cell r="G169">
            <v>28000</v>
          </cell>
          <cell r="H169">
            <v>28000</v>
          </cell>
        </row>
        <row r="170">
          <cell r="F170">
            <v>0</v>
          </cell>
          <cell r="G170">
            <v>24000</v>
          </cell>
          <cell r="H170">
            <v>24000</v>
          </cell>
        </row>
        <row r="171">
          <cell r="F171">
            <v>0</v>
          </cell>
          <cell r="G171">
            <v>111000</v>
          </cell>
          <cell r="H171">
            <v>111000</v>
          </cell>
        </row>
        <row r="172">
          <cell r="F172">
            <v>0</v>
          </cell>
          <cell r="G172">
            <v>15000</v>
          </cell>
          <cell r="H172">
            <v>15000</v>
          </cell>
        </row>
        <row r="173">
          <cell r="F173">
            <v>0</v>
          </cell>
          <cell r="G173">
            <v>13000</v>
          </cell>
          <cell r="H173">
            <v>13000</v>
          </cell>
        </row>
        <row r="174">
          <cell r="F174">
            <v>0</v>
          </cell>
          <cell r="G174">
            <v>11000</v>
          </cell>
          <cell r="H174">
            <v>11000</v>
          </cell>
        </row>
        <row r="175">
          <cell r="F175">
            <v>0</v>
          </cell>
          <cell r="G175">
            <v>88000</v>
          </cell>
          <cell r="H175">
            <v>88000</v>
          </cell>
        </row>
        <row r="176">
          <cell r="F176">
            <v>0</v>
          </cell>
          <cell r="G176">
            <v>120000</v>
          </cell>
          <cell r="H176">
            <v>120000</v>
          </cell>
        </row>
        <row r="177">
          <cell r="F177">
            <v>0</v>
          </cell>
          <cell r="G177">
            <v>374000</v>
          </cell>
          <cell r="H177">
            <v>374000</v>
          </cell>
        </row>
        <row r="178">
          <cell r="F178">
            <v>0</v>
          </cell>
          <cell r="G178">
            <v>417000</v>
          </cell>
          <cell r="H178">
            <v>417000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9000</v>
          </cell>
          <cell r="H180">
            <v>9000</v>
          </cell>
        </row>
        <row r="181">
          <cell r="F181">
            <v>0</v>
          </cell>
          <cell r="G181">
            <v>37000</v>
          </cell>
          <cell r="H181">
            <v>37000</v>
          </cell>
        </row>
        <row r="182">
          <cell r="F182">
            <v>0</v>
          </cell>
          <cell r="G182">
            <v>39000</v>
          </cell>
          <cell r="H182">
            <v>39000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6000</v>
          </cell>
          <cell r="H184">
            <v>6000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27000</v>
          </cell>
          <cell r="H186">
            <v>27000</v>
          </cell>
        </row>
        <row r="187">
          <cell r="F187">
            <v>0</v>
          </cell>
          <cell r="G187">
            <v>329000</v>
          </cell>
          <cell r="H187">
            <v>329000</v>
          </cell>
        </row>
        <row r="188">
          <cell r="F188">
            <v>0</v>
          </cell>
          <cell r="G188">
            <v>10000</v>
          </cell>
          <cell r="H188">
            <v>10000</v>
          </cell>
        </row>
        <row r="189">
          <cell r="F189">
            <v>0</v>
          </cell>
          <cell r="G189">
            <v>59000</v>
          </cell>
          <cell r="H189">
            <v>59000</v>
          </cell>
        </row>
        <row r="190">
          <cell r="F190">
            <v>0</v>
          </cell>
          <cell r="G190">
            <v>49000</v>
          </cell>
          <cell r="H190">
            <v>49000</v>
          </cell>
        </row>
        <row r="191">
          <cell r="F191">
            <v>0</v>
          </cell>
          <cell r="G191">
            <v>46000</v>
          </cell>
          <cell r="H191">
            <v>46000</v>
          </cell>
        </row>
        <row r="192">
          <cell r="F192">
            <v>0</v>
          </cell>
          <cell r="G192">
            <v>65000</v>
          </cell>
          <cell r="H192">
            <v>65000</v>
          </cell>
        </row>
        <row r="193">
          <cell r="F193">
            <v>0</v>
          </cell>
          <cell r="G193">
            <v>185000</v>
          </cell>
          <cell r="H193">
            <v>185000</v>
          </cell>
        </row>
        <row r="194">
          <cell r="F194">
            <v>0</v>
          </cell>
          <cell r="G194">
            <v>118000</v>
          </cell>
          <cell r="H194">
            <v>118000</v>
          </cell>
        </row>
        <row r="195">
          <cell r="F195">
            <v>0</v>
          </cell>
          <cell r="G195">
            <v>108000</v>
          </cell>
          <cell r="H195">
            <v>108000</v>
          </cell>
        </row>
        <row r="196">
          <cell r="F196">
            <v>0</v>
          </cell>
          <cell r="G196">
            <v>78000</v>
          </cell>
          <cell r="H196">
            <v>78000</v>
          </cell>
        </row>
        <row r="197">
          <cell r="F197">
            <v>0</v>
          </cell>
          <cell r="G197">
            <v>27000</v>
          </cell>
          <cell r="H197">
            <v>27000</v>
          </cell>
        </row>
        <row r="198">
          <cell r="F198">
            <v>0</v>
          </cell>
          <cell r="G198">
            <v>162000</v>
          </cell>
          <cell r="H198">
            <v>162000</v>
          </cell>
        </row>
        <row r="199">
          <cell r="F199">
            <v>0</v>
          </cell>
          <cell r="G199">
            <v>6000</v>
          </cell>
          <cell r="H199">
            <v>6000</v>
          </cell>
        </row>
        <row r="200">
          <cell r="F200">
            <v>0</v>
          </cell>
          <cell r="G200">
            <v>11000</v>
          </cell>
          <cell r="H200">
            <v>11000</v>
          </cell>
        </row>
        <row r="201">
          <cell r="F201">
            <v>0</v>
          </cell>
          <cell r="G201">
            <v>132000</v>
          </cell>
          <cell r="H201">
            <v>132000</v>
          </cell>
        </row>
        <row r="202">
          <cell r="F202">
            <v>0</v>
          </cell>
          <cell r="G202">
            <v>160000</v>
          </cell>
          <cell r="H202">
            <v>160000</v>
          </cell>
        </row>
        <row r="203">
          <cell r="F203">
            <v>0</v>
          </cell>
          <cell r="G203">
            <v>98000</v>
          </cell>
          <cell r="H203">
            <v>98000</v>
          </cell>
        </row>
        <row r="204">
          <cell r="F204">
            <v>0</v>
          </cell>
          <cell r="G204">
            <v>361000</v>
          </cell>
          <cell r="H204">
            <v>361000</v>
          </cell>
        </row>
        <row r="205">
          <cell r="F205">
            <v>0</v>
          </cell>
          <cell r="G205">
            <v>255000</v>
          </cell>
          <cell r="H205">
            <v>255000</v>
          </cell>
        </row>
        <row r="206">
          <cell r="F206">
            <v>0</v>
          </cell>
          <cell r="G206">
            <v>59000</v>
          </cell>
          <cell r="H206">
            <v>59000</v>
          </cell>
        </row>
        <row r="207">
          <cell r="F207">
            <v>0</v>
          </cell>
          <cell r="G207">
            <v>189000</v>
          </cell>
          <cell r="H207">
            <v>189000</v>
          </cell>
        </row>
        <row r="208">
          <cell r="F208">
            <v>0</v>
          </cell>
          <cell r="G208">
            <v>310000</v>
          </cell>
          <cell r="H208">
            <v>310000</v>
          </cell>
        </row>
        <row r="209">
          <cell r="F209">
            <v>0</v>
          </cell>
          <cell r="G209">
            <v>86000</v>
          </cell>
          <cell r="H209">
            <v>86000</v>
          </cell>
        </row>
        <row r="210">
          <cell r="F210">
            <v>0</v>
          </cell>
          <cell r="G210">
            <v>691000</v>
          </cell>
          <cell r="H210">
            <v>691000</v>
          </cell>
        </row>
        <row r="211">
          <cell r="F211">
            <v>0</v>
          </cell>
          <cell r="G211">
            <v>101000</v>
          </cell>
          <cell r="H211">
            <v>101000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100000</v>
          </cell>
          <cell r="H214">
            <v>100000</v>
          </cell>
        </row>
        <row r="215">
          <cell r="F215">
            <v>0</v>
          </cell>
          <cell r="G215">
            <v>41000</v>
          </cell>
          <cell r="H215">
            <v>41000</v>
          </cell>
        </row>
        <row r="216">
          <cell r="F216">
            <v>0</v>
          </cell>
          <cell r="G216">
            <v>630000</v>
          </cell>
          <cell r="H216">
            <v>630000</v>
          </cell>
        </row>
        <row r="217">
          <cell r="F217">
            <v>0</v>
          </cell>
          <cell r="G217">
            <v>104000</v>
          </cell>
          <cell r="H217">
            <v>104000</v>
          </cell>
        </row>
        <row r="218">
          <cell r="F218">
            <v>0</v>
          </cell>
          <cell r="G218">
            <v>325000</v>
          </cell>
          <cell r="H218">
            <v>325000</v>
          </cell>
        </row>
        <row r="219">
          <cell r="F219">
            <v>0</v>
          </cell>
          <cell r="G219">
            <v>124000</v>
          </cell>
          <cell r="H219">
            <v>124000</v>
          </cell>
        </row>
        <row r="220">
          <cell r="F220">
            <v>0</v>
          </cell>
          <cell r="G220">
            <v>114000</v>
          </cell>
          <cell r="H220">
            <v>114000</v>
          </cell>
        </row>
        <row r="223">
          <cell r="F223">
            <v>887</v>
          </cell>
          <cell r="G223">
            <v>2283100</v>
          </cell>
          <cell r="H223">
            <v>3791000</v>
          </cell>
        </row>
        <row r="224">
          <cell r="F224">
            <v>0</v>
          </cell>
          <cell r="G224">
            <v>2560500</v>
          </cell>
          <cell r="H224">
            <v>2560500</v>
          </cell>
        </row>
        <row r="225">
          <cell r="F225">
            <v>636</v>
          </cell>
          <cell r="G225">
            <v>1325500</v>
          </cell>
          <cell r="H225">
            <v>2406700</v>
          </cell>
        </row>
        <row r="226">
          <cell r="F226">
            <v>1281</v>
          </cell>
          <cell r="G226">
            <v>804200</v>
          </cell>
          <cell r="H226">
            <v>2981900</v>
          </cell>
        </row>
        <row r="227">
          <cell r="F227">
            <v>1003</v>
          </cell>
          <cell r="G227">
            <v>1072000</v>
          </cell>
          <cell r="H227">
            <v>2777100</v>
          </cell>
        </row>
        <row r="228">
          <cell r="F228">
            <v>477</v>
          </cell>
          <cell r="G228">
            <v>804700</v>
          </cell>
          <cell r="H228">
            <v>1615600</v>
          </cell>
        </row>
        <row r="229">
          <cell r="F229">
            <v>604</v>
          </cell>
          <cell r="G229">
            <v>1075200</v>
          </cell>
          <cell r="H229">
            <v>2102000</v>
          </cell>
        </row>
        <row r="230">
          <cell r="F230">
            <v>1810</v>
          </cell>
          <cell r="G230">
            <v>1342900</v>
          </cell>
          <cell r="H230">
            <v>4419900</v>
          </cell>
        </row>
        <row r="231">
          <cell r="F231">
            <v>136</v>
          </cell>
          <cell r="G231">
            <v>2315300</v>
          </cell>
          <cell r="H231">
            <v>2546500</v>
          </cell>
        </row>
        <row r="232">
          <cell r="F232">
            <v>0</v>
          </cell>
          <cell r="G232">
            <v>2429500</v>
          </cell>
          <cell r="H232">
            <v>2429500</v>
          </cell>
        </row>
        <row r="233">
          <cell r="F233">
            <v>560</v>
          </cell>
          <cell r="G233">
            <v>1235800</v>
          </cell>
          <cell r="H233">
            <v>2187800</v>
          </cell>
        </row>
        <row r="234">
          <cell r="F234">
            <v>573</v>
          </cell>
          <cell r="G234">
            <v>423200</v>
          </cell>
          <cell r="H234">
            <v>1397300</v>
          </cell>
        </row>
        <row r="235">
          <cell r="F235">
            <v>13</v>
          </cell>
          <cell r="G235">
            <v>383400</v>
          </cell>
          <cell r="H235">
            <v>405500</v>
          </cell>
        </row>
        <row r="236">
          <cell r="F236">
            <v>0</v>
          </cell>
          <cell r="G236">
            <v>444500</v>
          </cell>
          <cell r="H236">
            <v>444500</v>
          </cell>
        </row>
        <row r="237">
          <cell r="F237">
            <v>276</v>
          </cell>
          <cell r="G237">
            <v>1760100</v>
          </cell>
          <cell r="H237">
            <v>2229300</v>
          </cell>
        </row>
        <row r="238">
          <cell r="F238">
            <v>539</v>
          </cell>
          <cell r="G238">
            <v>1056300</v>
          </cell>
          <cell r="H238">
            <v>1972600</v>
          </cell>
        </row>
        <row r="239">
          <cell r="F239">
            <v>158</v>
          </cell>
          <cell r="G239">
            <v>1708400</v>
          </cell>
          <cell r="H239">
            <v>1977000</v>
          </cell>
        </row>
        <row r="240">
          <cell r="F240">
            <v>878</v>
          </cell>
          <cell r="G240">
            <v>931700</v>
          </cell>
          <cell r="H240">
            <v>2424300</v>
          </cell>
        </row>
        <row r="241">
          <cell r="F241">
            <v>753</v>
          </cell>
          <cell r="G241">
            <v>1650600</v>
          </cell>
          <cell r="H241">
            <v>2930700</v>
          </cell>
        </row>
        <row r="242">
          <cell r="F242">
            <v>968</v>
          </cell>
          <cell r="G242">
            <v>1386800</v>
          </cell>
          <cell r="H242">
            <v>3032400</v>
          </cell>
        </row>
        <row r="243">
          <cell r="F243">
            <v>148</v>
          </cell>
          <cell r="G243">
            <v>121800</v>
          </cell>
          <cell r="H243">
            <v>373400</v>
          </cell>
        </row>
        <row r="244">
          <cell r="F244">
            <v>719</v>
          </cell>
          <cell r="G244">
            <v>1189900</v>
          </cell>
          <cell r="H244">
            <v>2412200</v>
          </cell>
        </row>
        <row r="245">
          <cell r="F245">
            <v>497</v>
          </cell>
          <cell r="G245">
            <v>758000</v>
          </cell>
          <cell r="H245">
            <v>1602900</v>
          </cell>
        </row>
        <row r="246">
          <cell r="F246">
            <v>793</v>
          </cell>
          <cell r="G246">
            <v>1925700</v>
          </cell>
          <cell r="H246">
            <v>3273800</v>
          </cell>
        </row>
        <row r="247">
          <cell r="F247">
            <v>1085</v>
          </cell>
          <cell r="G247">
            <v>650200</v>
          </cell>
          <cell r="H247">
            <v>2494700</v>
          </cell>
        </row>
        <row r="248">
          <cell r="F248">
            <v>327</v>
          </cell>
          <cell r="G248">
            <v>1748000</v>
          </cell>
          <cell r="H248">
            <v>2303900</v>
          </cell>
        </row>
        <row r="249">
          <cell r="F249">
            <v>139</v>
          </cell>
          <cell r="G249">
            <v>2119000</v>
          </cell>
          <cell r="H249">
            <v>2355300</v>
          </cell>
        </row>
        <row r="250">
          <cell r="F250">
            <v>91</v>
          </cell>
          <cell r="G250">
            <v>2869600</v>
          </cell>
          <cell r="H250">
            <v>3024300</v>
          </cell>
        </row>
        <row r="251">
          <cell r="F251">
            <v>109</v>
          </cell>
          <cell r="G251">
            <v>1399700</v>
          </cell>
          <cell r="H251">
            <v>1585000</v>
          </cell>
        </row>
        <row r="252">
          <cell r="F252">
            <v>236</v>
          </cell>
          <cell r="G252">
            <v>638000</v>
          </cell>
          <cell r="H252">
            <v>1039200</v>
          </cell>
        </row>
        <row r="253">
          <cell r="F253">
            <v>107</v>
          </cell>
          <cell r="G253">
            <v>3052200</v>
          </cell>
          <cell r="H253">
            <v>3234100</v>
          </cell>
        </row>
        <row r="254">
          <cell r="F254">
            <v>291</v>
          </cell>
          <cell r="G254">
            <v>1387800</v>
          </cell>
          <cell r="H254">
            <v>1882500</v>
          </cell>
        </row>
        <row r="255">
          <cell r="F255">
            <v>315</v>
          </cell>
          <cell r="G255">
            <v>720800</v>
          </cell>
          <cell r="H255">
            <v>1256300</v>
          </cell>
        </row>
        <row r="256">
          <cell r="F256">
            <v>389</v>
          </cell>
          <cell r="G256">
            <v>2848800</v>
          </cell>
          <cell r="H256">
            <v>3510100</v>
          </cell>
        </row>
        <row r="257">
          <cell r="F257">
            <v>665</v>
          </cell>
          <cell r="G257">
            <v>616200</v>
          </cell>
          <cell r="H257">
            <v>1746700</v>
          </cell>
        </row>
        <row r="260">
          <cell r="G260">
            <v>38000</v>
          </cell>
          <cell r="H260">
            <v>38000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9720</v>
          </cell>
          <cell r="G10">
            <v>3811800</v>
          </cell>
          <cell r="H10">
            <v>20335800</v>
          </cell>
        </row>
        <row r="14">
          <cell r="F14">
            <v>4304</v>
          </cell>
          <cell r="G14">
            <v>1023800</v>
          </cell>
          <cell r="H14">
            <v>8340600</v>
          </cell>
        </row>
        <row r="15">
          <cell r="F15">
            <v>3938</v>
          </cell>
          <cell r="G15">
            <v>891900</v>
          </cell>
          <cell r="H15">
            <v>7586500</v>
          </cell>
        </row>
        <row r="16">
          <cell r="F16">
            <v>4632</v>
          </cell>
          <cell r="G16">
            <v>1134600</v>
          </cell>
          <cell r="H16">
            <v>9009000</v>
          </cell>
        </row>
        <row r="17">
          <cell r="F17">
            <v>3181</v>
          </cell>
          <cell r="G17">
            <v>899200</v>
          </cell>
          <cell r="H17">
            <v>6306900</v>
          </cell>
        </row>
        <row r="18">
          <cell r="F18">
            <v>4115</v>
          </cell>
          <cell r="G18">
            <v>1149700</v>
          </cell>
          <cell r="H18">
            <v>8145200</v>
          </cell>
        </row>
        <row r="19">
          <cell r="F19">
            <v>3946</v>
          </cell>
          <cell r="G19">
            <v>1741200</v>
          </cell>
          <cell r="H19">
            <v>8449400</v>
          </cell>
        </row>
        <row r="20">
          <cell r="F20">
            <v>2307</v>
          </cell>
          <cell r="G20">
            <v>893200</v>
          </cell>
          <cell r="H20">
            <v>4815100</v>
          </cell>
        </row>
        <row r="21">
          <cell r="F21">
            <v>3048</v>
          </cell>
          <cell r="G21">
            <v>1339000</v>
          </cell>
          <cell r="H21">
            <v>6520600</v>
          </cell>
        </row>
        <row r="22">
          <cell r="F22">
            <v>5535</v>
          </cell>
          <cell r="G22">
            <v>2521950</v>
          </cell>
          <cell r="H22">
            <v>11931450</v>
          </cell>
        </row>
        <row r="23">
          <cell r="F23">
            <v>2469</v>
          </cell>
          <cell r="G23">
            <v>669250</v>
          </cell>
          <cell r="H23">
            <v>4866550</v>
          </cell>
        </row>
        <row r="24">
          <cell r="F24">
            <v>2140</v>
          </cell>
          <cell r="G24">
            <v>659600</v>
          </cell>
          <cell r="H24">
            <v>4297600</v>
          </cell>
        </row>
        <row r="25">
          <cell r="F25">
            <v>2161</v>
          </cell>
          <cell r="G25">
            <v>543100</v>
          </cell>
          <cell r="H25">
            <v>4216800</v>
          </cell>
        </row>
        <row r="26">
          <cell r="F26">
            <v>4016</v>
          </cell>
          <cell r="G26">
            <v>1230900</v>
          </cell>
          <cell r="H26">
            <v>8058100</v>
          </cell>
        </row>
        <row r="27">
          <cell r="F27">
            <v>8703</v>
          </cell>
          <cell r="G27">
            <v>4207200</v>
          </cell>
          <cell r="H27">
            <v>19002300</v>
          </cell>
        </row>
        <row r="28">
          <cell r="F28">
            <v>7024</v>
          </cell>
          <cell r="G28">
            <v>3105600</v>
          </cell>
          <cell r="H28">
            <v>15046400</v>
          </cell>
        </row>
        <row r="29">
          <cell r="F29">
            <v>5335</v>
          </cell>
          <cell r="G29">
            <v>2829100</v>
          </cell>
          <cell r="H29">
            <v>11898600</v>
          </cell>
        </row>
        <row r="30">
          <cell r="F30">
            <v>8902</v>
          </cell>
          <cell r="G30">
            <v>2867500</v>
          </cell>
          <cell r="H30">
            <v>18000900</v>
          </cell>
        </row>
        <row r="31">
          <cell r="F31">
            <v>4899</v>
          </cell>
          <cell r="G31">
            <v>1499400</v>
          </cell>
          <cell r="H31">
            <v>9827700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6522</v>
          </cell>
          <cell r="G33">
            <v>2508000</v>
          </cell>
          <cell r="H33">
            <v>13595400</v>
          </cell>
        </row>
        <row r="34">
          <cell r="F34">
            <v>9301</v>
          </cell>
          <cell r="G34">
            <v>3202400</v>
          </cell>
          <cell r="H34">
            <v>19014100</v>
          </cell>
        </row>
        <row r="35">
          <cell r="F35">
            <v>8780</v>
          </cell>
          <cell r="G35">
            <v>3486100</v>
          </cell>
          <cell r="H35">
            <v>18412100</v>
          </cell>
        </row>
        <row r="36">
          <cell r="F36">
            <v>8885</v>
          </cell>
          <cell r="G36">
            <v>3064750</v>
          </cell>
          <cell r="H36">
            <v>18169250</v>
          </cell>
        </row>
        <row r="37">
          <cell r="F37">
            <v>2337</v>
          </cell>
          <cell r="G37">
            <v>1489500</v>
          </cell>
          <cell r="H37">
            <v>5462400</v>
          </cell>
        </row>
        <row r="38">
          <cell r="F38">
            <v>5068</v>
          </cell>
          <cell r="G38">
            <v>2688000</v>
          </cell>
          <cell r="H38">
            <v>11303600</v>
          </cell>
        </row>
        <row r="39">
          <cell r="F39">
            <v>1361</v>
          </cell>
          <cell r="G39">
            <v>689200</v>
          </cell>
          <cell r="H39">
            <v>3002900</v>
          </cell>
        </row>
        <row r="40">
          <cell r="F40">
            <v>8687</v>
          </cell>
          <cell r="G40">
            <v>4177800</v>
          </cell>
          <cell r="H40">
            <v>18945700</v>
          </cell>
        </row>
        <row r="41">
          <cell r="F41">
            <v>4657</v>
          </cell>
          <cell r="G41">
            <v>1799000</v>
          </cell>
          <cell r="H41">
            <v>9715900</v>
          </cell>
        </row>
        <row r="42">
          <cell r="F42">
            <v>1314</v>
          </cell>
          <cell r="G42">
            <v>695500</v>
          </cell>
          <cell r="H42">
            <v>2929300</v>
          </cell>
        </row>
        <row r="43">
          <cell r="F43">
            <v>2553</v>
          </cell>
          <cell r="G43">
            <v>668900</v>
          </cell>
          <cell r="H43">
            <v>5009000</v>
          </cell>
        </row>
        <row r="44">
          <cell r="F44">
            <v>620</v>
          </cell>
          <cell r="G44">
            <v>291100</v>
          </cell>
          <cell r="H44">
            <v>1345100</v>
          </cell>
        </row>
        <row r="45">
          <cell r="F45">
            <v>9410</v>
          </cell>
          <cell r="G45">
            <v>2947100</v>
          </cell>
          <cell r="H45">
            <v>18944100</v>
          </cell>
        </row>
        <row r="46">
          <cell r="F46">
            <v>1170</v>
          </cell>
          <cell r="G46">
            <v>1027900</v>
          </cell>
          <cell r="H46">
            <v>3016900</v>
          </cell>
        </row>
        <row r="47">
          <cell r="F47">
            <v>19430</v>
          </cell>
          <cell r="G47">
            <v>4150400</v>
          </cell>
          <cell r="H47">
            <v>37181400</v>
          </cell>
        </row>
        <row r="52">
          <cell r="F52">
            <v>5553</v>
          </cell>
          <cell r="G52">
            <v>1902200</v>
          </cell>
          <cell r="H52">
            <v>11342300</v>
          </cell>
        </row>
        <row r="53">
          <cell r="F53">
            <v>3599</v>
          </cell>
          <cell r="G53">
            <v>1631600</v>
          </cell>
          <cell r="H53">
            <v>7749900</v>
          </cell>
        </row>
        <row r="54">
          <cell r="F54">
            <v>10442</v>
          </cell>
          <cell r="G54">
            <v>3243600</v>
          </cell>
          <cell r="H54">
            <v>20995000</v>
          </cell>
        </row>
        <row r="55">
          <cell r="F55">
            <v>2790</v>
          </cell>
          <cell r="G55">
            <v>1256650</v>
          </cell>
          <cell r="H55">
            <v>5999650</v>
          </cell>
        </row>
        <row r="56">
          <cell r="F56">
            <v>2239</v>
          </cell>
          <cell r="G56">
            <v>918100</v>
          </cell>
          <cell r="H56">
            <v>4724400</v>
          </cell>
        </row>
        <row r="57">
          <cell r="F57">
            <v>7280</v>
          </cell>
          <cell r="G57">
            <v>3230300</v>
          </cell>
          <cell r="H57">
            <v>15606300</v>
          </cell>
        </row>
        <row r="58">
          <cell r="F58">
            <v>12297</v>
          </cell>
          <cell r="G58">
            <v>3972000</v>
          </cell>
          <cell r="H58">
            <v>24876900</v>
          </cell>
        </row>
        <row r="59">
          <cell r="F59">
            <v>5642</v>
          </cell>
          <cell r="G59">
            <v>1796400</v>
          </cell>
          <cell r="H59">
            <v>11387800</v>
          </cell>
        </row>
        <row r="60">
          <cell r="F60">
            <v>4991</v>
          </cell>
          <cell r="G60">
            <v>1680700</v>
          </cell>
          <cell r="H60">
            <v>10165400</v>
          </cell>
        </row>
        <row r="61">
          <cell r="F61">
            <v>3444</v>
          </cell>
          <cell r="G61">
            <v>777700</v>
          </cell>
          <cell r="H61">
            <v>6632500</v>
          </cell>
        </row>
        <row r="62">
          <cell r="F62">
            <v>9034</v>
          </cell>
          <cell r="G62">
            <v>2644150</v>
          </cell>
          <cell r="H62">
            <v>18001950</v>
          </cell>
        </row>
        <row r="63">
          <cell r="F63">
            <v>5942</v>
          </cell>
          <cell r="G63">
            <v>2238800</v>
          </cell>
          <cell r="H63">
            <v>12340200</v>
          </cell>
        </row>
        <row r="64">
          <cell r="F64">
            <v>7174</v>
          </cell>
          <cell r="G64">
            <v>1977100</v>
          </cell>
          <cell r="H64">
            <v>14172900</v>
          </cell>
        </row>
        <row r="65">
          <cell r="F65">
            <v>4067</v>
          </cell>
          <cell r="G65">
            <v>1953400</v>
          </cell>
          <cell r="H65">
            <v>8867300</v>
          </cell>
        </row>
        <row r="66">
          <cell r="F66">
            <v>3486</v>
          </cell>
          <cell r="G66">
            <v>1318500</v>
          </cell>
          <cell r="H66">
            <v>7244700</v>
          </cell>
        </row>
        <row r="67">
          <cell r="F67">
            <v>1591</v>
          </cell>
          <cell r="G67">
            <v>639900</v>
          </cell>
          <cell r="H67">
            <v>3344600</v>
          </cell>
        </row>
        <row r="68">
          <cell r="F68">
            <v>4425</v>
          </cell>
          <cell r="G68">
            <v>1502500</v>
          </cell>
          <cell r="H68">
            <v>9025000</v>
          </cell>
        </row>
        <row r="69">
          <cell r="F69">
            <v>3058</v>
          </cell>
          <cell r="G69">
            <v>1158500</v>
          </cell>
          <cell r="H69">
            <v>6357100</v>
          </cell>
        </row>
        <row r="70">
          <cell r="F70">
            <v>4811</v>
          </cell>
          <cell r="G70">
            <v>2242600</v>
          </cell>
          <cell r="H70">
            <v>10421300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3796</v>
          </cell>
          <cell r="G72">
            <v>911200</v>
          </cell>
          <cell r="H72">
            <v>7364400</v>
          </cell>
        </row>
        <row r="73">
          <cell r="F73">
            <v>3245</v>
          </cell>
          <cell r="G73">
            <v>530700</v>
          </cell>
          <cell r="H73">
            <v>6047200</v>
          </cell>
        </row>
        <row r="74">
          <cell r="F74">
            <v>9274</v>
          </cell>
          <cell r="G74">
            <v>2202400</v>
          </cell>
          <cell r="H74">
            <v>17968200</v>
          </cell>
        </row>
        <row r="75">
          <cell r="F75">
            <v>3404</v>
          </cell>
          <cell r="G75">
            <v>782400</v>
          </cell>
          <cell r="H75">
            <v>6569200</v>
          </cell>
        </row>
        <row r="76">
          <cell r="F76">
            <v>13977</v>
          </cell>
          <cell r="G76">
            <v>3061600</v>
          </cell>
          <cell r="H76">
            <v>26822500</v>
          </cell>
        </row>
        <row r="77">
          <cell r="F77">
            <v>8669</v>
          </cell>
          <cell r="G77">
            <v>1564800</v>
          </cell>
          <cell r="H77">
            <v>16302100</v>
          </cell>
        </row>
        <row r="78">
          <cell r="F78">
            <v>5262</v>
          </cell>
          <cell r="G78">
            <v>1494300</v>
          </cell>
          <cell r="H78">
            <v>10439700</v>
          </cell>
        </row>
        <row r="79">
          <cell r="F79">
            <v>1640</v>
          </cell>
          <cell r="G79">
            <v>170300</v>
          </cell>
          <cell r="H79">
            <v>2958300</v>
          </cell>
        </row>
        <row r="80">
          <cell r="F80">
            <v>3217</v>
          </cell>
          <cell r="G80">
            <v>647500</v>
          </cell>
          <cell r="H80">
            <v>6116400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1886</v>
          </cell>
          <cell r="G84">
            <v>447800</v>
          </cell>
          <cell r="H84">
            <v>3654000</v>
          </cell>
        </row>
        <row r="85">
          <cell r="F85">
            <v>1190</v>
          </cell>
          <cell r="G85">
            <v>188400</v>
          </cell>
          <cell r="H85">
            <v>2211400</v>
          </cell>
        </row>
        <row r="86">
          <cell r="F86">
            <v>2508</v>
          </cell>
          <cell r="G86">
            <v>808100</v>
          </cell>
          <cell r="H86">
            <v>5071700</v>
          </cell>
        </row>
        <row r="87">
          <cell r="F87">
            <v>2952</v>
          </cell>
          <cell r="G87">
            <v>632250</v>
          </cell>
          <cell r="H87">
            <v>5650650</v>
          </cell>
        </row>
        <row r="88">
          <cell r="F88">
            <v>3150</v>
          </cell>
          <cell r="G88">
            <v>934600</v>
          </cell>
          <cell r="H88">
            <v>6289600</v>
          </cell>
        </row>
        <row r="89">
          <cell r="F89">
            <v>743</v>
          </cell>
          <cell r="G89">
            <v>337500</v>
          </cell>
          <cell r="H89">
            <v>1600600</v>
          </cell>
        </row>
        <row r="90">
          <cell r="F90">
            <v>1008</v>
          </cell>
          <cell r="G90">
            <v>347400</v>
          </cell>
          <cell r="H90">
            <v>2061000</v>
          </cell>
        </row>
        <row r="91">
          <cell r="F91">
            <v>2835</v>
          </cell>
          <cell r="G91">
            <v>1197600</v>
          </cell>
          <cell r="H91">
            <v>6017100</v>
          </cell>
        </row>
        <row r="92">
          <cell r="F92">
            <v>1140</v>
          </cell>
          <cell r="G92">
            <v>344400</v>
          </cell>
          <cell r="H92">
            <v>2282400</v>
          </cell>
        </row>
        <row r="93">
          <cell r="F93">
            <v>1241</v>
          </cell>
          <cell r="G93">
            <v>283900</v>
          </cell>
          <cell r="H93">
            <v>2393600</v>
          </cell>
        </row>
        <row r="94">
          <cell r="F94">
            <v>180</v>
          </cell>
          <cell r="G94">
            <v>46000</v>
          </cell>
          <cell r="H94">
            <v>352000</v>
          </cell>
        </row>
        <row r="95">
          <cell r="F95">
            <v>1547</v>
          </cell>
          <cell r="G95">
            <v>743500</v>
          </cell>
          <cell r="H95">
            <v>3373400</v>
          </cell>
        </row>
        <row r="96">
          <cell r="F96">
            <v>2532</v>
          </cell>
          <cell r="G96">
            <v>435900</v>
          </cell>
          <cell r="H96">
            <v>4740300</v>
          </cell>
        </row>
        <row r="97">
          <cell r="F97">
            <v>3983</v>
          </cell>
          <cell r="G97">
            <v>668800</v>
          </cell>
          <cell r="H97">
            <v>7439900</v>
          </cell>
        </row>
        <row r="98">
          <cell r="F98">
            <v>2437</v>
          </cell>
          <cell r="G98">
            <v>652600</v>
          </cell>
          <cell r="H98">
            <v>4795500</v>
          </cell>
        </row>
        <row r="99">
          <cell r="F99">
            <v>5157</v>
          </cell>
          <cell r="G99">
            <v>1153800</v>
          </cell>
          <cell r="H99">
            <v>9920700</v>
          </cell>
        </row>
        <row r="100">
          <cell r="F100">
            <v>6329</v>
          </cell>
          <cell r="G100">
            <v>1507900</v>
          </cell>
          <cell r="H100">
            <v>12267200</v>
          </cell>
        </row>
        <row r="101">
          <cell r="F101">
            <v>2151</v>
          </cell>
          <cell r="G101">
            <v>603400</v>
          </cell>
          <cell r="H101">
            <v>4260100</v>
          </cell>
        </row>
        <row r="102">
          <cell r="F102">
            <v>12052</v>
          </cell>
          <cell r="G102">
            <v>1667900</v>
          </cell>
          <cell r="H102">
            <v>22156300</v>
          </cell>
        </row>
        <row r="103">
          <cell r="F103">
            <v>8444</v>
          </cell>
          <cell r="G103">
            <v>1771500</v>
          </cell>
          <cell r="H103">
            <v>16126300</v>
          </cell>
        </row>
        <row r="104">
          <cell r="F104">
            <v>4269</v>
          </cell>
          <cell r="G104">
            <v>998900</v>
          </cell>
          <cell r="H104">
            <v>8256200</v>
          </cell>
        </row>
        <row r="105">
          <cell r="F105">
            <v>2401</v>
          </cell>
          <cell r="G105">
            <v>758900</v>
          </cell>
          <cell r="H105">
            <v>4840600</v>
          </cell>
        </row>
        <row r="106">
          <cell r="F106">
            <v>2070</v>
          </cell>
          <cell r="G106">
            <v>621400</v>
          </cell>
          <cell r="H106">
            <v>4140400</v>
          </cell>
        </row>
        <row r="107">
          <cell r="F107">
            <v>4013</v>
          </cell>
          <cell r="G107">
            <v>829500</v>
          </cell>
          <cell r="H107">
            <v>7651600</v>
          </cell>
        </row>
        <row r="108">
          <cell r="F108">
            <v>3816</v>
          </cell>
          <cell r="G108">
            <v>755700</v>
          </cell>
          <cell r="H108">
            <v>7242900</v>
          </cell>
        </row>
        <row r="109">
          <cell r="F109">
            <v>2338</v>
          </cell>
          <cell r="G109">
            <v>607100</v>
          </cell>
          <cell r="H109">
            <v>4581700</v>
          </cell>
        </row>
        <row r="110">
          <cell r="F110">
            <v>1384</v>
          </cell>
          <cell r="G110">
            <v>303600</v>
          </cell>
          <cell r="H110">
            <v>2656400</v>
          </cell>
        </row>
        <row r="111">
          <cell r="F111">
            <v>4289</v>
          </cell>
          <cell r="G111">
            <v>1178800</v>
          </cell>
          <cell r="H111">
            <v>8470100</v>
          </cell>
        </row>
        <row r="112">
          <cell r="F112">
            <v>2661</v>
          </cell>
          <cell r="G112">
            <v>640300</v>
          </cell>
          <cell r="H112">
            <v>5164000</v>
          </cell>
        </row>
        <row r="113">
          <cell r="F113">
            <v>3405</v>
          </cell>
          <cell r="G113">
            <v>2344600</v>
          </cell>
          <cell r="H113">
            <v>8133100</v>
          </cell>
        </row>
        <row r="114">
          <cell r="F114">
            <v>175</v>
          </cell>
          <cell r="G114">
            <v>55500</v>
          </cell>
          <cell r="H114">
            <v>353000</v>
          </cell>
        </row>
        <row r="115">
          <cell r="F115">
            <v>1596</v>
          </cell>
          <cell r="G115">
            <v>233200</v>
          </cell>
          <cell r="H115">
            <v>2946400</v>
          </cell>
        </row>
        <row r="116">
          <cell r="F116">
            <v>190</v>
          </cell>
          <cell r="G116">
            <v>119000</v>
          </cell>
          <cell r="H116">
            <v>442000</v>
          </cell>
        </row>
        <row r="117">
          <cell r="F117">
            <v>1611</v>
          </cell>
          <cell r="G117">
            <v>257700</v>
          </cell>
          <cell r="H117">
            <v>2996400</v>
          </cell>
        </row>
        <row r="118">
          <cell r="F118">
            <v>2044</v>
          </cell>
          <cell r="G118">
            <v>775700</v>
          </cell>
          <cell r="H118">
            <v>4250500</v>
          </cell>
        </row>
        <row r="121">
          <cell r="F121">
            <v>29131</v>
          </cell>
          <cell r="G121">
            <v>2947501</v>
          </cell>
        </row>
        <row r="122">
          <cell r="F122">
            <v>7726</v>
          </cell>
          <cell r="G122">
            <v>9565350</v>
          </cell>
          <cell r="H122">
            <v>22699550</v>
          </cell>
        </row>
        <row r="133">
          <cell r="F133">
            <v>128861</v>
          </cell>
          <cell r="G133">
            <v>35476750</v>
          </cell>
          <cell r="H133">
            <v>254540450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2695</v>
          </cell>
          <cell r="G136">
            <v>1656750</v>
          </cell>
          <cell r="H136">
            <v>6238250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749442.03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422</v>
          </cell>
          <cell r="G147">
            <v>779100</v>
          </cell>
          <cell r="H147">
            <v>1496500</v>
          </cell>
        </row>
        <row r="148">
          <cell r="F148">
            <v>676</v>
          </cell>
          <cell r="G148">
            <v>1377400</v>
          </cell>
          <cell r="H148">
            <v>2526600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5000</v>
          </cell>
          <cell r="H154">
            <v>5000</v>
          </cell>
        </row>
        <row r="155">
          <cell r="F155">
            <v>0</v>
          </cell>
          <cell r="G155">
            <v>54000</v>
          </cell>
          <cell r="H155">
            <v>54000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1208000</v>
          </cell>
          <cell r="H158">
            <v>1208000</v>
          </cell>
        </row>
        <row r="159">
          <cell r="F159">
            <v>0</v>
          </cell>
          <cell r="G159">
            <v>1307000</v>
          </cell>
          <cell r="H159">
            <v>1307000</v>
          </cell>
        </row>
        <row r="160">
          <cell r="F160">
            <v>0</v>
          </cell>
          <cell r="G160">
            <v>494000</v>
          </cell>
          <cell r="H160">
            <v>494000</v>
          </cell>
        </row>
        <row r="161">
          <cell r="F161">
            <v>0</v>
          </cell>
          <cell r="G161">
            <v>1197000</v>
          </cell>
          <cell r="H161">
            <v>1197000</v>
          </cell>
        </row>
        <row r="162">
          <cell r="F162">
            <v>0</v>
          </cell>
          <cell r="G162">
            <v>845000</v>
          </cell>
          <cell r="H162">
            <v>845000</v>
          </cell>
        </row>
        <row r="163">
          <cell r="F163">
            <v>0</v>
          </cell>
          <cell r="G163">
            <v>78000</v>
          </cell>
          <cell r="H163">
            <v>78000</v>
          </cell>
        </row>
        <row r="164">
          <cell r="F164">
            <v>0</v>
          </cell>
          <cell r="G164">
            <v>159000</v>
          </cell>
          <cell r="H164">
            <v>159000</v>
          </cell>
        </row>
        <row r="165">
          <cell r="F165">
            <v>0</v>
          </cell>
          <cell r="G165">
            <v>366000</v>
          </cell>
          <cell r="H165">
            <v>366000</v>
          </cell>
        </row>
        <row r="166">
          <cell r="F166">
            <v>0</v>
          </cell>
          <cell r="G166">
            <v>58000</v>
          </cell>
          <cell r="H166">
            <v>58000</v>
          </cell>
        </row>
        <row r="167">
          <cell r="F167">
            <v>0</v>
          </cell>
          <cell r="G167">
            <v>165000</v>
          </cell>
          <cell r="H167">
            <v>165000</v>
          </cell>
        </row>
        <row r="168">
          <cell r="F168">
            <v>0</v>
          </cell>
          <cell r="G168">
            <v>4000</v>
          </cell>
          <cell r="H168">
            <v>4000</v>
          </cell>
        </row>
        <row r="169">
          <cell r="F169">
            <v>0</v>
          </cell>
          <cell r="G169">
            <v>7000</v>
          </cell>
          <cell r="H169">
            <v>7000</v>
          </cell>
        </row>
        <row r="170">
          <cell r="F170">
            <v>0</v>
          </cell>
          <cell r="G170">
            <v>100000</v>
          </cell>
          <cell r="H170">
            <v>100000</v>
          </cell>
        </row>
        <row r="171">
          <cell r="F171">
            <v>0</v>
          </cell>
          <cell r="G171">
            <v>110000</v>
          </cell>
          <cell r="H171">
            <v>110000</v>
          </cell>
        </row>
        <row r="172">
          <cell r="F172">
            <v>0</v>
          </cell>
          <cell r="G172">
            <v>5000</v>
          </cell>
          <cell r="H172">
            <v>5000</v>
          </cell>
        </row>
        <row r="173">
          <cell r="F173">
            <v>0</v>
          </cell>
          <cell r="G173">
            <v>32000</v>
          </cell>
          <cell r="H173">
            <v>32000</v>
          </cell>
        </row>
        <row r="174">
          <cell r="F174">
            <v>0</v>
          </cell>
          <cell r="G174">
            <v>1000</v>
          </cell>
          <cell r="H174">
            <v>1000</v>
          </cell>
        </row>
        <row r="175">
          <cell r="F175">
            <v>0</v>
          </cell>
          <cell r="G175">
            <v>74000</v>
          </cell>
          <cell r="H175">
            <v>74000</v>
          </cell>
        </row>
        <row r="176">
          <cell r="F176">
            <v>0</v>
          </cell>
          <cell r="G176">
            <v>25000</v>
          </cell>
          <cell r="H176">
            <v>25000</v>
          </cell>
        </row>
        <row r="177">
          <cell r="F177">
            <v>0</v>
          </cell>
          <cell r="G177">
            <v>328000</v>
          </cell>
          <cell r="H177">
            <v>328000</v>
          </cell>
        </row>
        <row r="178">
          <cell r="F178">
            <v>0</v>
          </cell>
          <cell r="G178">
            <v>275000</v>
          </cell>
          <cell r="H178">
            <v>275000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16000</v>
          </cell>
          <cell r="H181">
            <v>16000</v>
          </cell>
        </row>
        <row r="182">
          <cell r="F182">
            <v>0</v>
          </cell>
          <cell r="G182">
            <v>117000</v>
          </cell>
          <cell r="H182">
            <v>117000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26000</v>
          </cell>
          <cell r="H186">
            <v>26000</v>
          </cell>
        </row>
        <row r="187">
          <cell r="F187">
            <v>0</v>
          </cell>
          <cell r="G187">
            <v>46000</v>
          </cell>
          <cell r="H187">
            <v>46000</v>
          </cell>
        </row>
        <row r="188">
          <cell r="F188">
            <v>0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92000</v>
          </cell>
          <cell r="H189">
            <v>92000</v>
          </cell>
        </row>
        <row r="190">
          <cell r="F190">
            <v>0</v>
          </cell>
          <cell r="G190">
            <v>78000</v>
          </cell>
          <cell r="H190">
            <v>78000</v>
          </cell>
        </row>
        <row r="191">
          <cell r="F191">
            <v>0</v>
          </cell>
          <cell r="G191">
            <v>29000</v>
          </cell>
          <cell r="H191">
            <v>29000</v>
          </cell>
        </row>
        <row r="192">
          <cell r="F192">
            <v>0</v>
          </cell>
          <cell r="G192">
            <v>38000</v>
          </cell>
          <cell r="H192">
            <v>38000</v>
          </cell>
        </row>
        <row r="193">
          <cell r="F193">
            <v>0</v>
          </cell>
          <cell r="G193">
            <v>48000</v>
          </cell>
          <cell r="H193">
            <v>48000</v>
          </cell>
        </row>
        <row r="194">
          <cell r="F194">
            <v>0</v>
          </cell>
          <cell r="G194">
            <v>27000</v>
          </cell>
          <cell r="H194">
            <v>27000</v>
          </cell>
        </row>
        <row r="195">
          <cell r="F195">
            <v>0</v>
          </cell>
          <cell r="G195">
            <v>69000</v>
          </cell>
          <cell r="H195">
            <v>69000</v>
          </cell>
        </row>
        <row r="196">
          <cell r="F196">
            <v>0</v>
          </cell>
          <cell r="G196">
            <v>11000</v>
          </cell>
          <cell r="H196">
            <v>11000</v>
          </cell>
        </row>
        <row r="197">
          <cell r="F197">
            <v>0</v>
          </cell>
          <cell r="G197">
            <v>7000</v>
          </cell>
          <cell r="H197">
            <v>7000</v>
          </cell>
        </row>
        <row r="198">
          <cell r="F198">
            <v>0</v>
          </cell>
          <cell r="G198">
            <v>133000</v>
          </cell>
          <cell r="H198">
            <v>133000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0</v>
          </cell>
          <cell r="G200">
            <v>5000</v>
          </cell>
          <cell r="H200">
            <v>5000</v>
          </cell>
        </row>
        <row r="201">
          <cell r="F201">
            <v>0</v>
          </cell>
          <cell r="G201">
            <v>32000</v>
          </cell>
          <cell r="H201">
            <v>32000</v>
          </cell>
        </row>
        <row r="202">
          <cell r="F202">
            <v>0</v>
          </cell>
          <cell r="G202">
            <v>49000</v>
          </cell>
          <cell r="H202">
            <v>49000</v>
          </cell>
        </row>
        <row r="203">
          <cell r="F203">
            <v>0</v>
          </cell>
          <cell r="G203">
            <v>5000</v>
          </cell>
          <cell r="H203">
            <v>5000</v>
          </cell>
        </row>
        <row r="204">
          <cell r="F204">
            <v>0</v>
          </cell>
          <cell r="G204">
            <v>125000</v>
          </cell>
          <cell r="H204">
            <v>125000</v>
          </cell>
        </row>
        <row r="205">
          <cell r="F205">
            <v>0</v>
          </cell>
          <cell r="G205">
            <v>8000</v>
          </cell>
          <cell r="H205">
            <v>8000</v>
          </cell>
        </row>
        <row r="206">
          <cell r="F206">
            <v>0</v>
          </cell>
          <cell r="G206">
            <v>67000</v>
          </cell>
          <cell r="H206">
            <v>67000</v>
          </cell>
        </row>
        <row r="207">
          <cell r="F207">
            <v>0</v>
          </cell>
          <cell r="G207">
            <v>22000</v>
          </cell>
          <cell r="H207">
            <v>22000</v>
          </cell>
        </row>
        <row r="208">
          <cell r="F208">
            <v>0</v>
          </cell>
          <cell r="G208">
            <v>67000</v>
          </cell>
          <cell r="H208">
            <v>67000</v>
          </cell>
        </row>
        <row r="209">
          <cell r="F209">
            <v>0</v>
          </cell>
          <cell r="G209">
            <v>29000</v>
          </cell>
          <cell r="H209">
            <v>29000</v>
          </cell>
        </row>
        <row r="210">
          <cell r="F210">
            <v>0</v>
          </cell>
          <cell r="G210">
            <v>153000</v>
          </cell>
          <cell r="H210">
            <v>153000</v>
          </cell>
        </row>
        <row r="211">
          <cell r="F211">
            <v>0</v>
          </cell>
          <cell r="G211">
            <v>19000</v>
          </cell>
          <cell r="H211">
            <v>19000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20000</v>
          </cell>
          <cell r="H213">
            <v>20000</v>
          </cell>
        </row>
        <row r="214">
          <cell r="F214">
            <v>0</v>
          </cell>
          <cell r="G214">
            <v>50000</v>
          </cell>
          <cell r="H214">
            <v>50000</v>
          </cell>
        </row>
        <row r="215">
          <cell r="F215">
            <v>0</v>
          </cell>
          <cell r="G215">
            <v>16000</v>
          </cell>
          <cell r="H215">
            <v>16000</v>
          </cell>
        </row>
        <row r="216">
          <cell r="F216">
            <v>0</v>
          </cell>
          <cell r="G216">
            <v>40000</v>
          </cell>
          <cell r="H216">
            <v>40000</v>
          </cell>
        </row>
        <row r="217">
          <cell r="F217">
            <v>0</v>
          </cell>
          <cell r="G217">
            <v>20000</v>
          </cell>
          <cell r="H217">
            <v>20000</v>
          </cell>
        </row>
        <row r="218">
          <cell r="F218">
            <v>0</v>
          </cell>
          <cell r="G218">
            <v>90000</v>
          </cell>
          <cell r="H218">
            <v>90000</v>
          </cell>
        </row>
        <row r="219">
          <cell r="F219">
            <v>0</v>
          </cell>
          <cell r="G219">
            <v>56000</v>
          </cell>
          <cell r="H219">
            <v>56000</v>
          </cell>
        </row>
        <row r="220">
          <cell r="F220">
            <v>0</v>
          </cell>
          <cell r="G220">
            <v>87000</v>
          </cell>
          <cell r="H220">
            <v>87000</v>
          </cell>
        </row>
        <row r="223">
          <cell r="F223">
            <v>2</v>
          </cell>
          <cell r="G223">
            <v>1119500</v>
          </cell>
          <cell r="H223">
            <v>1122900</v>
          </cell>
        </row>
        <row r="224">
          <cell r="F224">
            <v>0</v>
          </cell>
          <cell r="G224">
            <v>541000</v>
          </cell>
          <cell r="H224">
            <v>541000</v>
          </cell>
        </row>
        <row r="225">
          <cell r="F225">
            <v>614</v>
          </cell>
          <cell r="G225">
            <v>996800</v>
          </cell>
          <cell r="H225">
            <v>2040600</v>
          </cell>
        </row>
        <row r="226">
          <cell r="F226">
            <v>880</v>
          </cell>
          <cell r="G226">
            <v>965300</v>
          </cell>
          <cell r="H226">
            <v>2461300</v>
          </cell>
        </row>
        <row r="227">
          <cell r="F227">
            <v>739</v>
          </cell>
          <cell r="G227">
            <v>423400</v>
          </cell>
          <cell r="H227">
            <v>1679700</v>
          </cell>
        </row>
        <row r="228">
          <cell r="F228">
            <v>260</v>
          </cell>
          <cell r="G228">
            <v>449600</v>
          </cell>
          <cell r="H228">
            <v>891600</v>
          </cell>
        </row>
        <row r="229">
          <cell r="F229">
            <v>418</v>
          </cell>
          <cell r="G229">
            <v>909900</v>
          </cell>
          <cell r="H229">
            <v>1620500</v>
          </cell>
        </row>
        <row r="230">
          <cell r="F230">
            <v>1954</v>
          </cell>
          <cell r="G230">
            <v>664100</v>
          </cell>
          <cell r="H230">
            <v>3985900</v>
          </cell>
        </row>
        <row r="231">
          <cell r="F231">
            <v>19</v>
          </cell>
          <cell r="G231">
            <v>1819400</v>
          </cell>
          <cell r="H231">
            <v>1851700</v>
          </cell>
        </row>
        <row r="232">
          <cell r="F232">
            <v>0</v>
          </cell>
          <cell r="G232">
            <v>555500</v>
          </cell>
          <cell r="H232">
            <v>555500</v>
          </cell>
        </row>
        <row r="233">
          <cell r="F233">
            <v>471</v>
          </cell>
          <cell r="G233">
            <v>581500</v>
          </cell>
          <cell r="H233">
            <v>1382200</v>
          </cell>
        </row>
        <row r="234">
          <cell r="F234">
            <v>821</v>
          </cell>
          <cell r="G234">
            <v>508800</v>
          </cell>
          <cell r="H234">
            <v>1904500</v>
          </cell>
        </row>
        <row r="235">
          <cell r="F235">
            <v>0</v>
          </cell>
          <cell r="G235">
            <v>121100</v>
          </cell>
          <cell r="H235">
            <v>121100</v>
          </cell>
        </row>
        <row r="236">
          <cell r="F236">
            <v>0</v>
          </cell>
          <cell r="G236">
            <v>282000</v>
          </cell>
          <cell r="H236">
            <v>282000</v>
          </cell>
        </row>
        <row r="237">
          <cell r="F237">
            <v>624</v>
          </cell>
          <cell r="G237">
            <v>571600</v>
          </cell>
          <cell r="H237">
            <v>1632400</v>
          </cell>
        </row>
        <row r="238">
          <cell r="F238">
            <v>636</v>
          </cell>
          <cell r="G238">
            <v>327000</v>
          </cell>
          <cell r="H238">
            <v>1408200</v>
          </cell>
        </row>
        <row r="239">
          <cell r="F239">
            <v>138</v>
          </cell>
          <cell r="G239">
            <v>674400</v>
          </cell>
          <cell r="H239">
            <v>909000</v>
          </cell>
        </row>
        <row r="240">
          <cell r="F240">
            <v>815</v>
          </cell>
          <cell r="G240">
            <v>567500</v>
          </cell>
          <cell r="H240">
            <v>1953000</v>
          </cell>
        </row>
        <row r="241">
          <cell r="F241">
            <v>522</v>
          </cell>
          <cell r="G241">
            <v>420000</v>
          </cell>
          <cell r="H241">
            <v>1307400</v>
          </cell>
        </row>
        <row r="242">
          <cell r="F242">
            <v>638</v>
          </cell>
          <cell r="G242">
            <v>611850</v>
          </cell>
          <cell r="H242">
            <v>1696450</v>
          </cell>
        </row>
        <row r="243">
          <cell r="F243">
            <v>295</v>
          </cell>
          <cell r="G243">
            <v>190400</v>
          </cell>
          <cell r="H243">
            <v>691900</v>
          </cell>
        </row>
        <row r="244">
          <cell r="F244">
            <v>280</v>
          </cell>
          <cell r="G244">
            <v>351950</v>
          </cell>
          <cell r="H244">
            <v>827950</v>
          </cell>
        </row>
        <row r="245">
          <cell r="F245">
            <v>290</v>
          </cell>
          <cell r="G245">
            <v>586200</v>
          </cell>
          <cell r="H245">
            <v>1079200</v>
          </cell>
        </row>
        <row r="246">
          <cell r="F246">
            <v>269</v>
          </cell>
          <cell r="G246">
            <v>591300</v>
          </cell>
          <cell r="H246">
            <v>1048600</v>
          </cell>
        </row>
        <row r="247">
          <cell r="F247">
            <v>842</v>
          </cell>
          <cell r="G247">
            <v>657900</v>
          </cell>
          <cell r="H247">
            <v>2089300</v>
          </cell>
        </row>
        <row r="248">
          <cell r="F248">
            <v>127</v>
          </cell>
          <cell r="G248">
            <v>662300</v>
          </cell>
          <cell r="H248">
            <v>878200</v>
          </cell>
        </row>
        <row r="249">
          <cell r="F249">
            <v>113</v>
          </cell>
          <cell r="G249">
            <v>791000</v>
          </cell>
          <cell r="H249">
            <v>983100</v>
          </cell>
        </row>
        <row r="250">
          <cell r="F250">
            <v>3</v>
          </cell>
          <cell r="G250">
            <v>715900</v>
          </cell>
          <cell r="H250">
            <v>721000</v>
          </cell>
        </row>
        <row r="251">
          <cell r="F251">
            <v>269</v>
          </cell>
          <cell r="G251">
            <v>613900</v>
          </cell>
          <cell r="H251">
            <v>1071200</v>
          </cell>
        </row>
        <row r="252">
          <cell r="F252">
            <v>104</v>
          </cell>
          <cell r="G252">
            <v>375200</v>
          </cell>
          <cell r="H252">
            <v>552000</v>
          </cell>
        </row>
        <row r="253">
          <cell r="F253">
            <v>35</v>
          </cell>
          <cell r="G253">
            <v>991000</v>
          </cell>
          <cell r="H253">
            <v>1050500</v>
          </cell>
        </row>
        <row r="254">
          <cell r="F254">
            <v>322</v>
          </cell>
          <cell r="G254">
            <v>540300</v>
          </cell>
          <cell r="H254">
            <v>1087700</v>
          </cell>
        </row>
        <row r="255">
          <cell r="F255">
            <v>46</v>
          </cell>
          <cell r="G255">
            <v>280500</v>
          </cell>
          <cell r="H255">
            <v>358700</v>
          </cell>
        </row>
        <row r="256">
          <cell r="F256">
            <v>321</v>
          </cell>
          <cell r="G256">
            <v>1101200</v>
          </cell>
          <cell r="H256">
            <v>1646900</v>
          </cell>
        </row>
        <row r="257">
          <cell r="F257">
            <v>570</v>
          </cell>
          <cell r="G257">
            <v>365600</v>
          </cell>
          <cell r="H257">
            <v>1334600</v>
          </cell>
        </row>
        <row r="260">
          <cell r="G260">
            <v>42000</v>
          </cell>
          <cell r="H260">
            <v>42000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6396</v>
          </cell>
          <cell r="G10">
            <v>3071000</v>
          </cell>
          <cell r="H10">
            <v>13944200</v>
          </cell>
        </row>
        <row r="14">
          <cell r="F14">
            <v>2212</v>
          </cell>
          <cell r="G14">
            <v>476600</v>
          </cell>
          <cell r="H14">
            <v>4237000</v>
          </cell>
        </row>
        <row r="15">
          <cell r="F15">
            <v>1895</v>
          </cell>
          <cell r="G15">
            <v>588700</v>
          </cell>
          <cell r="H15">
            <v>3810200</v>
          </cell>
        </row>
        <row r="16">
          <cell r="F16">
            <v>2084</v>
          </cell>
          <cell r="G16">
            <v>457700</v>
          </cell>
          <cell r="H16">
            <v>4000500</v>
          </cell>
        </row>
        <row r="17">
          <cell r="F17">
            <v>1654</v>
          </cell>
          <cell r="G17">
            <v>420900</v>
          </cell>
          <cell r="H17">
            <v>3232700</v>
          </cell>
        </row>
        <row r="18">
          <cell r="F18">
            <v>1951</v>
          </cell>
          <cell r="G18">
            <v>501700</v>
          </cell>
          <cell r="H18">
            <v>3818400</v>
          </cell>
        </row>
        <row r="19">
          <cell r="F19">
            <v>1652</v>
          </cell>
          <cell r="G19">
            <v>628300</v>
          </cell>
          <cell r="H19">
            <v>3436700</v>
          </cell>
        </row>
        <row r="20">
          <cell r="F20">
            <v>957</v>
          </cell>
          <cell r="G20">
            <v>244400</v>
          </cell>
          <cell r="H20">
            <v>1871300</v>
          </cell>
        </row>
        <row r="21">
          <cell r="F21">
            <v>1720</v>
          </cell>
          <cell r="G21">
            <v>532200</v>
          </cell>
          <cell r="H21">
            <v>3456200</v>
          </cell>
        </row>
        <row r="22">
          <cell r="F22">
            <v>2742</v>
          </cell>
          <cell r="G22">
            <v>839400</v>
          </cell>
          <cell r="H22">
            <v>5500800</v>
          </cell>
        </row>
        <row r="23">
          <cell r="F23">
            <v>1256</v>
          </cell>
          <cell r="G23">
            <v>324200</v>
          </cell>
          <cell r="H23">
            <v>2459400</v>
          </cell>
        </row>
        <row r="24">
          <cell r="F24">
            <v>1368</v>
          </cell>
          <cell r="G24">
            <v>201000</v>
          </cell>
          <cell r="H24">
            <v>2526600</v>
          </cell>
        </row>
        <row r="25">
          <cell r="F25">
            <v>1082</v>
          </cell>
          <cell r="G25">
            <v>261500</v>
          </cell>
          <cell r="H25">
            <v>2100900</v>
          </cell>
        </row>
        <row r="26">
          <cell r="F26">
            <v>1464</v>
          </cell>
          <cell r="G26">
            <v>353300</v>
          </cell>
          <cell r="H26">
            <v>2842100</v>
          </cell>
        </row>
        <row r="27">
          <cell r="F27">
            <v>2157</v>
          </cell>
          <cell r="G27">
            <v>881900</v>
          </cell>
          <cell r="H27">
            <v>4548800</v>
          </cell>
        </row>
        <row r="28">
          <cell r="F28">
            <v>2237</v>
          </cell>
          <cell r="G28">
            <v>1123500</v>
          </cell>
          <cell r="H28">
            <v>4926400</v>
          </cell>
        </row>
        <row r="29">
          <cell r="F29">
            <v>1328</v>
          </cell>
          <cell r="G29">
            <v>543600</v>
          </cell>
          <cell r="H29">
            <v>2801200</v>
          </cell>
        </row>
        <row r="30">
          <cell r="F30">
            <v>3052</v>
          </cell>
          <cell r="G30">
            <v>1380800</v>
          </cell>
          <cell r="H30">
            <v>6569200</v>
          </cell>
        </row>
        <row r="31">
          <cell r="F31">
            <v>1497</v>
          </cell>
          <cell r="G31">
            <v>515700</v>
          </cell>
          <cell r="H31">
            <v>3060600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2361</v>
          </cell>
          <cell r="G33">
            <v>772500</v>
          </cell>
          <cell r="H33">
            <v>4786200</v>
          </cell>
        </row>
        <row r="34">
          <cell r="F34">
            <v>3472</v>
          </cell>
          <cell r="G34">
            <v>1075000</v>
          </cell>
          <cell r="H34">
            <v>6977400</v>
          </cell>
        </row>
        <row r="35">
          <cell r="F35">
            <v>4332</v>
          </cell>
          <cell r="G35">
            <v>1606900</v>
          </cell>
          <cell r="H35">
            <v>8971300</v>
          </cell>
        </row>
        <row r="36">
          <cell r="F36">
            <v>3797</v>
          </cell>
          <cell r="G36">
            <v>1177550</v>
          </cell>
          <cell r="H36">
            <v>7632450</v>
          </cell>
        </row>
        <row r="37">
          <cell r="F37">
            <v>1138</v>
          </cell>
          <cell r="G37">
            <v>432200</v>
          </cell>
          <cell r="H37">
            <v>2366800</v>
          </cell>
        </row>
        <row r="38">
          <cell r="F38">
            <v>1880</v>
          </cell>
          <cell r="G38">
            <v>766550</v>
          </cell>
          <cell r="H38">
            <v>3962550</v>
          </cell>
        </row>
        <row r="39">
          <cell r="F39">
            <v>699</v>
          </cell>
          <cell r="G39">
            <v>485800</v>
          </cell>
          <cell r="H39">
            <v>1674100</v>
          </cell>
        </row>
        <row r="40">
          <cell r="F40">
            <v>4291</v>
          </cell>
          <cell r="G40">
            <v>1976400</v>
          </cell>
          <cell r="H40">
            <v>9271100</v>
          </cell>
        </row>
        <row r="41">
          <cell r="F41">
            <v>1466</v>
          </cell>
          <cell r="G41">
            <v>586300</v>
          </cell>
          <cell r="H41">
            <v>3078500</v>
          </cell>
        </row>
        <row r="42">
          <cell r="F42">
            <v>493</v>
          </cell>
          <cell r="G42">
            <v>291800</v>
          </cell>
          <cell r="H42">
            <v>1129900</v>
          </cell>
        </row>
        <row r="43">
          <cell r="F43">
            <v>1127</v>
          </cell>
          <cell r="G43">
            <v>219700</v>
          </cell>
          <cell r="H43">
            <v>2135600</v>
          </cell>
        </row>
        <row r="44">
          <cell r="F44">
            <v>275</v>
          </cell>
          <cell r="G44">
            <v>51000</v>
          </cell>
          <cell r="H44">
            <v>518500</v>
          </cell>
        </row>
        <row r="45">
          <cell r="F45">
            <v>4388</v>
          </cell>
          <cell r="G45">
            <v>1440750</v>
          </cell>
          <cell r="H45">
            <v>8900350</v>
          </cell>
        </row>
        <row r="46">
          <cell r="F46">
            <v>387</v>
          </cell>
          <cell r="G46">
            <v>232500</v>
          </cell>
          <cell r="H46">
            <v>890400</v>
          </cell>
        </row>
        <row r="47">
          <cell r="F47">
            <v>11565</v>
          </cell>
          <cell r="G47">
            <v>3682600</v>
          </cell>
          <cell r="H47">
            <v>23343100</v>
          </cell>
        </row>
        <row r="52">
          <cell r="F52">
            <v>1462</v>
          </cell>
          <cell r="G52">
            <v>458400</v>
          </cell>
          <cell r="H52">
            <v>2943800</v>
          </cell>
        </row>
        <row r="53">
          <cell r="F53">
            <v>692</v>
          </cell>
          <cell r="G53">
            <v>196900</v>
          </cell>
          <cell r="H53">
            <v>1373300</v>
          </cell>
        </row>
        <row r="54">
          <cell r="F54">
            <v>3599</v>
          </cell>
          <cell r="G54">
            <v>1128500</v>
          </cell>
          <cell r="H54">
            <v>7246800</v>
          </cell>
        </row>
        <row r="55">
          <cell r="F55">
            <v>814</v>
          </cell>
          <cell r="G55">
            <v>368700</v>
          </cell>
          <cell r="H55">
            <v>1752500</v>
          </cell>
        </row>
        <row r="56">
          <cell r="F56">
            <v>821</v>
          </cell>
          <cell r="G56">
            <v>182400</v>
          </cell>
          <cell r="H56">
            <v>1578100</v>
          </cell>
        </row>
        <row r="57">
          <cell r="F57">
            <v>3008</v>
          </cell>
          <cell r="G57">
            <v>738400</v>
          </cell>
          <cell r="H57">
            <v>5852000</v>
          </cell>
        </row>
        <row r="58">
          <cell r="F58">
            <v>5306</v>
          </cell>
          <cell r="G58">
            <v>1266300</v>
          </cell>
          <cell r="H58">
            <v>10286500</v>
          </cell>
        </row>
        <row r="59">
          <cell r="F59">
            <v>1808</v>
          </cell>
          <cell r="G59">
            <v>354600</v>
          </cell>
          <cell r="H59">
            <v>3428200</v>
          </cell>
        </row>
        <row r="60">
          <cell r="F60">
            <v>1947</v>
          </cell>
          <cell r="G60">
            <v>372300</v>
          </cell>
          <cell r="H60">
            <v>3682200</v>
          </cell>
        </row>
        <row r="61">
          <cell r="F61">
            <v>1543</v>
          </cell>
          <cell r="G61">
            <v>317400</v>
          </cell>
          <cell r="H61">
            <v>2940500</v>
          </cell>
        </row>
        <row r="62">
          <cell r="F62">
            <v>3218</v>
          </cell>
          <cell r="G62">
            <v>754700</v>
          </cell>
          <cell r="H62">
            <v>6225300</v>
          </cell>
        </row>
        <row r="63">
          <cell r="F63">
            <v>2381</v>
          </cell>
          <cell r="G63">
            <v>557800</v>
          </cell>
          <cell r="H63">
            <v>4605500</v>
          </cell>
        </row>
        <row r="64">
          <cell r="F64">
            <v>2505</v>
          </cell>
          <cell r="G64">
            <v>385800</v>
          </cell>
          <cell r="H64">
            <v>4644300</v>
          </cell>
        </row>
        <row r="65">
          <cell r="F65">
            <v>1381</v>
          </cell>
          <cell r="G65">
            <v>487600</v>
          </cell>
          <cell r="H65">
            <v>2835300</v>
          </cell>
        </row>
        <row r="66">
          <cell r="F66">
            <v>985</v>
          </cell>
          <cell r="G66">
            <v>224600</v>
          </cell>
          <cell r="H66">
            <v>1899100</v>
          </cell>
        </row>
        <row r="67">
          <cell r="F67">
            <v>496</v>
          </cell>
          <cell r="G67">
            <v>163700</v>
          </cell>
          <cell r="H67">
            <v>1006900</v>
          </cell>
        </row>
        <row r="68">
          <cell r="F68">
            <v>1382</v>
          </cell>
          <cell r="G68">
            <v>265600</v>
          </cell>
          <cell r="H68">
            <v>2615000</v>
          </cell>
        </row>
        <row r="69">
          <cell r="F69">
            <v>1553</v>
          </cell>
          <cell r="G69">
            <v>430600</v>
          </cell>
          <cell r="H69">
            <v>3070700</v>
          </cell>
        </row>
        <row r="70">
          <cell r="F70">
            <v>1853</v>
          </cell>
          <cell r="G70">
            <v>630900</v>
          </cell>
          <cell r="H70">
            <v>3781000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1733</v>
          </cell>
          <cell r="G72">
            <v>254000</v>
          </cell>
          <cell r="H72">
            <v>3200100</v>
          </cell>
        </row>
        <row r="73">
          <cell r="F73">
            <v>1517</v>
          </cell>
          <cell r="G73">
            <v>190500</v>
          </cell>
          <cell r="H73">
            <v>2769400</v>
          </cell>
        </row>
        <row r="74">
          <cell r="F74">
            <v>4314</v>
          </cell>
          <cell r="G74">
            <v>570500</v>
          </cell>
          <cell r="H74">
            <v>7904300</v>
          </cell>
        </row>
        <row r="75">
          <cell r="F75">
            <v>1181</v>
          </cell>
          <cell r="G75">
            <v>126100</v>
          </cell>
          <cell r="H75">
            <v>2133800</v>
          </cell>
        </row>
        <row r="76">
          <cell r="F76">
            <v>7368</v>
          </cell>
          <cell r="G76">
            <v>1228200</v>
          </cell>
          <cell r="H76">
            <v>13753800</v>
          </cell>
        </row>
        <row r="77">
          <cell r="F77">
            <v>2922</v>
          </cell>
          <cell r="G77">
            <v>357100</v>
          </cell>
          <cell r="H77">
            <v>5324500</v>
          </cell>
        </row>
        <row r="78">
          <cell r="F78">
            <v>1716</v>
          </cell>
          <cell r="G78">
            <v>311700</v>
          </cell>
          <cell r="H78">
            <v>3228900</v>
          </cell>
        </row>
        <row r="79">
          <cell r="F79">
            <v>534</v>
          </cell>
          <cell r="G79">
            <v>48000</v>
          </cell>
          <cell r="H79">
            <v>955800</v>
          </cell>
        </row>
        <row r="80">
          <cell r="F80">
            <v>1914</v>
          </cell>
          <cell r="G80">
            <v>191100</v>
          </cell>
          <cell r="H80">
            <v>3444900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620</v>
          </cell>
          <cell r="G84">
            <v>42000</v>
          </cell>
          <cell r="H84">
            <v>1096000</v>
          </cell>
        </row>
        <row r="85">
          <cell r="F85">
            <v>351</v>
          </cell>
          <cell r="G85">
            <v>22100</v>
          </cell>
          <cell r="H85">
            <v>618800</v>
          </cell>
        </row>
        <row r="86">
          <cell r="F86">
            <v>948</v>
          </cell>
          <cell r="G86">
            <v>324000</v>
          </cell>
          <cell r="H86">
            <v>1935600</v>
          </cell>
        </row>
        <row r="87">
          <cell r="F87">
            <v>1175</v>
          </cell>
          <cell r="G87">
            <v>197000</v>
          </cell>
          <cell r="H87">
            <v>2194500</v>
          </cell>
        </row>
        <row r="88">
          <cell r="F88">
            <v>602</v>
          </cell>
          <cell r="G88">
            <v>136900</v>
          </cell>
          <cell r="H88">
            <v>1160300</v>
          </cell>
        </row>
        <row r="89">
          <cell r="F89">
            <v>112</v>
          </cell>
          <cell r="G89">
            <v>96000</v>
          </cell>
          <cell r="H89">
            <v>286400</v>
          </cell>
        </row>
        <row r="90">
          <cell r="F90">
            <v>334</v>
          </cell>
          <cell r="G90">
            <v>62600</v>
          </cell>
          <cell r="H90">
            <v>630400</v>
          </cell>
        </row>
        <row r="91">
          <cell r="F91">
            <v>1102</v>
          </cell>
          <cell r="G91">
            <v>244400</v>
          </cell>
          <cell r="H91">
            <v>2117800</v>
          </cell>
        </row>
        <row r="92">
          <cell r="F92">
            <v>305</v>
          </cell>
          <cell r="G92">
            <v>114700</v>
          </cell>
          <cell r="H92">
            <v>633200</v>
          </cell>
        </row>
        <row r="93">
          <cell r="F93">
            <v>378</v>
          </cell>
          <cell r="G93">
            <v>123600</v>
          </cell>
          <cell r="H93">
            <v>766200</v>
          </cell>
        </row>
        <row r="94">
          <cell r="F94">
            <v>43</v>
          </cell>
          <cell r="G94">
            <v>30000</v>
          </cell>
          <cell r="H94">
            <v>103100</v>
          </cell>
        </row>
        <row r="95">
          <cell r="F95">
            <v>724</v>
          </cell>
          <cell r="G95">
            <v>89300</v>
          </cell>
          <cell r="H95">
            <v>1320100</v>
          </cell>
        </row>
        <row r="96">
          <cell r="F96">
            <v>1652</v>
          </cell>
          <cell r="G96">
            <v>219400</v>
          </cell>
          <cell r="H96">
            <v>3027800</v>
          </cell>
        </row>
        <row r="97">
          <cell r="F97">
            <v>2004</v>
          </cell>
          <cell r="G97">
            <v>336100</v>
          </cell>
          <cell r="H97">
            <v>3742900</v>
          </cell>
        </row>
        <row r="98">
          <cell r="F98">
            <v>1271</v>
          </cell>
          <cell r="G98">
            <v>308400</v>
          </cell>
          <cell r="H98">
            <v>2469100</v>
          </cell>
        </row>
        <row r="99">
          <cell r="F99">
            <v>2323</v>
          </cell>
          <cell r="G99">
            <v>768900</v>
          </cell>
          <cell r="H99">
            <v>4718000</v>
          </cell>
        </row>
        <row r="100">
          <cell r="F100">
            <v>2937</v>
          </cell>
          <cell r="G100">
            <v>576500</v>
          </cell>
          <cell r="H100">
            <v>5569400</v>
          </cell>
        </row>
        <row r="101">
          <cell r="F101">
            <v>996</v>
          </cell>
          <cell r="G101">
            <v>193400</v>
          </cell>
          <cell r="H101">
            <v>1886600</v>
          </cell>
        </row>
        <row r="102">
          <cell r="F102">
            <v>6617</v>
          </cell>
          <cell r="G102">
            <v>776400</v>
          </cell>
          <cell r="H102">
            <v>12025300</v>
          </cell>
        </row>
        <row r="103">
          <cell r="F103">
            <v>4776</v>
          </cell>
          <cell r="G103">
            <v>1054700</v>
          </cell>
          <cell r="H103">
            <v>9173900</v>
          </cell>
        </row>
        <row r="104">
          <cell r="F104">
            <v>2611</v>
          </cell>
          <cell r="G104">
            <v>684900</v>
          </cell>
          <cell r="H104">
            <v>5123600</v>
          </cell>
        </row>
        <row r="105">
          <cell r="F105">
            <v>1161</v>
          </cell>
          <cell r="G105">
            <v>587400</v>
          </cell>
          <cell r="H105">
            <v>2561100</v>
          </cell>
        </row>
        <row r="106">
          <cell r="F106">
            <v>1075</v>
          </cell>
          <cell r="G106">
            <v>318100</v>
          </cell>
          <cell r="H106">
            <v>2145600</v>
          </cell>
        </row>
        <row r="107">
          <cell r="F107">
            <v>2284</v>
          </cell>
          <cell r="G107">
            <v>292300</v>
          </cell>
          <cell r="H107">
            <v>4175100</v>
          </cell>
        </row>
        <row r="108">
          <cell r="F108">
            <v>2489</v>
          </cell>
          <cell r="G108">
            <v>578000</v>
          </cell>
          <cell r="H108">
            <v>4809300</v>
          </cell>
        </row>
        <row r="109">
          <cell r="F109">
            <v>1452</v>
          </cell>
          <cell r="G109">
            <v>342000</v>
          </cell>
          <cell r="H109">
            <v>2810400</v>
          </cell>
        </row>
        <row r="110">
          <cell r="F110">
            <v>718</v>
          </cell>
          <cell r="G110">
            <v>98000</v>
          </cell>
          <cell r="H110">
            <v>1318600</v>
          </cell>
        </row>
        <row r="111">
          <cell r="F111">
            <v>2547</v>
          </cell>
          <cell r="G111">
            <v>654900</v>
          </cell>
          <cell r="H111">
            <v>4984800</v>
          </cell>
        </row>
        <row r="112">
          <cell r="F112">
            <v>1662</v>
          </cell>
          <cell r="G112">
            <v>290400</v>
          </cell>
          <cell r="H112">
            <v>3115800</v>
          </cell>
        </row>
        <row r="113">
          <cell r="F113">
            <v>2171</v>
          </cell>
          <cell r="G113">
            <v>1170300</v>
          </cell>
          <cell r="H113">
            <v>4861000</v>
          </cell>
        </row>
        <row r="114">
          <cell r="F114">
            <v>164</v>
          </cell>
          <cell r="G114">
            <v>68800</v>
          </cell>
          <cell r="H114">
            <v>347600</v>
          </cell>
        </row>
        <row r="115">
          <cell r="F115">
            <v>840</v>
          </cell>
          <cell r="G115">
            <v>176100</v>
          </cell>
          <cell r="H115">
            <v>1604100</v>
          </cell>
        </row>
        <row r="116">
          <cell r="F116">
            <v>96</v>
          </cell>
          <cell r="G116">
            <v>13800</v>
          </cell>
          <cell r="H116">
            <v>177000</v>
          </cell>
        </row>
        <row r="117">
          <cell r="F117">
            <v>698</v>
          </cell>
          <cell r="G117">
            <v>86300</v>
          </cell>
          <cell r="H117">
            <v>1272900</v>
          </cell>
        </row>
        <row r="118">
          <cell r="F118">
            <v>1348</v>
          </cell>
          <cell r="G118">
            <v>341300</v>
          </cell>
          <cell r="H118">
            <v>2632900</v>
          </cell>
        </row>
        <row r="121">
          <cell r="F121">
            <v>13960</v>
          </cell>
          <cell r="G121">
            <v>1840500</v>
          </cell>
        </row>
        <row r="122">
          <cell r="F122">
            <v>3896</v>
          </cell>
          <cell r="G122">
            <v>3103750</v>
          </cell>
          <cell r="H122">
            <v>9726950</v>
          </cell>
        </row>
        <row r="133">
          <cell r="F133">
            <v>68089</v>
          </cell>
          <cell r="G133">
            <v>16492600</v>
          </cell>
          <cell r="H133">
            <v>132243900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483</v>
          </cell>
          <cell r="G136">
            <v>231800</v>
          </cell>
          <cell r="H136">
            <v>1052900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326751.05800000002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642</v>
          </cell>
          <cell r="G147">
            <v>609400</v>
          </cell>
          <cell r="H147">
            <v>1700800</v>
          </cell>
        </row>
        <row r="148">
          <cell r="F148">
            <v>973</v>
          </cell>
          <cell r="G148">
            <v>1874700</v>
          </cell>
          <cell r="H148">
            <v>3528800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4000</v>
          </cell>
          <cell r="H155">
            <v>4000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648000</v>
          </cell>
          <cell r="H158">
            <v>648000</v>
          </cell>
        </row>
        <row r="159">
          <cell r="F159">
            <v>0</v>
          </cell>
          <cell r="G159">
            <v>714000</v>
          </cell>
          <cell r="H159">
            <v>714000</v>
          </cell>
        </row>
        <row r="160">
          <cell r="F160">
            <v>0</v>
          </cell>
          <cell r="G160">
            <v>152000</v>
          </cell>
          <cell r="H160">
            <v>152000</v>
          </cell>
        </row>
        <row r="161">
          <cell r="F161">
            <v>0</v>
          </cell>
          <cell r="G161">
            <v>593000</v>
          </cell>
          <cell r="H161">
            <v>593000</v>
          </cell>
        </row>
        <row r="162">
          <cell r="F162">
            <v>0</v>
          </cell>
          <cell r="G162">
            <v>402000</v>
          </cell>
          <cell r="H162">
            <v>402000</v>
          </cell>
        </row>
        <row r="163">
          <cell r="F163">
            <v>0</v>
          </cell>
          <cell r="G163">
            <v>396000</v>
          </cell>
          <cell r="H163">
            <v>396000</v>
          </cell>
        </row>
        <row r="164">
          <cell r="F164">
            <v>0</v>
          </cell>
          <cell r="G164">
            <v>94000</v>
          </cell>
          <cell r="H164">
            <v>94000</v>
          </cell>
        </row>
        <row r="165">
          <cell r="F165">
            <v>0</v>
          </cell>
          <cell r="G165">
            <v>241000</v>
          </cell>
          <cell r="H165">
            <v>241000</v>
          </cell>
        </row>
        <row r="166">
          <cell r="F166">
            <v>0</v>
          </cell>
          <cell r="G166">
            <v>25000</v>
          </cell>
          <cell r="H166">
            <v>25000</v>
          </cell>
        </row>
        <row r="167">
          <cell r="F167">
            <v>0</v>
          </cell>
          <cell r="G167">
            <v>54000</v>
          </cell>
          <cell r="H167">
            <v>54000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37000</v>
          </cell>
          <cell r="H170">
            <v>37000</v>
          </cell>
        </row>
        <row r="171">
          <cell r="F171">
            <v>0</v>
          </cell>
          <cell r="G171">
            <v>0</v>
          </cell>
          <cell r="H171">
            <v>0</v>
          </cell>
        </row>
        <row r="172">
          <cell r="F172">
            <v>0</v>
          </cell>
          <cell r="G172">
            <v>24000</v>
          </cell>
          <cell r="H172">
            <v>24000</v>
          </cell>
        </row>
        <row r="173">
          <cell r="F173">
            <v>0</v>
          </cell>
          <cell r="G173">
            <v>34000</v>
          </cell>
          <cell r="H173">
            <v>34000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0</v>
          </cell>
          <cell r="H175">
            <v>0</v>
          </cell>
        </row>
        <row r="176">
          <cell r="F176">
            <v>0</v>
          </cell>
          <cell r="G176">
            <v>0</v>
          </cell>
          <cell r="H176">
            <v>0</v>
          </cell>
        </row>
        <row r="177">
          <cell r="F177">
            <v>0</v>
          </cell>
          <cell r="G177">
            <v>125000</v>
          </cell>
          <cell r="H177">
            <v>125000</v>
          </cell>
        </row>
        <row r="178">
          <cell r="F178">
            <v>0</v>
          </cell>
          <cell r="G178">
            <v>68000</v>
          </cell>
          <cell r="H178">
            <v>68000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5000</v>
          </cell>
          <cell r="H181">
            <v>5000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74000</v>
          </cell>
          <cell r="H188">
            <v>74000</v>
          </cell>
        </row>
        <row r="189">
          <cell r="F189">
            <v>0</v>
          </cell>
          <cell r="G189">
            <v>89000</v>
          </cell>
          <cell r="H189">
            <v>89000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1">
          <cell r="F191">
            <v>0</v>
          </cell>
          <cell r="G191">
            <v>28000</v>
          </cell>
          <cell r="H191">
            <v>28000</v>
          </cell>
        </row>
        <row r="192">
          <cell r="F192">
            <v>0</v>
          </cell>
          <cell r="G192">
            <v>27000</v>
          </cell>
          <cell r="H192">
            <v>27000</v>
          </cell>
        </row>
        <row r="193">
          <cell r="F193">
            <v>0</v>
          </cell>
          <cell r="G193">
            <v>40000</v>
          </cell>
          <cell r="H193">
            <v>40000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2000</v>
          </cell>
          <cell r="H199">
            <v>2000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0</v>
          </cell>
          <cell r="H203">
            <v>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3000</v>
          </cell>
          <cell r="H206">
            <v>3000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11000</v>
          </cell>
          <cell r="H209">
            <v>11000</v>
          </cell>
        </row>
        <row r="210">
          <cell r="F210">
            <v>0</v>
          </cell>
          <cell r="G210">
            <v>37000</v>
          </cell>
          <cell r="H210">
            <v>37000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2">
          <cell r="F212">
            <v>0</v>
          </cell>
          <cell r="G212">
            <v>20000</v>
          </cell>
          <cell r="H212">
            <v>20000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5000</v>
          </cell>
          <cell r="H214">
            <v>5000</v>
          </cell>
        </row>
        <row r="215">
          <cell r="F215">
            <v>0</v>
          </cell>
          <cell r="G215">
            <v>5000</v>
          </cell>
          <cell r="H215">
            <v>5000</v>
          </cell>
        </row>
        <row r="216">
          <cell r="F216">
            <v>0</v>
          </cell>
          <cell r="G216">
            <v>12000</v>
          </cell>
          <cell r="H216">
            <v>12000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0</v>
          </cell>
          <cell r="H218">
            <v>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5000</v>
          </cell>
          <cell r="H220">
            <v>5000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</row>
        <row r="251">
          <cell r="F251">
            <v>0</v>
          </cell>
          <cell r="G251">
            <v>0</v>
          </cell>
          <cell r="H251">
            <v>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0</v>
          </cell>
          <cell r="H253">
            <v>0</v>
          </cell>
        </row>
        <row r="254">
          <cell r="F254">
            <v>0</v>
          </cell>
          <cell r="G254">
            <v>0</v>
          </cell>
          <cell r="H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</row>
        <row r="256">
          <cell r="F256">
            <v>0</v>
          </cell>
          <cell r="G256">
            <v>0</v>
          </cell>
          <cell r="H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1000</v>
          </cell>
          <cell r="H260">
            <v>1000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15083</v>
          </cell>
          <cell r="G10">
            <v>9946800</v>
          </cell>
          <cell r="H10">
            <v>35587900</v>
          </cell>
        </row>
        <row r="14">
          <cell r="F14">
            <v>7099</v>
          </cell>
          <cell r="G14">
            <v>3026000</v>
          </cell>
          <cell r="H14">
            <v>15094300</v>
          </cell>
        </row>
        <row r="15">
          <cell r="F15">
            <v>6782</v>
          </cell>
          <cell r="G15">
            <v>2417800</v>
          </cell>
          <cell r="H15">
            <v>13947200</v>
          </cell>
        </row>
        <row r="16">
          <cell r="F16">
            <v>8792</v>
          </cell>
          <cell r="G16">
            <v>3428800</v>
          </cell>
          <cell r="H16">
            <v>18375200</v>
          </cell>
        </row>
        <row r="17">
          <cell r="F17">
            <v>5986</v>
          </cell>
          <cell r="G17">
            <v>3246300</v>
          </cell>
          <cell r="H17">
            <v>13422500</v>
          </cell>
        </row>
        <row r="18">
          <cell r="F18">
            <v>7114</v>
          </cell>
          <cell r="G18">
            <v>3145400</v>
          </cell>
          <cell r="H18">
            <v>15239200</v>
          </cell>
        </row>
        <row r="19">
          <cell r="F19">
            <v>6829</v>
          </cell>
          <cell r="G19">
            <v>5446100</v>
          </cell>
          <cell r="H19">
            <v>17055400</v>
          </cell>
        </row>
        <row r="20">
          <cell r="F20">
            <v>4144</v>
          </cell>
          <cell r="G20">
            <v>2603500</v>
          </cell>
          <cell r="H20">
            <v>9648300</v>
          </cell>
        </row>
        <row r="21">
          <cell r="F21">
            <v>4638</v>
          </cell>
          <cell r="G21">
            <v>3243100</v>
          </cell>
          <cell r="H21">
            <v>11127700</v>
          </cell>
        </row>
        <row r="22">
          <cell r="F22">
            <v>9889</v>
          </cell>
          <cell r="G22">
            <v>6372800</v>
          </cell>
          <cell r="H22">
            <v>23184100</v>
          </cell>
        </row>
        <row r="23">
          <cell r="F23">
            <v>4197</v>
          </cell>
          <cell r="G23">
            <v>2054600</v>
          </cell>
          <cell r="H23">
            <v>9189500</v>
          </cell>
        </row>
        <row r="24">
          <cell r="F24">
            <v>3394</v>
          </cell>
          <cell r="G24">
            <v>2435000</v>
          </cell>
          <cell r="H24">
            <v>8204800</v>
          </cell>
        </row>
        <row r="25">
          <cell r="F25">
            <v>2745</v>
          </cell>
          <cell r="G25">
            <v>1895750</v>
          </cell>
          <cell r="H25">
            <v>6562250</v>
          </cell>
        </row>
        <row r="26">
          <cell r="F26">
            <v>6914</v>
          </cell>
          <cell r="G26">
            <v>3652300</v>
          </cell>
          <cell r="H26">
            <v>15406100</v>
          </cell>
        </row>
        <row r="27">
          <cell r="F27">
            <v>18107</v>
          </cell>
          <cell r="G27">
            <v>14350300</v>
          </cell>
          <cell r="H27">
            <v>45132200</v>
          </cell>
        </row>
        <row r="28">
          <cell r="F28">
            <v>14040</v>
          </cell>
          <cell r="G28">
            <v>7917100</v>
          </cell>
          <cell r="H28">
            <v>31785100</v>
          </cell>
        </row>
        <row r="29">
          <cell r="F29">
            <v>12607</v>
          </cell>
          <cell r="G29">
            <v>8709800</v>
          </cell>
          <cell r="H29">
            <v>30141700</v>
          </cell>
        </row>
        <row r="30">
          <cell r="F30">
            <v>19007</v>
          </cell>
          <cell r="G30">
            <v>7971350</v>
          </cell>
          <cell r="H30">
            <v>40283250</v>
          </cell>
        </row>
        <row r="31">
          <cell r="F31">
            <v>10376</v>
          </cell>
          <cell r="G31">
            <v>5523500</v>
          </cell>
          <cell r="H31">
            <v>23162700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13051</v>
          </cell>
          <cell r="G33">
            <v>5841400</v>
          </cell>
          <cell r="H33">
            <v>28028100</v>
          </cell>
        </row>
        <row r="34">
          <cell r="F34">
            <v>17035</v>
          </cell>
          <cell r="G34">
            <v>6688400</v>
          </cell>
          <cell r="H34">
            <v>35647900</v>
          </cell>
        </row>
        <row r="35">
          <cell r="F35">
            <v>13970</v>
          </cell>
          <cell r="G35">
            <v>7810900</v>
          </cell>
          <cell r="H35">
            <v>31559900</v>
          </cell>
        </row>
        <row r="36">
          <cell r="F36">
            <v>16338</v>
          </cell>
          <cell r="G36">
            <v>7825450</v>
          </cell>
          <cell r="H36">
            <v>35600050</v>
          </cell>
        </row>
        <row r="37">
          <cell r="F37">
            <v>4594</v>
          </cell>
          <cell r="G37">
            <v>4756800</v>
          </cell>
          <cell r="H37">
            <v>12566600</v>
          </cell>
        </row>
        <row r="38">
          <cell r="F38">
            <v>7415</v>
          </cell>
          <cell r="G38">
            <v>4903200</v>
          </cell>
          <cell r="H38">
            <v>17508700</v>
          </cell>
        </row>
        <row r="39">
          <cell r="F39">
            <v>3464</v>
          </cell>
          <cell r="G39">
            <v>4005550</v>
          </cell>
          <cell r="H39">
            <v>9894350</v>
          </cell>
        </row>
        <row r="40">
          <cell r="F40">
            <v>16386</v>
          </cell>
          <cell r="G40">
            <v>10933800</v>
          </cell>
          <cell r="H40">
            <v>38790000</v>
          </cell>
        </row>
        <row r="41">
          <cell r="F41">
            <v>7398</v>
          </cell>
          <cell r="G41">
            <v>3334950</v>
          </cell>
          <cell r="H41">
            <v>15911550</v>
          </cell>
        </row>
        <row r="42">
          <cell r="F42">
            <v>2919</v>
          </cell>
          <cell r="G42">
            <v>2385400</v>
          </cell>
          <cell r="H42">
            <v>7347700</v>
          </cell>
        </row>
        <row r="43">
          <cell r="F43">
            <v>5215</v>
          </cell>
          <cell r="G43">
            <v>2520500</v>
          </cell>
          <cell r="H43">
            <v>11386000</v>
          </cell>
        </row>
        <row r="44">
          <cell r="F44">
            <v>1557</v>
          </cell>
          <cell r="G44">
            <v>986500</v>
          </cell>
          <cell r="H44">
            <v>3633400</v>
          </cell>
        </row>
        <row r="45">
          <cell r="F45">
            <v>18704</v>
          </cell>
          <cell r="G45">
            <v>7219200</v>
          </cell>
          <cell r="H45">
            <v>39016000</v>
          </cell>
        </row>
        <row r="46">
          <cell r="F46">
            <v>3759</v>
          </cell>
          <cell r="G46">
            <v>3116400</v>
          </cell>
          <cell r="H46">
            <v>9506700</v>
          </cell>
        </row>
        <row r="47">
          <cell r="F47">
            <v>28584</v>
          </cell>
          <cell r="G47">
            <v>10004700</v>
          </cell>
          <cell r="H47">
            <v>58597500</v>
          </cell>
        </row>
        <row r="52">
          <cell r="F52">
            <v>9771</v>
          </cell>
          <cell r="G52">
            <v>5445600</v>
          </cell>
          <cell r="H52">
            <v>22056300</v>
          </cell>
        </row>
        <row r="53">
          <cell r="F53">
            <v>8755</v>
          </cell>
          <cell r="G53">
            <v>6878400</v>
          </cell>
          <cell r="H53">
            <v>21761900</v>
          </cell>
        </row>
        <row r="54">
          <cell r="F54">
            <v>18129</v>
          </cell>
          <cell r="G54">
            <v>9649250</v>
          </cell>
          <cell r="H54">
            <v>40468550</v>
          </cell>
        </row>
        <row r="55">
          <cell r="F55">
            <v>7865</v>
          </cell>
          <cell r="G55">
            <v>6250400</v>
          </cell>
          <cell r="H55">
            <v>19620900</v>
          </cell>
        </row>
        <row r="56">
          <cell r="F56">
            <v>5067</v>
          </cell>
          <cell r="G56">
            <v>2000700</v>
          </cell>
          <cell r="H56">
            <v>10614600</v>
          </cell>
        </row>
        <row r="57">
          <cell r="F57">
            <v>12141</v>
          </cell>
          <cell r="G57">
            <v>6583300</v>
          </cell>
          <cell r="H57">
            <v>27223000</v>
          </cell>
        </row>
        <row r="58">
          <cell r="F58">
            <v>17570</v>
          </cell>
          <cell r="G58">
            <v>8600150</v>
          </cell>
          <cell r="H58">
            <v>38469150</v>
          </cell>
        </row>
        <row r="59">
          <cell r="F59">
            <v>9759</v>
          </cell>
          <cell r="G59">
            <v>5638900</v>
          </cell>
          <cell r="H59">
            <v>22229200</v>
          </cell>
        </row>
        <row r="60">
          <cell r="F60">
            <v>8463</v>
          </cell>
          <cell r="G60">
            <v>4515100</v>
          </cell>
          <cell r="H60">
            <v>18902200</v>
          </cell>
        </row>
        <row r="61">
          <cell r="F61">
            <v>5820</v>
          </cell>
          <cell r="G61">
            <v>2669200</v>
          </cell>
          <cell r="H61">
            <v>12563200</v>
          </cell>
        </row>
        <row r="62">
          <cell r="F62">
            <v>14895</v>
          </cell>
          <cell r="G62">
            <v>7129750</v>
          </cell>
          <cell r="H62">
            <v>32451250</v>
          </cell>
        </row>
        <row r="63">
          <cell r="F63">
            <v>13086</v>
          </cell>
          <cell r="G63">
            <v>6458400</v>
          </cell>
          <cell r="H63">
            <v>28704600</v>
          </cell>
        </row>
        <row r="64">
          <cell r="F64">
            <v>12863</v>
          </cell>
          <cell r="G64">
            <v>7437650</v>
          </cell>
          <cell r="H64">
            <v>29304750</v>
          </cell>
        </row>
        <row r="65">
          <cell r="F65">
            <v>9288</v>
          </cell>
          <cell r="G65">
            <v>6304200</v>
          </cell>
          <cell r="H65">
            <v>22093800</v>
          </cell>
        </row>
        <row r="66">
          <cell r="F66">
            <v>9358</v>
          </cell>
          <cell r="G66">
            <v>5212000</v>
          </cell>
          <cell r="H66">
            <v>21120600</v>
          </cell>
        </row>
        <row r="67">
          <cell r="F67">
            <v>6871</v>
          </cell>
          <cell r="G67">
            <v>4068100</v>
          </cell>
          <cell r="H67">
            <v>15748800</v>
          </cell>
        </row>
        <row r="68">
          <cell r="F68">
            <v>11664</v>
          </cell>
          <cell r="G68">
            <v>6696700</v>
          </cell>
          <cell r="H68">
            <v>26525500</v>
          </cell>
        </row>
        <row r="69">
          <cell r="F69">
            <v>8124</v>
          </cell>
          <cell r="G69">
            <v>5091000</v>
          </cell>
          <cell r="H69">
            <v>18901800</v>
          </cell>
        </row>
        <row r="70">
          <cell r="F70">
            <v>15419</v>
          </cell>
          <cell r="G70">
            <v>9376850</v>
          </cell>
          <cell r="H70">
            <v>35589150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7017</v>
          </cell>
          <cell r="G72">
            <v>3595100</v>
          </cell>
          <cell r="H72">
            <v>15524000</v>
          </cell>
        </row>
        <row r="73">
          <cell r="F73">
            <v>4202</v>
          </cell>
          <cell r="G73">
            <v>1607600</v>
          </cell>
          <cell r="H73">
            <v>8751000</v>
          </cell>
        </row>
        <row r="74">
          <cell r="F74">
            <v>14514</v>
          </cell>
          <cell r="G74">
            <v>5094700</v>
          </cell>
          <cell r="H74">
            <v>29768500</v>
          </cell>
        </row>
        <row r="75">
          <cell r="F75">
            <v>6944</v>
          </cell>
          <cell r="G75">
            <v>3085800</v>
          </cell>
          <cell r="H75">
            <v>14890600</v>
          </cell>
        </row>
        <row r="76">
          <cell r="F76">
            <v>22981</v>
          </cell>
          <cell r="G76">
            <v>11365050</v>
          </cell>
          <cell r="H76">
            <v>50432750</v>
          </cell>
        </row>
        <row r="77">
          <cell r="F77">
            <v>9233</v>
          </cell>
          <cell r="G77">
            <v>2407400</v>
          </cell>
          <cell r="H77">
            <v>18103500</v>
          </cell>
        </row>
        <row r="78">
          <cell r="F78">
            <v>7747</v>
          </cell>
          <cell r="G78">
            <v>3447800</v>
          </cell>
          <cell r="H78">
            <v>16617700</v>
          </cell>
        </row>
        <row r="79">
          <cell r="F79">
            <v>2625</v>
          </cell>
          <cell r="G79">
            <v>899900</v>
          </cell>
          <cell r="H79">
            <v>5362400</v>
          </cell>
        </row>
        <row r="80">
          <cell r="F80">
            <v>4892</v>
          </cell>
          <cell r="G80">
            <v>1366300</v>
          </cell>
          <cell r="H80">
            <v>9682700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3285</v>
          </cell>
          <cell r="G84">
            <v>1598600</v>
          </cell>
          <cell r="H84">
            <v>7183100</v>
          </cell>
        </row>
        <row r="85">
          <cell r="F85">
            <v>978</v>
          </cell>
          <cell r="G85">
            <v>90500</v>
          </cell>
          <cell r="H85">
            <v>1753100</v>
          </cell>
        </row>
        <row r="86">
          <cell r="F86">
            <v>4155</v>
          </cell>
          <cell r="G86">
            <v>1957000</v>
          </cell>
          <cell r="H86">
            <v>9020500</v>
          </cell>
        </row>
        <row r="87">
          <cell r="F87">
            <v>3207</v>
          </cell>
          <cell r="G87">
            <v>1156400</v>
          </cell>
          <cell r="H87">
            <v>6608300</v>
          </cell>
        </row>
        <row r="88">
          <cell r="F88">
            <v>5778</v>
          </cell>
          <cell r="G88">
            <v>2841900</v>
          </cell>
          <cell r="H88">
            <v>12664500</v>
          </cell>
        </row>
        <row r="89">
          <cell r="F89">
            <v>1975</v>
          </cell>
          <cell r="G89">
            <v>1927000</v>
          </cell>
          <cell r="H89">
            <v>5284500</v>
          </cell>
        </row>
        <row r="90">
          <cell r="F90">
            <v>3362</v>
          </cell>
          <cell r="G90">
            <v>1844100</v>
          </cell>
          <cell r="H90">
            <v>7559500</v>
          </cell>
        </row>
        <row r="91">
          <cell r="F91">
            <v>5585</v>
          </cell>
          <cell r="G91">
            <v>3637550</v>
          </cell>
          <cell r="H91">
            <v>13132050</v>
          </cell>
        </row>
        <row r="92">
          <cell r="F92">
            <v>2888</v>
          </cell>
          <cell r="G92">
            <v>1742100</v>
          </cell>
          <cell r="H92">
            <v>6651700</v>
          </cell>
        </row>
        <row r="93">
          <cell r="F93">
            <v>2884</v>
          </cell>
          <cell r="G93">
            <v>2074200</v>
          </cell>
          <cell r="H93">
            <v>6977000</v>
          </cell>
        </row>
        <row r="94">
          <cell r="F94">
            <v>633</v>
          </cell>
          <cell r="G94">
            <v>347000</v>
          </cell>
          <cell r="H94">
            <v>1423100</v>
          </cell>
        </row>
        <row r="95">
          <cell r="F95">
            <v>3154</v>
          </cell>
          <cell r="G95">
            <v>2401000</v>
          </cell>
          <cell r="H95">
            <v>7762800</v>
          </cell>
        </row>
        <row r="96">
          <cell r="F96">
            <v>3645</v>
          </cell>
          <cell r="G96">
            <v>720000</v>
          </cell>
          <cell r="H96">
            <v>6916500</v>
          </cell>
        </row>
        <row r="97">
          <cell r="F97">
            <v>7644</v>
          </cell>
          <cell r="G97">
            <v>2445700</v>
          </cell>
          <cell r="H97">
            <v>15440500</v>
          </cell>
        </row>
        <row r="98">
          <cell r="F98">
            <v>4237</v>
          </cell>
          <cell r="G98">
            <v>1309200</v>
          </cell>
          <cell r="H98">
            <v>8512100</v>
          </cell>
        </row>
        <row r="99">
          <cell r="F99">
            <v>8328</v>
          </cell>
          <cell r="G99">
            <v>3083900</v>
          </cell>
          <cell r="H99">
            <v>17241500</v>
          </cell>
        </row>
        <row r="100">
          <cell r="F100">
            <v>9271</v>
          </cell>
          <cell r="G100">
            <v>3689150</v>
          </cell>
          <cell r="H100">
            <v>19449850</v>
          </cell>
        </row>
        <row r="101">
          <cell r="F101">
            <v>3100</v>
          </cell>
          <cell r="G101">
            <v>1339600</v>
          </cell>
          <cell r="H101">
            <v>6609600</v>
          </cell>
        </row>
        <row r="102">
          <cell r="F102">
            <v>15812</v>
          </cell>
          <cell r="G102">
            <v>2910700</v>
          </cell>
          <cell r="H102">
            <v>29791100</v>
          </cell>
        </row>
        <row r="103">
          <cell r="F103">
            <v>13788</v>
          </cell>
          <cell r="G103">
            <v>4151600</v>
          </cell>
          <cell r="H103">
            <v>27591200</v>
          </cell>
        </row>
        <row r="104">
          <cell r="F104">
            <v>6658</v>
          </cell>
          <cell r="G104">
            <v>3347300</v>
          </cell>
          <cell r="H104">
            <v>14665900</v>
          </cell>
        </row>
        <row r="105">
          <cell r="F105">
            <v>4101</v>
          </cell>
          <cell r="G105">
            <v>2494000</v>
          </cell>
          <cell r="H105">
            <v>9465700</v>
          </cell>
        </row>
        <row r="106">
          <cell r="F106">
            <v>3981</v>
          </cell>
          <cell r="G106">
            <v>2028900</v>
          </cell>
          <cell r="H106">
            <v>8796600</v>
          </cell>
        </row>
        <row r="107">
          <cell r="F107">
            <v>6279</v>
          </cell>
          <cell r="G107">
            <v>2100100</v>
          </cell>
          <cell r="H107">
            <v>12774400</v>
          </cell>
        </row>
        <row r="108">
          <cell r="F108">
            <v>6420</v>
          </cell>
          <cell r="G108">
            <v>2521200</v>
          </cell>
          <cell r="H108">
            <v>13435200</v>
          </cell>
        </row>
        <row r="109">
          <cell r="F109">
            <v>3884</v>
          </cell>
          <cell r="G109">
            <v>2146300</v>
          </cell>
          <cell r="H109">
            <v>8749100</v>
          </cell>
        </row>
        <row r="110">
          <cell r="F110">
            <v>2630</v>
          </cell>
          <cell r="G110">
            <v>769700</v>
          </cell>
          <cell r="H110">
            <v>5240700</v>
          </cell>
        </row>
        <row r="111">
          <cell r="F111">
            <v>7142</v>
          </cell>
          <cell r="G111">
            <v>3196550</v>
          </cell>
          <cell r="H111">
            <v>15337950</v>
          </cell>
        </row>
        <row r="112">
          <cell r="F112">
            <v>5681</v>
          </cell>
          <cell r="G112">
            <v>2454600</v>
          </cell>
          <cell r="H112">
            <v>12112300</v>
          </cell>
        </row>
        <row r="113">
          <cell r="F113">
            <v>5699</v>
          </cell>
          <cell r="G113">
            <v>4710000</v>
          </cell>
          <cell r="H113">
            <v>14398300</v>
          </cell>
        </row>
        <row r="114">
          <cell r="F114">
            <v>653</v>
          </cell>
          <cell r="G114">
            <v>265000</v>
          </cell>
          <cell r="H114">
            <v>1375100</v>
          </cell>
        </row>
        <row r="115">
          <cell r="F115">
            <v>2783</v>
          </cell>
          <cell r="G115">
            <v>626500</v>
          </cell>
          <cell r="H115">
            <v>5357600</v>
          </cell>
        </row>
        <row r="116">
          <cell r="F116">
            <v>650</v>
          </cell>
          <cell r="G116">
            <v>212400</v>
          </cell>
          <cell r="H116">
            <v>1317400</v>
          </cell>
        </row>
        <row r="117">
          <cell r="F117">
            <v>2840</v>
          </cell>
          <cell r="G117">
            <v>890100</v>
          </cell>
          <cell r="H117">
            <v>5718100</v>
          </cell>
        </row>
        <row r="118">
          <cell r="F118">
            <v>3657</v>
          </cell>
          <cell r="G118">
            <v>2241200</v>
          </cell>
          <cell r="H118">
            <v>8458100</v>
          </cell>
        </row>
        <row r="121">
          <cell r="F121">
            <v>45656</v>
          </cell>
          <cell r="G121">
            <v>10298100</v>
          </cell>
        </row>
        <row r="122">
          <cell r="F122">
            <v>9879</v>
          </cell>
          <cell r="G122">
            <v>21326900</v>
          </cell>
          <cell r="H122">
            <v>38121200</v>
          </cell>
        </row>
        <row r="133">
          <cell r="F133">
            <v>225567</v>
          </cell>
          <cell r="G133">
            <v>113012700</v>
          </cell>
          <cell r="H133">
            <v>496476600</v>
          </cell>
        </row>
        <row r="135">
          <cell r="F135">
            <v>323</v>
          </cell>
          <cell r="G135">
            <v>1084100</v>
          </cell>
          <cell r="H135">
            <v>1633200</v>
          </cell>
        </row>
        <row r="136">
          <cell r="F136">
            <v>6840</v>
          </cell>
          <cell r="G136">
            <v>7452300</v>
          </cell>
          <cell r="H136">
            <v>19080300</v>
          </cell>
        </row>
        <row r="137">
          <cell r="F137">
            <v>938</v>
          </cell>
          <cell r="G137">
            <v>2675800</v>
          </cell>
          <cell r="H137">
            <v>4270400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1211</v>
          </cell>
          <cell r="G139">
            <v>2092000</v>
          </cell>
          <cell r="H139">
            <v>4150700</v>
          </cell>
        </row>
        <row r="140">
          <cell r="F140">
            <v>1457</v>
          </cell>
          <cell r="G140">
            <v>3026600</v>
          </cell>
          <cell r="H140">
            <v>5503500</v>
          </cell>
        </row>
        <row r="141">
          <cell r="F141">
            <v>580</v>
          </cell>
          <cell r="G141">
            <v>1136500</v>
          </cell>
          <cell r="H141">
            <v>2122500</v>
          </cell>
        </row>
        <row r="142">
          <cell r="F142">
            <v>610</v>
          </cell>
          <cell r="G142">
            <v>1310900</v>
          </cell>
          <cell r="H142">
            <v>2347900</v>
          </cell>
        </row>
        <row r="143">
          <cell r="F143">
            <v>722</v>
          </cell>
          <cell r="G143">
            <v>1442100</v>
          </cell>
          <cell r="H143">
            <v>2669500</v>
          </cell>
        </row>
        <row r="144">
          <cell r="F144">
            <v>595</v>
          </cell>
          <cell r="G144">
            <v>1536800</v>
          </cell>
          <cell r="H144">
            <v>2548300</v>
          </cell>
          <cell r="M144">
            <v>1533496.264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281</v>
          </cell>
          <cell r="G146">
            <v>427600</v>
          </cell>
          <cell r="H146">
            <v>905300</v>
          </cell>
        </row>
        <row r="147">
          <cell r="F147">
            <v>667</v>
          </cell>
          <cell r="G147">
            <v>1460100</v>
          </cell>
          <cell r="H147">
            <v>2594000</v>
          </cell>
        </row>
        <row r="148">
          <cell r="F148">
            <v>979</v>
          </cell>
          <cell r="G148">
            <v>3241100</v>
          </cell>
          <cell r="H148">
            <v>4905400</v>
          </cell>
        </row>
        <row r="149">
          <cell r="F149">
            <v>375</v>
          </cell>
          <cell r="G149">
            <v>1274600</v>
          </cell>
          <cell r="H149">
            <v>1912100</v>
          </cell>
        </row>
        <row r="150">
          <cell r="F150">
            <v>805</v>
          </cell>
          <cell r="G150">
            <v>1745000</v>
          </cell>
          <cell r="H150">
            <v>3113500</v>
          </cell>
        </row>
        <row r="153">
          <cell r="F153">
            <v>0</v>
          </cell>
          <cell r="G153">
            <v>50000</v>
          </cell>
          <cell r="H153">
            <v>50000</v>
          </cell>
        </row>
        <row r="154">
          <cell r="F154">
            <v>0</v>
          </cell>
          <cell r="G154">
            <v>382000</v>
          </cell>
          <cell r="H154">
            <v>382000</v>
          </cell>
        </row>
        <row r="155">
          <cell r="F155">
            <v>0</v>
          </cell>
          <cell r="G155">
            <v>401000</v>
          </cell>
          <cell r="H155">
            <v>401000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4107000</v>
          </cell>
          <cell r="H158">
            <v>4107000</v>
          </cell>
        </row>
        <row r="159">
          <cell r="F159">
            <v>0</v>
          </cell>
          <cell r="G159">
            <v>3564000</v>
          </cell>
          <cell r="H159">
            <v>3564000</v>
          </cell>
        </row>
        <row r="160">
          <cell r="F160">
            <v>0</v>
          </cell>
          <cell r="G160">
            <v>1982000</v>
          </cell>
          <cell r="H160">
            <v>1982000</v>
          </cell>
        </row>
        <row r="161">
          <cell r="F161">
            <v>0</v>
          </cell>
          <cell r="G161">
            <v>4314000</v>
          </cell>
          <cell r="H161">
            <v>4314000</v>
          </cell>
        </row>
        <row r="162">
          <cell r="F162">
            <v>0</v>
          </cell>
          <cell r="G162">
            <v>2776000</v>
          </cell>
          <cell r="H162">
            <v>2776000</v>
          </cell>
        </row>
        <row r="163">
          <cell r="F163">
            <v>0</v>
          </cell>
          <cell r="G163">
            <v>1851000</v>
          </cell>
          <cell r="H163">
            <v>1851000</v>
          </cell>
        </row>
        <row r="164">
          <cell r="F164">
            <v>0</v>
          </cell>
          <cell r="G164">
            <v>668000</v>
          </cell>
          <cell r="H164">
            <v>668000</v>
          </cell>
        </row>
        <row r="165">
          <cell r="F165">
            <v>0</v>
          </cell>
          <cell r="G165">
            <v>2225000</v>
          </cell>
          <cell r="H165">
            <v>2225000</v>
          </cell>
        </row>
        <row r="166">
          <cell r="F166">
            <v>0</v>
          </cell>
          <cell r="G166">
            <v>208000</v>
          </cell>
          <cell r="H166">
            <v>208000</v>
          </cell>
        </row>
        <row r="167">
          <cell r="F167">
            <v>0</v>
          </cell>
          <cell r="G167">
            <v>618000</v>
          </cell>
          <cell r="H167">
            <v>618000</v>
          </cell>
        </row>
        <row r="168">
          <cell r="F168">
            <v>0</v>
          </cell>
          <cell r="G168">
            <v>207000</v>
          </cell>
          <cell r="H168">
            <v>207000</v>
          </cell>
        </row>
        <row r="169">
          <cell r="F169">
            <v>0</v>
          </cell>
          <cell r="G169">
            <v>79000</v>
          </cell>
          <cell r="H169">
            <v>79000</v>
          </cell>
        </row>
        <row r="170">
          <cell r="F170">
            <v>0</v>
          </cell>
          <cell r="G170">
            <v>103000</v>
          </cell>
          <cell r="H170">
            <v>103000</v>
          </cell>
        </row>
        <row r="171">
          <cell r="F171">
            <v>0</v>
          </cell>
          <cell r="G171">
            <v>357000</v>
          </cell>
          <cell r="H171">
            <v>357000</v>
          </cell>
        </row>
        <row r="172">
          <cell r="F172">
            <v>0</v>
          </cell>
          <cell r="G172">
            <v>91000</v>
          </cell>
          <cell r="H172">
            <v>91000</v>
          </cell>
        </row>
        <row r="173">
          <cell r="F173">
            <v>0</v>
          </cell>
          <cell r="G173">
            <v>81000</v>
          </cell>
          <cell r="H173">
            <v>81000</v>
          </cell>
        </row>
        <row r="174">
          <cell r="F174">
            <v>0</v>
          </cell>
          <cell r="G174">
            <v>29000</v>
          </cell>
          <cell r="H174">
            <v>29000</v>
          </cell>
        </row>
        <row r="175">
          <cell r="F175">
            <v>0</v>
          </cell>
          <cell r="G175">
            <v>546000</v>
          </cell>
          <cell r="H175">
            <v>546000</v>
          </cell>
        </row>
        <row r="176">
          <cell r="F176">
            <v>0</v>
          </cell>
          <cell r="G176">
            <v>333000</v>
          </cell>
          <cell r="H176">
            <v>333000</v>
          </cell>
        </row>
        <row r="177">
          <cell r="F177">
            <v>0</v>
          </cell>
          <cell r="G177">
            <v>1012000</v>
          </cell>
          <cell r="H177">
            <v>1012000</v>
          </cell>
        </row>
        <row r="178">
          <cell r="F178">
            <v>0</v>
          </cell>
          <cell r="G178">
            <v>997000</v>
          </cell>
          <cell r="H178">
            <v>997000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9000</v>
          </cell>
          <cell r="H180">
            <v>9000</v>
          </cell>
        </row>
        <row r="181">
          <cell r="F181">
            <v>0</v>
          </cell>
          <cell r="G181">
            <v>70000</v>
          </cell>
          <cell r="H181">
            <v>70000</v>
          </cell>
        </row>
        <row r="182">
          <cell r="F182">
            <v>0</v>
          </cell>
          <cell r="G182">
            <v>151000</v>
          </cell>
          <cell r="H182">
            <v>151000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50000</v>
          </cell>
          <cell r="H184">
            <v>50000</v>
          </cell>
        </row>
        <row r="185">
          <cell r="F185">
            <v>0</v>
          </cell>
          <cell r="G185">
            <v>0</v>
          </cell>
          <cell r="H185">
            <v>0</v>
          </cell>
        </row>
        <row r="186">
          <cell r="F186">
            <v>0</v>
          </cell>
          <cell r="G186">
            <v>42000</v>
          </cell>
          <cell r="H186">
            <v>42000</v>
          </cell>
        </row>
        <row r="187">
          <cell r="F187">
            <v>0</v>
          </cell>
          <cell r="G187">
            <v>753000</v>
          </cell>
          <cell r="H187">
            <v>753000</v>
          </cell>
        </row>
        <row r="188">
          <cell r="F188">
            <v>0</v>
          </cell>
          <cell r="G188">
            <v>15000</v>
          </cell>
          <cell r="H188">
            <v>15000</v>
          </cell>
        </row>
        <row r="189">
          <cell r="F189">
            <v>0</v>
          </cell>
          <cell r="G189">
            <v>240000</v>
          </cell>
          <cell r="H189">
            <v>240000</v>
          </cell>
        </row>
        <row r="190">
          <cell r="F190">
            <v>0</v>
          </cell>
          <cell r="G190">
            <v>129000</v>
          </cell>
          <cell r="H190">
            <v>129000</v>
          </cell>
        </row>
        <row r="191">
          <cell r="F191">
            <v>0</v>
          </cell>
          <cell r="G191">
            <v>55000</v>
          </cell>
          <cell r="H191">
            <v>55000</v>
          </cell>
        </row>
        <row r="192">
          <cell r="F192">
            <v>0</v>
          </cell>
          <cell r="G192">
            <v>69000</v>
          </cell>
          <cell r="H192">
            <v>69000</v>
          </cell>
        </row>
        <row r="193">
          <cell r="F193">
            <v>0</v>
          </cell>
          <cell r="G193">
            <v>529000</v>
          </cell>
          <cell r="H193">
            <v>529000</v>
          </cell>
        </row>
        <row r="194">
          <cell r="F194">
            <v>0</v>
          </cell>
          <cell r="G194">
            <v>141000</v>
          </cell>
          <cell r="H194">
            <v>141000</v>
          </cell>
        </row>
        <row r="195">
          <cell r="F195">
            <v>0</v>
          </cell>
          <cell r="G195">
            <v>278000</v>
          </cell>
          <cell r="H195">
            <v>278000</v>
          </cell>
        </row>
        <row r="196">
          <cell r="F196">
            <v>0</v>
          </cell>
          <cell r="G196">
            <v>659000</v>
          </cell>
          <cell r="H196">
            <v>659000</v>
          </cell>
        </row>
        <row r="197">
          <cell r="F197">
            <v>0</v>
          </cell>
          <cell r="G197">
            <v>158000</v>
          </cell>
          <cell r="H197">
            <v>158000</v>
          </cell>
        </row>
        <row r="198">
          <cell r="F198">
            <v>0</v>
          </cell>
          <cell r="G198">
            <v>490000</v>
          </cell>
          <cell r="H198">
            <v>490000</v>
          </cell>
        </row>
        <row r="199">
          <cell r="F199">
            <v>0</v>
          </cell>
          <cell r="G199">
            <v>162000</v>
          </cell>
          <cell r="H199">
            <v>162000</v>
          </cell>
        </row>
        <row r="200">
          <cell r="F200">
            <v>0</v>
          </cell>
          <cell r="G200">
            <v>129000</v>
          </cell>
          <cell r="H200">
            <v>129000</v>
          </cell>
        </row>
        <row r="201">
          <cell r="F201">
            <v>0</v>
          </cell>
          <cell r="G201">
            <v>384000</v>
          </cell>
          <cell r="H201">
            <v>384000</v>
          </cell>
        </row>
        <row r="202">
          <cell r="F202">
            <v>0</v>
          </cell>
          <cell r="G202">
            <v>310000</v>
          </cell>
          <cell r="H202">
            <v>310000</v>
          </cell>
        </row>
        <row r="203">
          <cell r="F203">
            <v>0</v>
          </cell>
          <cell r="G203">
            <v>94000</v>
          </cell>
          <cell r="H203">
            <v>94000</v>
          </cell>
        </row>
        <row r="204">
          <cell r="F204">
            <v>0</v>
          </cell>
          <cell r="G204">
            <v>803000</v>
          </cell>
          <cell r="H204">
            <v>803000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529000</v>
          </cell>
          <cell r="H206">
            <v>529000</v>
          </cell>
        </row>
        <row r="207">
          <cell r="F207">
            <v>0</v>
          </cell>
          <cell r="G207">
            <v>421000</v>
          </cell>
          <cell r="H207">
            <v>421000</v>
          </cell>
        </row>
        <row r="208">
          <cell r="F208">
            <v>0</v>
          </cell>
          <cell r="G208">
            <v>347000</v>
          </cell>
          <cell r="H208">
            <v>347000</v>
          </cell>
        </row>
        <row r="209">
          <cell r="F209">
            <v>0</v>
          </cell>
          <cell r="G209">
            <v>534000</v>
          </cell>
          <cell r="H209">
            <v>534000</v>
          </cell>
        </row>
        <row r="210">
          <cell r="F210">
            <v>0</v>
          </cell>
          <cell r="G210">
            <v>1403000</v>
          </cell>
          <cell r="H210">
            <v>1403000</v>
          </cell>
        </row>
        <row r="211">
          <cell r="F211">
            <v>0</v>
          </cell>
          <cell r="G211">
            <v>205000</v>
          </cell>
          <cell r="H211">
            <v>205000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191000</v>
          </cell>
          <cell r="H214">
            <v>191000</v>
          </cell>
        </row>
        <row r="215">
          <cell r="F215">
            <v>0</v>
          </cell>
          <cell r="G215">
            <v>211000</v>
          </cell>
          <cell r="H215">
            <v>211000</v>
          </cell>
        </row>
        <row r="216">
          <cell r="F216">
            <v>0</v>
          </cell>
          <cell r="G216">
            <v>1939000</v>
          </cell>
          <cell r="H216">
            <v>1939000</v>
          </cell>
        </row>
        <row r="217">
          <cell r="F217">
            <v>0</v>
          </cell>
          <cell r="G217">
            <v>446000</v>
          </cell>
          <cell r="H217">
            <v>446000</v>
          </cell>
        </row>
        <row r="218">
          <cell r="F218">
            <v>0</v>
          </cell>
          <cell r="G218">
            <v>826000</v>
          </cell>
          <cell r="H218">
            <v>826000</v>
          </cell>
        </row>
        <row r="219">
          <cell r="F219">
            <v>0</v>
          </cell>
          <cell r="G219">
            <v>322000</v>
          </cell>
          <cell r="H219">
            <v>322000</v>
          </cell>
        </row>
        <row r="220">
          <cell r="F220">
            <v>0</v>
          </cell>
          <cell r="G220">
            <v>172000</v>
          </cell>
          <cell r="H220">
            <v>172000</v>
          </cell>
        </row>
        <row r="223">
          <cell r="F223">
            <v>470</v>
          </cell>
          <cell r="G223">
            <v>4612000</v>
          </cell>
          <cell r="H223">
            <v>5411000</v>
          </cell>
        </row>
        <row r="224">
          <cell r="F224">
            <v>0</v>
          </cell>
          <cell r="G224">
            <v>4460500</v>
          </cell>
          <cell r="H224">
            <v>4460500</v>
          </cell>
        </row>
        <row r="225">
          <cell r="F225">
            <v>1246</v>
          </cell>
          <cell r="G225">
            <v>2781400</v>
          </cell>
          <cell r="H225">
            <v>4899600</v>
          </cell>
        </row>
        <row r="226">
          <cell r="F226">
            <v>1358</v>
          </cell>
          <cell r="G226">
            <v>2027650</v>
          </cell>
          <cell r="H226">
            <v>4336250</v>
          </cell>
        </row>
        <row r="227">
          <cell r="F227">
            <v>834</v>
          </cell>
          <cell r="G227">
            <v>2320200</v>
          </cell>
          <cell r="H227">
            <v>3738000</v>
          </cell>
        </row>
        <row r="228">
          <cell r="F228">
            <v>760</v>
          </cell>
          <cell r="G228">
            <v>3468000</v>
          </cell>
          <cell r="H228">
            <v>4760000</v>
          </cell>
        </row>
        <row r="229">
          <cell r="F229">
            <v>1008</v>
          </cell>
          <cell r="G229">
            <v>3810000</v>
          </cell>
          <cell r="H229">
            <v>5523600</v>
          </cell>
        </row>
        <row r="230">
          <cell r="F230">
            <v>2255</v>
          </cell>
          <cell r="G230">
            <v>2766000</v>
          </cell>
          <cell r="H230">
            <v>6599500</v>
          </cell>
        </row>
        <row r="231">
          <cell r="F231">
            <v>326</v>
          </cell>
          <cell r="G231">
            <v>5320900</v>
          </cell>
          <cell r="H231">
            <v>5875100</v>
          </cell>
        </row>
        <row r="232">
          <cell r="F232">
            <v>0</v>
          </cell>
          <cell r="G232">
            <v>3430500</v>
          </cell>
          <cell r="H232">
            <v>3430500</v>
          </cell>
        </row>
        <row r="233">
          <cell r="F233">
            <v>2119</v>
          </cell>
          <cell r="G233">
            <v>1810500</v>
          </cell>
          <cell r="H233">
            <v>5412800</v>
          </cell>
        </row>
        <row r="234">
          <cell r="F234">
            <v>1352</v>
          </cell>
          <cell r="G234">
            <v>1211700</v>
          </cell>
          <cell r="H234">
            <v>3510100</v>
          </cell>
        </row>
        <row r="235">
          <cell r="F235">
            <v>15</v>
          </cell>
          <cell r="G235">
            <v>2574400</v>
          </cell>
          <cell r="H235">
            <v>2599900</v>
          </cell>
        </row>
        <row r="236">
          <cell r="F236">
            <v>8</v>
          </cell>
          <cell r="G236">
            <v>1458400</v>
          </cell>
          <cell r="H236">
            <v>1472000</v>
          </cell>
        </row>
        <row r="237">
          <cell r="F237">
            <v>134</v>
          </cell>
          <cell r="G237">
            <v>2904400</v>
          </cell>
          <cell r="H237">
            <v>3132200</v>
          </cell>
        </row>
        <row r="238">
          <cell r="F238">
            <v>963</v>
          </cell>
          <cell r="G238">
            <v>3063150</v>
          </cell>
          <cell r="H238">
            <v>4700250</v>
          </cell>
        </row>
        <row r="239">
          <cell r="F239">
            <v>427</v>
          </cell>
          <cell r="G239">
            <v>3508600</v>
          </cell>
          <cell r="H239">
            <v>4234500</v>
          </cell>
        </row>
        <row r="240">
          <cell r="F240">
            <v>1083</v>
          </cell>
          <cell r="G240">
            <v>2187500</v>
          </cell>
          <cell r="H240">
            <v>4028600</v>
          </cell>
        </row>
        <row r="241">
          <cell r="F241">
            <v>716</v>
          </cell>
          <cell r="G241">
            <v>2113600</v>
          </cell>
          <cell r="H241">
            <v>3330800</v>
          </cell>
        </row>
        <row r="242">
          <cell r="F242">
            <v>1353</v>
          </cell>
          <cell r="G242">
            <v>3368350</v>
          </cell>
          <cell r="H242">
            <v>5668450</v>
          </cell>
        </row>
        <row r="243">
          <cell r="F243">
            <v>953</v>
          </cell>
          <cell r="G243">
            <v>1539600</v>
          </cell>
          <cell r="H243">
            <v>3159700</v>
          </cell>
        </row>
        <row r="244">
          <cell r="F244">
            <v>673</v>
          </cell>
          <cell r="G244">
            <v>1916100</v>
          </cell>
          <cell r="H244">
            <v>3060200</v>
          </cell>
        </row>
        <row r="245">
          <cell r="F245">
            <v>498</v>
          </cell>
          <cell r="G245">
            <v>1345400</v>
          </cell>
          <cell r="H245">
            <v>2192000</v>
          </cell>
        </row>
        <row r="246">
          <cell r="F246">
            <v>1387</v>
          </cell>
          <cell r="G246">
            <v>5679500</v>
          </cell>
          <cell r="H246">
            <v>8037400</v>
          </cell>
        </row>
        <row r="247">
          <cell r="F247">
            <v>993</v>
          </cell>
          <cell r="G247">
            <v>1458300</v>
          </cell>
          <cell r="H247">
            <v>3146400</v>
          </cell>
        </row>
        <row r="248">
          <cell r="F248">
            <v>412</v>
          </cell>
          <cell r="G248">
            <v>4160200</v>
          </cell>
          <cell r="H248">
            <v>4860600</v>
          </cell>
        </row>
        <row r="249">
          <cell r="F249">
            <v>294</v>
          </cell>
          <cell r="G249">
            <v>4733600</v>
          </cell>
          <cell r="H249">
            <v>5233400</v>
          </cell>
        </row>
        <row r="250">
          <cell r="F250">
            <v>186</v>
          </cell>
          <cell r="G250">
            <v>7246300</v>
          </cell>
          <cell r="H250">
            <v>7562500</v>
          </cell>
        </row>
        <row r="251">
          <cell r="F251">
            <v>365</v>
          </cell>
          <cell r="G251">
            <v>3200800</v>
          </cell>
          <cell r="H251">
            <v>3821300</v>
          </cell>
        </row>
        <row r="252">
          <cell r="F252">
            <v>249</v>
          </cell>
          <cell r="G252">
            <v>1627400</v>
          </cell>
          <cell r="H252">
            <v>2050700</v>
          </cell>
        </row>
        <row r="253">
          <cell r="F253">
            <v>140</v>
          </cell>
          <cell r="G253">
            <v>8115700</v>
          </cell>
          <cell r="H253">
            <v>8353700</v>
          </cell>
        </row>
        <row r="254">
          <cell r="F254">
            <v>836</v>
          </cell>
          <cell r="G254">
            <v>2596100</v>
          </cell>
          <cell r="H254">
            <v>4017300</v>
          </cell>
        </row>
        <row r="255">
          <cell r="F255">
            <v>433</v>
          </cell>
          <cell r="G255">
            <v>1863700</v>
          </cell>
          <cell r="H255">
            <v>2599800</v>
          </cell>
        </row>
        <row r="256">
          <cell r="F256">
            <v>312</v>
          </cell>
          <cell r="G256">
            <v>4564600</v>
          </cell>
          <cell r="H256">
            <v>5095000</v>
          </cell>
        </row>
        <row r="257">
          <cell r="F257">
            <v>1060</v>
          </cell>
          <cell r="G257">
            <v>1778900</v>
          </cell>
          <cell r="H257">
            <v>3580900</v>
          </cell>
        </row>
        <row r="260">
          <cell r="G260">
            <v>212000</v>
          </cell>
          <cell r="H260">
            <v>212000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14150</v>
          </cell>
          <cell r="G10">
            <v>9659800</v>
          </cell>
          <cell r="H10">
            <v>33714800</v>
          </cell>
        </row>
        <row r="14">
          <cell r="F14">
            <v>6521</v>
          </cell>
          <cell r="G14">
            <v>3161200</v>
          </cell>
          <cell r="H14">
            <v>14246900</v>
          </cell>
        </row>
        <row r="15">
          <cell r="F15">
            <v>6387</v>
          </cell>
          <cell r="G15">
            <v>2646700</v>
          </cell>
          <cell r="H15">
            <v>13504600</v>
          </cell>
        </row>
        <row r="16">
          <cell r="F16">
            <v>8008</v>
          </cell>
          <cell r="G16">
            <v>3124600</v>
          </cell>
          <cell r="H16">
            <v>16738200</v>
          </cell>
        </row>
        <row r="17">
          <cell r="F17">
            <v>5058</v>
          </cell>
          <cell r="G17">
            <v>2575700</v>
          </cell>
          <cell r="H17">
            <v>11174300</v>
          </cell>
        </row>
        <row r="18">
          <cell r="F18">
            <v>6548</v>
          </cell>
          <cell r="G18">
            <v>3186850</v>
          </cell>
          <cell r="H18">
            <v>14318450</v>
          </cell>
        </row>
        <row r="19">
          <cell r="F19">
            <v>6713</v>
          </cell>
          <cell r="G19">
            <v>4262950</v>
          </cell>
          <cell r="H19">
            <v>15675050</v>
          </cell>
        </row>
        <row r="20">
          <cell r="F20">
            <v>3801</v>
          </cell>
          <cell r="G20">
            <v>1875700</v>
          </cell>
          <cell r="H20">
            <v>8337400</v>
          </cell>
        </row>
        <row r="21">
          <cell r="F21">
            <v>4877</v>
          </cell>
          <cell r="G21">
            <v>3069600</v>
          </cell>
          <cell r="H21">
            <v>11360500</v>
          </cell>
        </row>
        <row r="22">
          <cell r="F22">
            <v>9104</v>
          </cell>
          <cell r="G22">
            <v>5405700</v>
          </cell>
          <cell r="H22">
            <v>20882500</v>
          </cell>
        </row>
        <row r="23">
          <cell r="F23">
            <v>4062</v>
          </cell>
          <cell r="G23">
            <v>1636850</v>
          </cell>
          <cell r="H23">
            <v>8542250</v>
          </cell>
        </row>
        <row r="24">
          <cell r="F24">
            <v>3335</v>
          </cell>
          <cell r="G24">
            <v>1591400</v>
          </cell>
          <cell r="H24">
            <v>7260900</v>
          </cell>
        </row>
        <row r="25">
          <cell r="F25">
            <v>2819</v>
          </cell>
          <cell r="G25">
            <v>1407500</v>
          </cell>
          <cell r="H25">
            <v>6199800</v>
          </cell>
        </row>
        <row r="26">
          <cell r="F26">
            <v>6492</v>
          </cell>
          <cell r="G26">
            <v>3128600</v>
          </cell>
          <cell r="H26">
            <v>14165000</v>
          </cell>
        </row>
        <row r="27">
          <cell r="F27">
            <v>18290</v>
          </cell>
          <cell r="G27">
            <v>15171150</v>
          </cell>
          <cell r="H27">
            <v>46264150</v>
          </cell>
        </row>
        <row r="28">
          <cell r="F28">
            <v>13881</v>
          </cell>
          <cell r="G28">
            <v>8038500</v>
          </cell>
          <cell r="H28">
            <v>31636200</v>
          </cell>
        </row>
        <row r="29">
          <cell r="F29">
            <v>12829</v>
          </cell>
          <cell r="G29">
            <v>7655400</v>
          </cell>
          <cell r="H29">
            <v>29464700</v>
          </cell>
        </row>
        <row r="30">
          <cell r="F30">
            <v>18615</v>
          </cell>
          <cell r="G30">
            <v>7084000</v>
          </cell>
          <cell r="H30">
            <v>38729500</v>
          </cell>
        </row>
        <row r="31">
          <cell r="F31">
            <v>9881</v>
          </cell>
          <cell r="G31">
            <v>4862400</v>
          </cell>
          <cell r="H31">
            <v>21660100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11921</v>
          </cell>
          <cell r="G33">
            <v>4657100</v>
          </cell>
          <cell r="H33">
            <v>24922800</v>
          </cell>
        </row>
        <row r="34">
          <cell r="F34">
            <v>15437</v>
          </cell>
          <cell r="G34">
            <v>6180600</v>
          </cell>
          <cell r="H34">
            <v>32423500</v>
          </cell>
        </row>
        <row r="35">
          <cell r="F35">
            <v>12213</v>
          </cell>
          <cell r="G35">
            <v>7415200</v>
          </cell>
          <cell r="H35">
            <v>28177300</v>
          </cell>
        </row>
        <row r="36">
          <cell r="F36">
            <v>14788</v>
          </cell>
          <cell r="G36">
            <v>6858900</v>
          </cell>
          <cell r="H36">
            <v>31998500</v>
          </cell>
        </row>
        <row r="37">
          <cell r="F37">
            <v>4378</v>
          </cell>
          <cell r="G37">
            <v>3288200</v>
          </cell>
          <cell r="H37">
            <v>10730800</v>
          </cell>
        </row>
        <row r="38">
          <cell r="F38">
            <v>6847</v>
          </cell>
          <cell r="G38">
            <v>4133400</v>
          </cell>
          <cell r="H38">
            <v>15773300</v>
          </cell>
        </row>
        <row r="39">
          <cell r="F39">
            <v>2949</v>
          </cell>
          <cell r="G39">
            <v>3925900</v>
          </cell>
          <cell r="H39">
            <v>8939200</v>
          </cell>
        </row>
        <row r="40">
          <cell r="F40">
            <v>14122</v>
          </cell>
          <cell r="G40">
            <v>7859700</v>
          </cell>
          <cell r="H40">
            <v>31867100</v>
          </cell>
        </row>
        <row r="41">
          <cell r="F41">
            <v>6780</v>
          </cell>
          <cell r="G41">
            <v>2856500</v>
          </cell>
          <cell r="H41">
            <v>14382500</v>
          </cell>
        </row>
        <row r="42">
          <cell r="F42">
            <v>2506</v>
          </cell>
          <cell r="G42">
            <v>1891700</v>
          </cell>
          <cell r="H42">
            <v>6151900</v>
          </cell>
        </row>
        <row r="43">
          <cell r="F43">
            <v>4864</v>
          </cell>
          <cell r="G43">
            <v>1692200</v>
          </cell>
          <cell r="H43">
            <v>9961000</v>
          </cell>
        </row>
        <row r="44">
          <cell r="F44">
            <v>1186</v>
          </cell>
          <cell r="G44">
            <v>982900</v>
          </cell>
          <cell r="H44">
            <v>2999100</v>
          </cell>
        </row>
        <row r="45">
          <cell r="F45">
            <v>16699</v>
          </cell>
          <cell r="G45">
            <v>6380601</v>
          </cell>
          <cell r="H45">
            <v>34768901</v>
          </cell>
        </row>
        <row r="46">
          <cell r="F46">
            <v>3908</v>
          </cell>
          <cell r="G46">
            <v>4099400</v>
          </cell>
          <cell r="H46">
            <v>10743000</v>
          </cell>
        </row>
        <row r="47">
          <cell r="F47">
            <v>24391</v>
          </cell>
          <cell r="G47">
            <v>9601100</v>
          </cell>
          <cell r="H47">
            <v>51065800</v>
          </cell>
        </row>
        <row r="52">
          <cell r="F52">
            <v>9901</v>
          </cell>
          <cell r="G52">
            <v>4244200</v>
          </cell>
          <cell r="H52">
            <v>21075900</v>
          </cell>
        </row>
        <row r="53">
          <cell r="F53">
            <v>7875</v>
          </cell>
          <cell r="G53">
            <v>5389700</v>
          </cell>
          <cell r="H53">
            <v>18777200</v>
          </cell>
        </row>
        <row r="54">
          <cell r="F54">
            <v>17609</v>
          </cell>
          <cell r="G54">
            <v>7958700</v>
          </cell>
          <cell r="H54">
            <v>37894000</v>
          </cell>
        </row>
        <row r="55">
          <cell r="F55">
            <v>7406</v>
          </cell>
          <cell r="G55">
            <v>5950100</v>
          </cell>
          <cell r="H55">
            <v>18540300</v>
          </cell>
        </row>
        <row r="56">
          <cell r="F56">
            <v>4537</v>
          </cell>
          <cell r="G56">
            <v>2220300</v>
          </cell>
          <cell r="H56">
            <v>9933200</v>
          </cell>
        </row>
        <row r="57">
          <cell r="F57">
            <v>10743</v>
          </cell>
          <cell r="G57">
            <v>5107300</v>
          </cell>
          <cell r="H57">
            <v>23370400</v>
          </cell>
        </row>
        <row r="58">
          <cell r="F58">
            <v>16437</v>
          </cell>
          <cell r="G58">
            <v>6547300</v>
          </cell>
          <cell r="H58">
            <v>34490200</v>
          </cell>
        </row>
        <row r="59">
          <cell r="F59">
            <v>9084</v>
          </cell>
          <cell r="G59">
            <v>4020400</v>
          </cell>
          <cell r="H59">
            <v>19463200</v>
          </cell>
        </row>
        <row r="60">
          <cell r="F60">
            <v>8206</v>
          </cell>
          <cell r="G60">
            <v>3772200</v>
          </cell>
          <cell r="H60">
            <v>17722400</v>
          </cell>
        </row>
        <row r="61">
          <cell r="F61">
            <v>5375</v>
          </cell>
          <cell r="G61">
            <v>2766600</v>
          </cell>
          <cell r="H61">
            <v>11904100</v>
          </cell>
        </row>
        <row r="62">
          <cell r="F62">
            <v>13600</v>
          </cell>
          <cell r="G62">
            <v>5787300</v>
          </cell>
          <cell r="H62">
            <v>28907300</v>
          </cell>
        </row>
        <row r="63">
          <cell r="F63">
            <v>11796</v>
          </cell>
          <cell r="G63">
            <v>4932900</v>
          </cell>
          <cell r="H63">
            <v>24986100</v>
          </cell>
        </row>
        <row r="64">
          <cell r="F64">
            <v>11258</v>
          </cell>
          <cell r="G64">
            <v>5898850</v>
          </cell>
          <cell r="H64">
            <v>25037450</v>
          </cell>
        </row>
        <row r="65">
          <cell r="F65">
            <v>8304</v>
          </cell>
          <cell r="G65">
            <v>5812200</v>
          </cell>
          <cell r="H65">
            <v>19929000</v>
          </cell>
        </row>
        <row r="66">
          <cell r="F66">
            <v>8510</v>
          </cell>
          <cell r="G66">
            <v>5425200</v>
          </cell>
          <cell r="H66">
            <v>19892200</v>
          </cell>
        </row>
        <row r="67">
          <cell r="F67">
            <v>6678</v>
          </cell>
          <cell r="G67">
            <v>4273100</v>
          </cell>
          <cell r="H67">
            <v>15625700</v>
          </cell>
        </row>
        <row r="68">
          <cell r="F68">
            <v>10167</v>
          </cell>
          <cell r="G68">
            <v>4427000</v>
          </cell>
          <cell r="H68">
            <v>21710900</v>
          </cell>
        </row>
        <row r="69">
          <cell r="F69">
            <v>7714</v>
          </cell>
          <cell r="G69">
            <v>4358000</v>
          </cell>
          <cell r="H69">
            <v>17471800</v>
          </cell>
        </row>
        <row r="70">
          <cell r="F70">
            <v>13515</v>
          </cell>
          <cell r="G70">
            <v>7222900</v>
          </cell>
          <cell r="H70">
            <v>30198400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6615</v>
          </cell>
          <cell r="G72">
            <v>3729000</v>
          </cell>
          <cell r="H72">
            <v>14974500</v>
          </cell>
        </row>
        <row r="73">
          <cell r="F73">
            <v>4370</v>
          </cell>
          <cell r="G73">
            <v>1675900</v>
          </cell>
          <cell r="H73">
            <v>9104900</v>
          </cell>
        </row>
        <row r="74">
          <cell r="F74">
            <v>13932</v>
          </cell>
          <cell r="G74">
            <v>4272300</v>
          </cell>
          <cell r="H74">
            <v>27956700</v>
          </cell>
        </row>
        <row r="75">
          <cell r="F75">
            <v>6373</v>
          </cell>
          <cell r="G75">
            <v>2794100</v>
          </cell>
          <cell r="H75">
            <v>13628200</v>
          </cell>
        </row>
        <row r="76">
          <cell r="F76">
            <v>21014</v>
          </cell>
          <cell r="G76">
            <v>8208750</v>
          </cell>
          <cell r="H76">
            <v>43932550</v>
          </cell>
        </row>
        <row r="77">
          <cell r="F77">
            <v>9223</v>
          </cell>
          <cell r="G77">
            <v>1859800</v>
          </cell>
          <cell r="H77">
            <v>17538900</v>
          </cell>
        </row>
        <row r="78">
          <cell r="F78">
            <v>7353</v>
          </cell>
          <cell r="G78">
            <v>3279200</v>
          </cell>
          <cell r="H78">
            <v>15779300</v>
          </cell>
        </row>
        <row r="79">
          <cell r="F79">
            <v>2534</v>
          </cell>
          <cell r="G79">
            <v>705100</v>
          </cell>
          <cell r="H79">
            <v>5012900</v>
          </cell>
        </row>
        <row r="80">
          <cell r="F80">
            <v>4800</v>
          </cell>
          <cell r="G80">
            <v>1273600</v>
          </cell>
          <cell r="H80">
            <v>9433600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3285</v>
          </cell>
          <cell r="G84">
            <v>1400650</v>
          </cell>
          <cell r="H84">
            <v>6985150</v>
          </cell>
        </row>
        <row r="85">
          <cell r="F85">
            <v>1636</v>
          </cell>
          <cell r="G85">
            <v>585700</v>
          </cell>
          <cell r="H85">
            <v>3366900</v>
          </cell>
        </row>
        <row r="86">
          <cell r="F86">
            <v>4072</v>
          </cell>
          <cell r="G86">
            <v>2232800</v>
          </cell>
          <cell r="H86">
            <v>9155200</v>
          </cell>
        </row>
        <row r="87">
          <cell r="F87">
            <v>3264</v>
          </cell>
          <cell r="G87">
            <v>1384700</v>
          </cell>
          <cell r="H87">
            <v>6933500</v>
          </cell>
        </row>
        <row r="88">
          <cell r="F88">
            <v>5808</v>
          </cell>
          <cell r="G88">
            <v>2856300</v>
          </cell>
          <cell r="H88">
            <v>12729900</v>
          </cell>
        </row>
        <row r="89">
          <cell r="F89">
            <v>2106</v>
          </cell>
          <cell r="G89">
            <v>1636800</v>
          </cell>
          <cell r="H89">
            <v>5217000</v>
          </cell>
        </row>
        <row r="90">
          <cell r="F90">
            <v>3120</v>
          </cell>
          <cell r="G90">
            <v>1818900</v>
          </cell>
          <cell r="H90">
            <v>7122900</v>
          </cell>
        </row>
        <row r="91">
          <cell r="F91">
            <v>5375</v>
          </cell>
          <cell r="G91">
            <v>3853900</v>
          </cell>
          <cell r="H91">
            <v>12991400</v>
          </cell>
        </row>
        <row r="92">
          <cell r="F92">
            <v>2544</v>
          </cell>
          <cell r="G92">
            <v>1884100</v>
          </cell>
          <cell r="H92">
            <v>6208900</v>
          </cell>
        </row>
        <row r="93">
          <cell r="F93">
            <v>3224</v>
          </cell>
          <cell r="G93">
            <v>2562900</v>
          </cell>
          <cell r="H93">
            <v>8043700</v>
          </cell>
        </row>
        <row r="94">
          <cell r="F94">
            <v>682</v>
          </cell>
          <cell r="G94">
            <v>447400</v>
          </cell>
          <cell r="H94">
            <v>1606800</v>
          </cell>
        </row>
        <row r="95">
          <cell r="F95">
            <v>3288</v>
          </cell>
          <cell r="G95">
            <v>2315100</v>
          </cell>
          <cell r="H95">
            <v>7904700</v>
          </cell>
        </row>
        <row r="96">
          <cell r="F96">
            <v>3643</v>
          </cell>
          <cell r="G96">
            <v>907700</v>
          </cell>
          <cell r="H96">
            <v>7100800</v>
          </cell>
        </row>
        <row r="97">
          <cell r="F97">
            <v>7055</v>
          </cell>
          <cell r="G97">
            <v>1758600</v>
          </cell>
          <cell r="H97">
            <v>13752100</v>
          </cell>
        </row>
        <row r="98">
          <cell r="F98">
            <v>3741</v>
          </cell>
          <cell r="G98">
            <v>1449700</v>
          </cell>
          <cell r="H98">
            <v>7809400</v>
          </cell>
        </row>
        <row r="99">
          <cell r="F99">
            <v>7345</v>
          </cell>
          <cell r="G99">
            <v>2852550</v>
          </cell>
          <cell r="H99">
            <v>15339050</v>
          </cell>
        </row>
        <row r="100">
          <cell r="F100">
            <v>8327</v>
          </cell>
          <cell r="G100">
            <v>2557000</v>
          </cell>
          <cell r="H100">
            <v>16712900</v>
          </cell>
        </row>
        <row r="101">
          <cell r="F101">
            <v>2936</v>
          </cell>
          <cell r="G101">
            <v>1072500</v>
          </cell>
          <cell r="H101">
            <v>6063700</v>
          </cell>
        </row>
        <row r="102">
          <cell r="F102">
            <v>14899</v>
          </cell>
          <cell r="G102">
            <v>3094400</v>
          </cell>
          <cell r="H102">
            <v>28422700</v>
          </cell>
        </row>
        <row r="103">
          <cell r="F103">
            <v>12898</v>
          </cell>
          <cell r="G103">
            <v>4467800</v>
          </cell>
          <cell r="H103">
            <v>26394400</v>
          </cell>
        </row>
        <row r="104">
          <cell r="F104">
            <v>5969</v>
          </cell>
          <cell r="G104">
            <v>2786300</v>
          </cell>
          <cell r="H104">
            <v>12933600</v>
          </cell>
        </row>
        <row r="105">
          <cell r="F105">
            <v>4613</v>
          </cell>
          <cell r="G105">
            <v>2868800</v>
          </cell>
          <cell r="H105">
            <v>10710900</v>
          </cell>
        </row>
        <row r="106">
          <cell r="F106">
            <v>3692</v>
          </cell>
          <cell r="G106">
            <v>1922100</v>
          </cell>
          <cell r="H106">
            <v>8198500</v>
          </cell>
        </row>
        <row r="107">
          <cell r="F107">
            <v>5693</v>
          </cell>
          <cell r="G107">
            <v>1861000</v>
          </cell>
          <cell r="H107">
            <v>11539100</v>
          </cell>
        </row>
        <row r="108">
          <cell r="F108">
            <v>5622</v>
          </cell>
          <cell r="G108">
            <v>2422600</v>
          </cell>
          <cell r="H108">
            <v>11980000</v>
          </cell>
        </row>
        <row r="109">
          <cell r="F109">
            <v>3623</v>
          </cell>
          <cell r="G109">
            <v>2383900</v>
          </cell>
          <cell r="H109">
            <v>8543000</v>
          </cell>
        </row>
        <row r="110">
          <cell r="F110">
            <v>2433</v>
          </cell>
          <cell r="G110">
            <v>602800</v>
          </cell>
          <cell r="H110">
            <v>4738900</v>
          </cell>
        </row>
        <row r="111">
          <cell r="F111">
            <v>7044</v>
          </cell>
          <cell r="G111">
            <v>2999000</v>
          </cell>
          <cell r="H111">
            <v>14973800</v>
          </cell>
        </row>
        <row r="112">
          <cell r="F112">
            <v>5215</v>
          </cell>
          <cell r="G112">
            <v>2223500</v>
          </cell>
          <cell r="H112">
            <v>11089000</v>
          </cell>
        </row>
        <row r="113">
          <cell r="F113">
            <v>5487</v>
          </cell>
          <cell r="G113">
            <v>4276400</v>
          </cell>
          <cell r="H113">
            <v>13604300</v>
          </cell>
        </row>
        <row r="114">
          <cell r="F114">
            <v>412</v>
          </cell>
          <cell r="G114">
            <v>255200</v>
          </cell>
          <cell r="H114">
            <v>955600</v>
          </cell>
        </row>
        <row r="115">
          <cell r="F115">
            <v>2386</v>
          </cell>
          <cell r="G115">
            <v>407800</v>
          </cell>
          <cell r="H115">
            <v>4464000</v>
          </cell>
        </row>
        <row r="116">
          <cell r="F116">
            <v>499</v>
          </cell>
          <cell r="G116">
            <v>430750</v>
          </cell>
          <cell r="H116">
            <v>1279050</v>
          </cell>
        </row>
        <row r="117">
          <cell r="F117">
            <v>2583</v>
          </cell>
          <cell r="G117">
            <v>458300</v>
          </cell>
          <cell r="H117">
            <v>4849400</v>
          </cell>
        </row>
        <row r="118">
          <cell r="F118">
            <v>3043</v>
          </cell>
          <cell r="G118">
            <v>1883800</v>
          </cell>
          <cell r="H118">
            <v>7056900</v>
          </cell>
        </row>
        <row r="121">
          <cell r="F121">
            <v>45964</v>
          </cell>
          <cell r="G121">
            <v>8134800</v>
          </cell>
        </row>
        <row r="122">
          <cell r="F122">
            <v>9534</v>
          </cell>
          <cell r="G122">
            <v>16806100</v>
          </cell>
          <cell r="H122">
            <v>33013900</v>
          </cell>
        </row>
        <row r="133">
          <cell r="F133">
            <v>195530</v>
          </cell>
          <cell r="G133">
            <v>90616050</v>
          </cell>
          <cell r="H133">
            <v>423017050</v>
          </cell>
        </row>
        <row r="135">
          <cell r="F135">
            <v>504</v>
          </cell>
          <cell r="G135">
            <v>1305100</v>
          </cell>
          <cell r="H135">
            <v>2161900</v>
          </cell>
        </row>
        <row r="136">
          <cell r="F136">
            <v>6428</v>
          </cell>
          <cell r="G136">
            <v>7741450</v>
          </cell>
          <cell r="H136">
            <v>18669050</v>
          </cell>
        </row>
        <row r="137">
          <cell r="F137">
            <v>745</v>
          </cell>
          <cell r="G137">
            <v>1616200</v>
          </cell>
          <cell r="H137">
            <v>2882700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713</v>
          </cell>
          <cell r="G139">
            <v>1634500</v>
          </cell>
          <cell r="H139">
            <v>2846600</v>
          </cell>
        </row>
        <row r="140">
          <cell r="F140">
            <v>1466</v>
          </cell>
          <cell r="G140">
            <v>2301800</v>
          </cell>
          <cell r="H140">
            <v>4794000</v>
          </cell>
        </row>
        <row r="141">
          <cell r="F141">
            <v>420</v>
          </cell>
          <cell r="G141">
            <v>569100</v>
          </cell>
          <cell r="H141">
            <v>1283100</v>
          </cell>
        </row>
        <row r="142">
          <cell r="F142">
            <v>549</v>
          </cell>
          <cell r="G142">
            <v>1574300</v>
          </cell>
          <cell r="H142">
            <v>2507600</v>
          </cell>
        </row>
        <row r="143">
          <cell r="F143">
            <v>556</v>
          </cell>
          <cell r="G143">
            <v>1221300</v>
          </cell>
          <cell r="H143">
            <v>2166500</v>
          </cell>
        </row>
        <row r="144">
          <cell r="F144">
            <v>341</v>
          </cell>
          <cell r="G144">
            <v>1191300</v>
          </cell>
          <cell r="H144">
            <v>1771000</v>
          </cell>
          <cell r="M144">
            <v>1383774.7649999999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300</v>
          </cell>
          <cell r="G146">
            <v>903200</v>
          </cell>
          <cell r="H146">
            <v>1413200</v>
          </cell>
        </row>
        <row r="147">
          <cell r="F147">
            <v>555</v>
          </cell>
          <cell r="G147">
            <v>1074200</v>
          </cell>
          <cell r="H147">
            <v>2017700</v>
          </cell>
        </row>
        <row r="148">
          <cell r="F148">
            <v>1001</v>
          </cell>
          <cell r="G148">
            <v>3334300</v>
          </cell>
          <cell r="H148">
            <v>5036000</v>
          </cell>
        </row>
        <row r="149">
          <cell r="F149">
            <v>491</v>
          </cell>
          <cell r="G149">
            <v>1827700</v>
          </cell>
          <cell r="H149">
            <v>2662400</v>
          </cell>
        </row>
        <row r="150">
          <cell r="F150">
            <v>628</v>
          </cell>
          <cell r="G150">
            <v>1203400</v>
          </cell>
          <cell r="H150">
            <v>2271000</v>
          </cell>
        </row>
        <row r="153">
          <cell r="F153">
            <v>0</v>
          </cell>
          <cell r="G153">
            <v>5000</v>
          </cell>
          <cell r="H153">
            <v>5000</v>
          </cell>
        </row>
        <row r="154">
          <cell r="F154">
            <v>0</v>
          </cell>
          <cell r="G154">
            <v>593000</v>
          </cell>
          <cell r="H154">
            <v>593000</v>
          </cell>
        </row>
        <row r="155">
          <cell r="F155">
            <v>0</v>
          </cell>
          <cell r="G155">
            <v>459000</v>
          </cell>
          <cell r="H155">
            <v>459000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3325000</v>
          </cell>
          <cell r="H158">
            <v>3325000</v>
          </cell>
        </row>
        <row r="159">
          <cell r="F159">
            <v>0</v>
          </cell>
          <cell r="G159">
            <v>2872000</v>
          </cell>
          <cell r="H159">
            <v>2872000</v>
          </cell>
        </row>
        <row r="160">
          <cell r="F160">
            <v>0</v>
          </cell>
          <cell r="G160">
            <v>1424000</v>
          </cell>
          <cell r="H160">
            <v>1424000</v>
          </cell>
        </row>
        <row r="161">
          <cell r="F161">
            <v>0</v>
          </cell>
          <cell r="G161">
            <v>3667000</v>
          </cell>
          <cell r="H161">
            <v>3667000</v>
          </cell>
        </row>
        <row r="162">
          <cell r="F162">
            <v>0</v>
          </cell>
          <cell r="G162">
            <v>1821000</v>
          </cell>
          <cell r="H162">
            <v>1821000</v>
          </cell>
        </row>
        <row r="163">
          <cell r="F163">
            <v>0</v>
          </cell>
          <cell r="G163">
            <v>1584000</v>
          </cell>
          <cell r="H163">
            <v>1584000</v>
          </cell>
        </row>
        <row r="164">
          <cell r="F164">
            <v>0</v>
          </cell>
          <cell r="G164">
            <v>612000</v>
          </cell>
          <cell r="H164">
            <v>612000</v>
          </cell>
        </row>
        <row r="165">
          <cell r="F165">
            <v>0</v>
          </cell>
          <cell r="G165">
            <v>1765000</v>
          </cell>
          <cell r="H165">
            <v>1765000</v>
          </cell>
        </row>
        <row r="166">
          <cell r="F166">
            <v>0</v>
          </cell>
          <cell r="G166">
            <v>200000</v>
          </cell>
          <cell r="H166">
            <v>200000</v>
          </cell>
        </row>
        <row r="167">
          <cell r="F167">
            <v>0</v>
          </cell>
          <cell r="G167">
            <v>436000</v>
          </cell>
          <cell r="H167">
            <v>436000</v>
          </cell>
        </row>
        <row r="168">
          <cell r="F168">
            <v>0</v>
          </cell>
          <cell r="G168">
            <v>101000</v>
          </cell>
          <cell r="H168">
            <v>101000</v>
          </cell>
        </row>
        <row r="169">
          <cell r="F169">
            <v>0</v>
          </cell>
          <cell r="G169">
            <v>41000</v>
          </cell>
          <cell r="H169">
            <v>41000</v>
          </cell>
        </row>
        <row r="170">
          <cell r="F170">
            <v>0</v>
          </cell>
          <cell r="G170">
            <v>113000</v>
          </cell>
          <cell r="H170">
            <v>113000</v>
          </cell>
        </row>
        <row r="171">
          <cell r="F171">
            <v>0</v>
          </cell>
          <cell r="G171">
            <v>325000</v>
          </cell>
          <cell r="H171">
            <v>325000</v>
          </cell>
        </row>
        <row r="172">
          <cell r="F172">
            <v>0</v>
          </cell>
          <cell r="G172">
            <v>140000</v>
          </cell>
          <cell r="H172">
            <v>140000</v>
          </cell>
        </row>
        <row r="173">
          <cell r="F173">
            <v>0</v>
          </cell>
          <cell r="G173">
            <v>71000</v>
          </cell>
          <cell r="H173">
            <v>71000</v>
          </cell>
        </row>
        <row r="174">
          <cell r="F174">
            <v>0</v>
          </cell>
          <cell r="G174">
            <v>12000</v>
          </cell>
          <cell r="H174">
            <v>12000</v>
          </cell>
        </row>
        <row r="175">
          <cell r="F175">
            <v>0</v>
          </cell>
          <cell r="G175">
            <v>230000</v>
          </cell>
          <cell r="H175">
            <v>230000</v>
          </cell>
        </row>
        <row r="176">
          <cell r="F176">
            <v>0</v>
          </cell>
          <cell r="G176">
            <v>220000</v>
          </cell>
          <cell r="H176">
            <v>220000</v>
          </cell>
        </row>
        <row r="177">
          <cell r="F177">
            <v>0</v>
          </cell>
          <cell r="G177">
            <v>667000</v>
          </cell>
          <cell r="H177">
            <v>667000</v>
          </cell>
        </row>
        <row r="178">
          <cell r="F178">
            <v>0</v>
          </cell>
          <cell r="G178">
            <v>801000</v>
          </cell>
          <cell r="H178">
            <v>801000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13000</v>
          </cell>
          <cell r="H180">
            <v>13000</v>
          </cell>
        </row>
        <row r="181">
          <cell r="F181">
            <v>0</v>
          </cell>
          <cell r="G181">
            <v>75000</v>
          </cell>
          <cell r="H181">
            <v>75000</v>
          </cell>
        </row>
        <row r="182">
          <cell r="F182">
            <v>0</v>
          </cell>
          <cell r="G182">
            <v>57000</v>
          </cell>
          <cell r="H182">
            <v>57000</v>
          </cell>
        </row>
        <row r="183">
          <cell r="F183">
            <v>0</v>
          </cell>
          <cell r="G183">
            <v>257000</v>
          </cell>
          <cell r="H183">
            <v>257000</v>
          </cell>
        </row>
        <row r="184">
          <cell r="F184">
            <v>0</v>
          </cell>
          <cell r="G184">
            <v>12000</v>
          </cell>
          <cell r="H184">
            <v>12000</v>
          </cell>
        </row>
        <row r="185">
          <cell r="F185">
            <v>0</v>
          </cell>
          <cell r="G185">
            <v>3000</v>
          </cell>
          <cell r="H185">
            <v>3000</v>
          </cell>
        </row>
        <row r="186">
          <cell r="F186">
            <v>0</v>
          </cell>
          <cell r="G186">
            <v>113000</v>
          </cell>
          <cell r="H186">
            <v>113000</v>
          </cell>
        </row>
        <row r="187">
          <cell r="F187">
            <v>0</v>
          </cell>
          <cell r="G187">
            <v>616000</v>
          </cell>
          <cell r="H187">
            <v>616000</v>
          </cell>
        </row>
        <row r="188">
          <cell r="F188">
            <v>0</v>
          </cell>
          <cell r="G188">
            <v>16000</v>
          </cell>
          <cell r="H188">
            <v>16000</v>
          </cell>
        </row>
        <row r="189">
          <cell r="F189">
            <v>0</v>
          </cell>
          <cell r="G189">
            <v>144000</v>
          </cell>
          <cell r="H189">
            <v>144000</v>
          </cell>
        </row>
        <row r="190">
          <cell r="F190">
            <v>0</v>
          </cell>
          <cell r="G190">
            <v>107000</v>
          </cell>
          <cell r="H190">
            <v>107000</v>
          </cell>
        </row>
        <row r="191">
          <cell r="F191">
            <v>0</v>
          </cell>
          <cell r="G191">
            <v>83000</v>
          </cell>
          <cell r="H191">
            <v>83000</v>
          </cell>
        </row>
        <row r="192">
          <cell r="F192">
            <v>0</v>
          </cell>
          <cell r="G192">
            <v>91000</v>
          </cell>
          <cell r="H192">
            <v>91000</v>
          </cell>
        </row>
        <row r="193">
          <cell r="F193">
            <v>0</v>
          </cell>
          <cell r="G193">
            <v>237000</v>
          </cell>
          <cell r="H193">
            <v>237000</v>
          </cell>
        </row>
        <row r="194">
          <cell r="F194">
            <v>0</v>
          </cell>
          <cell r="G194">
            <v>126000</v>
          </cell>
          <cell r="H194">
            <v>126000</v>
          </cell>
        </row>
        <row r="195">
          <cell r="F195">
            <v>0</v>
          </cell>
          <cell r="G195">
            <v>119000</v>
          </cell>
          <cell r="H195">
            <v>119000</v>
          </cell>
        </row>
        <row r="196">
          <cell r="F196">
            <v>0</v>
          </cell>
          <cell r="G196">
            <v>261000</v>
          </cell>
          <cell r="H196">
            <v>261000</v>
          </cell>
        </row>
        <row r="197">
          <cell r="F197">
            <v>0</v>
          </cell>
          <cell r="G197">
            <v>81000</v>
          </cell>
          <cell r="H197">
            <v>81000</v>
          </cell>
        </row>
        <row r="198">
          <cell r="F198">
            <v>0</v>
          </cell>
          <cell r="G198">
            <v>199000</v>
          </cell>
          <cell r="H198">
            <v>199000</v>
          </cell>
        </row>
        <row r="199">
          <cell r="F199">
            <v>0</v>
          </cell>
          <cell r="G199">
            <v>121000</v>
          </cell>
          <cell r="H199">
            <v>121000</v>
          </cell>
        </row>
        <row r="200">
          <cell r="F200">
            <v>0</v>
          </cell>
          <cell r="G200">
            <v>65000</v>
          </cell>
          <cell r="H200">
            <v>65000</v>
          </cell>
        </row>
        <row r="201">
          <cell r="F201">
            <v>0</v>
          </cell>
          <cell r="G201">
            <v>18000</v>
          </cell>
          <cell r="H201">
            <v>18000</v>
          </cell>
        </row>
        <row r="202">
          <cell r="F202">
            <v>0</v>
          </cell>
          <cell r="G202">
            <v>255000</v>
          </cell>
          <cell r="H202">
            <v>255000</v>
          </cell>
        </row>
        <row r="203">
          <cell r="F203">
            <v>0</v>
          </cell>
          <cell r="G203">
            <v>80000</v>
          </cell>
          <cell r="H203">
            <v>80000</v>
          </cell>
        </row>
        <row r="204">
          <cell r="F204">
            <v>0</v>
          </cell>
          <cell r="G204">
            <v>617000</v>
          </cell>
          <cell r="H204">
            <v>617000</v>
          </cell>
        </row>
        <row r="205">
          <cell r="F205">
            <v>0</v>
          </cell>
          <cell r="G205">
            <v>258000</v>
          </cell>
          <cell r="H205">
            <v>258000</v>
          </cell>
        </row>
        <row r="206">
          <cell r="F206">
            <v>0</v>
          </cell>
          <cell r="G206">
            <v>362000</v>
          </cell>
          <cell r="H206">
            <v>362000</v>
          </cell>
        </row>
        <row r="207">
          <cell r="F207">
            <v>0</v>
          </cell>
          <cell r="G207">
            <v>304000</v>
          </cell>
          <cell r="H207">
            <v>304000</v>
          </cell>
        </row>
        <row r="208">
          <cell r="F208">
            <v>0</v>
          </cell>
          <cell r="G208">
            <v>219000</v>
          </cell>
          <cell r="H208">
            <v>219000</v>
          </cell>
        </row>
        <row r="209">
          <cell r="F209">
            <v>0</v>
          </cell>
          <cell r="G209">
            <v>402000</v>
          </cell>
          <cell r="H209">
            <v>402000</v>
          </cell>
        </row>
        <row r="210">
          <cell r="F210">
            <v>0</v>
          </cell>
          <cell r="G210">
            <v>1409000</v>
          </cell>
          <cell r="H210">
            <v>1409000</v>
          </cell>
        </row>
        <row r="211">
          <cell r="F211">
            <v>0</v>
          </cell>
          <cell r="G211">
            <v>290000</v>
          </cell>
          <cell r="H211">
            <v>290000</v>
          </cell>
        </row>
        <row r="212">
          <cell r="F212">
            <v>0</v>
          </cell>
          <cell r="G212">
            <v>20000</v>
          </cell>
          <cell r="H212">
            <v>20000</v>
          </cell>
        </row>
        <row r="213">
          <cell r="F213">
            <v>0</v>
          </cell>
          <cell r="G213">
            <v>25000</v>
          </cell>
          <cell r="H213">
            <v>25000</v>
          </cell>
        </row>
        <row r="214">
          <cell r="F214">
            <v>0</v>
          </cell>
          <cell r="G214">
            <v>269000</v>
          </cell>
          <cell r="H214">
            <v>269000</v>
          </cell>
        </row>
        <row r="215">
          <cell r="F215">
            <v>0</v>
          </cell>
          <cell r="G215">
            <v>234000</v>
          </cell>
          <cell r="H215">
            <v>234000</v>
          </cell>
        </row>
        <row r="216">
          <cell r="F216">
            <v>0</v>
          </cell>
          <cell r="G216">
            <v>989000</v>
          </cell>
          <cell r="H216">
            <v>989000</v>
          </cell>
        </row>
        <row r="217">
          <cell r="F217">
            <v>0</v>
          </cell>
          <cell r="G217">
            <v>167000</v>
          </cell>
          <cell r="H217">
            <v>167000</v>
          </cell>
        </row>
        <row r="218">
          <cell r="F218">
            <v>0</v>
          </cell>
          <cell r="G218">
            <v>374000</v>
          </cell>
          <cell r="H218">
            <v>374000</v>
          </cell>
        </row>
        <row r="219">
          <cell r="F219">
            <v>0</v>
          </cell>
          <cell r="G219">
            <v>137000</v>
          </cell>
          <cell r="H219">
            <v>137000</v>
          </cell>
        </row>
        <row r="220">
          <cell r="F220">
            <v>0</v>
          </cell>
          <cell r="G220">
            <v>167000</v>
          </cell>
          <cell r="H220">
            <v>167000</v>
          </cell>
        </row>
        <row r="223">
          <cell r="F223">
            <v>322</v>
          </cell>
          <cell r="G223">
            <v>5713300</v>
          </cell>
          <cell r="H223">
            <v>6260700</v>
          </cell>
        </row>
        <row r="224">
          <cell r="F224">
            <v>1</v>
          </cell>
          <cell r="G224">
            <v>5422600</v>
          </cell>
          <cell r="H224">
            <v>5424300</v>
          </cell>
        </row>
        <row r="225">
          <cell r="F225">
            <v>968</v>
          </cell>
          <cell r="G225">
            <v>1676900</v>
          </cell>
          <cell r="H225">
            <v>3322500</v>
          </cell>
        </row>
        <row r="226">
          <cell r="F226">
            <v>206</v>
          </cell>
          <cell r="G226">
            <v>3207000</v>
          </cell>
          <cell r="H226">
            <v>3557200</v>
          </cell>
        </row>
        <row r="227">
          <cell r="F227">
            <v>962</v>
          </cell>
          <cell r="G227">
            <v>923000</v>
          </cell>
          <cell r="H227">
            <v>2558400</v>
          </cell>
        </row>
        <row r="228">
          <cell r="F228">
            <v>337</v>
          </cell>
          <cell r="G228">
            <v>1433700</v>
          </cell>
          <cell r="H228">
            <v>2006600</v>
          </cell>
        </row>
        <row r="229">
          <cell r="F229">
            <v>683</v>
          </cell>
          <cell r="G229">
            <v>2257400</v>
          </cell>
          <cell r="H229">
            <v>3418500</v>
          </cell>
        </row>
        <row r="230">
          <cell r="F230">
            <v>1554</v>
          </cell>
          <cell r="G230">
            <v>1524600</v>
          </cell>
          <cell r="H230">
            <v>4166400</v>
          </cell>
        </row>
        <row r="231">
          <cell r="F231">
            <v>150</v>
          </cell>
          <cell r="G231">
            <v>4469000</v>
          </cell>
          <cell r="H231">
            <v>4724000</v>
          </cell>
        </row>
        <row r="232">
          <cell r="F232">
            <v>7</v>
          </cell>
          <cell r="G232">
            <v>3721600</v>
          </cell>
          <cell r="H232">
            <v>3733500</v>
          </cell>
        </row>
        <row r="233">
          <cell r="F233">
            <v>1665</v>
          </cell>
          <cell r="G233">
            <v>1958900</v>
          </cell>
          <cell r="H233">
            <v>4789400</v>
          </cell>
        </row>
        <row r="234">
          <cell r="F234">
            <v>1492</v>
          </cell>
          <cell r="G234">
            <v>977100</v>
          </cell>
          <cell r="H234">
            <v>3513500</v>
          </cell>
        </row>
        <row r="235">
          <cell r="F235">
            <v>10</v>
          </cell>
          <cell r="G235">
            <v>1257500</v>
          </cell>
          <cell r="H235">
            <v>1274500</v>
          </cell>
        </row>
        <row r="236">
          <cell r="F236">
            <v>0</v>
          </cell>
          <cell r="G236">
            <v>746400</v>
          </cell>
          <cell r="H236">
            <v>746400</v>
          </cell>
        </row>
        <row r="237">
          <cell r="F237">
            <v>131</v>
          </cell>
          <cell r="G237">
            <v>2283600</v>
          </cell>
          <cell r="H237">
            <v>2506300</v>
          </cell>
        </row>
        <row r="238">
          <cell r="F238">
            <v>852</v>
          </cell>
          <cell r="G238">
            <v>2454250</v>
          </cell>
          <cell r="H238">
            <v>3902650</v>
          </cell>
        </row>
        <row r="239">
          <cell r="F239">
            <v>479</v>
          </cell>
          <cell r="G239">
            <v>4333600</v>
          </cell>
          <cell r="H239">
            <v>5147900</v>
          </cell>
        </row>
        <row r="240">
          <cell r="F240">
            <v>1018</v>
          </cell>
          <cell r="G240">
            <v>1676700</v>
          </cell>
          <cell r="H240">
            <v>3407300</v>
          </cell>
        </row>
        <row r="241">
          <cell r="F241">
            <v>456</v>
          </cell>
          <cell r="G241">
            <v>1006200</v>
          </cell>
          <cell r="H241">
            <v>1781400</v>
          </cell>
        </row>
        <row r="242">
          <cell r="F242">
            <v>1232</v>
          </cell>
          <cell r="G242">
            <v>2476700</v>
          </cell>
          <cell r="H242">
            <v>4571100</v>
          </cell>
        </row>
        <row r="243">
          <cell r="F243">
            <v>778</v>
          </cell>
          <cell r="G243">
            <v>1524700</v>
          </cell>
          <cell r="H243">
            <v>2847300</v>
          </cell>
        </row>
        <row r="244">
          <cell r="F244">
            <v>707</v>
          </cell>
          <cell r="G244">
            <v>1392000</v>
          </cell>
          <cell r="H244">
            <v>2593900</v>
          </cell>
        </row>
        <row r="245">
          <cell r="F245">
            <v>503</v>
          </cell>
          <cell r="G245">
            <v>2211700</v>
          </cell>
          <cell r="H245">
            <v>3066800</v>
          </cell>
        </row>
        <row r="246">
          <cell r="F246">
            <v>1375</v>
          </cell>
          <cell r="G246">
            <v>5037600</v>
          </cell>
          <cell r="H246">
            <v>7375100</v>
          </cell>
        </row>
        <row r="247">
          <cell r="F247">
            <v>1362</v>
          </cell>
          <cell r="G247">
            <v>739700</v>
          </cell>
          <cell r="H247">
            <v>3055100</v>
          </cell>
        </row>
        <row r="248">
          <cell r="F248">
            <v>481</v>
          </cell>
          <cell r="G248">
            <v>3847200</v>
          </cell>
          <cell r="H248">
            <v>4664900</v>
          </cell>
        </row>
        <row r="249">
          <cell r="F249">
            <v>127</v>
          </cell>
          <cell r="G249">
            <v>1408100</v>
          </cell>
          <cell r="H249">
            <v>1624000</v>
          </cell>
        </row>
        <row r="250">
          <cell r="F250">
            <v>139</v>
          </cell>
          <cell r="G250">
            <v>6577300</v>
          </cell>
          <cell r="H250">
            <v>6813600</v>
          </cell>
        </row>
        <row r="251">
          <cell r="F251">
            <v>360</v>
          </cell>
          <cell r="G251">
            <v>3746600</v>
          </cell>
          <cell r="H251">
            <v>4358600</v>
          </cell>
        </row>
        <row r="252">
          <cell r="F252">
            <v>340</v>
          </cell>
          <cell r="G252">
            <v>1477900</v>
          </cell>
          <cell r="H252">
            <v>2055900</v>
          </cell>
        </row>
        <row r="253">
          <cell r="F253">
            <v>93</v>
          </cell>
          <cell r="G253">
            <v>6043800</v>
          </cell>
          <cell r="H253">
            <v>6201900</v>
          </cell>
        </row>
        <row r="254">
          <cell r="F254">
            <v>1006</v>
          </cell>
          <cell r="G254">
            <v>2277400</v>
          </cell>
          <cell r="H254">
            <v>3987600</v>
          </cell>
        </row>
        <row r="255">
          <cell r="F255">
            <v>553</v>
          </cell>
          <cell r="G255">
            <v>1797300</v>
          </cell>
          <cell r="H255">
            <v>2737400</v>
          </cell>
        </row>
        <row r="256">
          <cell r="F256">
            <v>343</v>
          </cell>
          <cell r="G256">
            <v>4209800</v>
          </cell>
          <cell r="H256">
            <v>4792900</v>
          </cell>
        </row>
        <row r="257">
          <cell r="F257">
            <v>1042</v>
          </cell>
          <cell r="G257">
            <v>1440000</v>
          </cell>
          <cell r="H257">
            <v>3211400</v>
          </cell>
        </row>
        <row r="260">
          <cell r="G260">
            <v>130000</v>
          </cell>
          <cell r="H260">
            <v>130000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12276</v>
          </cell>
          <cell r="G10">
            <v>8085750</v>
          </cell>
          <cell r="H10">
            <v>28954950</v>
          </cell>
        </row>
        <row r="14">
          <cell r="F14">
            <v>6558</v>
          </cell>
          <cell r="G14">
            <v>1986500</v>
          </cell>
          <cell r="H14">
            <v>13135100</v>
          </cell>
        </row>
        <row r="15">
          <cell r="F15">
            <v>6037</v>
          </cell>
          <cell r="G15">
            <v>2427600</v>
          </cell>
          <cell r="H15">
            <v>12690500</v>
          </cell>
        </row>
        <row r="16">
          <cell r="F16">
            <v>7148</v>
          </cell>
          <cell r="G16">
            <v>2608800</v>
          </cell>
          <cell r="H16">
            <v>14760400</v>
          </cell>
        </row>
        <row r="17">
          <cell r="F17">
            <v>4674</v>
          </cell>
          <cell r="G17">
            <v>1910500</v>
          </cell>
          <cell r="H17">
            <v>9856300</v>
          </cell>
        </row>
        <row r="18">
          <cell r="F18">
            <v>6390</v>
          </cell>
          <cell r="G18">
            <v>2369100</v>
          </cell>
          <cell r="H18">
            <v>13232100</v>
          </cell>
        </row>
        <row r="19">
          <cell r="F19">
            <v>6207</v>
          </cell>
          <cell r="G19">
            <v>3465200</v>
          </cell>
          <cell r="H19">
            <v>14017100</v>
          </cell>
        </row>
        <row r="20">
          <cell r="F20">
            <v>3470</v>
          </cell>
          <cell r="G20">
            <v>1476700</v>
          </cell>
          <cell r="H20">
            <v>7375700</v>
          </cell>
        </row>
        <row r="21">
          <cell r="F21">
            <v>4070</v>
          </cell>
          <cell r="G21">
            <v>1996700</v>
          </cell>
          <cell r="H21">
            <v>8915700</v>
          </cell>
        </row>
        <row r="22">
          <cell r="F22">
            <v>8305</v>
          </cell>
          <cell r="G22">
            <v>4074300</v>
          </cell>
          <cell r="H22">
            <v>18192800</v>
          </cell>
        </row>
        <row r="23">
          <cell r="F23">
            <v>3757</v>
          </cell>
          <cell r="G23">
            <v>1365000</v>
          </cell>
          <cell r="H23">
            <v>7751900</v>
          </cell>
        </row>
        <row r="24">
          <cell r="F24">
            <v>3063</v>
          </cell>
          <cell r="G24">
            <v>1719000</v>
          </cell>
          <cell r="H24">
            <v>6926100</v>
          </cell>
        </row>
        <row r="25">
          <cell r="F25">
            <v>2868</v>
          </cell>
          <cell r="G25">
            <v>1340300</v>
          </cell>
          <cell r="H25">
            <v>6215900</v>
          </cell>
        </row>
        <row r="26">
          <cell r="F26">
            <v>6290</v>
          </cell>
          <cell r="G26">
            <v>2443850</v>
          </cell>
          <cell r="H26">
            <v>13136850</v>
          </cell>
        </row>
        <row r="27">
          <cell r="F27">
            <v>16648</v>
          </cell>
          <cell r="G27">
            <v>10227300</v>
          </cell>
          <cell r="H27">
            <v>38528900</v>
          </cell>
        </row>
        <row r="28">
          <cell r="F28">
            <v>12793</v>
          </cell>
          <cell r="G28">
            <v>6070300</v>
          </cell>
          <cell r="H28">
            <v>27818400</v>
          </cell>
        </row>
        <row r="29">
          <cell r="F29">
            <v>10472</v>
          </cell>
          <cell r="G29">
            <v>6398000</v>
          </cell>
          <cell r="H29">
            <v>24200400</v>
          </cell>
        </row>
        <row r="30">
          <cell r="F30">
            <v>16657</v>
          </cell>
          <cell r="G30">
            <v>5797300</v>
          </cell>
          <cell r="H30">
            <v>34114200</v>
          </cell>
        </row>
        <row r="31">
          <cell r="F31">
            <v>9679</v>
          </cell>
          <cell r="G31">
            <v>3723709</v>
          </cell>
          <cell r="H31">
            <v>20178009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10708</v>
          </cell>
          <cell r="G33">
            <v>3236400</v>
          </cell>
          <cell r="H33">
            <v>21440000</v>
          </cell>
        </row>
        <row r="34">
          <cell r="F34">
            <v>14606</v>
          </cell>
          <cell r="G34">
            <v>5988800</v>
          </cell>
          <cell r="H34">
            <v>30819000</v>
          </cell>
        </row>
        <row r="35">
          <cell r="F35">
            <v>11690</v>
          </cell>
          <cell r="G35">
            <v>5754750</v>
          </cell>
          <cell r="H35">
            <v>25627750</v>
          </cell>
        </row>
        <row r="36">
          <cell r="F36">
            <v>13881</v>
          </cell>
          <cell r="G36">
            <v>5125200</v>
          </cell>
          <cell r="H36">
            <v>28722900</v>
          </cell>
        </row>
        <row r="37">
          <cell r="F37">
            <v>4222</v>
          </cell>
          <cell r="G37">
            <v>3150500</v>
          </cell>
          <cell r="H37">
            <v>10327900</v>
          </cell>
        </row>
        <row r="38">
          <cell r="F38">
            <v>6355</v>
          </cell>
          <cell r="G38">
            <v>3862800</v>
          </cell>
          <cell r="H38">
            <v>14666300</v>
          </cell>
        </row>
        <row r="39">
          <cell r="F39">
            <v>2769</v>
          </cell>
          <cell r="G39">
            <v>3248900</v>
          </cell>
          <cell r="H39">
            <v>7956200</v>
          </cell>
        </row>
        <row r="40">
          <cell r="F40">
            <v>12392</v>
          </cell>
          <cell r="G40">
            <v>6964300</v>
          </cell>
          <cell r="H40">
            <v>28030700</v>
          </cell>
        </row>
        <row r="41">
          <cell r="F41">
            <v>6152</v>
          </cell>
          <cell r="G41">
            <v>2086400</v>
          </cell>
          <cell r="H41">
            <v>12544800</v>
          </cell>
        </row>
        <row r="42">
          <cell r="F42">
            <v>2258</v>
          </cell>
          <cell r="G42">
            <v>1752200</v>
          </cell>
          <cell r="H42">
            <v>5590800</v>
          </cell>
        </row>
        <row r="43">
          <cell r="F43">
            <v>4646</v>
          </cell>
          <cell r="G43">
            <v>1694400</v>
          </cell>
          <cell r="H43">
            <v>9592600</v>
          </cell>
        </row>
        <row r="44">
          <cell r="F44">
            <v>1348</v>
          </cell>
          <cell r="G44">
            <v>853100</v>
          </cell>
          <cell r="H44">
            <v>3144700</v>
          </cell>
        </row>
        <row r="45">
          <cell r="F45">
            <v>14815</v>
          </cell>
          <cell r="G45">
            <v>5541400</v>
          </cell>
          <cell r="H45">
            <v>30726900</v>
          </cell>
        </row>
        <row r="46">
          <cell r="F46">
            <v>3343</v>
          </cell>
          <cell r="G46">
            <v>2990600</v>
          </cell>
          <cell r="H46">
            <v>8673700</v>
          </cell>
        </row>
        <row r="47">
          <cell r="F47">
            <v>23057</v>
          </cell>
          <cell r="G47">
            <v>8064600</v>
          </cell>
          <cell r="H47">
            <v>47261500</v>
          </cell>
        </row>
        <row r="52">
          <cell r="F52">
            <v>9028</v>
          </cell>
          <cell r="G52">
            <v>3939900</v>
          </cell>
          <cell r="H52">
            <v>19287500</v>
          </cell>
        </row>
        <row r="53">
          <cell r="F53">
            <v>7307</v>
          </cell>
          <cell r="G53">
            <v>3980300</v>
          </cell>
          <cell r="H53">
            <v>16402200</v>
          </cell>
        </row>
        <row r="54">
          <cell r="F54">
            <v>15835</v>
          </cell>
          <cell r="G54">
            <v>6763600</v>
          </cell>
          <cell r="H54">
            <v>33683100</v>
          </cell>
        </row>
        <row r="55">
          <cell r="F55">
            <v>6404</v>
          </cell>
          <cell r="G55">
            <v>4275000</v>
          </cell>
          <cell r="H55">
            <v>15161800</v>
          </cell>
        </row>
        <row r="56">
          <cell r="F56">
            <v>4340</v>
          </cell>
          <cell r="G56">
            <v>1572500</v>
          </cell>
          <cell r="H56">
            <v>8950500</v>
          </cell>
        </row>
        <row r="57">
          <cell r="F57">
            <v>9723</v>
          </cell>
          <cell r="G57">
            <v>3926100</v>
          </cell>
          <cell r="H57">
            <v>20455200</v>
          </cell>
        </row>
        <row r="58">
          <cell r="F58">
            <v>15080</v>
          </cell>
          <cell r="G58">
            <v>6074500</v>
          </cell>
          <cell r="H58">
            <v>31710500</v>
          </cell>
        </row>
        <row r="59">
          <cell r="F59">
            <v>8113</v>
          </cell>
          <cell r="G59">
            <v>3720500</v>
          </cell>
          <cell r="H59">
            <v>17512600</v>
          </cell>
        </row>
        <row r="60">
          <cell r="F60">
            <v>7548</v>
          </cell>
          <cell r="G60">
            <v>3012800</v>
          </cell>
          <cell r="H60">
            <v>15844400</v>
          </cell>
        </row>
        <row r="61">
          <cell r="F61">
            <v>5012</v>
          </cell>
          <cell r="G61">
            <v>2003350</v>
          </cell>
          <cell r="H61">
            <v>10523750</v>
          </cell>
        </row>
        <row r="62">
          <cell r="F62">
            <v>12606</v>
          </cell>
          <cell r="G62">
            <v>4878650</v>
          </cell>
          <cell r="H62">
            <v>26308850</v>
          </cell>
        </row>
        <row r="63">
          <cell r="F63">
            <v>10486</v>
          </cell>
          <cell r="G63">
            <v>3871900</v>
          </cell>
          <cell r="H63">
            <v>21698100</v>
          </cell>
        </row>
        <row r="64">
          <cell r="F64">
            <v>10737</v>
          </cell>
          <cell r="G64">
            <v>4921900</v>
          </cell>
          <cell r="H64">
            <v>23174800</v>
          </cell>
        </row>
        <row r="65">
          <cell r="F65">
            <v>7624</v>
          </cell>
          <cell r="G65">
            <v>3408800</v>
          </cell>
          <cell r="H65">
            <v>16369600</v>
          </cell>
        </row>
        <row r="66">
          <cell r="F66">
            <v>7668</v>
          </cell>
          <cell r="G66">
            <v>3741700</v>
          </cell>
          <cell r="H66">
            <v>16777300</v>
          </cell>
        </row>
        <row r="67">
          <cell r="F67">
            <v>5556</v>
          </cell>
          <cell r="G67">
            <v>3206900</v>
          </cell>
          <cell r="H67">
            <v>12652100</v>
          </cell>
        </row>
        <row r="68">
          <cell r="F68">
            <v>9435</v>
          </cell>
          <cell r="G68">
            <v>4274400</v>
          </cell>
          <cell r="H68">
            <v>20313900</v>
          </cell>
        </row>
        <row r="69">
          <cell r="F69">
            <v>7165</v>
          </cell>
          <cell r="G69">
            <v>3819500</v>
          </cell>
          <cell r="H69">
            <v>16000000</v>
          </cell>
        </row>
        <row r="70">
          <cell r="F70">
            <v>12371</v>
          </cell>
          <cell r="G70">
            <v>5495200</v>
          </cell>
          <cell r="H70">
            <v>26525900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6636</v>
          </cell>
          <cell r="G72">
            <v>2722500</v>
          </cell>
          <cell r="H72">
            <v>14003700</v>
          </cell>
        </row>
        <row r="73">
          <cell r="F73">
            <v>4297</v>
          </cell>
          <cell r="G73">
            <v>1051500</v>
          </cell>
          <cell r="H73">
            <v>8356400</v>
          </cell>
        </row>
        <row r="74">
          <cell r="F74">
            <v>13851</v>
          </cell>
          <cell r="G74">
            <v>4148200</v>
          </cell>
          <cell r="H74">
            <v>27694900</v>
          </cell>
        </row>
        <row r="75">
          <cell r="F75">
            <v>6235</v>
          </cell>
          <cell r="G75">
            <v>1945400</v>
          </cell>
          <cell r="H75">
            <v>12544900</v>
          </cell>
        </row>
        <row r="76">
          <cell r="F76">
            <v>21972</v>
          </cell>
          <cell r="G76">
            <v>7507350</v>
          </cell>
          <cell r="H76">
            <v>44859750</v>
          </cell>
        </row>
        <row r="77">
          <cell r="F77">
            <v>9308</v>
          </cell>
          <cell r="G77">
            <v>1567200</v>
          </cell>
          <cell r="H77">
            <v>17390800</v>
          </cell>
        </row>
        <row r="78">
          <cell r="F78">
            <v>7485</v>
          </cell>
          <cell r="G78">
            <v>2557300</v>
          </cell>
          <cell r="H78">
            <v>15281800</v>
          </cell>
        </row>
        <row r="79">
          <cell r="F79">
            <v>2361</v>
          </cell>
          <cell r="G79">
            <v>507100</v>
          </cell>
          <cell r="H79">
            <v>4520800</v>
          </cell>
        </row>
        <row r="80">
          <cell r="F80">
            <v>4624</v>
          </cell>
          <cell r="G80">
            <v>888200</v>
          </cell>
          <cell r="H80">
            <v>8749000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2946</v>
          </cell>
          <cell r="G84">
            <v>1119500</v>
          </cell>
          <cell r="H84">
            <v>6127700</v>
          </cell>
        </row>
        <row r="85">
          <cell r="F85">
            <v>1397</v>
          </cell>
          <cell r="G85">
            <v>353300</v>
          </cell>
          <cell r="H85">
            <v>2728200</v>
          </cell>
        </row>
        <row r="86">
          <cell r="F86">
            <v>3868</v>
          </cell>
          <cell r="G86">
            <v>1449800</v>
          </cell>
          <cell r="H86">
            <v>8025400</v>
          </cell>
        </row>
        <row r="87">
          <cell r="F87">
            <v>3265</v>
          </cell>
          <cell r="G87">
            <v>963400</v>
          </cell>
          <cell r="H87">
            <v>6513900</v>
          </cell>
        </row>
        <row r="88">
          <cell r="F88">
            <v>5394</v>
          </cell>
          <cell r="G88">
            <v>2174100</v>
          </cell>
          <cell r="H88">
            <v>11343900</v>
          </cell>
        </row>
        <row r="89">
          <cell r="F89">
            <v>2359</v>
          </cell>
          <cell r="G89">
            <v>1356000</v>
          </cell>
          <cell r="H89">
            <v>5366300</v>
          </cell>
        </row>
        <row r="90">
          <cell r="F90">
            <v>2957</v>
          </cell>
          <cell r="G90">
            <v>1846300</v>
          </cell>
          <cell r="H90">
            <v>6873200</v>
          </cell>
        </row>
        <row r="91">
          <cell r="F91">
            <v>5240</v>
          </cell>
          <cell r="G91">
            <v>2489150</v>
          </cell>
          <cell r="H91">
            <v>11397150</v>
          </cell>
        </row>
        <row r="92">
          <cell r="F92">
            <v>2254</v>
          </cell>
          <cell r="G92">
            <v>1536500</v>
          </cell>
          <cell r="H92">
            <v>5368300</v>
          </cell>
        </row>
        <row r="93">
          <cell r="F93">
            <v>3408</v>
          </cell>
          <cell r="G93">
            <v>1538700</v>
          </cell>
          <cell r="H93">
            <v>7332300</v>
          </cell>
        </row>
        <row r="94">
          <cell r="F94">
            <v>679</v>
          </cell>
          <cell r="G94">
            <v>352900</v>
          </cell>
          <cell r="H94">
            <v>1507200</v>
          </cell>
        </row>
        <row r="95">
          <cell r="F95">
            <v>3205</v>
          </cell>
          <cell r="G95">
            <v>1672400</v>
          </cell>
          <cell r="H95">
            <v>7120900</v>
          </cell>
        </row>
        <row r="96">
          <cell r="F96">
            <v>3440</v>
          </cell>
          <cell r="G96">
            <v>847100</v>
          </cell>
          <cell r="H96">
            <v>6695100</v>
          </cell>
        </row>
        <row r="97">
          <cell r="F97">
            <v>6580</v>
          </cell>
          <cell r="G97">
            <v>2329200</v>
          </cell>
          <cell r="H97">
            <v>13515200</v>
          </cell>
        </row>
        <row r="98">
          <cell r="F98">
            <v>3667</v>
          </cell>
          <cell r="G98">
            <v>1233000</v>
          </cell>
          <cell r="H98">
            <v>7466900</v>
          </cell>
        </row>
        <row r="99">
          <cell r="F99">
            <v>7263</v>
          </cell>
          <cell r="G99">
            <v>2196600</v>
          </cell>
          <cell r="H99">
            <v>14543700</v>
          </cell>
        </row>
        <row r="100">
          <cell r="F100">
            <v>8057</v>
          </cell>
          <cell r="G100">
            <v>2532000</v>
          </cell>
          <cell r="H100">
            <v>16228900</v>
          </cell>
        </row>
        <row r="101">
          <cell r="F101">
            <v>2634</v>
          </cell>
          <cell r="G101">
            <v>846800</v>
          </cell>
          <cell r="H101">
            <v>5324600</v>
          </cell>
        </row>
        <row r="102">
          <cell r="F102">
            <v>15117</v>
          </cell>
          <cell r="G102">
            <v>2638150</v>
          </cell>
          <cell r="H102">
            <v>28337050</v>
          </cell>
        </row>
        <row r="103">
          <cell r="F103">
            <v>12763</v>
          </cell>
          <cell r="G103">
            <v>3895200</v>
          </cell>
          <cell r="H103">
            <v>25592300</v>
          </cell>
        </row>
        <row r="104">
          <cell r="F104">
            <v>5919</v>
          </cell>
          <cell r="G104">
            <v>2354900</v>
          </cell>
          <cell r="H104">
            <v>12417200</v>
          </cell>
        </row>
        <row r="105">
          <cell r="F105">
            <v>3977</v>
          </cell>
          <cell r="G105">
            <v>2180700</v>
          </cell>
          <cell r="H105">
            <v>8941600</v>
          </cell>
        </row>
        <row r="106">
          <cell r="F106">
            <v>3356</v>
          </cell>
          <cell r="G106">
            <v>1770100</v>
          </cell>
          <cell r="H106">
            <v>7475300</v>
          </cell>
        </row>
        <row r="107">
          <cell r="F107">
            <v>5478</v>
          </cell>
          <cell r="G107">
            <v>1413200</v>
          </cell>
          <cell r="H107">
            <v>10725800</v>
          </cell>
        </row>
        <row r="108">
          <cell r="F108">
            <v>5649</v>
          </cell>
          <cell r="G108">
            <v>1745600</v>
          </cell>
          <cell r="H108">
            <v>11348900</v>
          </cell>
        </row>
        <row r="109">
          <cell r="F109">
            <v>3529</v>
          </cell>
          <cell r="G109">
            <v>1351600</v>
          </cell>
          <cell r="H109">
            <v>7350900</v>
          </cell>
        </row>
        <row r="110">
          <cell r="F110">
            <v>2361</v>
          </cell>
          <cell r="G110">
            <v>634900</v>
          </cell>
          <cell r="H110">
            <v>4648600</v>
          </cell>
        </row>
        <row r="111">
          <cell r="F111">
            <v>6438</v>
          </cell>
          <cell r="G111">
            <v>1585000</v>
          </cell>
          <cell r="H111">
            <v>12529600</v>
          </cell>
        </row>
        <row r="112">
          <cell r="F112">
            <v>4578</v>
          </cell>
          <cell r="G112">
            <v>1963300</v>
          </cell>
          <cell r="H112">
            <v>9745900</v>
          </cell>
        </row>
        <row r="113">
          <cell r="F113">
            <v>4762</v>
          </cell>
          <cell r="G113">
            <v>3300100</v>
          </cell>
          <cell r="H113">
            <v>11395500</v>
          </cell>
        </row>
        <row r="114">
          <cell r="F114">
            <v>405</v>
          </cell>
          <cell r="G114">
            <v>226200</v>
          </cell>
          <cell r="H114">
            <v>914700</v>
          </cell>
        </row>
        <row r="115">
          <cell r="F115">
            <v>2412</v>
          </cell>
          <cell r="G115">
            <v>661100</v>
          </cell>
          <cell r="H115">
            <v>4761500</v>
          </cell>
        </row>
        <row r="116">
          <cell r="F116">
            <v>265</v>
          </cell>
          <cell r="G116">
            <v>174900</v>
          </cell>
          <cell r="H116">
            <v>625400</v>
          </cell>
        </row>
        <row r="117">
          <cell r="F117">
            <v>2539</v>
          </cell>
          <cell r="G117">
            <v>808700</v>
          </cell>
          <cell r="H117">
            <v>5125000</v>
          </cell>
        </row>
        <row r="118">
          <cell r="F118">
            <v>3142</v>
          </cell>
          <cell r="G118">
            <v>1977200</v>
          </cell>
          <cell r="H118">
            <v>7318600</v>
          </cell>
        </row>
        <row r="121">
          <cell r="F121">
            <v>44640</v>
          </cell>
          <cell r="G121">
            <v>6811100</v>
          </cell>
        </row>
        <row r="122">
          <cell r="F122">
            <v>9408</v>
          </cell>
          <cell r="G122">
            <v>13633900</v>
          </cell>
          <cell r="H122">
            <v>29627500</v>
          </cell>
        </row>
        <row r="133">
          <cell r="F133">
            <v>181944</v>
          </cell>
          <cell r="G133">
            <v>77159600</v>
          </cell>
          <cell r="H133">
            <v>386464400</v>
          </cell>
        </row>
        <row r="135">
          <cell r="F135">
            <v>282</v>
          </cell>
          <cell r="G135">
            <v>664000</v>
          </cell>
          <cell r="H135">
            <v>1143400</v>
          </cell>
        </row>
        <row r="136">
          <cell r="F136">
            <v>5636</v>
          </cell>
          <cell r="G136">
            <v>4419300</v>
          </cell>
          <cell r="H136">
            <v>14000500</v>
          </cell>
        </row>
        <row r="137">
          <cell r="F137">
            <v>638</v>
          </cell>
          <cell r="G137">
            <v>907700</v>
          </cell>
          <cell r="H137">
            <v>1992300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480</v>
          </cell>
          <cell r="G139">
            <v>1077150</v>
          </cell>
          <cell r="H139">
            <v>1893150</v>
          </cell>
        </row>
        <row r="140">
          <cell r="F140">
            <v>887</v>
          </cell>
          <cell r="G140">
            <v>1562700</v>
          </cell>
          <cell r="H140">
            <v>3070600</v>
          </cell>
        </row>
        <row r="141">
          <cell r="F141">
            <v>386</v>
          </cell>
          <cell r="G141">
            <v>473600</v>
          </cell>
          <cell r="H141">
            <v>1129800</v>
          </cell>
        </row>
        <row r="142">
          <cell r="F142">
            <v>368</v>
          </cell>
          <cell r="G142">
            <v>841800</v>
          </cell>
          <cell r="H142">
            <v>1467400</v>
          </cell>
        </row>
        <row r="143">
          <cell r="F143">
            <v>550</v>
          </cell>
          <cell r="G143">
            <v>825300</v>
          </cell>
          <cell r="H143">
            <v>1760300</v>
          </cell>
        </row>
        <row r="144">
          <cell r="F144">
            <v>359</v>
          </cell>
          <cell r="G144">
            <v>800900</v>
          </cell>
          <cell r="H144">
            <v>1411200</v>
          </cell>
          <cell r="M144">
            <v>1239647.3700000001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246</v>
          </cell>
          <cell r="G146">
            <v>311700</v>
          </cell>
          <cell r="H146">
            <v>729900</v>
          </cell>
        </row>
        <row r="147">
          <cell r="F147">
            <v>469</v>
          </cell>
          <cell r="G147">
            <v>1703300</v>
          </cell>
          <cell r="H147">
            <v>2500600</v>
          </cell>
        </row>
        <row r="148">
          <cell r="F148">
            <v>974</v>
          </cell>
          <cell r="G148">
            <v>2534600</v>
          </cell>
          <cell r="H148">
            <v>4190400</v>
          </cell>
        </row>
        <row r="149">
          <cell r="F149">
            <v>407</v>
          </cell>
          <cell r="G149">
            <v>838000</v>
          </cell>
          <cell r="H149">
            <v>1529900</v>
          </cell>
        </row>
        <row r="150">
          <cell r="F150">
            <v>351</v>
          </cell>
          <cell r="G150">
            <v>477900</v>
          </cell>
          <cell r="H150">
            <v>1074600</v>
          </cell>
        </row>
        <row r="153">
          <cell r="F153">
            <v>0</v>
          </cell>
          <cell r="G153">
            <v>93000</v>
          </cell>
          <cell r="H153">
            <v>93000</v>
          </cell>
        </row>
        <row r="154">
          <cell r="F154">
            <v>0</v>
          </cell>
          <cell r="G154">
            <v>275000</v>
          </cell>
          <cell r="H154">
            <v>275000</v>
          </cell>
        </row>
        <row r="155">
          <cell r="F155">
            <v>0</v>
          </cell>
          <cell r="G155">
            <v>228000</v>
          </cell>
          <cell r="H155">
            <v>228000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1859000</v>
          </cell>
          <cell r="H158">
            <v>1859000</v>
          </cell>
        </row>
        <row r="159">
          <cell r="F159">
            <v>0</v>
          </cell>
          <cell r="G159">
            <v>2671000</v>
          </cell>
          <cell r="H159">
            <v>2671000</v>
          </cell>
        </row>
        <row r="160">
          <cell r="F160">
            <v>0</v>
          </cell>
          <cell r="G160">
            <v>1534000</v>
          </cell>
          <cell r="H160">
            <v>1534000</v>
          </cell>
        </row>
        <row r="161">
          <cell r="F161">
            <v>0</v>
          </cell>
          <cell r="G161">
            <v>2645000</v>
          </cell>
          <cell r="H161">
            <v>2645000</v>
          </cell>
        </row>
        <row r="162">
          <cell r="F162">
            <v>0</v>
          </cell>
          <cell r="G162">
            <v>1840000</v>
          </cell>
          <cell r="H162">
            <v>1840000</v>
          </cell>
        </row>
        <row r="163">
          <cell r="F163">
            <v>0</v>
          </cell>
          <cell r="G163">
            <v>1324000</v>
          </cell>
          <cell r="H163">
            <v>1324000</v>
          </cell>
        </row>
        <row r="164">
          <cell r="F164">
            <v>0</v>
          </cell>
          <cell r="G164">
            <v>492000</v>
          </cell>
          <cell r="H164">
            <v>492000</v>
          </cell>
        </row>
        <row r="165">
          <cell r="F165">
            <v>0</v>
          </cell>
          <cell r="G165">
            <v>1619000</v>
          </cell>
          <cell r="H165">
            <v>1619000</v>
          </cell>
        </row>
        <row r="166">
          <cell r="F166">
            <v>0</v>
          </cell>
          <cell r="G166">
            <v>223000</v>
          </cell>
          <cell r="H166">
            <v>223000</v>
          </cell>
        </row>
        <row r="167">
          <cell r="F167">
            <v>0</v>
          </cell>
          <cell r="G167">
            <v>379000</v>
          </cell>
          <cell r="H167">
            <v>379000</v>
          </cell>
        </row>
        <row r="168">
          <cell r="F168">
            <v>0</v>
          </cell>
          <cell r="G168">
            <v>102000</v>
          </cell>
          <cell r="H168">
            <v>102000</v>
          </cell>
        </row>
        <row r="169">
          <cell r="F169">
            <v>0</v>
          </cell>
          <cell r="G169">
            <v>57000</v>
          </cell>
          <cell r="H169">
            <v>57000</v>
          </cell>
        </row>
        <row r="170">
          <cell r="F170">
            <v>0</v>
          </cell>
          <cell r="G170">
            <v>190000</v>
          </cell>
          <cell r="H170">
            <v>190000</v>
          </cell>
        </row>
        <row r="171">
          <cell r="F171">
            <v>0</v>
          </cell>
          <cell r="G171">
            <v>189000</v>
          </cell>
          <cell r="H171">
            <v>189000</v>
          </cell>
        </row>
        <row r="172">
          <cell r="F172">
            <v>0</v>
          </cell>
          <cell r="G172">
            <v>43000</v>
          </cell>
          <cell r="H172">
            <v>43000</v>
          </cell>
        </row>
        <row r="173">
          <cell r="F173">
            <v>0</v>
          </cell>
          <cell r="G173">
            <v>22000</v>
          </cell>
          <cell r="H173">
            <v>22000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251000</v>
          </cell>
          <cell r="H175">
            <v>251000</v>
          </cell>
        </row>
        <row r="176">
          <cell r="F176">
            <v>0</v>
          </cell>
          <cell r="G176">
            <v>43000</v>
          </cell>
          <cell r="H176">
            <v>43000</v>
          </cell>
        </row>
        <row r="177">
          <cell r="F177">
            <v>0</v>
          </cell>
          <cell r="G177">
            <v>652000</v>
          </cell>
          <cell r="H177">
            <v>652000</v>
          </cell>
        </row>
        <row r="178">
          <cell r="F178">
            <v>0</v>
          </cell>
          <cell r="G178">
            <v>614000</v>
          </cell>
          <cell r="H178">
            <v>614000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3000</v>
          </cell>
          <cell r="H180">
            <v>3000</v>
          </cell>
        </row>
        <row r="181">
          <cell r="F181">
            <v>0</v>
          </cell>
          <cell r="G181">
            <v>38000</v>
          </cell>
          <cell r="H181">
            <v>38000</v>
          </cell>
        </row>
        <row r="182">
          <cell r="F182">
            <v>0</v>
          </cell>
          <cell r="G182">
            <v>24000</v>
          </cell>
          <cell r="H182">
            <v>24000</v>
          </cell>
        </row>
        <row r="183">
          <cell r="F183">
            <v>0</v>
          </cell>
          <cell r="G183">
            <v>565000</v>
          </cell>
          <cell r="H183">
            <v>565000</v>
          </cell>
        </row>
        <row r="184">
          <cell r="F184">
            <v>0</v>
          </cell>
          <cell r="G184">
            <v>36000</v>
          </cell>
          <cell r="H184">
            <v>36000</v>
          </cell>
        </row>
        <row r="185">
          <cell r="F185">
            <v>0</v>
          </cell>
          <cell r="G185">
            <v>204000</v>
          </cell>
          <cell r="H185">
            <v>204000</v>
          </cell>
        </row>
        <row r="186">
          <cell r="F186">
            <v>0</v>
          </cell>
          <cell r="G186">
            <v>60000</v>
          </cell>
          <cell r="H186">
            <v>60000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18000</v>
          </cell>
          <cell r="H188">
            <v>18000</v>
          </cell>
        </row>
        <row r="189">
          <cell r="F189">
            <v>0</v>
          </cell>
          <cell r="G189">
            <v>101000</v>
          </cell>
          <cell r="H189">
            <v>101000</v>
          </cell>
        </row>
        <row r="190">
          <cell r="F190">
            <v>0</v>
          </cell>
          <cell r="G190">
            <v>155000</v>
          </cell>
          <cell r="H190">
            <v>155000</v>
          </cell>
        </row>
        <row r="191">
          <cell r="F191">
            <v>0</v>
          </cell>
          <cell r="G191">
            <v>72000</v>
          </cell>
          <cell r="H191">
            <v>72000</v>
          </cell>
        </row>
        <row r="192">
          <cell r="F192">
            <v>0</v>
          </cell>
          <cell r="G192">
            <v>178000</v>
          </cell>
          <cell r="H192">
            <v>178000</v>
          </cell>
        </row>
        <row r="193">
          <cell r="F193">
            <v>0</v>
          </cell>
          <cell r="G193">
            <v>310000</v>
          </cell>
          <cell r="H193">
            <v>310000</v>
          </cell>
        </row>
        <row r="194">
          <cell r="F194">
            <v>0</v>
          </cell>
          <cell r="G194">
            <v>53000</v>
          </cell>
          <cell r="H194">
            <v>53000</v>
          </cell>
        </row>
        <row r="195">
          <cell r="F195">
            <v>0</v>
          </cell>
          <cell r="G195">
            <v>255000</v>
          </cell>
          <cell r="H195">
            <v>255000</v>
          </cell>
        </row>
        <row r="196">
          <cell r="F196">
            <v>0</v>
          </cell>
          <cell r="G196">
            <v>317000</v>
          </cell>
          <cell r="H196">
            <v>317000</v>
          </cell>
        </row>
        <row r="197">
          <cell r="F197">
            <v>0</v>
          </cell>
          <cell r="G197">
            <v>57000</v>
          </cell>
          <cell r="H197">
            <v>57000</v>
          </cell>
        </row>
        <row r="198">
          <cell r="F198">
            <v>0</v>
          </cell>
          <cell r="G198">
            <v>270000</v>
          </cell>
          <cell r="H198">
            <v>270000</v>
          </cell>
        </row>
        <row r="199">
          <cell r="F199">
            <v>0</v>
          </cell>
          <cell r="G199">
            <v>29000</v>
          </cell>
          <cell r="H199">
            <v>29000</v>
          </cell>
        </row>
        <row r="200">
          <cell r="F200">
            <v>0</v>
          </cell>
          <cell r="G200">
            <v>75000</v>
          </cell>
          <cell r="H200">
            <v>75000</v>
          </cell>
        </row>
        <row r="201">
          <cell r="F201">
            <v>0</v>
          </cell>
          <cell r="G201">
            <v>161000</v>
          </cell>
          <cell r="H201">
            <v>161000</v>
          </cell>
        </row>
        <row r="202">
          <cell r="F202">
            <v>0</v>
          </cell>
          <cell r="G202">
            <v>146000</v>
          </cell>
          <cell r="H202">
            <v>146000</v>
          </cell>
        </row>
        <row r="203">
          <cell r="F203">
            <v>0</v>
          </cell>
          <cell r="G203">
            <v>40000</v>
          </cell>
          <cell r="H203">
            <v>40000</v>
          </cell>
        </row>
        <row r="204">
          <cell r="F204">
            <v>0</v>
          </cell>
          <cell r="G204">
            <v>128000</v>
          </cell>
          <cell r="H204">
            <v>128000</v>
          </cell>
        </row>
        <row r="205">
          <cell r="F205">
            <v>0</v>
          </cell>
          <cell r="G205">
            <v>231000</v>
          </cell>
          <cell r="H205">
            <v>231000</v>
          </cell>
        </row>
        <row r="206">
          <cell r="F206">
            <v>0</v>
          </cell>
          <cell r="G206">
            <v>145000</v>
          </cell>
          <cell r="H206">
            <v>145000</v>
          </cell>
        </row>
        <row r="207">
          <cell r="F207">
            <v>0</v>
          </cell>
          <cell r="G207">
            <v>269000</v>
          </cell>
          <cell r="H207">
            <v>269000</v>
          </cell>
        </row>
        <row r="208">
          <cell r="F208">
            <v>0</v>
          </cell>
          <cell r="G208">
            <v>274000</v>
          </cell>
          <cell r="H208">
            <v>274000</v>
          </cell>
        </row>
        <row r="209">
          <cell r="F209">
            <v>0</v>
          </cell>
          <cell r="G209">
            <v>181000</v>
          </cell>
          <cell r="H209">
            <v>181000</v>
          </cell>
        </row>
        <row r="210">
          <cell r="F210">
            <v>0</v>
          </cell>
          <cell r="G210">
            <v>784000</v>
          </cell>
          <cell r="H210">
            <v>784000</v>
          </cell>
        </row>
        <row r="211">
          <cell r="F211">
            <v>0</v>
          </cell>
          <cell r="G211">
            <v>254000</v>
          </cell>
          <cell r="H211">
            <v>254000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84000</v>
          </cell>
          <cell r="H214">
            <v>84000</v>
          </cell>
        </row>
        <row r="215">
          <cell r="F215">
            <v>0</v>
          </cell>
          <cell r="G215">
            <v>60000</v>
          </cell>
          <cell r="H215">
            <v>60000</v>
          </cell>
        </row>
        <row r="216">
          <cell r="F216">
            <v>0</v>
          </cell>
          <cell r="G216">
            <v>604000</v>
          </cell>
          <cell r="H216">
            <v>604000</v>
          </cell>
        </row>
        <row r="217">
          <cell r="F217">
            <v>0</v>
          </cell>
          <cell r="G217">
            <v>123000</v>
          </cell>
          <cell r="H217">
            <v>123000</v>
          </cell>
        </row>
        <row r="218">
          <cell r="F218">
            <v>0</v>
          </cell>
          <cell r="G218">
            <v>398000</v>
          </cell>
          <cell r="H218">
            <v>398000</v>
          </cell>
        </row>
        <row r="219">
          <cell r="F219">
            <v>0</v>
          </cell>
          <cell r="G219">
            <v>225000</v>
          </cell>
          <cell r="H219">
            <v>225000</v>
          </cell>
        </row>
        <row r="220">
          <cell r="F220">
            <v>0</v>
          </cell>
          <cell r="G220">
            <v>168000</v>
          </cell>
          <cell r="H220">
            <v>168000</v>
          </cell>
        </row>
        <row r="223">
          <cell r="F223">
            <v>578</v>
          </cell>
          <cell r="G223">
            <v>2776000</v>
          </cell>
          <cell r="H223">
            <v>3758600</v>
          </cell>
        </row>
        <row r="224">
          <cell r="F224">
            <v>3</v>
          </cell>
          <cell r="G224">
            <v>4128500</v>
          </cell>
          <cell r="H224">
            <v>4133600</v>
          </cell>
        </row>
        <row r="225">
          <cell r="F225">
            <v>862</v>
          </cell>
          <cell r="G225">
            <v>1766800</v>
          </cell>
          <cell r="H225">
            <v>3232200</v>
          </cell>
        </row>
        <row r="226">
          <cell r="F226">
            <v>401</v>
          </cell>
          <cell r="G226">
            <v>1000900</v>
          </cell>
          <cell r="H226">
            <v>1682600</v>
          </cell>
        </row>
        <row r="227">
          <cell r="F227">
            <v>1067</v>
          </cell>
          <cell r="G227">
            <v>1225500</v>
          </cell>
          <cell r="H227">
            <v>3039400</v>
          </cell>
        </row>
        <row r="228">
          <cell r="F228">
            <v>394</v>
          </cell>
          <cell r="G228">
            <v>1611500</v>
          </cell>
          <cell r="H228">
            <v>2281300</v>
          </cell>
        </row>
        <row r="229">
          <cell r="F229">
            <v>856</v>
          </cell>
          <cell r="G229">
            <v>1620250</v>
          </cell>
          <cell r="H229">
            <v>3075450</v>
          </cell>
        </row>
        <row r="230">
          <cell r="F230">
            <v>1980</v>
          </cell>
          <cell r="G230">
            <v>1466900</v>
          </cell>
          <cell r="H230">
            <v>4832900</v>
          </cell>
        </row>
        <row r="231">
          <cell r="F231">
            <v>119</v>
          </cell>
          <cell r="G231">
            <v>4710800</v>
          </cell>
          <cell r="H231">
            <v>4913100</v>
          </cell>
        </row>
        <row r="232">
          <cell r="F232">
            <v>0</v>
          </cell>
          <cell r="G232">
            <v>2673300</v>
          </cell>
          <cell r="H232">
            <v>2673300</v>
          </cell>
        </row>
        <row r="233">
          <cell r="F233">
            <v>902</v>
          </cell>
          <cell r="G233">
            <v>1484200</v>
          </cell>
          <cell r="H233">
            <v>3017600</v>
          </cell>
        </row>
        <row r="234">
          <cell r="F234">
            <v>865</v>
          </cell>
          <cell r="G234">
            <v>414800</v>
          </cell>
          <cell r="H234">
            <v>1885300</v>
          </cell>
        </row>
        <row r="235">
          <cell r="F235">
            <v>0</v>
          </cell>
          <cell r="G235">
            <v>921700</v>
          </cell>
          <cell r="H235">
            <v>921700</v>
          </cell>
        </row>
        <row r="236">
          <cell r="F236">
            <v>6</v>
          </cell>
          <cell r="G236">
            <v>715300</v>
          </cell>
          <cell r="H236">
            <v>725500</v>
          </cell>
        </row>
        <row r="237">
          <cell r="F237">
            <v>285</v>
          </cell>
          <cell r="G237">
            <v>1661000</v>
          </cell>
          <cell r="H237">
            <v>2145500</v>
          </cell>
        </row>
        <row r="238">
          <cell r="F238">
            <v>594</v>
          </cell>
          <cell r="G238">
            <v>1528500</v>
          </cell>
          <cell r="H238">
            <v>2538300</v>
          </cell>
        </row>
        <row r="239">
          <cell r="F239">
            <v>112</v>
          </cell>
          <cell r="G239">
            <v>2659900</v>
          </cell>
          <cell r="H239">
            <v>2850300</v>
          </cell>
        </row>
        <row r="240">
          <cell r="F240">
            <v>919</v>
          </cell>
          <cell r="G240">
            <v>1631750</v>
          </cell>
          <cell r="H240">
            <v>3194050</v>
          </cell>
        </row>
        <row r="241">
          <cell r="F241">
            <v>253</v>
          </cell>
          <cell r="G241">
            <v>721900</v>
          </cell>
          <cell r="H241">
            <v>1152000</v>
          </cell>
        </row>
        <row r="242">
          <cell r="F242">
            <v>1095</v>
          </cell>
          <cell r="G242">
            <v>1822400</v>
          </cell>
          <cell r="H242">
            <v>3683900</v>
          </cell>
        </row>
        <row r="243">
          <cell r="F243">
            <v>626</v>
          </cell>
          <cell r="G243">
            <v>910500</v>
          </cell>
          <cell r="H243">
            <v>1974700</v>
          </cell>
        </row>
        <row r="244">
          <cell r="F244">
            <v>705</v>
          </cell>
          <cell r="G244">
            <v>1086800</v>
          </cell>
          <cell r="H244">
            <v>2285300</v>
          </cell>
        </row>
        <row r="245">
          <cell r="F245">
            <v>390</v>
          </cell>
          <cell r="G245">
            <v>1734400</v>
          </cell>
          <cell r="H245">
            <v>2397400</v>
          </cell>
        </row>
        <row r="246">
          <cell r="F246">
            <v>1188</v>
          </cell>
          <cell r="G246">
            <v>3239700</v>
          </cell>
          <cell r="H246">
            <v>5259300</v>
          </cell>
        </row>
        <row r="247">
          <cell r="F247">
            <v>1120</v>
          </cell>
          <cell r="G247">
            <v>930600</v>
          </cell>
          <cell r="H247">
            <v>2834600</v>
          </cell>
        </row>
        <row r="248">
          <cell r="F248">
            <v>531</v>
          </cell>
          <cell r="G248">
            <v>2755400</v>
          </cell>
          <cell r="H248">
            <v>3658100</v>
          </cell>
        </row>
        <row r="249">
          <cell r="F249">
            <v>104</v>
          </cell>
          <cell r="G249">
            <v>1500700</v>
          </cell>
          <cell r="H249">
            <v>1677500</v>
          </cell>
        </row>
        <row r="250">
          <cell r="F250">
            <v>218</v>
          </cell>
          <cell r="G250">
            <v>4199200</v>
          </cell>
          <cell r="H250">
            <v>4569800</v>
          </cell>
        </row>
        <row r="251">
          <cell r="F251">
            <v>90</v>
          </cell>
          <cell r="G251">
            <v>1721850</v>
          </cell>
          <cell r="H251">
            <v>1874850</v>
          </cell>
        </row>
        <row r="252">
          <cell r="F252">
            <v>278</v>
          </cell>
          <cell r="G252">
            <v>876800</v>
          </cell>
          <cell r="H252">
            <v>1349400</v>
          </cell>
        </row>
        <row r="253">
          <cell r="F253">
            <v>141</v>
          </cell>
          <cell r="G253">
            <v>3988220</v>
          </cell>
          <cell r="H253">
            <v>4227920</v>
          </cell>
        </row>
        <row r="254">
          <cell r="F254">
            <v>1005</v>
          </cell>
          <cell r="G254">
            <v>1806200</v>
          </cell>
          <cell r="H254">
            <v>3514700</v>
          </cell>
        </row>
        <row r="255">
          <cell r="F255">
            <v>538</v>
          </cell>
          <cell r="G255">
            <v>1315600</v>
          </cell>
          <cell r="H255">
            <v>2230200</v>
          </cell>
        </row>
        <row r="256">
          <cell r="F256">
            <v>626</v>
          </cell>
          <cell r="G256">
            <v>2765400</v>
          </cell>
          <cell r="H256">
            <v>3829600</v>
          </cell>
        </row>
        <row r="257">
          <cell r="F257">
            <v>495</v>
          </cell>
          <cell r="G257">
            <v>631300</v>
          </cell>
          <cell r="H257">
            <v>1472800</v>
          </cell>
        </row>
        <row r="260">
          <cell r="G260">
            <v>109000</v>
          </cell>
          <cell r="H260">
            <v>109000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11802</v>
          </cell>
          <cell r="G10">
            <v>6492150</v>
          </cell>
          <cell r="H10">
            <v>26555550</v>
          </cell>
        </row>
        <row r="14">
          <cell r="F14">
            <v>5833</v>
          </cell>
          <cell r="G14">
            <v>1732100</v>
          </cell>
          <cell r="H14">
            <v>11648200</v>
          </cell>
        </row>
        <row r="15">
          <cell r="F15">
            <v>5876</v>
          </cell>
          <cell r="G15">
            <v>2163507</v>
          </cell>
          <cell r="H15">
            <v>12152707</v>
          </cell>
        </row>
        <row r="16">
          <cell r="F16">
            <v>6784</v>
          </cell>
          <cell r="G16">
            <v>2367100</v>
          </cell>
          <cell r="H16">
            <v>13899900</v>
          </cell>
        </row>
        <row r="17">
          <cell r="F17">
            <v>4550</v>
          </cell>
          <cell r="G17">
            <v>1859700</v>
          </cell>
          <cell r="H17">
            <v>9594700</v>
          </cell>
        </row>
        <row r="18">
          <cell r="F18">
            <v>5132</v>
          </cell>
          <cell r="G18">
            <v>2000500</v>
          </cell>
          <cell r="H18">
            <v>10724900</v>
          </cell>
        </row>
        <row r="19">
          <cell r="F19">
            <v>5727</v>
          </cell>
          <cell r="G19">
            <v>2675300</v>
          </cell>
          <cell r="H19">
            <v>12411200</v>
          </cell>
        </row>
        <row r="20">
          <cell r="F20">
            <v>3372</v>
          </cell>
          <cell r="G20">
            <v>1066200</v>
          </cell>
          <cell r="H20">
            <v>6798600</v>
          </cell>
        </row>
        <row r="21">
          <cell r="F21">
            <v>3944</v>
          </cell>
          <cell r="G21">
            <v>1795100</v>
          </cell>
          <cell r="H21">
            <v>8499900</v>
          </cell>
        </row>
        <row r="22">
          <cell r="F22">
            <v>7995</v>
          </cell>
          <cell r="G22">
            <v>3897500</v>
          </cell>
          <cell r="H22">
            <v>17489000</v>
          </cell>
        </row>
        <row r="23">
          <cell r="F23">
            <v>3587</v>
          </cell>
          <cell r="G23">
            <v>1180900</v>
          </cell>
          <cell r="H23">
            <v>7278800</v>
          </cell>
        </row>
        <row r="24">
          <cell r="F24">
            <v>2762</v>
          </cell>
          <cell r="G24">
            <v>1361600</v>
          </cell>
          <cell r="H24">
            <v>6057000</v>
          </cell>
        </row>
        <row r="25">
          <cell r="F25">
            <v>2356</v>
          </cell>
          <cell r="G25">
            <v>975500</v>
          </cell>
          <cell r="H25">
            <v>4980700</v>
          </cell>
        </row>
        <row r="26">
          <cell r="F26">
            <v>6148</v>
          </cell>
          <cell r="G26">
            <v>2362800</v>
          </cell>
          <cell r="H26">
            <v>12814400</v>
          </cell>
        </row>
        <row r="27">
          <cell r="F27">
            <v>15057</v>
          </cell>
          <cell r="G27">
            <v>8519400</v>
          </cell>
          <cell r="H27">
            <v>34116300</v>
          </cell>
        </row>
        <row r="28">
          <cell r="F28">
            <v>11159</v>
          </cell>
          <cell r="G28">
            <v>5262000</v>
          </cell>
          <cell r="H28">
            <v>24232300</v>
          </cell>
        </row>
        <row r="29">
          <cell r="F29">
            <v>10079</v>
          </cell>
          <cell r="G29">
            <v>4383200</v>
          </cell>
          <cell r="H29">
            <v>21517500</v>
          </cell>
        </row>
        <row r="30">
          <cell r="F30">
            <v>15584</v>
          </cell>
          <cell r="G30">
            <v>5401800</v>
          </cell>
          <cell r="H30">
            <v>31894600</v>
          </cell>
        </row>
        <row r="31">
          <cell r="F31">
            <v>8522</v>
          </cell>
          <cell r="G31">
            <v>4377700</v>
          </cell>
          <cell r="H31">
            <v>18865100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10280</v>
          </cell>
          <cell r="G33">
            <v>2887050</v>
          </cell>
          <cell r="H33">
            <v>20363050</v>
          </cell>
        </row>
        <row r="34">
          <cell r="F34">
            <v>13592</v>
          </cell>
          <cell r="G34">
            <v>3944200</v>
          </cell>
          <cell r="H34">
            <v>27050600</v>
          </cell>
        </row>
        <row r="35">
          <cell r="F35">
            <v>11461</v>
          </cell>
          <cell r="G35">
            <v>4777050</v>
          </cell>
          <cell r="H35">
            <v>24260750</v>
          </cell>
        </row>
        <row r="36">
          <cell r="F36">
            <v>12981</v>
          </cell>
          <cell r="G36">
            <v>4409300</v>
          </cell>
          <cell r="H36">
            <v>26477000</v>
          </cell>
        </row>
        <row r="37">
          <cell r="F37">
            <v>3844</v>
          </cell>
          <cell r="G37">
            <v>2855200</v>
          </cell>
          <cell r="H37">
            <v>9390000</v>
          </cell>
        </row>
        <row r="38">
          <cell r="F38">
            <v>5821</v>
          </cell>
          <cell r="G38">
            <v>3169300</v>
          </cell>
          <cell r="H38">
            <v>13065000</v>
          </cell>
        </row>
        <row r="39">
          <cell r="F39">
            <v>2500</v>
          </cell>
          <cell r="G39">
            <v>2339050</v>
          </cell>
          <cell r="H39">
            <v>6589050</v>
          </cell>
        </row>
        <row r="40">
          <cell r="F40">
            <v>12145</v>
          </cell>
          <cell r="G40">
            <v>5837150</v>
          </cell>
          <cell r="H40">
            <v>26483650</v>
          </cell>
        </row>
        <row r="41">
          <cell r="F41">
            <v>6031</v>
          </cell>
          <cell r="G41">
            <v>2086900</v>
          </cell>
          <cell r="H41">
            <v>12339600</v>
          </cell>
        </row>
        <row r="42">
          <cell r="F42">
            <v>2107</v>
          </cell>
          <cell r="G42">
            <v>956300</v>
          </cell>
          <cell r="H42">
            <v>4538200</v>
          </cell>
        </row>
        <row r="43">
          <cell r="F43">
            <v>4451</v>
          </cell>
          <cell r="G43">
            <v>1178800</v>
          </cell>
          <cell r="H43">
            <v>8745500</v>
          </cell>
        </row>
        <row r="44">
          <cell r="F44">
            <v>1129</v>
          </cell>
          <cell r="G44">
            <v>571800</v>
          </cell>
          <cell r="H44">
            <v>2491100</v>
          </cell>
        </row>
        <row r="45">
          <cell r="F45">
            <v>13981</v>
          </cell>
          <cell r="G45">
            <v>4400650</v>
          </cell>
          <cell r="H45">
            <v>28168350</v>
          </cell>
        </row>
        <row r="46">
          <cell r="F46">
            <v>2851</v>
          </cell>
          <cell r="G46">
            <v>2263600</v>
          </cell>
          <cell r="H46">
            <v>7110300</v>
          </cell>
        </row>
        <row r="47">
          <cell r="F47">
            <v>22626</v>
          </cell>
          <cell r="G47">
            <v>6588300</v>
          </cell>
          <cell r="H47">
            <v>45052500</v>
          </cell>
        </row>
        <row r="52">
          <cell r="F52">
            <v>8545</v>
          </cell>
          <cell r="G52">
            <v>3107900</v>
          </cell>
          <cell r="H52">
            <v>17634400</v>
          </cell>
        </row>
        <row r="53">
          <cell r="F53">
            <v>6868</v>
          </cell>
          <cell r="G53">
            <v>3931600</v>
          </cell>
          <cell r="H53">
            <v>15607200</v>
          </cell>
        </row>
        <row r="54">
          <cell r="F54">
            <v>14826</v>
          </cell>
          <cell r="G54">
            <v>5739950</v>
          </cell>
          <cell r="H54">
            <v>30944150</v>
          </cell>
        </row>
        <row r="55">
          <cell r="F55">
            <v>6173</v>
          </cell>
          <cell r="G55">
            <v>3215000</v>
          </cell>
          <cell r="H55">
            <v>13709100</v>
          </cell>
        </row>
        <row r="56">
          <cell r="F56">
            <v>4209</v>
          </cell>
          <cell r="G56">
            <v>1436350</v>
          </cell>
          <cell r="H56">
            <v>8591650</v>
          </cell>
        </row>
        <row r="57">
          <cell r="F57">
            <v>9503</v>
          </cell>
          <cell r="G57">
            <v>3711300</v>
          </cell>
          <cell r="H57">
            <v>19866400</v>
          </cell>
        </row>
        <row r="58">
          <cell r="F58">
            <v>14570</v>
          </cell>
          <cell r="G58">
            <v>4456000</v>
          </cell>
          <cell r="H58">
            <v>29225000</v>
          </cell>
        </row>
        <row r="59">
          <cell r="F59">
            <v>7239</v>
          </cell>
          <cell r="G59">
            <v>3068300</v>
          </cell>
          <cell r="H59">
            <v>15374600</v>
          </cell>
        </row>
        <row r="60">
          <cell r="F60">
            <v>7075</v>
          </cell>
          <cell r="G60">
            <v>2664700</v>
          </cell>
          <cell r="H60">
            <v>14692200</v>
          </cell>
        </row>
        <row r="61">
          <cell r="F61">
            <v>5440</v>
          </cell>
          <cell r="G61">
            <v>2018300</v>
          </cell>
          <cell r="H61">
            <v>11266300</v>
          </cell>
        </row>
        <row r="62">
          <cell r="F62">
            <v>11753</v>
          </cell>
          <cell r="G62">
            <v>4200800</v>
          </cell>
          <cell r="H62">
            <v>24180900</v>
          </cell>
        </row>
        <row r="63">
          <cell r="F63">
            <v>10223</v>
          </cell>
          <cell r="G63">
            <v>3655350</v>
          </cell>
          <cell r="H63">
            <v>21034450</v>
          </cell>
        </row>
        <row r="64">
          <cell r="F64">
            <v>10411</v>
          </cell>
          <cell r="G64">
            <v>3847400</v>
          </cell>
          <cell r="H64">
            <v>21546100</v>
          </cell>
        </row>
        <row r="65">
          <cell r="F65">
            <v>7388</v>
          </cell>
          <cell r="G65">
            <v>3785200</v>
          </cell>
          <cell r="H65">
            <v>16344800</v>
          </cell>
        </row>
        <row r="66">
          <cell r="F66">
            <v>7432</v>
          </cell>
          <cell r="G66">
            <v>3112700</v>
          </cell>
          <cell r="H66">
            <v>15747100</v>
          </cell>
        </row>
        <row r="67">
          <cell r="F67">
            <v>4871</v>
          </cell>
          <cell r="G67">
            <v>2724100</v>
          </cell>
          <cell r="H67">
            <v>11004800</v>
          </cell>
        </row>
        <row r="68">
          <cell r="F68">
            <v>8827</v>
          </cell>
          <cell r="G68">
            <v>2768900</v>
          </cell>
          <cell r="H68">
            <v>17774800</v>
          </cell>
        </row>
        <row r="69">
          <cell r="F69">
            <v>6074</v>
          </cell>
          <cell r="G69">
            <v>2976300</v>
          </cell>
          <cell r="H69">
            <v>13302100</v>
          </cell>
        </row>
        <row r="70">
          <cell r="F70">
            <v>10762</v>
          </cell>
          <cell r="G70">
            <v>4540200</v>
          </cell>
          <cell r="H70">
            <v>22835600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6095</v>
          </cell>
          <cell r="G72">
            <v>2051550</v>
          </cell>
          <cell r="H72">
            <v>12413050</v>
          </cell>
        </row>
        <row r="73">
          <cell r="F73">
            <v>3869</v>
          </cell>
          <cell r="G73">
            <v>931700</v>
          </cell>
          <cell r="H73">
            <v>7509000</v>
          </cell>
        </row>
        <row r="74">
          <cell r="F74">
            <v>12539</v>
          </cell>
          <cell r="G74">
            <v>2690000</v>
          </cell>
          <cell r="H74">
            <v>24006300</v>
          </cell>
        </row>
        <row r="75">
          <cell r="F75">
            <v>6093</v>
          </cell>
          <cell r="G75">
            <v>2139200</v>
          </cell>
          <cell r="H75">
            <v>12497300</v>
          </cell>
        </row>
        <row r="76">
          <cell r="F76">
            <v>19528</v>
          </cell>
          <cell r="G76">
            <v>6010800</v>
          </cell>
          <cell r="H76">
            <v>39208400</v>
          </cell>
        </row>
        <row r="77">
          <cell r="F77">
            <v>8493</v>
          </cell>
          <cell r="G77">
            <v>1516400</v>
          </cell>
          <cell r="H77">
            <v>15954500</v>
          </cell>
        </row>
        <row r="78">
          <cell r="F78">
            <v>6464</v>
          </cell>
          <cell r="G78">
            <v>1850300</v>
          </cell>
          <cell r="H78">
            <v>12839100</v>
          </cell>
        </row>
        <row r="79">
          <cell r="F79">
            <v>2426</v>
          </cell>
          <cell r="G79">
            <v>474500</v>
          </cell>
          <cell r="H79">
            <v>4598700</v>
          </cell>
        </row>
        <row r="80">
          <cell r="F80">
            <v>4265</v>
          </cell>
          <cell r="G80">
            <v>860200</v>
          </cell>
          <cell r="H80">
            <v>8110700</v>
          </cell>
        </row>
        <row r="81">
          <cell r="F81">
            <v>0</v>
          </cell>
          <cell r="G81">
            <v>0</v>
          </cell>
          <cell r="H81">
            <v>0</v>
          </cell>
        </row>
        <row r="82">
          <cell r="F82">
            <v>0</v>
          </cell>
          <cell r="G82">
            <v>0</v>
          </cell>
          <cell r="H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2559</v>
          </cell>
          <cell r="G84">
            <v>734000</v>
          </cell>
          <cell r="H84">
            <v>5084300</v>
          </cell>
        </row>
        <row r="85">
          <cell r="F85">
            <v>1403</v>
          </cell>
          <cell r="G85">
            <v>244600</v>
          </cell>
          <cell r="H85">
            <v>2629700</v>
          </cell>
        </row>
        <row r="86">
          <cell r="F86">
            <v>3189</v>
          </cell>
          <cell r="G86">
            <v>1058800</v>
          </cell>
          <cell r="H86">
            <v>6480100</v>
          </cell>
        </row>
        <row r="87">
          <cell r="F87">
            <v>3151</v>
          </cell>
          <cell r="G87">
            <v>875500</v>
          </cell>
          <cell r="H87">
            <v>6232200</v>
          </cell>
        </row>
        <row r="88">
          <cell r="F88">
            <v>4821</v>
          </cell>
          <cell r="G88">
            <v>1736050</v>
          </cell>
          <cell r="H88">
            <v>9931750</v>
          </cell>
        </row>
        <row r="89">
          <cell r="F89">
            <v>1684</v>
          </cell>
          <cell r="G89">
            <v>1107550</v>
          </cell>
          <cell r="H89">
            <v>3970350</v>
          </cell>
        </row>
        <row r="90">
          <cell r="F90">
            <v>2585</v>
          </cell>
          <cell r="G90">
            <v>1314500</v>
          </cell>
          <cell r="H90">
            <v>5709000</v>
          </cell>
        </row>
        <row r="91">
          <cell r="F91">
            <v>4819</v>
          </cell>
          <cell r="G91">
            <v>1674200</v>
          </cell>
          <cell r="H91">
            <v>9866500</v>
          </cell>
        </row>
        <row r="92">
          <cell r="F92">
            <v>2309</v>
          </cell>
          <cell r="G92">
            <v>1266100</v>
          </cell>
          <cell r="H92">
            <v>5191400</v>
          </cell>
        </row>
        <row r="93">
          <cell r="F93">
            <v>2671</v>
          </cell>
          <cell r="G93">
            <v>1537500</v>
          </cell>
          <cell r="H93">
            <v>6078200</v>
          </cell>
        </row>
        <row r="94">
          <cell r="F94">
            <v>499</v>
          </cell>
          <cell r="G94">
            <v>197100</v>
          </cell>
          <cell r="H94">
            <v>1045400</v>
          </cell>
        </row>
        <row r="95">
          <cell r="F95">
            <v>3069</v>
          </cell>
          <cell r="G95">
            <v>1086200</v>
          </cell>
          <cell r="H95">
            <v>6303500</v>
          </cell>
        </row>
        <row r="96">
          <cell r="F96">
            <v>3039</v>
          </cell>
          <cell r="G96">
            <v>534900</v>
          </cell>
          <cell r="H96">
            <v>5701200</v>
          </cell>
        </row>
        <row r="97">
          <cell r="F97">
            <v>6797</v>
          </cell>
          <cell r="G97">
            <v>1287200</v>
          </cell>
          <cell r="H97">
            <v>12842100</v>
          </cell>
        </row>
        <row r="98">
          <cell r="F98">
            <v>3549</v>
          </cell>
          <cell r="G98">
            <v>1084400</v>
          </cell>
          <cell r="H98">
            <v>7117700</v>
          </cell>
        </row>
        <row r="99">
          <cell r="F99">
            <v>7241</v>
          </cell>
          <cell r="G99">
            <v>2168900</v>
          </cell>
          <cell r="H99">
            <v>14478600</v>
          </cell>
        </row>
        <row r="100">
          <cell r="F100">
            <v>7964</v>
          </cell>
          <cell r="G100">
            <v>2199600</v>
          </cell>
          <cell r="H100">
            <v>15738400</v>
          </cell>
        </row>
        <row r="101">
          <cell r="F101">
            <v>2580</v>
          </cell>
          <cell r="G101">
            <v>542500</v>
          </cell>
          <cell r="H101">
            <v>4928500</v>
          </cell>
        </row>
        <row r="102">
          <cell r="F102">
            <v>13920</v>
          </cell>
          <cell r="G102">
            <v>1933700</v>
          </cell>
          <cell r="H102">
            <v>25597700</v>
          </cell>
        </row>
        <row r="103">
          <cell r="F103">
            <v>11457</v>
          </cell>
          <cell r="G103">
            <v>2511350</v>
          </cell>
          <cell r="H103">
            <v>21988250</v>
          </cell>
        </row>
        <row r="104">
          <cell r="F104">
            <v>5419</v>
          </cell>
          <cell r="G104">
            <v>1579900</v>
          </cell>
          <cell r="H104">
            <v>10792200</v>
          </cell>
        </row>
        <row r="105">
          <cell r="F105">
            <v>3540</v>
          </cell>
          <cell r="G105">
            <v>1102200</v>
          </cell>
          <cell r="H105">
            <v>7120200</v>
          </cell>
        </row>
        <row r="106">
          <cell r="F106">
            <v>3217</v>
          </cell>
          <cell r="G106">
            <v>1324300</v>
          </cell>
          <cell r="H106">
            <v>6793200</v>
          </cell>
        </row>
        <row r="107">
          <cell r="F107">
            <v>5093</v>
          </cell>
          <cell r="G107">
            <v>1314500</v>
          </cell>
          <cell r="H107">
            <v>9972600</v>
          </cell>
        </row>
        <row r="108">
          <cell r="F108">
            <v>4990</v>
          </cell>
          <cell r="G108">
            <v>1099400</v>
          </cell>
          <cell r="H108">
            <v>9582400</v>
          </cell>
        </row>
        <row r="109">
          <cell r="F109">
            <v>3229</v>
          </cell>
          <cell r="G109">
            <v>1081900</v>
          </cell>
          <cell r="H109">
            <v>6571200</v>
          </cell>
        </row>
        <row r="110">
          <cell r="F110">
            <v>1970</v>
          </cell>
          <cell r="G110">
            <v>475900</v>
          </cell>
          <cell r="H110">
            <v>3824900</v>
          </cell>
        </row>
        <row r="111">
          <cell r="F111">
            <v>5732</v>
          </cell>
          <cell r="G111">
            <v>1681900</v>
          </cell>
          <cell r="H111">
            <v>11426300</v>
          </cell>
        </row>
        <row r="112">
          <cell r="F112">
            <v>4237</v>
          </cell>
          <cell r="G112">
            <v>1278750</v>
          </cell>
          <cell r="H112">
            <v>8481650</v>
          </cell>
        </row>
        <row r="113">
          <cell r="F113">
            <v>4049</v>
          </cell>
          <cell r="G113">
            <v>2488350</v>
          </cell>
          <cell r="H113">
            <v>9371650</v>
          </cell>
        </row>
        <row r="114">
          <cell r="F114">
            <v>364</v>
          </cell>
          <cell r="G114">
            <v>133600</v>
          </cell>
          <cell r="H114">
            <v>752400</v>
          </cell>
        </row>
        <row r="115">
          <cell r="F115">
            <v>2211</v>
          </cell>
          <cell r="G115">
            <v>471000</v>
          </cell>
          <cell r="H115">
            <v>4229700</v>
          </cell>
        </row>
        <row r="116">
          <cell r="F116">
            <v>283</v>
          </cell>
          <cell r="G116">
            <v>225100</v>
          </cell>
          <cell r="H116">
            <v>706200</v>
          </cell>
        </row>
        <row r="117">
          <cell r="F117">
            <v>2176</v>
          </cell>
          <cell r="G117">
            <v>475900</v>
          </cell>
          <cell r="H117">
            <v>4175100</v>
          </cell>
        </row>
        <row r="118">
          <cell r="F118">
            <v>2774</v>
          </cell>
          <cell r="G118">
            <v>1174100</v>
          </cell>
          <cell r="H118">
            <v>5889900</v>
          </cell>
        </row>
        <row r="121">
          <cell r="F121">
            <v>44558</v>
          </cell>
          <cell r="G121">
            <v>4920150</v>
          </cell>
        </row>
        <row r="122">
          <cell r="F122">
            <v>9466</v>
          </cell>
          <cell r="G122">
            <v>13218000</v>
          </cell>
          <cell r="H122">
            <v>29310200</v>
          </cell>
        </row>
        <row r="133">
          <cell r="F133">
            <v>169393</v>
          </cell>
          <cell r="G133">
            <v>59580150</v>
          </cell>
          <cell r="H133">
            <v>347548250</v>
          </cell>
        </row>
        <row r="135">
          <cell r="F135">
            <v>256</v>
          </cell>
          <cell r="G135">
            <v>566900</v>
          </cell>
          <cell r="H135">
            <v>1002100</v>
          </cell>
        </row>
        <row r="136">
          <cell r="F136">
            <v>5290</v>
          </cell>
          <cell r="G136">
            <v>3818350</v>
          </cell>
          <cell r="H136">
            <v>12811350</v>
          </cell>
        </row>
        <row r="137">
          <cell r="F137">
            <v>519</v>
          </cell>
          <cell r="G137">
            <v>864000</v>
          </cell>
          <cell r="H137">
            <v>1746300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372</v>
          </cell>
          <cell r="G139">
            <v>1013800</v>
          </cell>
          <cell r="H139">
            <v>1646200</v>
          </cell>
        </row>
        <row r="140">
          <cell r="F140">
            <v>794</v>
          </cell>
          <cell r="G140">
            <v>1229600</v>
          </cell>
          <cell r="H140">
            <v>2579400</v>
          </cell>
        </row>
        <row r="141">
          <cell r="F141">
            <v>419</v>
          </cell>
          <cell r="G141">
            <v>463400</v>
          </cell>
          <cell r="H141">
            <v>1175700</v>
          </cell>
        </row>
        <row r="142">
          <cell r="F142">
            <v>319</v>
          </cell>
          <cell r="G142">
            <v>960900</v>
          </cell>
          <cell r="H142">
            <v>1503200</v>
          </cell>
        </row>
        <row r="143">
          <cell r="F143">
            <v>346</v>
          </cell>
          <cell r="G143">
            <v>679300</v>
          </cell>
          <cell r="H143">
            <v>1267500</v>
          </cell>
        </row>
        <row r="144">
          <cell r="F144">
            <v>288</v>
          </cell>
          <cell r="G144">
            <v>672200</v>
          </cell>
          <cell r="H144">
            <v>1161800</v>
          </cell>
          <cell r="M144">
            <v>1126049.862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247</v>
          </cell>
          <cell r="G146">
            <v>198000</v>
          </cell>
          <cell r="H146">
            <v>617900</v>
          </cell>
        </row>
        <row r="147">
          <cell r="F147">
            <v>334</v>
          </cell>
          <cell r="G147">
            <v>703500</v>
          </cell>
          <cell r="H147">
            <v>1271300</v>
          </cell>
        </row>
        <row r="148">
          <cell r="F148">
            <v>551</v>
          </cell>
          <cell r="G148">
            <v>1426000</v>
          </cell>
          <cell r="H148">
            <v>2362700</v>
          </cell>
        </row>
        <row r="149">
          <cell r="F149">
            <v>227</v>
          </cell>
          <cell r="G149">
            <v>520400</v>
          </cell>
          <cell r="H149">
            <v>906300</v>
          </cell>
        </row>
        <row r="150">
          <cell r="F150">
            <v>514</v>
          </cell>
          <cell r="G150">
            <v>527100</v>
          </cell>
          <cell r="H150">
            <v>1400900</v>
          </cell>
        </row>
        <row r="153">
          <cell r="F153">
            <v>0</v>
          </cell>
          <cell r="G153">
            <v>40000</v>
          </cell>
          <cell r="H153">
            <v>40000</v>
          </cell>
        </row>
        <row r="154">
          <cell r="F154">
            <v>0</v>
          </cell>
          <cell r="G154">
            <v>121000</v>
          </cell>
          <cell r="H154">
            <v>121000</v>
          </cell>
        </row>
        <row r="155">
          <cell r="F155">
            <v>0</v>
          </cell>
          <cell r="G155">
            <v>135000</v>
          </cell>
          <cell r="H155">
            <v>135000</v>
          </cell>
        </row>
        <row r="156">
          <cell r="F156">
            <v>0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1674000</v>
          </cell>
          <cell r="H158">
            <v>1674000</v>
          </cell>
        </row>
        <row r="159">
          <cell r="F159">
            <v>0</v>
          </cell>
          <cell r="G159">
            <v>1394000</v>
          </cell>
          <cell r="H159">
            <v>1394000</v>
          </cell>
        </row>
        <row r="160">
          <cell r="F160">
            <v>0</v>
          </cell>
          <cell r="G160">
            <v>1520000</v>
          </cell>
          <cell r="H160">
            <v>1520000</v>
          </cell>
        </row>
        <row r="161">
          <cell r="F161">
            <v>0</v>
          </cell>
          <cell r="G161">
            <v>2050000</v>
          </cell>
          <cell r="H161">
            <v>2050000</v>
          </cell>
        </row>
        <row r="162">
          <cell r="F162">
            <v>0</v>
          </cell>
          <cell r="G162">
            <v>571000</v>
          </cell>
          <cell r="H162">
            <v>571000</v>
          </cell>
        </row>
        <row r="163">
          <cell r="F163">
            <v>0</v>
          </cell>
          <cell r="G163">
            <v>1209000</v>
          </cell>
          <cell r="H163">
            <v>1209000</v>
          </cell>
        </row>
        <row r="164">
          <cell r="F164">
            <v>0</v>
          </cell>
          <cell r="G164">
            <v>346000</v>
          </cell>
          <cell r="H164">
            <v>346000</v>
          </cell>
        </row>
        <row r="165">
          <cell r="F165">
            <v>0</v>
          </cell>
          <cell r="G165">
            <v>1197000</v>
          </cell>
          <cell r="H165">
            <v>1197000</v>
          </cell>
        </row>
        <row r="166">
          <cell r="F166">
            <v>0</v>
          </cell>
          <cell r="G166">
            <v>167000</v>
          </cell>
          <cell r="H166">
            <v>167000</v>
          </cell>
        </row>
        <row r="167">
          <cell r="F167">
            <v>0</v>
          </cell>
          <cell r="G167">
            <v>284000</v>
          </cell>
          <cell r="H167">
            <v>284000</v>
          </cell>
        </row>
        <row r="168">
          <cell r="F168">
            <v>0</v>
          </cell>
          <cell r="G168">
            <v>58000</v>
          </cell>
          <cell r="H168">
            <v>58000</v>
          </cell>
        </row>
        <row r="169">
          <cell r="F169">
            <v>0</v>
          </cell>
          <cell r="G169">
            <v>50000</v>
          </cell>
          <cell r="H169">
            <v>50000</v>
          </cell>
        </row>
        <row r="170">
          <cell r="F170">
            <v>0</v>
          </cell>
          <cell r="G170">
            <v>90000</v>
          </cell>
          <cell r="H170">
            <v>90000</v>
          </cell>
        </row>
        <row r="171">
          <cell r="F171">
            <v>0</v>
          </cell>
          <cell r="G171">
            <v>151000</v>
          </cell>
          <cell r="H171">
            <v>151000</v>
          </cell>
        </row>
        <row r="172">
          <cell r="F172">
            <v>0</v>
          </cell>
          <cell r="G172">
            <v>90000</v>
          </cell>
          <cell r="H172">
            <v>90000</v>
          </cell>
        </row>
        <row r="173">
          <cell r="F173">
            <v>0</v>
          </cell>
          <cell r="G173">
            <v>43000</v>
          </cell>
          <cell r="H173">
            <v>43000</v>
          </cell>
        </row>
        <row r="174">
          <cell r="F174">
            <v>0</v>
          </cell>
          <cell r="G174">
            <v>10000</v>
          </cell>
          <cell r="H174">
            <v>10000</v>
          </cell>
        </row>
        <row r="175">
          <cell r="F175">
            <v>0</v>
          </cell>
          <cell r="G175">
            <v>148000</v>
          </cell>
          <cell r="H175">
            <v>148000</v>
          </cell>
        </row>
        <row r="176">
          <cell r="F176">
            <v>0</v>
          </cell>
          <cell r="G176">
            <v>46000</v>
          </cell>
          <cell r="H176">
            <v>46000</v>
          </cell>
        </row>
        <row r="177">
          <cell r="F177">
            <v>0</v>
          </cell>
          <cell r="G177">
            <v>600000</v>
          </cell>
          <cell r="H177">
            <v>600000</v>
          </cell>
        </row>
        <row r="178">
          <cell r="F178">
            <v>0</v>
          </cell>
          <cell r="G178">
            <v>652000</v>
          </cell>
          <cell r="H178">
            <v>652000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20000</v>
          </cell>
          <cell r="H180">
            <v>20000</v>
          </cell>
        </row>
        <row r="181">
          <cell r="F181">
            <v>0</v>
          </cell>
          <cell r="G181">
            <v>12000</v>
          </cell>
          <cell r="H181">
            <v>12000</v>
          </cell>
        </row>
        <row r="182">
          <cell r="F182">
            <v>0</v>
          </cell>
          <cell r="G182">
            <v>35000</v>
          </cell>
          <cell r="H182">
            <v>35000</v>
          </cell>
        </row>
        <row r="183">
          <cell r="F183">
            <v>0</v>
          </cell>
          <cell r="G183">
            <v>347000</v>
          </cell>
          <cell r="H183">
            <v>347000</v>
          </cell>
        </row>
        <row r="184">
          <cell r="F184">
            <v>0</v>
          </cell>
          <cell r="G184">
            <v>20000</v>
          </cell>
          <cell r="H184">
            <v>20000</v>
          </cell>
        </row>
        <row r="185">
          <cell r="F185">
            <v>0</v>
          </cell>
          <cell r="G185">
            <v>88000</v>
          </cell>
          <cell r="H185">
            <v>88000</v>
          </cell>
        </row>
        <row r="186">
          <cell r="F186">
            <v>0</v>
          </cell>
          <cell r="G186">
            <v>10000</v>
          </cell>
          <cell r="H186">
            <v>10000</v>
          </cell>
        </row>
        <row r="187">
          <cell r="F187">
            <v>0</v>
          </cell>
          <cell r="G187">
            <v>458000</v>
          </cell>
          <cell r="H187">
            <v>458000</v>
          </cell>
        </row>
        <row r="188">
          <cell r="F188">
            <v>0</v>
          </cell>
          <cell r="G188">
            <v>18000</v>
          </cell>
          <cell r="H188">
            <v>18000</v>
          </cell>
        </row>
        <row r="189">
          <cell r="F189">
            <v>0</v>
          </cell>
          <cell r="G189">
            <v>158000</v>
          </cell>
          <cell r="H189">
            <v>158000</v>
          </cell>
        </row>
        <row r="190">
          <cell r="F190">
            <v>0</v>
          </cell>
          <cell r="G190">
            <v>80000</v>
          </cell>
          <cell r="H190">
            <v>80000</v>
          </cell>
        </row>
        <row r="191">
          <cell r="F191">
            <v>0</v>
          </cell>
          <cell r="G191">
            <v>84000</v>
          </cell>
          <cell r="H191">
            <v>84000</v>
          </cell>
        </row>
        <row r="192">
          <cell r="F192">
            <v>0</v>
          </cell>
          <cell r="G192">
            <v>88000</v>
          </cell>
          <cell r="H192">
            <v>88000</v>
          </cell>
        </row>
        <row r="193">
          <cell r="F193">
            <v>0</v>
          </cell>
          <cell r="G193">
            <v>101000</v>
          </cell>
          <cell r="H193">
            <v>101000</v>
          </cell>
        </row>
        <row r="194">
          <cell r="F194">
            <v>0</v>
          </cell>
          <cell r="G194">
            <v>45000</v>
          </cell>
          <cell r="H194">
            <v>45000</v>
          </cell>
        </row>
        <row r="195">
          <cell r="F195">
            <v>0</v>
          </cell>
          <cell r="G195">
            <v>150000</v>
          </cell>
          <cell r="H195">
            <v>150000</v>
          </cell>
        </row>
        <row r="196">
          <cell r="F196">
            <v>0</v>
          </cell>
          <cell r="G196">
            <v>128000</v>
          </cell>
          <cell r="H196">
            <v>128000</v>
          </cell>
        </row>
        <row r="197">
          <cell r="F197">
            <v>0</v>
          </cell>
          <cell r="G197">
            <v>82000</v>
          </cell>
          <cell r="H197">
            <v>82000</v>
          </cell>
        </row>
        <row r="198">
          <cell r="F198">
            <v>0</v>
          </cell>
          <cell r="G198">
            <v>189000</v>
          </cell>
          <cell r="H198">
            <v>189000</v>
          </cell>
        </row>
        <row r="199">
          <cell r="F199">
            <v>0</v>
          </cell>
          <cell r="G199">
            <v>24000</v>
          </cell>
          <cell r="H199">
            <v>24000</v>
          </cell>
        </row>
        <row r="200">
          <cell r="F200">
            <v>0</v>
          </cell>
          <cell r="G200">
            <v>106000</v>
          </cell>
          <cell r="H200">
            <v>106000</v>
          </cell>
        </row>
        <row r="201">
          <cell r="F201">
            <v>0</v>
          </cell>
          <cell r="G201">
            <v>132000</v>
          </cell>
          <cell r="H201">
            <v>132000</v>
          </cell>
        </row>
        <row r="202">
          <cell r="F202">
            <v>0</v>
          </cell>
          <cell r="G202">
            <v>119000</v>
          </cell>
          <cell r="H202">
            <v>119000</v>
          </cell>
        </row>
        <row r="203">
          <cell r="F203">
            <v>0</v>
          </cell>
          <cell r="G203">
            <v>61000</v>
          </cell>
          <cell r="H203">
            <v>61000</v>
          </cell>
        </row>
        <row r="204">
          <cell r="F204">
            <v>0</v>
          </cell>
          <cell r="G204">
            <v>207000</v>
          </cell>
          <cell r="H204">
            <v>207000</v>
          </cell>
        </row>
        <row r="205">
          <cell r="F205">
            <v>0</v>
          </cell>
          <cell r="G205">
            <v>164000</v>
          </cell>
          <cell r="H205">
            <v>164000</v>
          </cell>
        </row>
        <row r="206">
          <cell r="F206">
            <v>0</v>
          </cell>
          <cell r="G206">
            <v>142000</v>
          </cell>
          <cell r="H206">
            <v>142000</v>
          </cell>
        </row>
        <row r="207">
          <cell r="F207">
            <v>0</v>
          </cell>
          <cell r="G207">
            <v>164000</v>
          </cell>
          <cell r="H207">
            <v>164000</v>
          </cell>
        </row>
        <row r="208">
          <cell r="F208">
            <v>0</v>
          </cell>
          <cell r="G208">
            <v>253000</v>
          </cell>
          <cell r="H208">
            <v>253000</v>
          </cell>
        </row>
        <row r="209">
          <cell r="F209">
            <v>0</v>
          </cell>
          <cell r="G209">
            <v>201000</v>
          </cell>
          <cell r="H209">
            <v>201000</v>
          </cell>
        </row>
        <row r="210">
          <cell r="F210">
            <v>0</v>
          </cell>
          <cell r="G210">
            <v>752000</v>
          </cell>
          <cell r="H210">
            <v>752000</v>
          </cell>
        </row>
        <row r="211">
          <cell r="F211">
            <v>0</v>
          </cell>
          <cell r="G211">
            <v>164000</v>
          </cell>
          <cell r="H211">
            <v>164000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10000</v>
          </cell>
          <cell r="H213">
            <v>10000</v>
          </cell>
        </row>
        <row r="214">
          <cell r="F214">
            <v>0</v>
          </cell>
          <cell r="G214">
            <v>120000</v>
          </cell>
          <cell r="H214">
            <v>120000</v>
          </cell>
        </row>
        <row r="215">
          <cell r="F215">
            <v>0</v>
          </cell>
          <cell r="G215">
            <v>117000</v>
          </cell>
          <cell r="H215">
            <v>117000</v>
          </cell>
        </row>
        <row r="216">
          <cell r="F216">
            <v>0</v>
          </cell>
          <cell r="G216">
            <v>694000</v>
          </cell>
          <cell r="H216">
            <v>694000</v>
          </cell>
        </row>
        <row r="217">
          <cell r="F217">
            <v>0</v>
          </cell>
          <cell r="G217">
            <v>72000</v>
          </cell>
          <cell r="H217">
            <v>72000</v>
          </cell>
        </row>
        <row r="218">
          <cell r="F218">
            <v>0</v>
          </cell>
          <cell r="G218">
            <v>195000</v>
          </cell>
          <cell r="H218">
            <v>195000</v>
          </cell>
        </row>
        <row r="219">
          <cell r="F219">
            <v>0</v>
          </cell>
          <cell r="G219">
            <v>104000</v>
          </cell>
          <cell r="H219">
            <v>104000</v>
          </cell>
        </row>
        <row r="220">
          <cell r="F220">
            <v>0</v>
          </cell>
          <cell r="G220">
            <v>140000</v>
          </cell>
          <cell r="H220">
            <v>140000</v>
          </cell>
        </row>
        <row r="223">
          <cell r="F223">
            <v>204</v>
          </cell>
          <cell r="G223">
            <v>2633900</v>
          </cell>
          <cell r="H223">
            <v>2980700</v>
          </cell>
        </row>
        <row r="224">
          <cell r="F224">
            <v>0</v>
          </cell>
          <cell r="G224">
            <v>3221800</v>
          </cell>
          <cell r="H224">
            <v>3221800</v>
          </cell>
        </row>
        <row r="225">
          <cell r="F225">
            <v>695</v>
          </cell>
          <cell r="G225">
            <v>1449400</v>
          </cell>
          <cell r="H225">
            <v>2630900</v>
          </cell>
        </row>
        <row r="226">
          <cell r="F226">
            <v>1228</v>
          </cell>
          <cell r="G226">
            <v>887200</v>
          </cell>
          <cell r="H226">
            <v>2974800</v>
          </cell>
        </row>
        <row r="227">
          <cell r="F227">
            <v>915</v>
          </cell>
          <cell r="G227">
            <v>1165100</v>
          </cell>
          <cell r="H227">
            <v>2720600</v>
          </cell>
        </row>
        <row r="228">
          <cell r="F228">
            <v>185</v>
          </cell>
          <cell r="G228">
            <v>981100</v>
          </cell>
          <cell r="H228">
            <v>1295600</v>
          </cell>
        </row>
        <row r="229">
          <cell r="F229">
            <v>1304</v>
          </cell>
          <cell r="G229">
            <v>684400</v>
          </cell>
          <cell r="H229">
            <v>2901200</v>
          </cell>
        </row>
        <row r="230">
          <cell r="F230">
            <v>2051</v>
          </cell>
          <cell r="G230">
            <v>1253500</v>
          </cell>
          <cell r="H230">
            <v>4740200</v>
          </cell>
        </row>
        <row r="231">
          <cell r="F231">
            <v>163</v>
          </cell>
          <cell r="G231">
            <v>3258100</v>
          </cell>
          <cell r="H231">
            <v>3535200</v>
          </cell>
        </row>
        <row r="232">
          <cell r="F232">
            <v>0</v>
          </cell>
          <cell r="G232">
            <v>2205800</v>
          </cell>
          <cell r="H232">
            <v>2205800</v>
          </cell>
        </row>
        <row r="233">
          <cell r="F233">
            <v>784</v>
          </cell>
          <cell r="G233">
            <v>1152400</v>
          </cell>
          <cell r="H233">
            <v>2485200</v>
          </cell>
        </row>
        <row r="234">
          <cell r="F234">
            <v>1671</v>
          </cell>
          <cell r="G234">
            <v>762000</v>
          </cell>
          <cell r="H234">
            <v>3602700</v>
          </cell>
        </row>
        <row r="235">
          <cell r="F235">
            <v>1</v>
          </cell>
          <cell r="G235">
            <v>1277000</v>
          </cell>
          <cell r="H235">
            <v>1278700</v>
          </cell>
        </row>
        <row r="236">
          <cell r="F236">
            <v>0</v>
          </cell>
          <cell r="G236">
            <v>952500</v>
          </cell>
          <cell r="H236">
            <v>952500</v>
          </cell>
        </row>
        <row r="237">
          <cell r="F237">
            <v>300</v>
          </cell>
          <cell r="G237">
            <v>1224200</v>
          </cell>
          <cell r="H237">
            <v>1734200</v>
          </cell>
        </row>
        <row r="238">
          <cell r="F238">
            <v>812</v>
          </cell>
          <cell r="G238">
            <v>1615300</v>
          </cell>
          <cell r="H238">
            <v>2995700</v>
          </cell>
        </row>
        <row r="239">
          <cell r="F239">
            <v>218</v>
          </cell>
          <cell r="G239">
            <v>1966800</v>
          </cell>
          <cell r="H239">
            <v>2337400</v>
          </cell>
        </row>
        <row r="240">
          <cell r="F240">
            <v>1042</v>
          </cell>
          <cell r="G240">
            <v>774600</v>
          </cell>
          <cell r="H240">
            <v>2546000</v>
          </cell>
        </row>
        <row r="241">
          <cell r="F241">
            <v>569</v>
          </cell>
          <cell r="G241">
            <v>1339800</v>
          </cell>
          <cell r="H241">
            <v>2307100</v>
          </cell>
        </row>
        <row r="242">
          <cell r="F242">
            <v>995</v>
          </cell>
          <cell r="G242">
            <v>1587700</v>
          </cell>
          <cell r="H242">
            <v>3279200</v>
          </cell>
        </row>
        <row r="243">
          <cell r="F243">
            <v>814</v>
          </cell>
          <cell r="G243">
            <v>1087700</v>
          </cell>
          <cell r="H243">
            <v>2471500</v>
          </cell>
        </row>
        <row r="244">
          <cell r="F244">
            <v>590</v>
          </cell>
          <cell r="G244">
            <v>904700</v>
          </cell>
          <cell r="H244">
            <v>1907700</v>
          </cell>
        </row>
        <row r="245">
          <cell r="F245">
            <v>407</v>
          </cell>
          <cell r="G245">
            <v>773900</v>
          </cell>
          <cell r="H245">
            <v>1465800</v>
          </cell>
        </row>
        <row r="246">
          <cell r="F246">
            <v>1034</v>
          </cell>
          <cell r="G246">
            <v>2975100</v>
          </cell>
          <cell r="H246">
            <v>4732900</v>
          </cell>
        </row>
        <row r="247">
          <cell r="F247">
            <v>1218</v>
          </cell>
          <cell r="G247">
            <v>633950</v>
          </cell>
          <cell r="H247">
            <v>2704550</v>
          </cell>
        </row>
        <row r="248">
          <cell r="F248">
            <v>342</v>
          </cell>
          <cell r="G248">
            <v>2382400</v>
          </cell>
          <cell r="H248">
            <v>2963800</v>
          </cell>
        </row>
        <row r="249">
          <cell r="F249">
            <v>287</v>
          </cell>
          <cell r="G249">
            <v>2845300</v>
          </cell>
          <cell r="H249">
            <v>3333200</v>
          </cell>
        </row>
        <row r="250">
          <cell r="F250">
            <v>81</v>
          </cell>
          <cell r="G250">
            <v>3595550</v>
          </cell>
          <cell r="H250">
            <v>3733250</v>
          </cell>
        </row>
        <row r="251">
          <cell r="F251">
            <v>252</v>
          </cell>
          <cell r="G251">
            <v>1793800</v>
          </cell>
          <cell r="H251">
            <v>2222200</v>
          </cell>
        </row>
        <row r="252">
          <cell r="F252">
            <v>209</v>
          </cell>
          <cell r="G252">
            <v>909800</v>
          </cell>
          <cell r="H252">
            <v>1265100</v>
          </cell>
        </row>
        <row r="253">
          <cell r="F253">
            <v>175</v>
          </cell>
          <cell r="G253">
            <v>3545860</v>
          </cell>
          <cell r="H253">
            <v>3843360</v>
          </cell>
        </row>
        <row r="254">
          <cell r="F254">
            <v>633</v>
          </cell>
          <cell r="G254">
            <v>1413400</v>
          </cell>
          <cell r="H254">
            <v>2489500</v>
          </cell>
        </row>
        <row r="255">
          <cell r="F255">
            <v>419</v>
          </cell>
          <cell r="G255">
            <v>1037800</v>
          </cell>
          <cell r="H255">
            <v>1750100</v>
          </cell>
        </row>
        <row r="256">
          <cell r="F256">
            <v>426</v>
          </cell>
          <cell r="G256">
            <v>2723700</v>
          </cell>
          <cell r="H256">
            <v>3447900</v>
          </cell>
        </row>
        <row r="257">
          <cell r="F257">
            <v>242</v>
          </cell>
          <cell r="G257">
            <v>415200</v>
          </cell>
          <cell r="H257">
            <v>826600</v>
          </cell>
        </row>
        <row r="260">
          <cell r="G260">
            <v>58000</v>
          </cell>
          <cell r="H260">
            <v>58000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10881</v>
          </cell>
          <cell r="G10">
            <v>4527851</v>
          </cell>
          <cell r="H10">
            <v>23025551</v>
          </cell>
        </row>
        <row r="14">
          <cell r="F14">
            <v>5331</v>
          </cell>
          <cell r="G14">
            <v>1174950</v>
          </cell>
          <cell r="H14">
            <v>10237650</v>
          </cell>
        </row>
        <row r="15">
          <cell r="F15">
            <v>5292</v>
          </cell>
          <cell r="G15">
            <v>1057000</v>
          </cell>
          <cell r="H15">
            <v>10053400</v>
          </cell>
        </row>
        <row r="16">
          <cell r="F16">
            <v>6300</v>
          </cell>
          <cell r="G16">
            <v>1666900</v>
          </cell>
          <cell r="H16">
            <v>12376900</v>
          </cell>
        </row>
        <row r="17">
          <cell r="F17">
            <v>3987</v>
          </cell>
          <cell r="G17">
            <v>1042650</v>
          </cell>
          <cell r="H17">
            <v>7820550</v>
          </cell>
        </row>
        <row r="18">
          <cell r="F18">
            <v>5296</v>
          </cell>
          <cell r="G18">
            <v>1453600</v>
          </cell>
          <cell r="H18">
            <v>10456800</v>
          </cell>
        </row>
        <row r="19">
          <cell r="F19">
            <v>5849</v>
          </cell>
          <cell r="G19">
            <v>2018650</v>
          </cell>
          <cell r="H19">
            <v>11961950</v>
          </cell>
        </row>
        <row r="20">
          <cell r="F20">
            <v>3308</v>
          </cell>
          <cell r="G20">
            <v>975050</v>
          </cell>
          <cell r="H20">
            <v>6598650</v>
          </cell>
        </row>
        <row r="21">
          <cell r="F21">
            <v>3951</v>
          </cell>
          <cell r="G21">
            <v>1201900</v>
          </cell>
          <cell r="H21">
            <v>7918600</v>
          </cell>
        </row>
        <row r="22">
          <cell r="F22">
            <v>7909</v>
          </cell>
          <cell r="G22">
            <v>2901500</v>
          </cell>
          <cell r="H22">
            <v>16346800</v>
          </cell>
        </row>
        <row r="23">
          <cell r="F23">
            <v>3512</v>
          </cell>
          <cell r="G23">
            <v>960650</v>
          </cell>
          <cell r="H23">
            <v>6931050</v>
          </cell>
        </row>
        <row r="24">
          <cell r="F24">
            <v>2749</v>
          </cell>
          <cell r="G24">
            <v>1066400</v>
          </cell>
          <cell r="H24">
            <v>5739700</v>
          </cell>
        </row>
        <row r="25">
          <cell r="F25">
            <v>2433</v>
          </cell>
          <cell r="G25">
            <v>793400</v>
          </cell>
          <cell r="H25">
            <v>4929500</v>
          </cell>
        </row>
        <row r="26">
          <cell r="F26">
            <v>5514</v>
          </cell>
          <cell r="G26">
            <v>1891200</v>
          </cell>
          <cell r="H26">
            <v>11265000</v>
          </cell>
        </row>
        <row r="27">
          <cell r="F27">
            <v>14118</v>
          </cell>
          <cell r="G27">
            <v>6412400</v>
          </cell>
          <cell r="H27">
            <v>30413000</v>
          </cell>
        </row>
        <row r="28">
          <cell r="F28">
            <v>10531</v>
          </cell>
          <cell r="G28">
            <v>4346800</v>
          </cell>
          <cell r="H28">
            <v>22249500</v>
          </cell>
        </row>
        <row r="29">
          <cell r="F29">
            <v>9438</v>
          </cell>
          <cell r="G29">
            <v>3671200</v>
          </cell>
          <cell r="H29">
            <v>19715800</v>
          </cell>
        </row>
        <row r="30">
          <cell r="F30">
            <v>14742</v>
          </cell>
          <cell r="G30">
            <v>4478250</v>
          </cell>
          <cell r="H30">
            <v>29539650</v>
          </cell>
        </row>
        <row r="31">
          <cell r="F31">
            <v>8180</v>
          </cell>
          <cell r="G31">
            <v>3150600</v>
          </cell>
          <cell r="H31">
            <v>17056600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9708</v>
          </cell>
          <cell r="G33">
            <v>2546300</v>
          </cell>
          <cell r="H33">
            <v>19049900</v>
          </cell>
        </row>
        <row r="34">
          <cell r="F34">
            <v>13150</v>
          </cell>
          <cell r="G34">
            <v>3267500</v>
          </cell>
          <cell r="H34">
            <v>25622500</v>
          </cell>
        </row>
        <row r="35">
          <cell r="F35">
            <v>10983</v>
          </cell>
          <cell r="G35">
            <v>3596850</v>
          </cell>
          <cell r="H35">
            <v>22267950</v>
          </cell>
        </row>
        <row r="36">
          <cell r="F36">
            <v>12513</v>
          </cell>
          <cell r="G36">
            <v>3789400</v>
          </cell>
          <cell r="H36">
            <v>25061500</v>
          </cell>
        </row>
        <row r="37">
          <cell r="F37">
            <v>3405</v>
          </cell>
          <cell r="G37">
            <v>1605200</v>
          </cell>
          <cell r="H37">
            <v>7393700</v>
          </cell>
        </row>
        <row r="38">
          <cell r="F38">
            <v>6379</v>
          </cell>
          <cell r="G38">
            <v>2928000</v>
          </cell>
          <cell r="H38">
            <v>13772300</v>
          </cell>
        </row>
        <row r="39">
          <cell r="F39">
            <v>2231</v>
          </cell>
          <cell r="G39">
            <v>1702250</v>
          </cell>
          <cell r="H39">
            <v>5494950</v>
          </cell>
        </row>
        <row r="40">
          <cell r="F40">
            <v>11749</v>
          </cell>
          <cell r="G40">
            <v>5243400</v>
          </cell>
          <cell r="H40">
            <v>25216700</v>
          </cell>
        </row>
        <row r="41">
          <cell r="F41">
            <v>5597</v>
          </cell>
          <cell r="G41">
            <v>2444800</v>
          </cell>
          <cell r="H41">
            <v>11959700</v>
          </cell>
        </row>
        <row r="42">
          <cell r="F42">
            <v>1978</v>
          </cell>
          <cell r="G42">
            <v>1263600</v>
          </cell>
          <cell r="H42">
            <v>4626200</v>
          </cell>
        </row>
        <row r="43">
          <cell r="F43">
            <v>3778</v>
          </cell>
          <cell r="G43">
            <v>1013900</v>
          </cell>
          <cell r="H43">
            <v>7436500</v>
          </cell>
        </row>
        <row r="44">
          <cell r="F44">
            <v>897</v>
          </cell>
          <cell r="G44">
            <v>367000</v>
          </cell>
          <cell r="H44">
            <v>1891900</v>
          </cell>
        </row>
        <row r="45">
          <cell r="F45">
            <v>13189</v>
          </cell>
          <cell r="G45">
            <v>3644200</v>
          </cell>
          <cell r="H45">
            <v>26065500</v>
          </cell>
        </row>
        <row r="46">
          <cell r="F46">
            <v>2384</v>
          </cell>
          <cell r="G46">
            <v>1513200</v>
          </cell>
          <cell r="H46">
            <v>5566000</v>
          </cell>
        </row>
        <row r="47">
          <cell r="F47">
            <v>22908</v>
          </cell>
          <cell r="G47">
            <v>5400100</v>
          </cell>
          <cell r="H47">
            <v>44343700</v>
          </cell>
        </row>
        <row r="52">
          <cell r="F52">
            <v>8157</v>
          </cell>
          <cell r="G52">
            <v>2332800</v>
          </cell>
          <cell r="H52">
            <v>16199700</v>
          </cell>
        </row>
        <row r="53">
          <cell r="F53">
            <v>6663</v>
          </cell>
          <cell r="G53">
            <v>2609900</v>
          </cell>
          <cell r="H53">
            <v>13937000</v>
          </cell>
        </row>
        <row r="54">
          <cell r="F54">
            <v>15117</v>
          </cell>
          <cell r="G54">
            <v>4608600</v>
          </cell>
          <cell r="H54">
            <v>30307500</v>
          </cell>
        </row>
        <row r="55">
          <cell r="F55">
            <v>5756</v>
          </cell>
          <cell r="G55">
            <v>2678000</v>
          </cell>
          <cell r="H55">
            <v>12463200</v>
          </cell>
        </row>
        <row r="56">
          <cell r="F56">
            <v>3725</v>
          </cell>
          <cell r="G56">
            <v>1272600</v>
          </cell>
          <cell r="H56">
            <v>7605100</v>
          </cell>
        </row>
        <row r="57">
          <cell r="F57">
            <v>9224</v>
          </cell>
          <cell r="G57">
            <v>3062100</v>
          </cell>
          <cell r="H57">
            <v>18742900</v>
          </cell>
        </row>
        <row r="58">
          <cell r="F58">
            <v>14478</v>
          </cell>
          <cell r="G58">
            <v>3628600</v>
          </cell>
          <cell r="H58">
            <v>28241200</v>
          </cell>
        </row>
        <row r="59">
          <cell r="F59">
            <v>7287</v>
          </cell>
          <cell r="G59">
            <v>2536000</v>
          </cell>
          <cell r="H59">
            <v>14923900</v>
          </cell>
        </row>
        <row r="60">
          <cell r="F60">
            <v>6776</v>
          </cell>
          <cell r="G60">
            <v>1916200</v>
          </cell>
          <cell r="H60">
            <v>13435400</v>
          </cell>
        </row>
        <row r="61">
          <cell r="F61">
            <v>4747</v>
          </cell>
          <cell r="G61">
            <v>1280800</v>
          </cell>
          <cell r="H61">
            <v>9350700</v>
          </cell>
        </row>
        <row r="62">
          <cell r="F62">
            <v>11870</v>
          </cell>
          <cell r="G62">
            <v>3373500</v>
          </cell>
          <cell r="H62">
            <v>23552500</v>
          </cell>
        </row>
        <row r="63">
          <cell r="F63">
            <v>9653</v>
          </cell>
          <cell r="G63">
            <v>3103100</v>
          </cell>
          <cell r="H63">
            <v>19513200</v>
          </cell>
        </row>
        <row r="64">
          <cell r="F64">
            <v>10331</v>
          </cell>
          <cell r="G64">
            <v>2842200</v>
          </cell>
          <cell r="H64">
            <v>20404900</v>
          </cell>
        </row>
        <row r="65">
          <cell r="F65">
            <v>6996</v>
          </cell>
          <cell r="G65">
            <v>2499800</v>
          </cell>
          <cell r="H65">
            <v>14393000</v>
          </cell>
        </row>
        <row r="66">
          <cell r="F66">
            <v>6401</v>
          </cell>
          <cell r="G66">
            <v>2588900</v>
          </cell>
          <cell r="H66">
            <v>13470600</v>
          </cell>
        </row>
        <row r="67">
          <cell r="F67">
            <v>4471</v>
          </cell>
          <cell r="G67">
            <v>2123900</v>
          </cell>
          <cell r="H67">
            <v>9724600</v>
          </cell>
        </row>
        <row r="68">
          <cell r="F68">
            <v>8457</v>
          </cell>
          <cell r="G68">
            <v>2409600</v>
          </cell>
          <cell r="H68">
            <v>16786500</v>
          </cell>
        </row>
        <row r="69">
          <cell r="F69">
            <v>5745</v>
          </cell>
          <cell r="G69">
            <v>1926300</v>
          </cell>
          <cell r="H69">
            <v>11692800</v>
          </cell>
        </row>
        <row r="70">
          <cell r="F70">
            <v>10408</v>
          </cell>
          <cell r="G70">
            <v>3312400</v>
          </cell>
          <cell r="H70">
            <v>21006000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5909</v>
          </cell>
          <cell r="G72">
            <v>1616800</v>
          </cell>
          <cell r="H72">
            <v>11662100</v>
          </cell>
        </row>
        <row r="73">
          <cell r="F73">
            <v>3813</v>
          </cell>
          <cell r="G73">
            <v>942000</v>
          </cell>
          <cell r="H73">
            <v>7424100</v>
          </cell>
        </row>
        <row r="74">
          <cell r="F74">
            <v>10326</v>
          </cell>
          <cell r="G74">
            <v>2378500</v>
          </cell>
          <cell r="H74">
            <v>19932700</v>
          </cell>
        </row>
        <row r="75">
          <cell r="F75">
            <v>5542</v>
          </cell>
          <cell r="G75">
            <v>1901600</v>
          </cell>
          <cell r="H75">
            <v>11323000</v>
          </cell>
        </row>
        <row r="76">
          <cell r="F76">
            <v>13170</v>
          </cell>
          <cell r="G76">
            <v>3182800</v>
          </cell>
          <cell r="H76">
            <v>25571800</v>
          </cell>
        </row>
        <row r="77">
          <cell r="F77">
            <v>7811</v>
          </cell>
          <cell r="G77">
            <v>1292100</v>
          </cell>
          <cell r="H77">
            <v>14570800</v>
          </cell>
        </row>
        <row r="78">
          <cell r="F78">
            <v>5582</v>
          </cell>
          <cell r="G78">
            <v>1290800</v>
          </cell>
          <cell r="H78">
            <v>10780200</v>
          </cell>
        </row>
        <row r="79">
          <cell r="F79">
            <v>2082</v>
          </cell>
          <cell r="G79">
            <v>442800</v>
          </cell>
          <cell r="H79">
            <v>3982200</v>
          </cell>
        </row>
        <row r="80">
          <cell r="F80">
            <v>4328</v>
          </cell>
          <cell r="G80">
            <v>804300</v>
          </cell>
          <cell r="H80">
            <v>8161900</v>
          </cell>
        </row>
        <row r="81">
          <cell r="F81">
            <v>14466</v>
          </cell>
          <cell r="G81">
            <v>4546200</v>
          </cell>
          <cell r="H81">
            <v>29138400</v>
          </cell>
        </row>
        <row r="82">
          <cell r="F82">
            <v>5277</v>
          </cell>
          <cell r="G82">
            <v>1974800</v>
          </cell>
          <cell r="H82">
            <v>10945700</v>
          </cell>
        </row>
        <row r="83">
          <cell r="F83">
            <v>2588</v>
          </cell>
          <cell r="G83">
            <v>875600</v>
          </cell>
          <cell r="H83">
            <v>5275200</v>
          </cell>
        </row>
        <row r="84">
          <cell r="F84">
            <v>2543</v>
          </cell>
          <cell r="G84">
            <v>496650</v>
          </cell>
          <cell r="H84">
            <v>4819750</v>
          </cell>
        </row>
        <row r="85">
          <cell r="F85">
            <v>1162</v>
          </cell>
          <cell r="G85">
            <v>224300</v>
          </cell>
          <cell r="H85">
            <v>2199700</v>
          </cell>
        </row>
        <row r="86">
          <cell r="F86">
            <v>3156</v>
          </cell>
          <cell r="G86">
            <v>942900</v>
          </cell>
          <cell r="H86">
            <v>6308100</v>
          </cell>
        </row>
        <row r="87">
          <cell r="F87">
            <v>3170</v>
          </cell>
          <cell r="G87">
            <v>700900</v>
          </cell>
          <cell r="H87">
            <v>6089900</v>
          </cell>
        </row>
        <row r="88">
          <cell r="F88">
            <v>4792</v>
          </cell>
          <cell r="G88">
            <v>1433000</v>
          </cell>
          <cell r="H88">
            <v>9579400</v>
          </cell>
        </row>
        <row r="89">
          <cell r="F89">
            <v>1787</v>
          </cell>
          <cell r="G89">
            <v>698100</v>
          </cell>
          <cell r="H89">
            <v>3736000</v>
          </cell>
        </row>
        <row r="90">
          <cell r="F90">
            <v>2192</v>
          </cell>
          <cell r="G90">
            <v>857300</v>
          </cell>
          <cell r="H90">
            <v>4583700</v>
          </cell>
        </row>
        <row r="91">
          <cell r="F91">
            <v>4667</v>
          </cell>
          <cell r="G91">
            <v>1460200</v>
          </cell>
          <cell r="H91">
            <v>9394100</v>
          </cell>
        </row>
        <row r="92">
          <cell r="F92">
            <v>2047</v>
          </cell>
          <cell r="G92">
            <v>791400</v>
          </cell>
          <cell r="H92">
            <v>4271300</v>
          </cell>
        </row>
        <row r="93">
          <cell r="F93">
            <v>2267</v>
          </cell>
          <cell r="G93">
            <v>1070500</v>
          </cell>
          <cell r="H93">
            <v>4924400</v>
          </cell>
        </row>
        <row r="94">
          <cell r="F94">
            <v>671</v>
          </cell>
          <cell r="G94">
            <v>103050</v>
          </cell>
          <cell r="H94">
            <v>1243750</v>
          </cell>
        </row>
        <row r="95">
          <cell r="F95">
            <v>2536</v>
          </cell>
          <cell r="G95">
            <v>693300</v>
          </cell>
          <cell r="H95">
            <v>5004500</v>
          </cell>
        </row>
        <row r="96">
          <cell r="F96">
            <v>2920</v>
          </cell>
          <cell r="G96">
            <v>659200</v>
          </cell>
          <cell r="H96">
            <v>5623200</v>
          </cell>
        </row>
        <row r="97">
          <cell r="F97">
            <v>6011</v>
          </cell>
          <cell r="G97">
            <v>989200</v>
          </cell>
          <cell r="H97">
            <v>11207900</v>
          </cell>
        </row>
        <row r="98">
          <cell r="F98">
            <v>3418</v>
          </cell>
          <cell r="G98">
            <v>799800</v>
          </cell>
          <cell r="H98">
            <v>6610400</v>
          </cell>
        </row>
        <row r="99">
          <cell r="F99">
            <v>6607</v>
          </cell>
          <cell r="G99">
            <v>1230900</v>
          </cell>
          <cell r="H99">
            <v>12462800</v>
          </cell>
        </row>
        <row r="100">
          <cell r="F100">
            <v>7417</v>
          </cell>
          <cell r="G100">
            <v>1504800</v>
          </cell>
          <cell r="H100">
            <v>14113700</v>
          </cell>
        </row>
        <row r="101">
          <cell r="F101">
            <v>2523</v>
          </cell>
          <cell r="G101">
            <v>489800</v>
          </cell>
          <cell r="H101">
            <v>4778900</v>
          </cell>
        </row>
        <row r="102">
          <cell r="F102">
            <v>13818</v>
          </cell>
          <cell r="G102">
            <v>1964300</v>
          </cell>
          <cell r="H102">
            <v>25454900</v>
          </cell>
        </row>
        <row r="103">
          <cell r="F103">
            <v>10973</v>
          </cell>
          <cell r="G103">
            <v>1733300</v>
          </cell>
          <cell r="H103">
            <v>20387400</v>
          </cell>
        </row>
        <row r="104">
          <cell r="F104">
            <v>5045</v>
          </cell>
          <cell r="G104">
            <v>1295800</v>
          </cell>
          <cell r="H104">
            <v>9872300</v>
          </cell>
        </row>
        <row r="105">
          <cell r="F105">
            <v>3227</v>
          </cell>
          <cell r="G105">
            <v>1325900</v>
          </cell>
          <cell r="H105">
            <v>6811800</v>
          </cell>
        </row>
        <row r="106">
          <cell r="F106">
            <v>2920</v>
          </cell>
          <cell r="G106">
            <v>1109700</v>
          </cell>
          <cell r="H106">
            <v>6073700</v>
          </cell>
        </row>
        <row r="107">
          <cell r="F107">
            <v>4886</v>
          </cell>
          <cell r="G107">
            <v>1052700</v>
          </cell>
          <cell r="H107">
            <v>9358900</v>
          </cell>
        </row>
        <row r="108">
          <cell r="F108">
            <v>4523</v>
          </cell>
          <cell r="G108">
            <v>965300</v>
          </cell>
          <cell r="H108">
            <v>8654400</v>
          </cell>
        </row>
        <row r="109">
          <cell r="F109">
            <v>3143</v>
          </cell>
          <cell r="G109">
            <v>645200</v>
          </cell>
          <cell r="H109">
            <v>5988300</v>
          </cell>
        </row>
        <row r="110">
          <cell r="F110">
            <v>1842</v>
          </cell>
          <cell r="G110">
            <v>287300</v>
          </cell>
          <cell r="H110">
            <v>3418700</v>
          </cell>
        </row>
        <row r="111">
          <cell r="F111">
            <v>5341</v>
          </cell>
          <cell r="G111">
            <v>1227900</v>
          </cell>
          <cell r="H111">
            <v>10307600</v>
          </cell>
        </row>
        <row r="112">
          <cell r="F112">
            <v>3542</v>
          </cell>
          <cell r="G112">
            <v>908300</v>
          </cell>
          <cell r="H112">
            <v>6929700</v>
          </cell>
        </row>
        <row r="113">
          <cell r="F113">
            <v>4098</v>
          </cell>
          <cell r="G113">
            <v>1837650</v>
          </cell>
          <cell r="H113">
            <v>8804250</v>
          </cell>
        </row>
        <row r="114">
          <cell r="F114">
            <v>286</v>
          </cell>
          <cell r="G114">
            <v>95500</v>
          </cell>
          <cell r="H114">
            <v>581700</v>
          </cell>
        </row>
        <row r="115">
          <cell r="F115">
            <v>1940</v>
          </cell>
          <cell r="G115">
            <v>501900</v>
          </cell>
          <cell r="H115">
            <v>3799900</v>
          </cell>
        </row>
        <row r="116">
          <cell r="F116">
            <v>372</v>
          </cell>
          <cell r="G116">
            <v>173000</v>
          </cell>
          <cell r="H116">
            <v>805400</v>
          </cell>
        </row>
        <row r="117">
          <cell r="F117">
            <v>2133</v>
          </cell>
          <cell r="G117">
            <v>266700</v>
          </cell>
          <cell r="H117">
            <v>3892800</v>
          </cell>
        </row>
        <row r="118">
          <cell r="F118">
            <v>2999</v>
          </cell>
          <cell r="G118">
            <v>978900</v>
          </cell>
          <cell r="H118">
            <v>6077200</v>
          </cell>
        </row>
        <row r="121">
          <cell r="F121">
            <v>43602</v>
          </cell>
          <cell r="G121">
            <v>4627200</v>
          </cell>
        </row>
        <row r="122">
          <cell r="F122">
            <v>9620</v>
          </cell>
          <cell r="G122">
            <v>10940100</v>
          </cell>
          <cell r="H122">
            <v>27294100</v>
          </cell>
        </row>
        <row r="133">
          <cell r="F133">
            <v>163378</v>
          </cell>
          <cell r="G133">
            <v>47597100</v>
          </cell>
          <cell r="H133">
            <v>325339700</v>
          </cell>
        </row>
        <row r="135">
          <cell r="F135">
            <v>213</v>
          </cell>
          <cell r="G135">
            <v>278800</v>
          </cell>
          <cell r="H135">
            <v>640900</v>
          </cell>
        </row>
        <row r="136">
          <cell r="F136">
            <v>4734</v>
          </cell>
          <cell r="G136">
            <v>2599900</v>
          </cell>
          <cell r="H136">
            <v>10647700</v>
          </cell>
        </row>
        <row r="137">
          <cell r="F137">
            <v>423</v>
          </cell>
          <cell r="G137">
            <v>556300</v>
          </cell>
          <cell r="H137">
            <v>1275400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380</v>
          </cell>
          <cell r="G139">
            <v>321900</v>
          </cell>
          <cell r="H139">
            <v>967900</v>
          </cell>
        </row>
        <row r="140">
          <cell r="F140">
            <v>471</v>
          </cell>
          <cell r="G140">
            <v>553500</v>
          </cell>
          <cell r="H140">
            <v>1354200</v>
          </cell>
        </row>
        <row r="141">
          <cell r="F141">
            <v>354</v>
          </cell>
          <cell r="G141">
            <v>612500</v>
          </cell>
          <cell r="H141">
            <v>1214300</v>
          </cell>
        </row>
        <row r="142">
          <cell r="F142">
            <v>192</v>
          </cell>
          <cell r="G142">
            <v>456100</v>
          </cell>
          <cell r="H142">
            <v>782500</v>
          </cell>
        </row>
        <row r="143">
          <cell r="F143">
            <v>384</v>
          </cell>
          <cell r="G143">
            <v>487400</v>
          </cell>
          <cell r="H143">
            <v>1140200</v>
          </cell>
        </row>
        <row r="144">
          <cell r="F144">
            <v>335</v>
          </cell>
          <cell r="G144">
            <v>644700</v>
          </cell>
          <cell r="H144">
            <v>1214200</v>
          </cell>
          <cell r="M144">
            <v>1057749.2109999999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167</v>
          </cell>
          <cell r="G146">
            <v>303000</v>
          </cell>
          <cell r="H146">
            <v>586900</v>
          </cell>
        </row>
        <row r="147">
          <cell r="F147">
            <v>349</v>
          </cell>
          <cell r="G147">
            <v>542100</v>
          </cell>
          <cell r="H147">
            <v>1135400</v>
          </cell>
        </row>
        <row r="148">
          <cell r="F148">
            <v>835</v>
          </cell>
          <cell r="G148">
            <v>1189700</v>
          </cell>
          <cell r="H148">
            <v>2609200</v>
          </cell>
        </row>
        <row r="149">
          <cell r="F149">
            <v>241</v>
          </cell>
          <cell r="G149">
            <v>300400</v>
          </cell>
          <cell r="H149">
            <v>710100</v>
          </cell>
        </row>
        <row r="150">
          <cell r="F150">
            <v>373</v>
          </cell>
          <cell r="G150">
            <v>509208</v>
          </cell>
          <cell r="H150">
            <v>1143308</v>
          </cell>
        </row>
        <row r="153">
          <cell r="F153">
            <v>0</v>
          </cell>
          <cell r="G153">
            <v>63000</v>
          </cell>
          <cell r="H153">
            <v>63000</v>
          </cell>
        </row>
        <row r="154">
          <cell r="F154">
            <v>0</v>
          </cell>
          <cell r="G154">
            <v>240000</v>
          </cell>
          <cell r="H154">
            <v>240000</v>
          </cell>
        </row>
        <row r="155">
          <cell r="F155">
            <v>0</v>
          </cell>
          <cell r="G155">
            <v>160000</v>
          </cell>
          <cell r="H155">
            <v>160000</v>
          </cell>
        </row>
        <row r="156">
          <cell r="F156">
            <v>0</v>
          </cell>
          <cell r="G156">
            <v>1764000</v>
          </cell>
          <cell r="H156">
            <v>1764000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1420000</v>
          </cell>
          <cell r="H158">
            <v>1420000</v>
          </cell>
        </row>
        <row r="159">
          <cell r="F159">
            <v>0</v>
          </cell>
          <cell r="G159">
            <v>1713000</v>
          </cell>
          <cell r="H159">
            <v>1713000</v>
          </cell>
        </row>
        <row r="160">
          <cell r="F160">
            <v>0</v>
          </cell>
          <cell r="G160">
            <v>1308000</v>
          </cell>
          <cell r="H160">
            <v>1308000</v>
          </cell>
        </row>
        <row r="161">
          <cell r="F161">
            <v>0</v>
          </cell>
          <cell r="G161">
            <v>2184000</v>
          </cell>
          <cell r="H161">
            <v>2184000</v>
          </cell>
        </row>
        <row r="162">
          <cell r="F162">
            <v>0</v>
          </cell>
          <cell r="G162">
            <v>1089000</v>
          </cell>
          <cell r="H162">
            <v>1089000</v>
          </cell>
        </row>
        <row r="163">
          <cell r="F163">
            <v>0</v>
          </cell>
          <cell r="G163">
            <v>1058000</v>
          </cell>
          <cell r="H163">
            <v>1058000</v>
          </cell>
        </row>
        <row r="164">
          <cell r="F164">
            <v>0</v>
          </cell>
          <cell r="G164">
            <v>268000</v>
          </cell>
          <cell r="H164">
            <v>268000</v>
          </cell>
        </row>
        <row r="165">
          <cell r="F165">
            <v>0</v>
          </cell>
          <cell r="G165">
            <v>692000</v>
          </cell>
          <cell r="H165">
            <v>692000</v>
          </cell>
        </row>
        <row r="166">
          <cell r="F166">
            <v>0</v>
          </cell>
          <cell r="G166">
            <v>63000</v>
          </cell>
          <cell r="H166">
            <v>63000</v>
          </cell>
        </row>
        <row r="167">
          <cell r="F167">
            <v>0</v>
          </cell>
          <cell r="G167">
            <v>206000</v>
          </cell>
          <cell r="H167">
            <v>206000</v>
          </cell>
        </row>
        <row r="168">
          <cell r="F168">
            <v>0</v>
          </cell>
          <cell r="G168">
            <v>61000</v>
          </cell>
          <cell r="H168">
            <v>61000</v>
          </cell>
        </row>
        <row r="169">
          <cell r="F169">
            <v>0</v>
          </cell>
          <cell r="G169">
            <v>20000</v>
          </cell>
          <cell r="H169">
            <v>20000</v>
          </cell>
        </row>
        <row r="170">
          <cell r="F170">
            <v>0</v>
          </cell>
          <cell r="G170">
            <v>56000</v>
          </cell>
          <cell r="H170">
            <v>56000</v>
          </cell>
        </row>
        <row r="171">
          <cell r="F171">
            <v>0</v>
          </cell>
          <cell r="G171">
            <v>80000</v>
          </cell>
          <cell r="H171">
            <v>80000</v>
          </cell>
        </row>
        <row r="172">
          <cell r="F172">
            <v>0</v>
          </cell>
          <cell r="G172">
            <v>16000</v>
          </cell>
          <cell r="H172">
            <v>16000</v>
          </cell>
        </row>
        <row r="173">
          <cell r="F173">
            <v>0</v>
          </cell>
          <cell r="G173">
            <v>27000</v>
          </cell>
          <cell r="H173">
            <v>27000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96000</v>
          </cell>
          <cell r="H175">
            <v>96000</v>
          </cell>
        </row>
        <row r="176">
          <cell r="F176">
            <v>0</v>
          </cell>
          <cell r="G176">
            <v>44000</v>
          </cell>
          <cell r="H176">
            <v>44000</v>
          </cell>
        </row>
        <row r="177">
          <cell r="F177">
            <v>0</v>
          </cell>
          <cell r="G177">
            <v>434000</v>
          </cell>
          <cell r="H177">
            <v>434000</v>
          </cell>
        </row>
        <row r="178">
          <cell r="F178">
            <v>0</v>
          </cell>
          <cell r="G178">
            <v>434000</v>
          </cell>
          <cell r="H178">
            <v>434000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1000</v>
          </cell>
          <cell r="H180">
            <v>1000</v>
          </cell>
        </row>
        <row r="181">
          <cell r="F181">
            <v>0</v>
          </cell>
          <cell r="G181">
            <v>16000</v>
          </cell>
          <cell r="H181">
            <v>16000</v>
          </cell>
        </row>
        <row r="182">
          <cell r="F182">
            <v>0</v>
          </cell>
          <cell r="G182">
            <v>34000</v>
          </cell>
          <cell r="H182">
            <v>34000</v>
          </cell>
        </row>
        <row r="183">
          <cell r="F183">
            <v>0</v>
          </cell>
          <cell r="G183">
            <v>218000</v>
          </cell>
          <cell r="H183">
            <v>218000</v>
          </cell>
        </row>
        <row r="184">
          <cell r="F184">
            <v>0</v>
          </cell>
          <cell r="G184">
            <v>26000</v>
          </cell>
          <cell r="H184">
            <v>26000</v>
          </cell>
        </row>
        <row r="185">
          <cell r="F185">
            <v>0</v>
          </cell>
          <cell r="G185">
            <v>76000</v>
          </cell>
          <cell r="H185">
            <v>76000</v>
          </cell>
        </row>
        <row r="186">
          <cell r="F186">
            <v>0</v>
          </cell>
          <cell r="G186">
            <v>69000</v>
          </cell>
          <cell r="H186">
            <v>69000</v>
          </cell>
        </row>
        <row r="187">
          <cell r="F187">
            <v>0</v>
          </cell>
          <cell r="G187">
            <v>391000</v>
          </cell>
          <cell r="H187">
            <v>391000</v>
          </cell>
        </row>
        <row r="188">
          <cell r="F188">
            <v>0</v>
          </cell>
          <cell r="G188">
            <v>12000</v>
          </cell>
          <cell r="H188">
            <v>12000</v>
          </cell>
        </row>
        <row r="189">
          <cell r="F189">
            <v>0</v>
          </cell>
          <cell r="G189">
            <v>137000</v>
          </cell>
          <cell r="H189">
            <v>137000</v>
          </cell>
        </row>
        <row r="190">
          <cell r="F190">
            <v>0</v>
          </cell>
          <cell r="G190">
            <v>50000</v>
          </cell>
          <cell r="H190">
            <v>50000</v>
          </cell>
        </row>
        <row r="191">
          <cell r="F191">
            <v>0</v>
          </cell>
          <cell r="G191">
            <v>24000</v>
          </cell>
          <cell r="H191">
            <v>24000</v>
          </cell>
        </row>
        <row r="192">
          <cell r="F192">
            <v>0</v>
          </cell>
          <cell r="G192">
            <v>68000</v>
          </cell>
          <cell r="H192">
            <v>68000</v>
          </cell>
        </row>
        <row r="193">
          <cell r="F193">
            <v>0</v>
          </cell>
          <cell r="G193">
            <v>139000</v>
          </cell>
          <cell r="H193">
            <v>139000</v>
          </cell>
        </row>
        <row r="194">
          <cell r="F194">
            <v>0</v>
          </cell>
          <cell r="G194">
            <v>59000</v>
          </cell>
          <cell r="H194">
            <v>59000</v>
          </cell>
        </row>
        <row r="195">
          <cell r="F195">
            <v>0</v>
          </cell>
          <cell r="G195">
            <v>121000</v>
          </cell>
          <cell r="H195">
            <v>121000</v>
          </cell>
        </row>
        <row r="196">
          <cell r="F196">
            <v>0</v>
          </cell>
          <cell r="G196">
            <v>161000</v>
          </cell>
          <cell r="H196">
            <v>161000</v>
          </cell>
        </row>
        <row r="197">
          <cell r="F197">
            <v>0</v>
          </cell>
          <cell r="G197">
            <v>34000</v>
          </cell>
          <cell r="H197">
            <v>34000</v>
          </cell>
        </row>
        <row r="198">
          <cell r="F198">
            <v>0</v>
          </cell>
          <cell r="G198">
            <v>156000</v>
          </cell>
          <cell r="H198">
            <v>156000</v>
          </cell>
        </row>
        <row r="199">
          <cell r="F199">
            <v>0</v>
          </cell>
          <cell r="G199">
            <v>27000</v>
          </cell>
          <cell r="H199">
            <v>27000</v>
          </cell>
        </row>
        <row r="200">
          <cell r="F200">
            <v>0</v>
          </cell>
          <cell r="G200">
            <v>45000</v>
          </cell>
          <cell r="H200">
            <v>45000</v>
          </cell>
        </row>
        <row r="201">
          <cell r="F201">
            <v>0</v>
          </cell>
          <cell r="G201">
            <v>207000</v>
          </cell>
          <cell r="H201">
            <v>207000</v>
          </cell>
        </row>
        <row r="202">
          <cell r="F202">
            <v>0</v>
          </cell>
          <cell r="G202">
            <v>62000</v>
          </cell>
          <cell r="H202">
            <v>62000</v>
          </cell>
        </row>
        <row r="203">
          <cell r="F203">
            <v>0</v>
          </cell>
          <cell r="G203">
            <v>33000</v>
          </cell>
          <cell r="H203">
            <v>33000</v>
          </cell>
        </row>
        <row r="204">
          <cell r="F204">
            <v>0</v>
          </cell>
          <cell r="G204">
            <v>181000</v>
          </cell>
          <cell r="H204">
            <v>181000</v>
          </cell>
        </row>
        <row r="205">
          <cell r="F205">
            <v>0</v>
          </cell>
          <cell r="G205">
            <v>79000</v>
          </cell>
          <cell r="H205">
            <v>79000</v>
          </cell>
        </row>
        <row r="206">
          <cell r="F206">
            <v>0</v>
          </cell>
          <cell r="G206">
            <v>39000</v>
          </cell>
          <cell r="H206">
            <v>39000</v>
          </cell>
        </row>
        <row r="207">
          <cell r="F207">
            <v>0</v>
          </cell>
          <cell r="G207">
            <v>198000</v>
          </cell>
          <cell r="H207">
            <v>198000</v>
          </cell>
        </row>
        <row r="208">
          <cell r="F208">
            <v>0</v>
          </cell>
          <cell r="G208">
            <v>145000</v>
          </cell>
          <cell r="H208">
            <v>145000</v>
          </cell>
        </row>
        <row r="209">
          <cell r="F209">
            <v>0</v>
          </cell>
          <cell r="G209">
            <v>211000</v>
          </cell>
          <cell r="H209">
            <v>211000</v>
          </cell>
        </row>
        <row r="210">
          <cell r="F210">
            <v>0</v>
          </cell>
          <cell r="G210">
            <v>615000</v>
          </cell>
          <cell r="H210">
            <v>615000</v>
          </cell>
        </row>
        <row r="211">
          <cell r="F211">
            <v>0</v>
          </cell>
          <cell r="G211">
            <v>96000</v>
          </cell>
          <cell r="H211">
            <v>96000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5000</v>
          </cell>
          <cell r="H213">
            <v>5000</v>
          </cell>
        </row>
        <row r="214">
          <cell r="F214">
            <v>0</v>
          </cell>
          <cell r="G214">
            <v>121000</v>
          </cell>
          <cell r="H214">
            <v>121000</v>
          </cell>
        </row>
        <row r="215">
          <cell r="F215">
            <v>0</v>
          </cell>
          <cell r="G215">
            <v>71000</v>
          </cell>
          <cell r="H215">
            <v>71000</v>
          </cell>
        </row>
        <row r="216">
          <cell r="F216">
            <v>0</v>
          </cell>
          <cell r="G216">
            <v>430000</v>
          </cell>
          <cell r="H216">
            <v>430000</v>
          </cell>
        </row>
        <row r="217">
          <cell r="F217">
            <v>0</v>
          </cell>
          <cell r="G217">
            <v>138000</v>
          </cell>
          <cell r="H217">
            <v>138000</v>
          </cell>
        </row>
        <row r="218">
          <cell r="F218">
            <v>0</v>
          </cell>
          <cell r="G218">
            <v>280000</v>
          </cell>
          <cell r="H218">
            <v>280000</v>
          </cell>
        </row>
        <row r="219">
          <cell r="F219">
            <v>0</v>
          </cell>
          <cell r="G219">
            <v>116000</v>
          </cell>
          <cell r="H219">
            <v>116000</v>
          </cell>
        </row>
        <row r="220">
          <cell r="F220">
            <v>0</v>
          </cell>
          <cell r="G220">
            <v>154000</v>
          </cell>
          <cell r="H220">
            <v>154000</v>
          </cell>
        </row>
        <row r="223">
          <cell r="F223">
            <v>53</v>
          </cell>
          <cell r="G223">
            <v>722300</v>
          </cell>
          <cell r="H223">
            <v>812400</v>
          </cell>
        </row>
        <row r="224">
          <cell r="F224">
            <v>5</v>
          </cell>
          <cell r="G224">
            <v>1997200</v>
          </cell>
          <cell r="H224">
            <v>2005700</v>
          </cell>
        </row>
        <row r="225">
          <cell r="F225">
            <v>595</v>
          </cell>
          <cell r="G225">
            <v>884900</v>
          </cell>
          <cell r="H225">
            <v>1896400</v>
          </cell>
        </row>
        <row r="226">
          <cell r="F226">
            <v>1154</v>
          </cell>
          <cell r="G226">
            <v>915450</v>
          </cell>
          <cell r="H226">
            <v>2877250</v>
          </cell>
        </row>
        <row r="227">
          <cell r="F227">
            <v>921</v>
          </cell>
          <cell r="G227">
            <v>533100</v>
          </cell>
          <cell r="H227">
            <v>2098800</v>
          </cell>
        </row>
        <row r="228">
          <cell r="F228">
            <v>356</v>
          </cell>
          <cell r="G228">
            <v>1889400</v>
          </cell>
          <cell r="H228">
            <v>2494600</v>
          </cell>
        </row>
        <row r="229">
          <cell r="F229">
            <v>910</v>
          </cell>
          <cell r="G229">
            <v>1636900</v>
          </cell>
          <cell r="H229">
            <v>3183900</v>
          </cell>
        </row>
        <row r="230">
          <cell r="F230">
            <v>457</v>
          </cell>
          <cell r="G230">
            <v>475800</v>
          </cell>
          <cell r="H230">
            <v>1252700</v>
          </cell>
        </row>
        <row r="231">
          <cell r="F231">
            <v>154</v>
          </cell>
          <cell r="G231">
            <v>3097600</v>
          </cell>
          <cell r="H231">
            <v>3359400</v>
          </cell>
        </row>
        <row r="232">
          <cell r="F232">
            <v>0</v>
          </cell>
          <cell r="G232">
            <v>2024900</v>
          </cell>
          <cell r="H232">
            <v>2024900</v>
          </cell>
        </row>
        <row r="233">
          <cell r="F233">
            <v>825</v>
          </cell>
          <cell r="G233">
            <v>1651300</v>
          </cell>
          <cell r="H233">
            <v>3053800</v>
          </cell>
        </row>
        <row r="234">
          <cell r="F234">
            <v>1394</v>
          </cell>
          <cell r="G234">
            <v>477400</v>
          </cell>
          <cell r="H234">
            <v>2847200</v>
          </cell>
        </row>
        <row r="235">
          <cell r="F235">
            <v>0</v>
          </cell>
          <cell r="G235">
            <v>600000</v>
          </cell>
          <cell r="H235">
            <v>600000</v>
          </cell>
        </row>
        <row r="236">
          <cell r="F236">
            <v>28</v>
          </cell>
          <cell r="G236">
            <v>673700</v>
          </cell>
          <cell r="H236">
            <v>721300</v>
          </cell>
        </row>
        <row r="237">
          <cell r="F237">
            <v>355</v>
          </cell>
          <cell r="G237">
            <v>1395900</v>
          </cell>
          <cell r="H237">
            <v>1999400</v>
          </cell>
        </row>
        <row r="238">
          <cell r="F238">
            <v>905</v>
          </cell>
          <cell r="G238">
            <v>1148800</v>
          </cell>
          <cell r="H238">
            <v>2687300</v>
          </cell>
        </row>
        <row r="239">
          <cell r="F239">
            <v>178</v>
          </cell>
          <cell r="G239">
            <v>1898100</v>
          </cell>
          <cell r="H239">
            <v>2200700</v>
          </cell>
        </row>
        <row r="240">
          <cell r="F240">
            <v>935</v>
          </cell>
          <cell r="G240">
            <v>674500</v>
          </cell>
          <cell r="H240">
            <v>2264000</v>
          </cell>
        </row>
        <row r="241">
          <cell r="F241">
            <v>662</v>
          </cell>
          <cell r="G241">
            <v>697800</v>
          </cell>
          <cell r="H241">
            <v>1823200</v>
          </cell>
        </row>
        <row r="242">
          <cell r="F242">
            <v>1057</v>
          </cell>
          <cell r="G242">
            <v>1242500</v>
          </cell>
          <cell r="H242">
            <v>3039400</v>
          </cell>
        </row>
        <row r="243">
          <cell r="F243">
            <v>972</v>
          </cell>
          <cell r="G243">
            <v>779300</v>
          </cell>
          <cell r="H243">
            <v>2431700</v>
          </cell>
        </row>
        <row r="244">
          <cell r="F244">
            <v>507</v>
          </cell>
          <cell r="G244">
            <v>1027600</v>
          </cell>
          <cell r="H244">
            <v>1889500</v>
          </cell>
        </row>
        <row r="245">
          <cell r="F245">
            <v>388</v>
          </cell>
          <cell r="G245">
            <v>946600</v>
          </cell>
          <cell r="H245">
            <v>1606200</v>
          </cell>
        </row>
        <row r="246">
          <cell r="F246">
            <v>605</v>
          </cell>
          <cell r="G246">
            <v>1237700</v>
          </cell>
          <cell r="H246">
            <v>2266200</v>
          </cell>
        </row>
        <row r="247">
          <cell r="F247">
            <v>1224</v>
          </cell>
          <cell r="G247">
            <v>357500</v>
          </cell>
          <cell r="H247">
            <v>2438300</v>
          </cell>
        </row>
        <row r="248">
          <cell r="F248">
            <v>463</v>
          </cell>
          <cell r="G248">
            <v>1846300</v>
          </cell>
          <cell r="H248">
            <v>2633400</v>
          </cell>
        </row>
        <row r="249">
          <cell r="F249">
            <v>187</v>
          </cell>
          <cell r="G249">
            <v>1884900</v>
          </cell>
          <cell r="H249">
            <v>2202800</v>
          </cell>
        </row>
        <row r="250">
          <cell r="F250">
            <v>157</v>
          </cell>
          <cell r="G250">
            <v>2727000</v>
          </cell>
          <cell r="H250">
            <v>2993900</v>
          </cell>
        </row>
        <row r="251">
          <cell r="F251">
            <v>294</v>
          </cell>
          <cell r="G251">
            <v>1638200</v>
          </cell>
          <cell r="H251">
            <v>2138000</v>
          </cell>
        </row>
        <row r="252">
          <cell r="F252">
            <v>220</v>
          </cell>
          <cell r="G252">
            <v>516100</v>
          </cell>
          <cell r="H252">
            <v>890100</v>
          </cell>
        </row>
        <row r="253">
          <cell r="F253">
            <v>103</v>
          </cell>
          <cell r="G253">
            <v>2902500</v>
          </cell>
          <cell r="H253">
            <v>3077600</v>
          </cell>
        </row>
        <row r="254">
          <cell r="F254">
            <v>713</v>
          </cell>
          <cell r="G254">
            <v>1133200</v>
          </cell>
          <cell r="H254">
            <v>2345300</v>
          </cell>
        </row>
        <row r="255">
          <cell r="F255">
            <v>382</v>
          </cell>
          <cell r="G255">
            <v>721600</v>
          </cell>
          <cell r="H255">
            <v>1371000</v>
          </cell>
        </row>
        <row r="256">
          <cell r="F256">
            <v>432</v>
          </cell>
          <cell r="G256">
            <v>2583100</v>
          </cell>
          <cell r="H256">
            <v>3317500</v>
          </cell>
        </row>
        <row r="257">
          <cell r="F257">
            <v>815</v>
          </cell>
          <cell r="G257">
            <v>808600</v>
          </cell>
          <cell r="H257">
            <v>2194100</v>
          </cell>
        </row>
        <row r="260">
          <cell r="G260">
            <v>50000</v>
          </cell>
          <cell r="H260">
            <v>50000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10068</v>
          </cell>
          <cell r="G10">
            <v>3611400</v>
          </cell>
          <cell r="H10">
            <v>20727000</v>
          </cell>
        </row>
        <row r="14">
          <cell r="F14">
            <v>4382</v>
          </cell>
          <cell r="G14">
            <v>977100</v>
          </cell>
          <cell r="H14">
            <v>8426500</v>
          </cell>
        </row>
        <row r="15">
          <cell r="F15">
            <v>3913</v>
          </cell>
          <cell r="G15">
            <v>996650</v>
          </cell>
          <cell r="H15">
            <v>7648750</v>
          </cell>
        </row>
        <row r="16">
          <cell r="F16">
            <v>5076</v>
          </cell>
          <cell r="G16">
            <v>1315600</v>
          </cell>
          <cell r="H16">
            <v>9944800</v>
          </cell>
        </row>
        <row r="17">
          <cell r="F17">
            <v>3255</v>
          </cell>
          <cell r="G17">
            <v>906900</v>
          </cell>
          <cell r="H17">
            <v>6440400</v>
          </cell>
        </row>
        <row r="18">
          <cell r="F18">
            <v>4373</v>
          </cell>
          <cell r="G18">
            <v>1362500</v>
          </cell>
          <cell r="H18">
            <v>8796600</v>
          </cell>
        </row>
        <row r="19">
          <cell r="F19">
            <v>4063</v>
          </cell>
          <cell r="G19">
            <v>1458650</v>
          </cell>
          <cell r="H19">
            <v>8365750</v>
          </cell>
        </row>
        <row r="20">
          <cell r="F20">
            <v>2319</v>
          </cell>
          <cell r="G20">
            <v>842300</v>
          </cell>
          <cell r="H20">
            <v>4784600</v>
          </cell>
        </row>
        <row r="21">
          <cell r="F21">
            <v>3457</v>
          </cell>
          <cell r="G21">
            <v>1477300</v>
          </cell>
          <cell r="H21">
            <v>7354200</v>
          </cell>
        </row>
        <row r="22">
          <cell r="F22">
            <v>5700</v>
          </cell>
          <cell r="G22">
            <v>1961200</v>
          </cell>
          <cell r="H22">
            <v>11651200</v>
          </cell>
        </row>
        <row r="23">
          <cell r="F23">
            <v>2495</v>
          </cell>
          <cell r="G23">
            <v>664400</v>
          </cell>
          <cell r="H23">
            <v>4905900</v>
          </cell>
        </row>
        <row r="24">
          <cell r="F24">
            <v>2405</v>
          </cell>
          <cell r="G24">
            <v>813000</v>
          </cell>
          <cell r="H24">
            <v>4901500</v>
          </cell>
        </row>
        <row r="25">
          <cell r="F25">
            <v>2145</v>
          </cell>
          <cell r="G25">
            <v>772100</v>
          </cell>
          <cell r="H25">
            <v>4418600</v>
          </cell>
        </row>
        <row r="26">
          <cell r="F26">
            <v>4210</v>
          </cell>
          <cell r="G26">
            <v>1333500</v>
          </cell>
          <cell r="H26">
            <v>8490500</v>
          </cell>
        </row>
        <row r="27">
          <cell r="F27">
            <v>9526</v>
          </cell>
          <cell r="G27">
            <v>4449300</v>
          </cell>
          <cell r="H27">
            <v>20643500</v>
          </cell>
        </row>
        <row r="28">
          <cell r="F28">
            <v>7470</v>
          </cell>
          <cell r="G28">
            <v>3191100</v>
          </cell>
          <cell r="H28">
            <v>15890100</v>
          </cell>
        </row>
        <row r="29">
          <cell r="F29">
            <v>5595</v>
          </cell>
          <cell r="G29">
            <v>2699300</v>
          </cell>
          <cell r="H29">
            <v>12210800</v>
          </cell>
        </row>
        <row r="30">
          <cell r="F30">
            <v>9574</v>
          </cell>
          <cell r="G30">
            <v>2586950</v>
          </cell>
          <cell r="H30">
            <v>18862750</v>
          </cell>
        </row>
        <row r="31">
          <cell r="F31">
            <v>4695</v>
          </cell>
          <cell r="G31">
            <v>1776700</v>
          </cell>
          <cell r="H31">
            <v>9758200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6640</v>
          </cell>
          <cell r="G33">
            <v>2254200</v>
          </cell>
          <cell r="H33">
            <v>13542200</v>
          </cell>
        </row>
        <row r="34">
          <cell r="F34">
            <v>9891</v>
          </cell>
          <cell r="G34">
            <v>2367500</v>
          </cell>
          <cell r="H34">
            <v>19182200</v>
          </cell>
        </row>
        <row r="35">
          <cell r="F35">
            <v>8807</v>
          </cell>
          <cell r="G35">
            <v>3489200</v>
          </cell>
          <cell r="H35">
            <v>18461100</v>
          </cell>
        </row>
        <row r="36">
          <cell r="F36">
            <v>9239</v>
          </cell>
          <cell r="G36">
            <v>2571800</v>
          </cell>
          <cell r="H36">
            <v>18278100</v>
          </cell>
        </row>
        <row r="37">
          <cell r="F37">
            <v>2554</v>
          </cell>
          <cell r="G37">
            <v>1296000</v>
          </cell>
          <cell r="H37">
            <v>5637800</v>
          </cell>
        </row>
        <row r="38">
          <cell r="F38">
            <v>4975</v>
          </cell>
          <cell r="G38">
            <v>2231300</v>
          </cell>
          <cell r="H38">
            <v>10688800</v>
          </cell>
        </row>
        <row r="39">
          <cell r="F39">
            <v>1433</v>
          </cell>
          <cell r="G39">
            <v>778700</v>
          </cell>
          <cell r="H39">
            <v>3214800</v>
          </cell>
        </row>
        <row r="40">
          <cell r="F40">
            <v>8841</v>
          </cell>
          <cell r="G40">
            <v>4156950</v>
          </cell>
          <cell r="H40">
            <v>19186650</v>
          </cell>
        </row>
        <row r="41">
          <cell r="F41">
            <v>4396</v>
          </cell>
          <cell r="G41">
            <v>1362800</v>
          </cell>
          <cell r="H41">
            <v>8836000</v>
          </cell>
        </row>
        <row r="42">
          <cell r="F42">
            <v>1101</v>
          </cell>
          <cell r="G42">
            <v>669300</v>
          </cell>
          <cell r="H42">
            <v>2541000</v>
          </cell>
        </row>
        <row r="43">
          <cell r="F43">
            <v>2881</v>
          </cell>
          <cell r="G43">
            <v>1006400</v>
          </cell>
          <cell r="H43">
            <v>5904100</v>
          </cell>
        </row>
        <row r="44">
          <cell r="F44">
            <v>528</v>
          </cell>
          <cell r="G44">
            <v>158100</v>
          </cell>
          <cell r="H44">
            <v>1055700</v>
          </cell>
        </row>
        <row r="45">
          <cell r="F45">
            <v>10010</v>
          </cell>
          <cell r="G45">
            <v>2612250</v>
          </cell>
          <cell r="H45">
            <v>19629250</v>
          </cell>
        </row>
        <row r="46">
          <cell r="F46">
            <v>1225</v>
          </cell>
          <cell r="G46">
            <v>541500</v>
          </cell>
          <cell r="H46">
            <v>2624000</v>
          </cell>
        </row>
        <row r="47">
          <cell r="F47">
            <v>19596</v>
          </cell>
          <cell r="G47">
            <v>4630400</v>
          </cell>
          <cell r="H47">
            <v>37943600</v>
          </cell>
        </row>
        <row r="52">
          <cell r="F52">
            <v>5636</v>
          </cell>
          <cell r="G52">
            <v>1757600</v>
          </cell>
          <cell r="H52">
            <v>11338800</v>
          </cell>
        </row>
        <row r="53">
          <cell r="F53">
            <v>3469</v>
          </cell>
          <cell r="G53">
            <v>1629300</v>
          </cell>
          <cell r="H53">
            <v>7526600</v>
          </cell>
        </row>
        <row r="54">
          <cell r="F54">
            <v>10490</v>
          </cell>
          <cell r="G54">
            <v>2738900</v>
          </cell>
          <cell r="H54">
            <v>20571900</v>
          </cell>
        </row>
        <row r="55">
          <cell r="F55">
            <v>2844</v>
          </cell>
          <cell r="G55">
            <v>924900</v>
          </cell>
          <cell r="H55">
            <v>5759700</v>
          </cell>
        </row>
        <row r="56">
          <cell r="F56">
            <v>2460</v>
          </cell>
          <cell r="G56">
            <v>752300</v>
          </cell>
          <cell r="H56">
            <v>4934300</v>
          </cell>
        </row>
        <row r="57">
          <cell r="F57">
            <v>6824</v>
          </cell>
          <cell r="G57">
            <v>2144400</v>
          </cell>
          <cell r="H57">
            <v>13745200</v>
          </cell>
        </row>
        <row r="58">
          <cell r="F58">
            <v>12358</v>
          </cell>
          <cell r="G58">
            <v>3268100</v>
          </cell>
          <cell r="H58">
            <v>24276700</v>
          </cell>
        </row>
        <row r="59">
          <cell r="F59">
            <v>5770</v>
          </cell>
          <cell r="G59">
            <v>1903000</v>
          </cell>
          <cell r="H59">
            <v>11712000</v>
          </cell>
        </row>
        <row r="60">
          <cell r="F60">
            <v>5350</v>
          </cell>
          <cell r="G60">
            <v>1496900</v>
          </cell>
          <cell r="H60">
            <v>10591900</v>
          </cell>
        </row>
        <row r="61">
          <cell r="F61">
            <v>3407</v>
          </cell>
          <cell r="G61">
            <v>804500</v>
          </cell>
          <cell r="H61">
            <v>6596400</v>
          </cell>
        </row>
        <row r="62">
          <cell r="F62">
            <v>9132</v>
          </cell>
          <cell r="G62">
            <v>2720550</v>
          </cell>
          <cell r="H62">
            <v>18244950</v>
          </cell>
        </row>
        <row r="63">
          <cell r="F63">
            <v>6403</v>
          </cell>
          <cell r="G63">
            <v>1971200</v>
          </cell>
          <cell r="H63">
            <v>12856300</v>
          </cell>
        </row>
        <row r="64">
          <cell r="F64">
            <v>7256</v>
          </cell>
          <cell r="G64">
            <v>2074300</v>
          </cell>
          <cell r="H64">
            <v>14409500</v>
          </cell>
        </row>
        <row r="65">
          <cell r="F65">
            <v>4299</v>
          </cell>
          <cell r="G65">
            <v>1680800</v>
          </cell>
          <cell r="H65">
            <v>8989100</v>
          </cell>
        </row>
        <row r="66">
          <cell r="F66">
            <v>3462</v>
          </cell>
          <cell r="G66">
            <v>1499500</v>
          </cell>
          <cell r="H66">
            <v>7384900</v>
          </cell>
        </row>
        <row r="67">
          <cell r="F67">
            <v>1816</v>
          </cell>
          <cell r="G67">
            <v>842900</v>
          </cell>
          <cell r="H67">
            <v>3930100</v>
          </cell>
        </row>
        <row r="68">
          <cell r="F68">
            <v>4434</v>
          </cell>
          <cell r="G68">
            <v>1324600</v>
          </cell>
          <cell r="H68">
            <v>8862400</v>
          </cell>
        </row>
        <row r="69">
          <cell r="F69">
            <v>3160</v>
          </cell>
          <cell r="G69">
            <v>829400</v>
          </cell>
          <cell r="H69">
            <v>6201400</v>
          </cell>
        </row>
        <row r="70">
          <cell r="F70">
            <v>4363</v>
          </cell>
          <cell r="G70">
            <v>1571000</v>
          </cell>
          <cell r="H70">
            <v>8988100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3598</v>
          </cell>
          <cell r="G72">
            <v>844600</v>
          </cell>
          <cell r="H72">
            <v>6961200</v>
          </cell>
        </row>
        <row r="73">
          <cell r="F73">
            <v>3072</v>
          </cell>
          <cell r="G73">
            <v>653800</v>
          </cell>
          <cell r="H73">
            <v>5876200</v>
          </cell>
        </row>
        <row r="74">
          <cell r="F74">
            <v>8031</v>
          </cell>
          <cell r="G74">
            <v>1892900</v>
          </cell>
          <cell r="H74">
            <v>15545600</v>
          </cell>
        </row>
        <row r="75">
          <cell r="F75">
            <v>3363</v>
          </cell>
          <cell r="G75">
            <v>1078800</v>
          </cell>
          <cell r="H75">
            <v>6795900</v>
          </cell>
        </row>
        <row r="76">
          <cell r="F76">
            <v>11402</v>
          </cell>
          <cell r="G76">
            <v>2341500</v>
          </cell>
          <cell r="H76">
            <v>21724900</v>
          </cell>
        </row>
        <row r="77">
          <cell r="F77">
            <v>8577</v>
          </cell>
          <cell r="G77">
            <v>1204400</v>
          </cell>
          <cell r="H77">
            <v>15785300</v>
          </cell>
        </row>
        <row r="78">
          <cell r="F78">
            <v>4827</v>
          </cell>
          <cell r="G78">
            <v>1118700</v>
          </cell>
          <cell r="H78">
            <v>9324600</v>
          </cell>
        </row>
        <row r="79">
          <cell r="F79">
            <v>1532</v>
          </cell>
          <cell r="G79">
            <v>244900</v>
          </cell>
          <cell r="H79">
            <v>2849300</v>
          </cell>
        </row>
        <row r="80">
          <cell r="F80">
            <v>3440</v>
          </cell>
          <cell r="G80">
            <v>518950</v>
          </cell>
          <cell r="H80">
            <v>6366950</v>
          </cell>
        </row>
        <row r="81">
          <cell r="F81">
            <v>8066</v>
          </cell>
          <cell r="G81">
            <v>2637100</v>
          </cell>
          <cell r="H81">
            <v>16349300</v>
          </cell>
        </row>
        <row r="82">
          <cell r="F82">
            <v>2996</v>
          </cell>
          <cell r="G82">
            <v>1098700</v>
          </cell>
          <cell r="H82">
            <v>6191900</v>
          </cell>
        </row>
        <row r="83">
          <cell r="F83">
            <v>1666</v>
          </cell>
          <cell r="G83">
            <v>491600</v>
          </cell>
          <cell r="H83">
            <v>3323800</v>
          </cell>
        </row>
        <row r="84">
          <cell r="F84">
            <v>1911</v>
          </cell>
          <cell r="G84">
            <v>412300</v>
          </cell>
          <cell r="H84">
            <v>3661000</v>
          </cell>
        </row>
        <row r="85">
          <cell r="F85">
            <v>1127</v>
          </cell>
          <cell r="G85">
            <v>305700</v>
          </cell>
          <cell r="H85">
            <v>2221600</v>
          </cell>
        </row>
        <row r="86">
          <cell r="F86">
            <v>2721</v>
          </cell>
          <cell r="G86">
            <v>859900</v>
          </cell>
          <cell r="H86">
            <v>5485600</v>
          </cell>
        </row>
        <row r="87">
          <cell r="F87">
            <v>3239</v>
          </cell>
          <cell r="G87">
            <v>717300</v>
          </cell>
          <cell r="H87">
            <v>6223600</v>
          </cell>
        </row>
        <row r="88">
          <cell r="F88">
            <v>3398</v>
          </cell>
          <cell r="G88">
            <v>814500</v>
          </cell>
          <cell r="H88">
            <v>6591100</v>
          </cell>
        </row>
        <row r="89">
          <cell r="F89">
            <v>864</v>
          </cell>
          <cell r="G89">
            <v>359400</v>
          </cell>
          <cell r="H89">
            <v>1828200</v>
          </cell>
        </row>
        <row r="90">
          <cell r="F90">
            <v>1146</v>
          </cell>
          <cell r="G90">
            <v>382600</v>
          </cell>
          <cell r="H90">
            <v>2330800</v>
          </cell>
        </row>
        <row r="91">
          <cell r="F91">
            <v>3564</v>
          </cell>
          <cell r="G91">
            <v>1343600</v>
          </cell>
          <cell r="H91">
            <v>7402400</v>
          </cell>
        </row>
        <row r="92">
          <cell r="F92">
            <v>1247</v>
          </cell>
          <cell r="G92">
            <v>563300</v>
          </cell>
          <cell r="H92">
            <v>2683200</v>
          </cell>
        </row>
        <row r="93">
          <cell r="F93">
            <v>1399</v>
          </cell>
          <cell r="G93">
            <v>543350</v>
          </cell>
          <cell r="H93">
            <v>2921650</v>
          </cell>
        </row>
        <row r="94">
          <cell r="F94">
            <v>277</v>
          </cell>
          <cell r="G94">
            <v>136100</v>
          </cell>
          <cell r="H94">
            <v>607000</v>
          </cell>
        </row>
        <row r="95">
          <cell r="F95">
            <v>1442</v>
          </cell>
          <cell r="G95">
            <v>436200</v>
          </cell>
          <cell r="H95">
            <v>2887600</v>
          </cell>
        </row>
        <row r="96">
          <cell r="F96">
            <v>2386</v>
          </cell>
          <cell r="G96">
            <v>461100</v>
          </cell>
          <cell r="H96">
            <v>4517300</v>
          </cell>
        </row>
        <row r="97">
          <cell r="F97">
            <v>4094</v>
          </cell>
          <cell r="G97">
            <v>712500</v>
          </cell>
          <cell r="H97">
            <v>7672300</v>
          </cell>
        </row>
        <row r="98">
          <cell r="F98">
            <v>2623</v>
          </cell>
          <cell r="G98">
            <v>481500</v>
          </cell>
          <cell r="H98">
            <v>4940600</v>
          </cell>
        </row>
        <row r="99">
          <cell r="F99">
            <v>5155</v>
          </cell>
          <cell r="G99">
            <v>1093000</v>
          </cell>
          <cell r="H99">
            <v>9856500</v>
          </cell>
        </row>
        <row r="100">
          <cell r="F100">
            <v>6758</v>
          </cell>
          <cell r="G100">
            <v>1720800</v>
          </cell>
          <cell r="H100">
            <v>13209400</v>
          </cell>
        </row>
        <row r="101">
          <cell r="F101">
            <v>2164</v>
          </cell>
          <cell r="G101">
            <v>619400</v>
          </cell>
          <cell r="H101">
            <v>4298200</v>
          </cell>
        </row>
        <row r="102">
          <cell r="F102">
            <v>12182</v>
          </cell>
          <cell r="G102">
            <v>1552400</v>
          </cell>
          <cell r="H102">
            <v>22261800</v>
          </cell>
        </row>
        <row r="103">
          <cell r="F103">
            <v>8828</v>
          </cell>
          <cell r="G103">
            <v>1805300</v>
          </cell>
          <cell r="H103">
            <v>16812900</v>
          </cell>
        </row>
        <row r="104">
          <cell r="F104">
            <v>4495</v>
          </cell>
          <cell r="G104">
            <v>979200</v>
          </cell>
          <cell r="H104">
            <v>8620700</v>
          </cell>
        </row>
        <row r="105">
          <cell r="F105">
            <v>2565</v>
          </cell>
          <cell r="G105">
            <v>761000</v>
          </cell>
          <cell r="H105">
            <v>5121500</v>
          </cell>
        </row>
        <row r="106">
          <cell r="F106">
            <v>2252</v>
          </cell>
          <cell r="G106">
            <v>752300</v>
          </cell>
          <cell r="H106">
            <v>4580700</v>
          </cell>
        </row>
        <row r="107">
          <cell r="F107">
            <v>4129</v>
          </cell>
          <cell r="G107">
            <v>908000</v>
          </cell>
          <cell r="H107">
            <v>7927300</v>
          </cell>
        </row>
        <row r="108">
          <cell r="F108">
            <v>4079</v>
          </cell>
          <cell r="G108">
            <v>732500</v>
          </cell>
          <cell r="H108">
            <v>7666800</v>
          </cell>
        </row>
        <row r="109">
          <cell r="F109">
            <v>2405</v>
          </cell>
          <cell r="G109">
            <v>833200</v>
          </cell>
          <cell r="H109">
            <v>4921700</v>
          </cell>
        </row>
        <row r="110">
          <cell r="F110">
            <v>1350</v>
          </cell>
          <cell r="G110">
            <v>242600</v>
          </cell>
          <cell r="H110">
            <v>2537600</v>
          </cell>
        </row>
        <row r="111">
          <cell r="F111">
            <v>4463</v>
          </cell>
          <cell r="G111">
            <v>1111300</v>
          </cell>
          <cell r="H111">
            <v>8698400</v>
          </cell>
        </row>
        <row r="112">
          <cell r="F112">
            <v>2799</v>
          </cell>
          <cell r="G112">
            <v>778900</v>
          </cell>
          <cell r="H112">
            <v>5537200</v>
          </cell>
        </row>
        <row r="113">
          <cell r="F113">
            <v>3271</v>
          </cell>
          <cell r="G113">
            <v>1468000</v>
          </cell>
          <cell r="H113">
            <v>7028700</v>
          </cell>
        </row>
        <row r="114">
          <cell r="F114">
            <v>272</v>
          </cell>
          <cell r="G114">
            <v>67300</v>
          </cell>
          <cell r="H114">
            <v>529700</v>
          </cell>
        </row>
        <row r="115">
          <cell r="F115">
            <v>1558</v>
          </cell>
          <cell r="G115">
            <v>264200</v>
          </cell>
          <cell r="H115">
            <v>2912800</v>
          </cell>
        </row>
        <row r="116">
          <cell r="F116">
            <v>128</v>
          </cell>
          <cell r="G116">
            <v>59800</v>
          </cell>
          <cell r="H116">
            <v>277400</v>
          </cell>
        </row>
        <row r="117">
          <cell r="F117">
            <v>1615</v>
          </cell>
          <cell r="G117">
            <v>286300</v>
          </cell>
          <cell r="H117">
            <v>3031800</v>
          </cell>
        </row>
        <row r="118">
          <cell r="F118">
            <v>2286</v>
          </cell>
          <cell r="G118">
            <v>621900</v>
          </cell>
          <cell r="H118">
            <v>4508100</v>
          </cell>
        </row>
        <row r="121">
          <cell r="F121">
            <v>30310</v>
          </cell>
          <cell r="G121">
            <v>3084500</v>
          </cell>
        </row>
        <row r="122">
          <cell r="F122">
            <v>7993</v>
          </cell>
          <cell r="G122">
            <v>8316250</v>
          </cell>
          <cell r="H122">
            <v>21904350</v>
          </cell>
        </row>
        <row r="133">
          <cell r="F133">
            <v>132716</v>
          </cell>
          <cell r="G133">
            <v>31013300</v>
          </cell>
          <cell r="H133">
            <v>256630500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2817</v>
          </cell>
          <cell r="G136">
            <v>1784400</v>
          </cell>
          <cell r="H136">
            <v>6573300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766701.55799999996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284</v>
          </cell>
          <cell r="G147">
            <v>415500</v>
          </cell>
          <cell r="H147">
            <v>898300</v>
          </cell>
        </row>
        <row r="148">
          <cell r="F148">
            <v>633</v>
          </cell>
          <cell r="G148">
            <v>1033000</v>
          </cell>
          <cell r="H148">
            <v>2109100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26000</v>
          </cell>
          <cell r="H154">
            <v>26000</v>
          </cell>
        </row>
        <row r="155">
          <cell r="F155">
            <v>0</v>
          </cell>
          <cell r="G155">
            <v>65000</v>
          </cell>
          <cell r="H155">
            <v>65000</v>
          </cell>
        </row>
        <row r="156">
          <cell r="F156">
            <v>0</v>
          </cell>
          <cell r="G156">
            <v>894000</v>
          </cell>
          <cell r="H156">
            <v>894000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1065000</v>
          </cell>
          <cell r="H158">
            <v>1065000</v>
          </cell>
        </row>
        <row r="159">
          <cell r="F159">
            <v>0</v>
          </cell>
          <cell r="G159">
            <v>1347000</v>
          </cell>
          <cell r="H159">
            <v>1347000</v>
          </cell>
        </row>
        <row r="160">
          <cell r="F160">
            <v>0</v>
          </cell>
          <cell r="G160">
            <v>1196000</v>
          </cell>
          <cell r="H160">
            <v>1196000</v>
          </cell>
        </row>
        <row r="161">
          <cell r="F161">
            <v>0</v>
          </cell>
          <cell r="G161">
            <v>1372000</v>
          </cell>
          <cell r="H161">
            <v>1372000</v>
          </cell>
        </row>
        <row r="162">
          <cell r="F162">
            <v>0</v>
          </cell>
          <cell r="G162">
            <v>774000</v>
          </cell>
          <cell r="H162">
            <v>774000</v>
          </cell>
        </row>
        <row r="163">
          <cell r="F163">
            <v>0</v>
          </cell>
          <cell r="G163">
            <v>970000</v>
          </cell>
          <cell r="H163">
            <v>970000</v>
          </cell>
        </row>
        <row r="164">
          <cell r="F164">
            <v>0</v>
          </cell>
          <cell r="G164">
            <v>185000</v>
          </cell>
          <cell r="H164">
            <v>185000</v>
          </cell>
        </row>
        <row r="165">
          <cell r="F165">
            <v>0</v>
          </cell>
          <cell r="G165">
            <v>660000</v>
          </cell>
          <cell r="H165">
            <v>660000</v>
          </cell>
        </row>
        <row r="166">
          <cell r="F166">
            <v>0</v>
          </cell>
          <cell r="G166">
            <v>52000</v>
          </cell>
          <cell r="H166">
            <v>52000</v>
          </cell>
        </row>
        <row r="167">
          <cell r="F167">
            <v>0</v>
          </cell>
          <cell r="G167">
            <v>218000</v>
          </cell>
          <cell r="H167">
            <v>218000</v>
          </cell>
        </row>
        <row r="168">
          <cell r="F168">
            <v>0</v>
          </cell>
          <cell r="G168">
            <v>64000</v>
          </cell>
          <cell r="H168">
            <v>64000</v>
          </cell>
        </row>
        <row r="169">
          <cell r="F169">
            <v>0</v>
          </cell>
          <cell r="G169">
            <v>2000</v>
          </cell>
          <cell r="H169">
            <v>2000</v>
          </cell>
        </row>
        <row r="170">
          <cell r="F170">
            <v>0</v>
          </cell>
          <cell r="G170">
            <v>101000</v>
          </cell>
          <cell r="H170">
            <v>101000</v>
          </cell>
        </row>
        <row r="171">
          <cell r="F171">
            <v>0</v>
          </cell>
          <cell r="G171">
            <v>40000</v>
          </cell>
          <cell r="H171">
            <v>40000</v>
          </cell>
        </row>
        <row r="172">
          <cell r="F172">
            <v>0</v>
          </cell>
          <cell r="G172">
            <v>0</v>
          </cell>
          <cell r="H172">
            <v>0</v>
          </cell>
        </row>
        <row r="173">
          <cell r="F173">
            <v>0</v>
          </cell>
          <cell r="G173">
            <v>26000</v>
          </cell>
          <cell r="H173">
            <v>26000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50000</v>
          </cell>
          <cell r="H175">
            <v>50000</v>
          </cell>
        </row>
        <row r="176">
          <cell r="F176">
            <v>0</v>
          </cell>
          <cell r="G176">
            <v>46000</v>
          </cell>
          <cell r="H176">
            <v>46000</v>
          </cell>
        </row>
        <row r="177">
          <cell r="F177">
            <v>0</v>
          </cell>
          <cell r="G177">
            <v>236000</v>
          </cell>
          <cell r="H177">
            <v>236000</v>
          </cell>
        </row>
        <row r="178">
          <cell r="F178">
            <v>0</v>
          </cell>
          <cell r="G178">
            <v>285000</v>
          </cell>
          <cell r="H178">
            <v>285000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3000</v>
          </cell>
          <cell r="H180">
            <v>3000</v>
          </cell>
        </row>
        <row r="181">
          <cell r="F181">
            <v>0</v>
          </cell>
          <cell r="G181">
            <v>11000</v>
          </cell>
          <cell r="H181">
            <v>11000</v>
          </cell>
        </row>
        <row r="182">
          <cell r="F182">
            <v>0</v>
          </cell>
          <cell r="G182">
            <v>2000</v>
          </cell>
          <cell r="H182">
            <v>2000</v>
          </cell>
        </row>
        <row r="183">
          <cell r="F183">
            <v>0</v>
          </cell>
          <cell r="G183">
            <v>78000</v>
          </cell>
          <cell r="H183">
            <v>78000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33000</v>
          </cell>
          <cell r="H185">
            <v>33000</v>
          </cell>
        </row>
        <row r="186">
          <cell r="F186">
            <v>0</v>
          </cell>
          <cell r="G186">
            <v>0</v>
          </cell>
          <cell r="H186">
            <v>0</v>
          </cell>
        </row>
        <row r="187">
          <cell r="F187">
            <v>0</v>
          </cell>
          <cell r="G187">
            <v>87000</v>
          </cell>
          <cell r="H187">
            <v>87000</v>
          </cell>
        </row>
        <row r="188">
          <cell r="F188">
            <v>0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98000</v>
          </cell>
          <cell r="H189">
            <v>98000</v>
          </cell>
        </row>
        <row r="190">
          <cell r="F190">
            <v>0</v>
          </cell>
          <cell r="G190">
            <v>38000</v>
          </cell>
          <cell r="H190">
            <v>38000</v>
          </cell>
        </row>
        <row r="191">
          <cell r="F191">
            <v>0</v>
          </cell>
          <cell r="G191">
            <v>17000</v>
          </cell>
          <cell r="H191">
            <v>17000</v>
          </cell>
        </row>
        <row r="192">
          <cell r="F192">
            <v>0</v>
          </cell>
          <cell r="G192">
            <v>13000</v>
          </cell>
          <cell r="H192">
            <v>13000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52000</v>
          </cell>
          <cell r="H195">
            <v>52000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22000</v>
          </cell>
          <cell r="H197">
            <v>22000</v>
          </cell>
        </row>
        <row r="198">
          <cell r="F198">
            <v>0</v>
          </cell>
          <cell r="G198">
            <v>27000</v>
          </cell>
          <cell r="H198">
            <v>27000</v>
          </cell>
        </row>
        <row r="199">
          <cell r="F199">
            <v>0</v>
          </cell>
          <cell r="G199">
            <v>2000</v>
          </cell>
          <cell r="H199">
            <v>2000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13000</v>
          </cell>
          <cell r="H202">
            <v>13000</v>
          </cell>
        </row>
        <row r="203">
          <cell r="F203">
            <v>0</v>
          </cell>
          <cell r="G203">
            <v>14000</v>
          </cell>
          <cell r="H203">
            <v>14000</v>
          </cell>
        </row>
        <row r="204">
          <cell r="F204">
            <v>0</v>
          </cell>
          <cell r="G204">
            <v>85000</v>
          </cell>
          <cell r="H204">
            <v>85000</v>
          </cell>
        </row>
        <row r="205">
          <cell r="F205">
            <v>0</v>
          </cell>
          <cell r="G205">
            <v>19000</v>
          </cell>
          <cell r="H205">
            <v>19000</v>
          </cell>
        </row>
        <row r="206">
          <cell r="F206">
            <v>0</v>
          </cell>
          <cell r="G206">
            <v>8000</v>
          </cell>
          <cell r="H206">
            <v>8000</v>
          </cell>
        </row>
        <row r="207">
          <cell r="F207">
            <v>0</v>
          </cell>
          <cell r="G207">
            <v>87000</v>
          </cell>
          <cell r="H207">
            <v>87000</v>
          </cell>
        </row>
        <row r="208">
          <cell r="F208">
            <v>0</v>
          </cell>
          <cell r="G208">
            <v>40000</v>
          </cell>
          <cell r="H208">
            <v>40000</v>
          </cell>
        </row>
        <row r="209">
          <cell r="F209">
            <v>0</v>
          </cell>
          <cell r="G209">
            <v>28000</v>
          </cell>
          <cell r="H209">
            <v>28000</v>
          </cell>
        </row>
        <row r="210">
          <cell r="F210">
            <v>0</v>
          </cell>
          <cell r="G210">
            <v>118000</v>
          </cell>
          <cell r="H210">
            <v>118000</v>
          </cell>
        </row>
        <row r="211">
          <cell r="F211">
            <v>0</v>
          </cell>
          <cell r="G211">
            <v>22000</v>
          </cell>
          <cell r="H211">
            <v>22000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23000</v>
          </cell>
          <cell r="H214">
            <v>23000</v>
          </cell>
        </row>
        <row r="215">
          <cell r="F215">
            <v>0</v>
          </cell>
          <cell r="G215">
            <v>24000</v>
          </cell>
          <cell r="H215">
            <v>24000</v>
          </cell>
        </row>
        <row r="216">
          <cell r="F216">
            <v>0</v>
          </cell>
          <cell r="G216">
            <v>54000</v>
          </cell>
          <cell r="H216">
            <v>54000</v>
          </cell>
        </row>
        <row r="217">
          <cell r="F217">
            <v>0</v>
          </cell>
          <cell r="G217">
            <v>22000</v>
          </cell>
          <cell r="H217">
            <v>22000</v>
          </cell>
        </row>
        <row r="218">
          <cell r="F218">
            <v>0</v>
          </cell>
          <cell r="G218">
            <v>80000</v>
          </cell>
          <cell r="H218">
            <v>80000</v>
          </cell>
        </row>
        <row r="219">
          <cell r="F219">
            <v>0</v>
          </cell>
          <cell r="G219">
            <v>35000</v>
          </cell>
          <cell r="H219">
            <v>35000</v>
          </cell>
        </row>
        <row r="220">
          <cell r="F220">
            <v>0</v>
          </cell>
          <cell r="G220">
            <v>60000</v>
          </cell>
          <cell r="H220">
            <v>60000</v>
          </cell>
        </row>
        <row r="223">
          <cell r="F223">
            <v>37</v>
          </cell>
          <cell r="G223">
            <v>1185900</v>
          </cell>
          <cell r="H223">
            <v>1248800</v>
          </cell>
        </row>
        <row r="224">
          <cell r="F224">
            <v>0</v>
          </cell>
          <cell r="G224">
            <v>495700</v>
          </cell>
          <cell r="H224">
            <v>495700</v>
          </cell>
        </row>
        <row r="225">
          <cell r="F225">
            <v>636</v>
          </cell>
          <cell r="G225">
            <v>415700</v>
          </cell>
          <cell r="H225">
            <v>1496900</v>
          </cell>
        </row>
        <row r="226">
          <cell r="F226">
            <v>599</v>
          </cell>
          <cell r="G226">
            <v>957200</v>
          </cell>
          <cell r="H226">
            <v>1975500</v>
          </cell>
        </row>
        <row r="227">
          <cell r="F227">
            <v>458</v>
          </cell>
          <cell r="G227">
            <v>316000</v>
          </cell>
          <cell r="H227">
            <v>1094600</v>
          </cell>
        </row>
        <row r="228">
          <cell r="F228">
            <v>251</v>
          </cell>
          <cell r="G228">
            <v>523000</v>
          </cell>
          <cell r="H228">
            <v>949700</v>
          </cell>
        </row>
        <row r="229">
          <cell r="F229">
            <v>623</v>
          </cell>
          <cell r="G229">
            <v>847450</v>
          </cell>
          <cell r="H229">
            <v>1906550</v>
          </cell>
        </row>
        <row r="230">
          <cell r="F230">
            <v>707</v>
          </cell>
          <cell r="G230">
            <v>407600</v>
          </cell>
          <cell r="H230">
            <v>1609500</v>
          </cell>
        </row>
        <row r="231">
          <cell r="F231">
            <v>99</v>
          </cell>
          <cell r="G231">
            <v>1184900</v>
          </cell>
          <cell r="H231">
            <v>1353200</v>
          </cell>
        </row>
        <row r="232">
          <cell r="F232">
            <v>0</v>
          </cell>
          <cell r="G232">
            <v>212100</v>
          </cell>
          <cell r="H232">
            <v>212100</v>
          </cell>
        </row>
        <row r="233">
          <cell r="F233">
            <v>719</v>
          </cell>
          <cell r="G233">
            <v>226000</v>
          </cell>
          <cell r="H233">
            <v>1448300</v>
          </cell>
        </row>
        <row r="234">
          <cell r="F234">
            <v>556</v>
          </cell>
          <cell r="G234">
            <v>194400</v>
          </cell>
          <cell r="H234">
            <v>1139600</v>
          </cell>
        </row>
        <row r="235">
          <cell r="F235">
            <v>0</v>
          </cell>
          <cell r="G235">
            <v>114600</v>
          </cell>
          <cell r="H235">
            <v>114600</v>
          </cell>
        </row>
        <row r="236">
          <cell r="F236">
            <v>0</v>
          </cell>
          <cell r="G236">
            <v>75000</v>
          </cell>
          <cell r="H236">
            <v>75000</v>
          </cell>
        </row>
        <row r="237">
          <cell r="F237">
            <v>772</v>
          </cell>
          <cell r="G237">
            <v>278600</v>
          </cell>
          <cell r="H237">
            <v>1591000</v>
          </cell>
        </row>
        <row r="238">
          <cell r="F238">
            <v>634</v>
          </cell>
          <cell r="G238">
            <v>518300</v>
          </cell>
          <cell r="H238">
            <v>1596100</v>
          </cell>
        </row>
        <row r="239">
          <cell r="F239">
            <v>208</v>
          </cell>
          <cell r="G239">
            <v>496700</v>
          </cell>
          <cell r="H239">
            <v>850300</v>
          </cell>
        </row>
        <row r="240">
          <cell r="F240">
            <v>927</v>
          </cell>
          <cell r="G240">
            <v>441700</v>
          </cell>
          <cell r="H240">
            <v>2017600</v>
          </cell>
        </row>
        <row r="241">
          <cell r="F241">
            <v>386</v>
          </cell>
          <cell r="G241">
            <v>363400</v>
          </cell>
          <cell r="H241">
            <v>1019600</v>
          </cell>
        </row>
        <row r="242">
          <cell r="F242">
            <v>579</v>
          </cell>
          <cell r="G242">
            <v>917000</v>
          </cell>
          <cell r="H242">
            <v>1901300</v>
          </cell>
        </row>
        <row r="243">
          <cell r="F243">
            <v>326</v>
          </cell>
          <cell r="G243">
            <v>216000</v>
          </cell>
          <cell r="H243">
            <v>770200</v>
          </cell>
        </row>
        <row r="244">
          <cell r="F244">
            <v>352</v>
          </cell>
          <cell r="G244">
            <v>453100</v>
          </cell>
          <cell r="H244">
            <v>1051500</v>
          </cell>
        </row>
        <row r="245">
          <cell r="F245">
            <v>368</v>
          </cell>
          <cell r="G245">
            <v>610200</v>
          </cell>
          <cell r="H245">
            <v>1235800</v>
          </cell>
        </row>
        <row r="246">
          <cell r="F246">
            <v>15</v>
          </cell>
          <cell r="G246">
            <v>8900</v>
          </cell>
          <cell r="H246">
            <v>34400</v>
          </cell>
        </row>
        <row r="247">
          <cell r="F247">
            <v>1086</v>
          </cell>
          <cell r="G247">
            <v>177300</v>
          </cell>
          <cell r="H247">
            <v>2023500</v>
          </cell>
        </row>
        <row r="248">
          <cell r="F248">
            <v>125</v>
          </cell>
          <cell r="G248">
            <v>555900</v>
          </cell>
          <cell r="H248">
            <v>768400</v>
          </cell>
        </row>
        <row r="249">
          <cell r="F249">
            <v>174</v>
          </cell>
          <cell r="G249">
            <v>1030400</v>
          </cell>
          <cell r="H249">
            <v>1326200</v>
          </cell>
        </row>
        <row r="250">
          <cell r="F250">
            <v>68</v>
          </cell>
          <cell r="G250">
            <v>636800</v>
          </cell>
          <cell r="H250">
            <v>752400</v>
          </cell>
        </row>
        <row r="251">
          <cell r="F251">
            <v>54</v>
          </cell>
          <cell r="G251">
            <v>776000</v>
          </cell>
          <cell r="H251">
            <v>867800</v>
          </cell>
        </row>
        <row r="252">
          <cell r="F252">
            <v>169</v>
          </cell>
          <cell r="G252">
            <v>488550</v>
          </cell>
          <cell r="H252">
            <v>775850</v>
          </cell>
        </row>
        <row r="253">
          <cell r="F253">
            <v>77</v>
          </cell>
          <cell r="G253">
            <v>995700</v>
          </cell>
          <cell r="H253">
            <v>1126600</v>
          </cell>
        </row>
        <row r="254">
          <cell r="F254">
            <v>326</v>
          </cell>
          <cell r="G254">
            <v>522900</v>
          </cell>
          <cell r="H254">
            <v>1077100</v>
          </cell>
        </row>
        <row r="255">
          <cell r="F255">
            <v>52</v>
          </cell>
          <cell r="G255">
            <v>271100</v>
          </cell>
          <cell r="H255">
            <v>359500</v>
          </cell>
        </row>
        <row r="256">
          <cell r="F256">
            <v>167</v>
          </cell>
          <cell r="G256">
            <v>1096400</v>
          </cell>
          <cell r="H256">
            <v>1380300</v>
          </cell>
        </row>
        <row r="257">
          <cell r="F257">
            <v>553</v>
          </cell>
          <cell r="G257">
            <v>439300</v>
          </cell>
          <cell r="H257">
            <v>1379400</v>
          </cell>
        </row>
        <row r="260">
          <cell r="G260">
            <v>42000</v>
          </cell>
          <cell r="H260">
            <v>42000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0">
          <cell r="F10">
            <v>6140</v>
          </cell>
          <cell r="G10">
            <v>3171000</v>
          </cell>
          <cell r="H10">
            <v>13609000</v>
          </cell>
        </row>
        <row r="14">
          <cell r="F14">
            <v>2299</v>
          </cell>
          <cell r="G14">
            <v>416150</v>
          </cell>
          <cell r="H14">
            <v>4324450</v>
          </cell>
        </row>
        <row r="15">
          <cell r="F15">
            <v>1858</v>
          </cell>
          <cell r="G15">
            <v>602200</v>
          </cell>
          <cell r="H15">
            <v>3760800</v>
          </cell>
        </row>
        <row r="16">
          <cell r="F16">
            <v>2142</v>
          </cell>
          <cell r="G16">
            <v>520600</v>
          </cell>
          <cell r="H16">
            <v>4162000</v>
          </cell>
        </row>
        <row r="17">
          <cell r="F17">
            <v>1585</v>
          </cell>
          <cell r="G17">
            <v>366700</v>
          </cell>
          <cell r="H17">
            <v>3061200</v>
          </cell>
        </row>
        <row r="18">
          <cell r="F18">
            <v>1855</v>
          </cell>
          <cell r="G18">
            <v>604500</v>
          </cell>
          <cell r="H18">
            <v>3758000</v>
          </cell>
        </row>
        <row r="19">
          <cell r="F19">
            <v>1730</v>
          </cell>
          <cell r="G19">
            <v>575500</v>
          </cell>
          <cell r="H19">
            <v>3516500</v>
          </cell>
        </row>
        <row r="20">
          <cell r="F20">
            <v>861</v>
          </cell>
          <cell r="G20">
            <v>270400</v>
          </cell>
          <cell r="H20">
            <v>1734100</v>
          </cell>
        </row>
        <row r="21">
          <cell r="F21">
            <v>1599</v>
          </cell>
          <cell r="G21">
            <v>438100</v>
          </cell>
          <cell r="H21">
            <v>3156400</v>
          </cell>
        </row>
        <row r="22">
          <cell r="F22">
            <v>2766</v>
          </cell>
          <cell r="G22">
            <v>829800</v>
          </cell>
          <cell r="H22">
            <v>5532000</v>
          </cell>
        </row>
        <row r="23">
          <cell r="F23">
            <v>1212</v>
          </cell>
          <cell r="G23">
            <v>384400</v>
          </cell>
          <cell r="H23">
            <v>2444800</v>
          </cell>
        </row>
        <row r="24">
          <cell r="F24">
            <v>1254</v>
          </cell>
          <cell r="G24">
            <v>314200</v>
          </cell>
          <cell r="H24">
            <v>2446000</v>
          </cell>
        </row>
        <row r="25">
          <cell r="F25">
            <v>1062</v>
          </cell>
          <cell r="G25">
            <v>171000</v>
          </cell>
          <cell r="H25">
            <v>1976400</v>
          </cell>
        </row>
        <row r="26">
          <cell r="F26">
            <v>1536</v>
          </cell>
          <cell r="G26">
            <v>338500</v>
          </cell>
          <cell r="H26">
            <v>2949700</v>
          </cell>
        </row>
        <row r="27">
          <cell r="F27">
            <v>1993</v>
          </cell>
          <cell r="G27">
            <v>546100</v>
          </cell>
          <cell r="H27">
            <v>3934200</v>
          </cell>
        </row>
        <row r="28">
          <cell r="F28">
            <v>2349</v>
          </cell>
          <cell r="G28">
            <v>1075200</v>
          </cell>
          <cell r="H28">
            <v>5068500</v>
          </cell>
        </row>
        <row r="29">
          <cell r="F29">
            <v>1321</v>
          </cell>
          <cell r="G29">
            <v>419400</v>
          </cell>
          <cell r="H29">
            <v>2665100</v>
          </cell>
        </row>
        <row r="30">
          <cell r="F30">
            <v>3218</v>
          </cell>
          <cell r="G30">
            <v>921600</v>
          </cell>
          <cell r="H30">
            <v>6392200</v>
          </cell>
        </row>
        <row r="31">
          <cell r="F31">
            <v>1770</v>
          </cell>
          <cell r="G31">
            <v>724400</v>
          </cell>
          <cell r="H31">
            <v>3733400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F33">
            <v>2439</v>
          </cell>
          <cell r="G33">
            <v>792650</v>
          </cell>
          <cell r="H33">
            <v>4938950</v>
          </cell>
        </row>
        <row r="34">
          <cell r="F34">
            <v>3388</v>
          </cell>
          <cell r="G34">
            <v>1349600</v>
          </cell>
          <cell r="H34">
            <v>7109200</v>
          </cell>
        </row>
        <row r="35">
          <cell r="F35">
            <v>4067</v>
          </cell>
          <cell r="G35">
            <v>1301900</v>
          </cell>
          <cell r="H35">
            <v>8215800</v>
          </cell>
        </row>
        <row r="36">
          <cell r="F36">
            <v>3470</v>
          </cell>
          <cell r="G36">
            <v>1120500</v>
          </cell>
          <cell r="H36">
            <v>7019500</v>
          </cell>
        </row>
        <row r="37">
          <cell r="F37">
            <v>1205</v>
          </cell>
          <cell r="G37">
            <v>539500</v>
          </cell>
          <cell r="H37">
            <v>2588000</v>
          </cell>
        </row>
        <row r="38">
          <cell r="F38">
            <v>1982</v>
          </cell>
          <cell r="G38">
            <v>757200</v>
          </cell>
          <cell r="H38">
            <v>4126600</v>
          </cell>
        </row>
        <row r="39">
          <cell r="F39">
            <v>827</v>
          </cell>
          <cell r="G39">
            <v>495600</v>
          </cell>
          <cell r="H39">
            <v>1901500</v>
          </cell>
        </row>
        <row r="40">
          <cell r="F40">
            <v>4396</v>
          </cell>
          <cell r="G40">
            <v>2260500</v>
          </cell>
          <cell r="H40">
            <v>9733700</v>
          </cell>
        </row>
        <row r="41">
          <cell r="F41">
            <v>1590</v>
          </cell>
          <cell r="G41">
            <v>423600</v>
          </cell>
          <cell r="H41">
            <v>3126600</v>
          </cell>
        </row>
        <row r="42">
          <cell r="F42">
            <v>535</v>
          </cell>
          <cell r="G42">
            <v>321200</v>
          </cell>
          <cell r="H42">
            <v>1230700</v>
          </cell>
        </row>
        <row r="43">
          <cell r="F43">
            <v>1058</v>
          </cell>
          <cell r="G43">
            <v>212500</v>
          </cell>
          <cell r="H43">
            <v>2011100</v>
          </cell>
        </row>
        <row r="44">
          <cell r="F44">
            <v>302</v>
          </cell>
          <cell r="G44">
            <v>35500</v>
          </cell>
          <cell r="H44">
            <v>548900</v>
          </cell>
        </row>
        <row r="45">
          <cell r="F45">
            <v>4144</v>
          </cell>
          <cell r="G45">
            <v>1222800</v>
          </cell>
          <cell r="H45">
            <v>8267600</v>
          </cell>
        </row>
        <row r="46">
          <cell r="F46">
            <v>331</v>
          </cell>
          <cell r="G46">
            <v>137500</v>
          </cell>
          <cell r="H46">
            <v>700200</v>
          </cell>
        </row>
        <row r="47">
          <cell r="F47">
            <v>11316</v>
          </cell>
          <cell r="G47">
            <v>2986300</v>
          </cell>
          <cell r="H47">
            <v>22223500</v>
          </cell>
        </row>
        <row r="52">
          <cell r="F52">
            <v>1385</v>
          </cell>
          <cell r="G52">
            <v>391100</v>
          </cell>
          <cell r="H52">
            <v>2745600</v>
          </cell>
        </row>
        <row r="53">
          <cell r="F53">
            <v>752</v>
          </cell>
          <cell r="G53">
            <v>151400</v>
          </cell>
          <cell r="H53">
            <v>1429800</v>
          </cell>
        </row>
        <row r="54">
          <cell r="F54">
            <v>4038</v>
          </cell>
          <cell r="G54">
            <v>795200</v>
          </cell>
          <cell r="H54">
            <v>7659800</v>
          </cell>
        </row>
        <row r="55">
          <cell r="F55">
            <v>928</v>
          </cell>
          <cell r="G55">
            <v>265500</v>
          </cell>
          <cell r="H55">
            <v>1843100</v>
          </cell>
        </row>
        <row r="56">
          <cell r="F56">
            <v>913</v>
          </cell>
          <cell r="G56">
            <v>135400</v>
          </cell>
          <cell r="H56">
            <v>1687500</v>
          </cell>
        </row>
        <row r="57">
          <cell r="F57">
            <v>2984</v>
          </cell>
          <cell r="G57">
            <v>410000</v>
          </cell>
          <cell r="H57">
            <v>5482800</v>
          </cell>
        </row>
        <row r="58">
          <cell r="F58">
            <v>5072</v>
          </cell>
          <cell r="G58">
            <v>1477200</v>
          </cell>
          <cell r="H58">
            <v>10099600</v>
          </cell>
        </row>
        <row r="59">
          <cell r="F59">
            <v>1867</v>
          </cell>
          <cell r="G59">
            <v>503400</v>
          </cell>
          <cell r="H59">
            <v>3677300</v>
          </cell>
        </row>
        <row r="60">
          <cell r="F60">
            <v>1982</v>
          </cell>
          <cell r="G60">
            <v>342700</v>
          </cell>
          <cell r="H60">
            <v>3712100</v>
          </cell>
        </row>
        <row r="61">
          <cell r="F61">
            <v>1456</v>
          </cell>
          <cell r="G61">
            <v>259950</v>
          </cell>
          <cell r="H61">
            <v>2735150</v>
          </cell>
        </row>
        <row r="62">
          <cell r="F62">
            <v>3484</v>
          </cell>
          <cell r="G62">
            <v>770200</v>
          </cell>
          <cell r="H62">
            <v>6693000</v>
          </cell>
        </row>
        <row r="63">
          <cell r="F63">
            <v>2514</v>
          </cell>
          <cell r="G63">
            <v>579100</v>
          </cell>
          <cell r="H63">
            <v>4852900</v>
          </cell>
        </row>
        <row r="64">
          <cell r="F64">
            <v>2776</v>
          </cell>
          <cell r="G64">
            <v>583600</v>
          </cell>
          <cell r="H64">
            <v>5302800</v>
          </cell>
        </row>
        <row r="65">
          <cell r="F65">
            <v>1223</v>
          </cell>
          <cell r="G65">
            <v>406800</v>
          </cell>
          <cell r="H65">
            <v>2485900</v>
          </cell>
        </row>
        <row r="66">
          <cell r="F66">
            <v>1216</v>
          </cell>
          <cell r="G66">
            <v>477600</v>
          </cell>
          <cell r="H66">
            <v>2544800</v>
          </cell>
        </row>
        <row r="67">
          <cell r="F67">
            <v>459</v>
          </cell>
          <cell r="G67">
            <v>124100</v>
          </cell>
          <cell r="H67">
            <v>904400</v>
          </cell>
        </row>
        <row r="68">
          <cell r="F68">
            <v>1444</v>
          </cell>
          <cell r="G68">
            <v>322300</v>
          </cell>
          <cell r="H68">
            <v>2777100</v>
          </cell>
        </row>
        <row r="69">
          <cell r="F69">
            <v>1630</v>
          </cell>
          <cell r="G69">
            <v>313000</v>
          </cell>
          <cell r="H69">
            <v>3084000</v>
          </cell>
        </row>
        <row r="70">
          <cell r="F70">
            <v>1688</v>
          </cell>
          <cell r="G70">
            <v>597600</v>
          </cell>
          <cell r="H70">
            <v>3467200</v>
          </cell>
        </row>
        <row r="71">
          <cell r="F71">
            <v>0</v>
          </cell>
          <cell r="G71">
            <v>0</v>
          </cell>
          <cell r="H71">
            <v>0</v>
          </cell>
        </row>
        <row r="72">
          <cell r="F72">
            <v>1770</v>
          </cell>
          <cell r="G72">
            <v>219100</v>
          </cell>
          <cell r="H72">
            <v>3228100</v>
          </cell>
        </row>
        <row r="73">
          <cell r="F73">
            <v>1401</v>
          </cell>
          <cell r="G73">
            <v>196300</v>
          </cell>
          <cell r="H73">
            <v>2578000</v>
          </cell>
        </row>
        <row r="74">
          <cell r="F74">
            <v>3451</v>
          </cell>
          <cell r="G74">
            <v>497800</v>
          </cell>
          <cell r="H74">
            <v>6364500</v>
          </cell>
        </row>
        <row r="75">
          <cell r="F75">
            <v>1067</v>
          </cell>
          <cell r="G75">
            <v>293400</v>
          </cell>
          <cell r="H75">
            <v>2107300</v>
          </cell>
        </row>
        <row r="76">
          <cell r="F76">
            <v>5650</v>
          </cell>
          <cell r="G76">
            <v>1067700</v>
          </cell>
          <cell r="H76">
            <v>10672700</v>
          </cell>
        </row>
        <row r="77">
          <cell r="F77">
            <v>2897</v>
          </cell>
          <cell r="G77">
            <v>294200</v>
          </cell>
          <cell r="H77">
            <v>5219100</v>
          </cell>
        </row>
        <row r="78">
          <cell r="F78">
            <v>1668</v>
          </cell>
          <cell r="G78">
            <v>337000</v>
          </cell>
          <cell r="H78">
            <v>3172600</v>
          </cell>
        </row>
        <row r="79">
          <cell r="F79">
            <v>446</v>
          </cell>
          <cell r="G79">
            <v>33000</v>
          </cell>
          <cell r="H79">
            <v>791200</v>
          </cell>
        </row>
        <row r="80">
          <cell r="F80">
            <v>1711</v>
          </cell>
          <cell r="G80">
            <v>180300</v>
          </cell>
          <cell r="H80">
            <v>3089000</v>
          </cell>
        </row>
        <row r="81">
          <cell r="F81">
            <v>2668</v>
          </cell>
          <cell r="G81">
            <v>770900</v>
          </cell>
          <cell r="H81">
            <v>5306500</v>
          </cell>
        </row>
        <row r="82">
          <cell r="F82">
            <v>911</v>
          </cell>
          <cell r="G82">
            <v>270000</v>
          </cell>
          <cell r="H82">
            <v>1818700</v>
          </cell>
        </row>
        <row r="83">
          <cell r="F83">
            <v>743</v>
          </cell>
          <cell r="G83">
            <v>53300</v>
          </cell>
          <cell r="H83">
            <v>1316400</v>
          </cell>
        </row>
        <row r="84">
          <cell r="F84">
            <v>552</v>
          </cell>
          <cell r="G84">
            <v>93200</v>
          </cell>
          <cell r="H84">
            <v>1031600</v>
          </cell>
        </row>
        <row r="85">
          <cell r="F85">
            <v>471</v>
          </cell>
          <cell r="G85">
            <v>50400</v>
          </cell>
          <cell r="H85">
            <v>851100</v>
          </cell>
        </row>
        <row r="86">
          <cell r="F86">
            <v>1046</v>
          </cell>
          <cell r="G86">
            <v>257200</v>
          </cell>
          <cell r="H86">
            <v>2035400</v>
          </cell>
        </row>
        <row r="87">
          <cell r="F87">
            <v>1347</v>
          </cell>
          <cell r="G87">
            <v>150000</v>
          </cell>
          <cell r="H87">
            <v>2439900</v>
          </cell>
        </row>
        <row r="88">
          <cell r="F88">
            <v>636</v>
          </cell>
          <cell r="G88">
            <v>101600</v>
          </cell>
          <cell r="H88">
            <v>1182800</v>
          </cell>
        </row>
        <row r="89">
          <cell r="F89">
            <v>134</v>
          </cell>
          <cell r="G89">
            <v>10300</v>
          </cell>
          <cell r="H89">
            <v>238100</v>
          </cell>
        </row>
        <row r="90">
          <cell r="F90">
            <v>320</v>
          </cell>
          <cell r="G90">
            <v>28700</v>
          </cell>
          <cell r="H90">
            <v>572700</v>
          </cell>
        </row>
        <row r="91">
          <cell r="F91">
            <v>1252</v>
          </cell>
          <cell r="G91">
            <v>334300</v>
          </cell>
          <cell r="H91">
            <v>2462700</v>
          </cell>
        </row>
        <row r="92">
          <cell r="F92">
            <v>231</v>
          </cell>
          <cell r="G92">
            <v>71000</v>
          </cell>
          <cell r="H92">
            <v>463700</v>
          </cell>
        </row>
        <row r="93">
          <cell r="F93">
            <v>327</v>
          </cell>
          <cell r="G93">
            <v>156000</v>
          </cell>
          <cell r="H93">
            <v>711900</v>
          </cell>
        </row>
        <row r="94">
          <cell r="F94">
            <v>42</v>
          </cell>
          <cell r="G94">
            <v>13400</v>
          </cell>
          <cell r="H94">
            <v>84800</v>
          </cell>
        </row>
        <row r="95">
          <cell r="F95">
            <v>575</v>
          </cell>
          <cell r="G95">
            <v>143800</v>
          </cell>
          <cell r="H95">
            <v>1121300</v>
          </cell>
        </row>
        <row r="96">
          <cell r="F96">
            <v>1437</v>
          </cell>
          <cell r="G96">
            <v>197100</v>
          </cell>
          <cell r="H96">
            <v>2640000</v>
          </cell>
        </row>
        <row r="97">
          <cell r="F97">
            <v>2022</v>
          </cell>
          <cell r="G97">
            <v>213300</v>
          </cell>
          <cell r="H97">
            <v>3650700</v>
          </cell>
        </row>
        <row r="98">
          <cell r="F98">
            <v>1241</v>
          </cell>
          <cell r="G98">
            <v>130000</v>
          </cell>
          <cell r="H98">
            <v>2239700</v>
          </cell>
        </row>
        <row r="99">
          <cell r="F99">
            <v>2504</v>
          </cell>
          <cell r="G99">
            <v>489700</v>
          </cell>
          <cell r="H99">
            <v>4746500</v>
          </cell>
        </row>
        <row r="100">
          <cell r="F100">
            <v>2842</v>
          </cell>
          <cell r="G100">
            <v>591500</v>
          </cell>
          <cell r="H100">
            <v>5422900</v>
          </cell>
        </row>
        <row r="101">
          <cell r="F101">
            <v>1032</v>
          </cell>
          <cell r="G101">
            <v>157300</v>
          </cell>
          <cell r="H101">
            <v>1911700</v>
          </cell>
        </row>
        <row r="102">
          <cell r="F102">
            <v>6648</v>
          </cell>
          <cell r="G102">
            <v>717200</v>
          </cell>
          <cell r="H102">
            <v>12018800</v>
          </cell>
        </row>
        <row r="103">
          <cell r="F103">
            <v>5014</v>
          </cell>
          <cell r="G103">
            <v>1169400</v>
          </cell>
          <cell r="H103">
            <v>9693200</v>
          </cell>
        </row>
        <row r="104">
          <cell r="F104">
            <v>3001</v>
          </cell>
          <cell r="G104">
            <v>516800</v>
          </cell>
          <cell r="H104">
            <v>5618500</v>
          </cell>
        </row>
        <row r="105">
          <cell r="F105">
            <v>1116</v>
          </cell>
          <cell r="G105">
            <v>430600</v>
          </cell>
          <cell r="H105">
            <v>2327800</v>
          </cell>
        </row>
        <row r="106">
          <cell r="F106">
            <v>967</v>
          </cell>
          <cell r="G106">
            <v>253900</v>
          </cell>
          <cell r="H106">
            <v>1897800</v>
          </cell>
        </row>
        <row r="107">
          <cell r="F107">
            <v>2372</v>
          </cell>
          <cell r="G107">
            <v>363300</v>
          </cell>
          <cell r="H107">
            <v>4395700</v>
          </cell>
        </row>
        <row r="108">
          <cell r="F108">
            <v>2629</v>
          </cell>
          <cell r="G108">
            <v>637900</v>
          </cell>
          <cell r="H108">
            <v>5107200</v>
          </cell>
        </row>
        <row r="109">
          <cell r="F109">
            <v>1390</v>
          </cell>
          <cell r="G109">
            <v>381400</v>
          </cell>
          <cell r="H109">
            <v>2744400</v>
          </cell>
        </row>
        <row r="110">
          <cell r="F110">
            <v>707</v>
          </cell>
          <cell r="G110">
            <v>128700</v>
          </cell>
          <cell r="H110">
            <v>1330600</v>
          </cell>
        </row>
        <row r="111">
          <cell r="F111">
            <v>2337</v>
          </cell>
          <cell r="G111">
            <v>532850</v>
          </cell>
          <cell r="H111">
            <v>4505750</v>
          </cell>
        </row>
        <row r="112">
          <cell r="F112">
            <v>1743</v>
          </cell>
          <cell r="G112">
            <v>236500</v>
          </cell>
          <cell r="H112">
            <v>3199600</v>
          </cell>
        </row>
        <row r="113">
          <cell r="F113">
            <v>2113</v>
          </cell>
          <cell r="G113">
            <v>951600</v>
          </cell>
          <cell r="H113">
            <v>4543700</v>
          </cell>
        </row>
        <row r="114">
          <cell r="F114">
            <v>134</v>
          </cell>
          <cell r="G114">
            <v>98500</v>
          </cell>
          <cell r="H114">
            <v>326300</v>
          </cell>
        </row>
        <row r="115">
          <cell r="F115">
            <v>721</v>
          </cell>
          <cell r="G115">
            <v>147200</v>
          </cell>
          <cell r="H115">
            <v>1372900</v>
          </cell>
        </row>
        <row r="116">
          <cell r="F116">
            <v>75</v>
          </cell>
          <cell r="G116">
            <v>0</v>
          </cell>
          <cell r="H116">
            <v>127500</v>
          </cell>
        </row>
        <row r="117">
          <cell r="F117">
            <v>713</v>
          </cell>
          <cell r="G117">
            <v>130800</v>
          </cell>
          <cell r="H117">
            <v>1342900</v>
          </cell>
        </row>
        <row r="118">
          <cell r="F118">
            <v>1235</v>
          </cell>
          <cell r="G118">
            <v>318700</v>
          </cell>
          <cell r="H118">
            <v>2418200</v>
          </cell>
        </row>
        <row r="121">
          <cell r="F121">
            <v>14336</v>
          </cell>
          <cell r="G121">
            <v>1056000</v>
          </cell>
        </row>
        <row r="122">
          <cell r="F122">
            <v>4219</v>
          </cell>
          <cell r="G122">
            <v>2840400</v>
          </cell>
          <cell r="H122">
            <v>10012700</v>
          </cell>
        </row>
        <row r="133">
          <cell r="F133">
            <v>69430</v>
          </cell>
          <cell r="G133">
            <v>16435200</v>
          </cell>
          <cell r="H133">
            <v>134466200</v>
          </cell>
        </row>
        <row r="135">
          <cell r="F135">
            <v>0</v>
          </cell>
          <cell r="G135">
            <v>0</v>
          </cell>
          <cell r="H135">
            <v>0</v>
          </cell>
        </row>
        <row r="136">
          <cell r="F136">
            <v>551</v>
          </cell>
          <cell r="G136">
            <v>423700</v>
          </cell>
          <cell r="H136">
            <v>1360400</v>
          </cell>
        </row>
        <row r="137">
          <cell r="F137">
            <v>0</v>
          </cell>
          <cell r="G137">
            <v>0</v>
          </cell>
          <cell r="H137">
            <v>0</v>
          </cell>
        </row>
        <row r="138">
          <cell r="F138">
            <v>0</v>
          </cell>
          <cell r="G138">
            <v>0</v>
          </cell>
          <cell r="H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</row>
        <row r="140">
          <cell r="F140">
            <v>0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0</v>
          </cell>
          <cell r="H141">
            <v>0</v>
          </cell>
        </row>
        <row r="142">
          <cell r="F142">
            <v>0</v>
          </cell>
          <cell r="G142">
            <v>0</v>
          </cell>
          <cell r="H142">
            <v>0</v>
          </cell>
        </row>
        <row r="143">
          <cell r="F143">
            <v>0</v>
          </cell>
          <cell r="G143">
            <v>0</v>
          </cell>
          <cell r="H143">
            <v>0</v>
          </cell>
        </row>
        <row r="144">
          <cell r="F144">
            <v>0</v>
          </cell>
          <cell r="G144">
            <v>0</v>
          </cell>
          <cell r="H144">
            <v>0</v>
          </cell>
          <cell r="M144">
            <v>328679.70500000002</v>
          </cell>
        </row>
        <row r="145">
          <cell r="F145">
            <v>0</v>
          </cell>
          <cell r="G145">
            <v>0</v>
          </cell>
          <cell r="H145">
            <v>0</v>
          </cell>
        </row>
        <row r="146">
          <cell r="F146">
            <v>0</v>
          </cell>
          <cell r="G146">
            <v>0</v>
          </cell>
          <cell r="H146">
            <v>0</v>
          </cell>
        </row>
        <row r="147">
          <cell r="F147">
            <v>541</v>
          </cell>
          <cell r="G147">
            <v>837800</v>
          </cell>
          <cell r="H147">
            <v>1757500</v>
          </cell>
        </row>
        <row r="148">
          <cell r="F148">
            <v>921</v>
          </cell>
          <cell r="G148">
            <v>1249300</v>
          </cell>
          <cell r="H148">
            <v>2815000</v>
          </cell>
        </row>
        <row r="149">
          <cell r="F149">
            <v>0</v>
          </cell>
          <cell r="G149">
            <v>0</v>
          </cell>
          <cell r="H149">
            <v>0</v>
          </cell>
        </row>
        <row r="150">
          <cell r="F150">
            <v>0</v>
          </cell>
          <cell r="G150">
            <v>0</v>
          </cell>
          <cell r="H150">
            <v>0</v>
          </cell>
        </row>
        <row r="153">
          <cell r="F153">
            <v>0</v>
          </cell>
          <cell r="G153">
            <v>0</v>
          </cell>
          <cell r="H153">
            <v>0</v>
          </cell>
        </row>
        <row r="154">
          <cell r="F154">
            <v>0</v>
          </cell>
          <cell r="G154">
            <v>0</v>
          </cell>
          <cell r="H154">
            <v>0</v>
          </cell>
        </row>
        <row r="155">
          <cell r="F155">
            <v>0</v>
          </cell>
          <cell r="G155">
            <v>20000</v>
          </cell>
          <cell r="H155">
            <v>20000</v>
          </cell>
        </row>
        <row r="156">
          <cell r="F156">
            <v>0</v>
          </cell>
          <cell r="G156">
            <v>36000</v>
          </cell>
          <cell r="H156">
            <v>36000</v>
          </cell>
        </row>
        <row r="157">
          <cell r="F157">
            <v>0</v>
          </cell>
          <cell r="G157">
            <v>0</v>
          </cell>
          <cell r="H157">
            <v>0</v>
          </cell>
        </row>
        <row r="158">
          <cell r="F158">
            <v>0</v>
          </cell>
          <cell r="G158">
            <v>531000</v>
          </cell>
          <cell r="H158">
            <v>531000</v>
          </cell>
        </row>
        <row r="159">
          <cell r="F159">
            <v>0</v>
          </cell>
          <cell r="G159">
            <v>639000</v>
          </cell>
          <cell r="H159">
            <v>639000</v>
          </cell>
        </row>
        <row r="160">
          <cell r="F160">
            <v>0</v>
          </cell>
          <cell r="G160">
            <v>613000</v>
          </cell>
          <cell r="H160">
            <v>613000</v>
          </cell>
        </row>
        <row r="161">
          <cell r="F161">
            <v>0</v>
          </cell>
          <cell r="G161">
            <v>703000</v>
          </cell>
          <cell r="H161">
            <v>703000</v>
          </cell>
        </row>
        <row r="162">
          <cell r="F162">
            <v>0</v>
          </cell>
          <cell r="G162">
            <v>360000</v>
          </cell>
          <cell r="H162">
            <v>360000</v>
          </cell>
        </row>
        <row r="163">
          <cell r="F163">
            <v>0</v>
          </cell>
          <cell r="G163">
            <v>312000</v>
          </cell>
          <cell r="H163">
            <v>312000</v>
          </cell>
        </row>
        <row r="164">
          <cell r="F164">
            <v>0</v>
          </cell>
          <cell r="G164">
            <v>64000</v>
          </cell>
          <cell r="H164">
            <v>64000</v>
          </cell>
        </row>
        <row r="165">
          <cell r="F165">
            <v>0</v>
          </cell>
          <cell r="G165">
            <v>227000</v>
          </cell>
          <cell r="H165">
            <v>227000</v>
          </cell>
        </row>
        <row r="166">
          <cell r="F166">
            <v>0</v>
          </cell>
          <cell r="G166">
            <v>32000</v>
          </cell>
          <cell r="H166">
            <v>32000</v>
          </cell>
        </row>
        <row r="167">
          <cell r="F167">
            <v>0</v>
          </cell>
          <cell r="G167">
            <v>40000</v>
          </cell>
          <cell r="H167">
            <v>40000</v>
          </cell>
        </row>
        <row r="168">
          <cell r="F168">
            <v>0</v>
          </cell>
          <cell r="G168">
            <v>0</v>
          </cell>
          <cell r="H168">
            <v>0</v>
          </cell>
        </row>
        <row r="169">
          <cell r="F169">
            <v>0</v>
          </cell>
          <cell r="G169">
            <v>0</v>
          </cell>
          <cell r="H169">
            <v>0</v>
          </cell>
        </row>
        <row r="170">
          <cell r="F170">
            <v>0</v>
          </cell>
          <cell r="G170">
            <v>24000</v>
          </cell>
          <cell r="H170">
            <v>24000</v>
          </cell>
        </row>
        <row r="171">
          <cell r="F171">
            <v>0</v>
          </cell>
          <cell r="G171">
            <v>0</v>
          </cell>
          <cell r="H171">
            <v>0</v>
          </cell>
        </row>
        <row r="172">
          <cell r="F172">
            <v>0</v>
          </cell>
          <cell r="G172">
            <v>30000</v>
          </cell>
          <cell r="H172">
            <v>30000</v>
          </cell>
        </row>
        <row r="173">
          <cell r="F173">
            <v>0</v>
          </cell>
          <cell r="G173">
            <v>0</v>
          </cell>
          <cell r="H173">
            <v>0</v>
          </cell>
        </row>
        <row r="174">
          <cell r="F174">
            <v>0</v>
          </cell>
          <cell r="G174">
            <v>0</v>
          </cell>
          <cell r="H174">
            <v>0</v>
          </cell>
        </row>
        <row r="175">
          <cell r="F175">
            <v>0</v>
          </cell>
          <cell r="G175">
            <v>3000</v>
          </cell>
          <cell r="H175">
            <v>3000</v>
          </cell>
        </row>
        <row r="176">
          <cell r="F176">
            <v>0</v>
          </cell>
          <cell r="G176">
            <v>0</v>
          </cell>
          <cell r="H176">
            <v>0</v>
          </cell>
        </row>
        <row r="177">
          <cell r="F177">
            <v>0</v>
          </cell>
          <cell r="G177">
            <v>122000</v>
          </cell>
          <cell r="H177">
            <v>122000</v>
          </cell>
        </row>
        <row r="178">
          <cell r="F178">
            <v>0</v>
          </cell>
          <cell r="G178">
            <v>106000</v>
          </cell>
          <cell r="H178">
            <v>106000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0</v>
          </cell>
          <cell r="G181">
            <v>10000</v>
          </cell>
          <cell r="H181">
            <v>10000</v>
          </cell>
        </row>
        <row r="182">
          <cell r="F182">
            <v>0</v>
          </cell>
          <cell r="G182">
            <v>0</v>
          </cell>
          <cell r="H182">
            <v>0</v>
          </cell>
        </row>
        <row r="183">
          <cell r="F183">
            <v>0</v>
          </cell>
          <cell r="G183">
            <v>0</v>
          </cell>
          <cell r="H183">
            <v>0</v>
          </cell>
        </row>
        <row r="184">
          <cell r="F184">
            <v>0</v>
          </cell>
          <cell r="G184">
            <v>0</v>
          </cell>
          <cell r="H184">
            <v>0</v>
          </cell>
        </row>
        <row r="185">
          <cell r="F185">
            <v>0</v>
          </cell>
          <cell r="G185">
            <v>12000</v>
          </cell>
          <cell r="H185">
            <v>12000</v>
          </cell>
        </row>
        <row r="186">
          <cell r="F186">
            <v>0</v>
          </cell>
          <cell r="G186">
            <v>2000</v>
          </cell>
          <cell r="H186">
            <v>2000</v>
          </cell>
        </row>
        <row r="187">
          <cell r="F187">
            <v>0</v>
          </cell>
          <cell r="G187">
            <v>0</v>
          </cell>
          <cell r="H187">
            <v>0</v>
          </cell>
        </row>
        <row r="188">
          <cell r="F188">
            <v>0</v>
          </cell>
          <cell r="G188">
            <v>50000</v>
          </cell>
          <cell r="H188">
            <v>50000</v>
          </cell>
        </row>
        <row r="189">
          <cell r="F189">
            <v>0</v>
          </cell>
          <cell r="G189">
            <v>60000</v>
          </cell>
          <cell r="H189">
            <v>60000</v>
          </cell>
        </row>
        <row r="190">
          <cell r="F190">
            <v>0</v>
          </cell>
          <cell r="G190">
            <v>0</v>
          </cell>
          <cell r="H190">
            <v>0</v>
          </cell>
        </row>
        <row r="191">
          <cell r="F191">
            <v>0</v>
          </cell>
          <cell r="G191">
            <v>118000</v>
          </cell>
          <cell r="H191">
            <v>118000</v>
          </cell>
        </row>
        <row r="192">
          <cell r="F192">
            <v>0</v>
          </cell>
          <cell r="G192">
            <v>55000</v>
          </cell>
          <cell r="H192">
            <v>55000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20000</v>
          </cell>
          <cell r="H199">
            <v>20000</v>
          </cell>
        </row>
        <row r="200">
          <cell r="F200">
            <v>0</v>
          </cell>
          <cell r="G200">
            <v>0</v>
          </cell>
          <cell r="H200">
            <v>0</v>
          </cell>
        </row>
        <row r="201">
          <cell r="F201">
            <v>0</v>
          </cell>
          <cell r="G201">
            <v>0</v>
          </cell>
          <cell r="H201">
            <v>0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0</v>
          </cell>
          <cell r="G203">
            <v>2000</v>
          </cell>
          <cell r="H203">
            <v>2000</v>
          </cell>
        </row>
        <row r="204">
          <cell r="F204">
            <v>0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3000</v>
          </cell>
          <cell r="H209">
            <v>3000</v>
          </cell>
        </row>
        <row r="210">
          <cell r="F210">
            <v>0</v>
          </cell>
          <cell r="G210">
            <v>42000</v>
          </cell>
          <cell r="H210">
            <v>42000</v>
          </cell>
        </row>
        <row r="211">
          <cell r="F211">
            <v>0</v>
          </cell>
          <cell r="G211">
            <v>10000</v>
          </cell>
          <cell r="H211">
            <v>10000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20000</v>
          </cell>
          <cell r="H213">
            <v>20000</v>
          </cell>
        </row>
        <row r="214">
          <cell r="F214">
            <v>0</v>
          </cell>
          <cell r="G214">
            <v>0</v>
          </cell>
          <cell r="H214">
            <v>0</v>
          </cell>
        </row>
        <row r="215">
          <cell r="F215">
            <v>0</v>
          </cell>
          <cell r="G215">
            <v>0</v>
          </cell>
          <cell r="H215">
            <v>0</v>
          </cell>
        </row>
        <row r="216">
          <cell r="F216">
            <v>0</v>
          </cell>
          <cell r="G216">
            <v>0</v>
          </cell>
          <cell r="H216">
            <v>0</v>
          </cell>
        </row>
        <row r="217">
          <cell r="F217">
            <v>0</v>
          </cell>
          <cell r="G217">
            <v>0</v>
          </cell>
          <cell r="H217">
            <v>0</v>
          </cell>
        </row>
        <row r="218">
          <cell r="F218">
            <v>0</v>
          </cell>
          <cell r="G218">
            <v>0</v>
          </cell>
          <cell r="H218">
            <v>0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32000</v>
          </cell>
          <cell r="H220">
            <v>32000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0</v>
          </cell>
          <cell r="H225">
            <v>0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0</v>
          </cell>
          <cell r="G227">
            <v>0</v>
          </cell>
          <cell r="H227">
            <v>0</v>
          </cell>
        </row>
        <row r="228">
          <cell r="F228">
            <v>0</v>
          </cell>
          <cell r="G228">
            <v>0</v>
          </cell>
          <cell r="H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</row>
        <row r="231">
          <cell r="F231">
            <v>0</v>
          </cell>
          <cell r="G231">
            <v>0</v>
          </cell>
          <cell r="H231">
            <v>0</v>
          </cell>
        </row>
        <row r="232">
          <cell r="F232">
            <v>0</v>
          </cell>
          <cell r="G232">
            <v>0</v>
          </cell>
          <cell r="H232">
            <v>0</v>
          </cell>
        </row>
        <row r="233">
          <cell r="F233">
            <v>0</v>
          </cell>
          <cell r="G233">
            <v>0</v>
          </cell>
          <cell r="H233">
            <v>0</v>
          </cell>
        </row>
        <row r="234">
          <cell r="F234">
            <v>0</v>
          </cell>
          <cell r="G234">
            <v>0</v>
          </cell>
          <cell r="H234">
            <v>0</v>
          </cell>
        </row>
        <row r="235">
          <cell r="F235">
            <v>0</v>
          </cell>
          <cell r="G235">
            <v>0</v>
          </cell>
          <cell r="H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0</v>
          </cell>
          <cell r="G245">
            <v>0</v>
          </cell>
          <cell r="H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</row>
        <row r="247">
          <cell r="F247">
            <v>0</v>
          </cell>
          <cell r="G247">
            <v>0</v>
          </cell>
          <cell r="H247">
            <v>0</v>
          </cell>
        </row>
        <row r="248">
          <cell r="F248">
            <v>0</v>
          </cell>
          <cell r="G248">
            <v>0</v>
          </cell>
          <cell r="H248">
            <v>0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0</v>
          </cell>
          <cell r="G250">
            <v>0</v>
          </cell>
          <cell r="H250">
            <v>0</v>
          </cell>
        </row>
        <row r="251">
          <cell r="F251">
            <v>0</v>
          </cell>
          <cell r="G251">
            <v>0</v>
          </cell>
          <cell r="H251">
            <v>0</v>
          </cell>
        </row>
        <row r="252">
          <cell r="F252">
            <v>0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0</v>
          </cell>
          <cell r="H253">
            <v>0</v>
          </cell>
        </row>
        <row r="254">
          <cell r="F254">
            <v>0</v>
          </cell>
          <cell r="G254">
            <v>0</v>
          </cell>
          <cell r="H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</row>
        <row r="256">
          <cell r="F256">
            <v>0</v>
          </cell>
          <cell r="G256">
            <v>0</v>
          </cell>
          <cell r="H256">
            <v>0</v>
          </cell>
        </row>
        <row r="257">
          <cell r="F257">
            <v>0</v>
          </cell>
          <cell r="G257">
            <v>0</v>
          </cell>
          <cell r="H257">
            <v>0</v>
          </cell>
        </row>
        <row r="260">
          <cell r="G260">
            <v>11000</v>
          </cell>
          <cell r="H260">
            <v>11000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2">
          <cell r="C32">
            <v>812600</v>
          </cell>
        </row>
        <row r="39">
          <cell r="D39">
            <v>1741151850</v>
          </cell>
        </row>
        <row r="49">
          <cell r="B49">
            <v>331017750</v>
          </cell>
        </row>
        <row r="51">
          <cell r="B51">
            <v>1741151850</v>
          </cell>
        </row>
        <row r="52">
          <cell r="D52">
            <v>33130</v>
          </cell>
        </row>
        <row r="54">
          <cell r="D54">
            <v>1033140.97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2145741702</v>
          </cell>
        </row>
        <row r="47">
          <cell r="B47">
            <v>569765402</v>
          </cell>
        </row>
        <row r="49">
          <cell r="B49">
            <v>2145741702</v>
          </cell>
        </row>
        <row r="50">
          <cell r="D50">
            <v>30772</v>
          </cell>
        </row>
        <row r="52">
          <cell r="D52">
            <v>1270539.3540000001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2015548251</v>
          </cell>
        </row>
        <row r="47">
          <cell r="B47">
            <v>469341951</v>
          </cell>
        </row>
        <row r="49">
          <cell r="B49">
            <v>2015548251</v>
          </cell>
        </row>
        <row r="50">
          <cell r="D50">
            <v>31404</v>
          </cell>
        </row>
        <row r="52">
          <cell r="D52">
            <v>1194533.088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1696641650</v>
          </cell>
        </row>
        <row r="47">
          <cell r="B47">
            <v>348255950</v>
          </cell>
        </row>
        <row r="49">
          <cell r="B49">
            <v>1696641650</v>
          </cell>
        </row>
        <row r="50">
          <cell r="D50">
            <v>32978</v>
          </cell>
        </row>
        <row r="52">
          <cell r="D52">
            <v>1006977.205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1651268200</v>
          </cell>
        </row>
        <row r="47">
          <cell r="B47">
            <v>303065500</v>
          </cell>
        </row>
        <row r="49">
          <cell r="B49">
            <v>1651268200</v>
          </cell>
        </row>
        <row r="50">
          <cell r="D50">
            <v>31742</v>
          </cell>
        </row>
        <row r="52">
          <cell r="D52">
            <v>979983.17599999998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1192026300</v>
          </cell>
        </row>
        <row r="47">
          <cell r="B47">
            <v>199568400</v>
          </cell>
        </row>
        <row r="49">
          <cell r="B49">
            <v>1192026300</v>
          </cell>
        </row>
        <row r="50">
          <cell r="D50">
            <v>16412</v>
          </cell>
        </row>
        <row r="52">
          <cell r="D52">
            <v>706399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550360950</v>
          </cell>
        </row>
        <row r="47">
          <cell r="B47">
            <v>76726050</v>
          </cell>
        </row>
        <row r="49">
          <cell r="B49">
            <v>550360950</v>
          </cell>
        </row>
        <row r="50">
          <cell r="D50">
            <v>4982</v>
          </cell>
        </row>
        <row r="52">
          <cell r="D52">
            <v>326098.08799999999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2190657300</v>
          </cell>
        </row>
        <row r="47">
          <cell r="B47">
            <v>516294700</v>
          </cell>
        </row>
        <row r="49">
          <cell r="B49">
            <v>2190657300</v>
          </cell>
        </row>
        <row r="50">
          <cell r="D50">
            <v>32478</v>
          </cell>
        </row>
        <row r="52">
          <cell r="D52">
            <v>1297631.7050000001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1824237350</v>
          </cell>
        </row>
        <row r="47">
          <cell r="B47">
            <v>366939850</v>
          </cell>
        </row>
        <row r="49">
          <cell r="B49">
            <v>1824237350</v>
          </cell>
        </row>
        <row r="50">
          <cell r="D50">
            <v>33158</v>
          </cell>
        </row>
        <row r="52">
          <cell r="D52">
            <v>1082148.9110000001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1699809300</v>
          </cell>
        </row>
        <row r="47">
          <cell r="B47">
            <v>319878100</v>
          </cell>
        </row>
        <row r="49">
          <cell r="B49">
            <v>1699809300</v>
          </cell>
        </row>
        <row r="50">
          <cell r="D50">
            <v>32548</v>
          </cell>
        </row>
        <row r="52">
          <cell r="D52">
            <v>1008588.764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1702942150</v>
          </cell>
        </row>
        <row r="47">
          <cell r="B47">
            <v>330275450</v>
          </cell>
        </row>
        <row r="49">
          <cell r="B49">
            <v>1702942150</v>
          </cell>
        </row>
        <row r="50">
          <cell r="D50">
            <v>33218</v>
          </cell>
        </row>
        <row r="52">
          <cell r="D52">
            <v>1010670.676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1626353600</v>
          </cell>
        </row>
        <row r="47">
          <cell r="B47">
            <v>287833300</v>
          </cell>
        </row>
        <row r="49">
          <cell r="B49">
            <v>1626353600</v>
          </cell>
        </row>
        <row r="50">
          <cell r="D50">
            <v>32396</v>
          </cell>
        </row>
        <row r="52">
          <cell r="D52">
            <v>965322</v>
          </cell>
        </row>
      </sheetData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1179744001</v>
          </cell>
        </row>
        <row r="47">
          <cell r="B47">
            <v>190042901</v>
          </cell>
        </row>
        <row r="49">
          <cell r="B49">
            <v>1179744001</v>
          </cell>
        </row>
        <row r="50">
          <cell r="D50">
            <v>16440</v>
          </cell>
        </row>
        <row r="52">
          <cell r="D52">
            <v>699215.05900000001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520394650</v>
          </cell>
        </row>
        <row r="47">
          <cell r="B47">
            <v>71225250</v>
          </cell>
        </row>
        <row r="49">
          <cell r="B49">
            <v>520394650</v>
          </cell>
        </row>
        <row r="50">
          <cell r="D50">
            <v>4904</v>
          </cell>
        </row>
        <row r="52">
          <cell r="D52">
            <v>308288.147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2213499751</v>
          </cell>
        </row>
        <row r="47">
          <cell r="B47">
            <v>514492151</v>
          </cell>
        </row>
        <row r="49">
          <cell r="B49">
            <v>2213499751</v>
          </cell>
        </row>
        <row r="50">
          <cell r="D50">
            <v>32950</v>
          </cell>
        </row>
        <row r="52">
          <cell r="D52">
            <v>1311242.912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2040553251</v>
          </cell>
        </row>
        <row r="47">
          <cell r="B47">
            <v>514572951</v>
          </cell>
        </row>
        <row r="49">
          <cell r="B49">
            <v>2040553251</v>
          </cell>
        </row>
        <row r="50">
          <cell r="D50">
            <v>33170</v>
          </cell>
        </row>
        <row r="52">
          <cell r="D52">
            <v>1209231.324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2022969800</v>
          </cell>
        </row>
        <row r="47">
          <cell r="B47">
            <v>498738000</v>
          </cell>
        </row>
        <row r="49">
          <cell r="B49">
            <v>2022969800</v>
          </cell>
        </row>
        <row r="50">
          <cell r="D50">
            <v>33294</v>
          </cell>
        </row>
        <row r="52">
          <cell r="D52">
            <v>1198918.2350000001</v>
          </cell>
        </row>
      </sheetData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1842710309</v>
          </cell>
        </row>
        <row r="47">
          <cell r="B47">
            <v>399884409</v>
          </cell>
        </row>
        <row r="49">
          <cell r="B49">
            <v>1842710309</v>
          </cell>
        </row>
        <row r="50">
          <cell r="D50">
            <v>33340</v>
          </cell>
        </row>
        <row r="52">
          <cell r="D52">
            <v>1092835.4750000001</v>
          </cell>
        </row>
      </sheetData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1716562701</v>
          </cell>
        </row>
        <row r="47">
          <cell r="B47">
            <v>319472401</v>
          </cell>
        </row>
        <row r="49">
          <cell r="B49">
            <v>1716562701</v>
          </cell>
        </row>
        <row r="50">
          <cell r="D50">
            <v>32726</v>
          </cell>
        </row>
        <row r="52">
          <cell r="D52">
            <v>1018556.059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1224068801</v>
          </cell>
        </row>
        <row r="47">
          <cell r="B47">
            <v>201359501</v>
          </cell>
        </row>
        <row r="49">
          <cell r="B49">
            <v>1224068801</v>
          </cell>
        </row>
        <row r="50">
          <cell r="D50">
            <v>16456</v>
          </cell>
        </row>
        <row r="52">
          <cell r="D52">
            <v>725303.76500000001</v>
          </cell>
        </row>
      </sheetData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542846850</v>
          </cell>
        </row>
        <row r="47">
          <cell r="B47">
            <v>73691250</v>
          </cell>
        </row>
        <row r="49">
          <cell r="B49">
            <v>542846850</v>
          </cell>
        </row>
        <row r="50">
          <cell r="D50">
            <v>5112</v>
          </cell>
        </row>
        <row r="52">
          <cell r="D52">
            <v>321683.20500000002</v>
          </cell>
        </row>
      </sheetData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2229057300</v>
          </cell>
        </row>
        <row r="47">
          <cell r="B47">
            <v>519998700</v>
          </cell>
        </row>
        <row r="49">
          <cell r="B49">
            <v>2229057300</v>
          </cell>
        </row>
        <row r="50">
          <cell r="D50">
            <v>33114</v>
          </cell>
        </row>
        <row r="52">
          <cell r="D52">
            <v>1320447.352</v>
          </cell>
        </row>
      </sheetData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1825493000</v>
          </cell>
        </row>
        <row r="47">
          <cell r="B47">
            <v>365679700</v>
          </cell>
        </row>
        <row r="49">
          <cell r="B49">
            <v>1825493000</v>
          </cell>
        </row>
        <row r="50">
          <cell r="D50">
            <v>33174</v>
          </cell>
        </row>
        <row r="52">
          <cell r="D52">
            <v>1082865.5290000001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1665938550</v>
          </cell>
        </row>
        <row r="47">
          <cell r="B47">
            <v>306288450</v>
          </cell>
        </row>
        <row r="49">
          <cell r="B49">
            <v>1665938550</v>
          </cell>
        </row>
        <row r="50">
          <cell r="D50">
            <v>32588</v>
          </cell>
        </row>
        <row r="52">
          <cell r="D52">
            <v>988762.55799999996</v>
          </cell>
        </row>
      </sheetData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1708194501</v>
          </cell>
        </row>
        <row r="47">
          <cell r="B47">
            <v>326470701</v>
          </cell>
        </row>
        <row r="49">
          <cell r="B49">
            <v>1708194501</v>
          </cell>
        </row>
        <row r="50">
          <cell r="D50">
            <v>33252</v>
          </cell>
        </row>
        <row r="52">
          <cell r="D52">
            <v>1013619.588</v>
          </cell>
        </row>
      </sheetData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1264884051</v>
          </cell>
        </row>
        <row r="47">
          <cell r="B47">
            <v>220970451</v>
          </cell>
        </row>
        <row r="49">
          <cell r="B49">
            <v>1264884051</v>
          </cell>
        </row>
        <row r="50">
          <cell r="D50">
            <v>16706</v>
          </cell>
        </row>
        <row r="52">
          <cell r="D52">
            <v>749442.03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551688000</v>
          </cell>
        </row>
        <row r="47">
          <cell r="B47">
            <v>80253100</v>
          </cell>
        </row>
        <row r="49">
          <cell r="B49">
            <v>551688000</v>
          </cell>
        </row>
        <row r="50">
          <cell r="D50">
            <v>4984</v>
          </cell>
        </row>
        <row r="52">
          <cell r="D52">
            <v>326751.05800000002</v>
          </cell>
        </row>
      </sheetData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2591291250</v>
          </cell>
        </row>
        <row r="47">
          <cell r="B47">
            <v>725891950</v>
          </cell>
        </row>
        <row r="49">
          <cell r="B49">
            <v>2591291250</v>
          </cell>
        </row>
        <row r="50">
          <cell r="D50">
            <v>32606</v>
          </cell>
        </row>
        <row r="52">
          <cell r="D52">
            <v>1533496.264</v>
          </cell>
        </row>
      </sheetData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2336647901</v>
          </cell>
        </row>
        <row r="47">
          <cell r="B47">
            <v>621513701</v>
          </cell>
        </row>
        <row r="49">
          <cell r="B49">
            <v>2336647901</v>
          </cell>
        </row>
        <row r="50">
          <cell r="D50">
            <v>32882</v>
          </cell>
        </row>
        <row r="52">
          <cell r="D52">
            <v>1383774.7649999999</v>
          </cell>
        </row>
      </sheetData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2091817729</v>
          </cell>
        </row>
        <row r="47">
          <cell r="B47">
            <v>490701229</v>
          </cell>
        </row>
        <row r="49">
          <cell r="B49">
            <v>2091817729</v>
          </cell>
        </row>
        <row r="50">
          <cell r="D50">
            <v>33274</v>
          </cell>
        </row>
        <row r="52">
          <cell r="D52">
            <v>1239647.3700000001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1898788367</v>
          </cell>
        </row>
        <row r="47">
          <cell r="B47">
            <v>400175667</v>
          </cell>
        </row>
        <row r="49">
          <cell r="B49">
            <v>1898788367</v>
          </cell>
        </row>
        <row r="50">
          <cell r="D50">
            <v>32924</v>
          </cell>
        </row>
        <row r="52">
          <cell r="D52">
            <v>1126049.862</v>
          </cell>
        </row>
      </sheetData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1782810059</v>
          </cell>
        </row>
        <row r="47">
          <cell r="B47">
            <v>324843559</v>
          </cell>
        </row>
        <row r="49">
          <cell r="B49">
            <v>1782810059</v>
          </cell>
        </row>
        <row r="50">
          <cell r="D50">
            <v>33216</v>
          </cell>
        </row>
        <row r="52">
          <cell r="D52">
            <v>1057749.2109999999</v>
          </cell>
        </row>
      </sheetData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1293896250</v>
          </cell>
        </row>
        <row r="47">
          <cell r="B47">
            <v>209596950</v>
          </cell>
        </row>
        <row r="49">
          <cell r="B49">
            <v>1293896250</v>
          </cell>
        </row>
        <row r="50">
          <cell r="D50">
            <v>17172</v>
          </cell>
        </row>
        <row r="52">
          <cell r="D52">
            <v>766701.55799999996</v>
          </cell>
        </row>
      </sheetData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9">
          <cell r="D39">
            <v>554874700</v>
          </cell>
        </row>
        <row r="47">
          <cell r="B47">
            <v>77121300</v>
          </cell>
        </row>
        <row r="49">
          <cell r="B49">
            <v>554874700</v>
          </cell>
        </row>
        <row r="50">
          <cell r="D50">
            <v>5068</v>
          </cell>
        </row>
        <row r="52">
          <cell r="D52">
            <v>328679.70500000002</v>
          </cell>
        </row>
      </sheetData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5792</v>
          </cell>
          <cell r="E11">
            <v>4193600</v>
          </cell>
          <cell r="F11">
            <v>14040000</v>
          </cell>
        </row>
        <row r="12">
          <cell r="D12">
            <v>2408</v>
          </cell>
          <cell r="E12">
            <v>1933500</v>
          </cell>
          <cell r="F12">
            <v>6027100</v>
          </cell>
        </row>
        <row r="13">
          <cell r="D13">
            <v>1249</v>
          </cell>
          <cell r="E13">
            <v>1504850</v>
          </cell>
          <cell r="F13">
            <v>3628150</v>
          </cell>
        </row>
        <row r="14">
          <cell r="D14">
            <v>43251</v>
          </cell>
          <cell r="E14">
            <v>23949400</v>
          </cell>
          <cell r="F14">
            <v>97476100</v>
          </cell>
        </row>
        <row r="15">
          <cell r="D15">
            <v>23486</v>
          </cell>
          <cell r="E15">
            <v>6360200</v>
          </cell>
          <cell r="F15">
            <v>46286400</v>
          </cell>
        </row>
        <row r="16">
          <cell r="D16">
            <v>5383</v>
          </cell>
          <cell r="E16">
            <v>2175600</v>
          </cell>
          <cell r="F16">
            <v>11326700</v>
          </cell>
        </row>
        <row r="17">
          <cell r="D17">
            <v>4547</v>
          </cell>
          <cell r="E17">
            <v>1800300</v>
          </cell>
          <cell r="F17">
            <v>9530200</v>
          </cell>
        </row>
        <row r="18">
          <cell r="D18">
            <v>9845</v>
          </cell>
          <cell r="E18">
            <v>3539400</v>
          </cell>
          <cell r="F18">
            <v>20275900</v>
          </cell>
        </row>
        <row r="19">
          <cell r="D19">
            <v>5243</v>
          </cell>
          <cell r="E19">
            <v>1764300</v>
          </cell>
          <cell r="F19">
            <v>10677400</v>
          </cell>
        </row>
        <row r="20">
          <cell r="D20">
            <v>2772</v>
          </cell>
          <cell r="E20">
            <v>1870200</v>
          </cell>
          <cell r="F20">
            <v>6582600</v>
          </cell>
        </row>
        <row r="21">
          <cell r="D21">
            <v>11579</v>
          </cell>
          <cell r="E21">
            <v>7528650</v>
          </cell>
          <cell r="F21">
            <v>27212950</v>
          </cell>
        </row>
        <row r="22">
          <cell r="D22">
            <v>3337</v>
          </cell>
          <cell r="E22">
            <v>1211950</v>
          </cell>
          <cell r="F22">
            <v>6884850</v>
          </cell>
        </row>
        <row r="23">
          <cell r="D23">
            <v>4498</v>
          </cell>
          <cell r="E23">
            <v>1621050</v>
          </cell>
          <cell r="F23">
            <v>9267650</v>
          </cell>
        </row>
        <row r="24">
          <cell r="D24">
            <v>8594</v>
          </cell>
          <cell r="E24">
            <v>2296300</v>
          </cell>
          <cell r="F24">
            <v>16906100</v>
          </cell>
        </row>
        <row r="25">
          <cell r="D25">
            <v>7542</v>
          </cell>
          <cell r="E25">
            <v>2852500</v>
          </cell>
          <cell r="F25">
            <v>15673900</v>
          </cell>
        </row>
        <row r="26">
          <cell r="D26">
            <v>6686</v>
          </cell>
          <cell r="E26">
            <v>3882200</v>
          </cell>
          <cell r="F26">
            <v>15248400</v>
          </cell>
        </row>
        <row r="27">
          <cell r="D27">
            <v>2404</v>
          </cell>
          <cell r="E27">
            <v>1464000</v>
          </cell>
          <cell r="F27">
            <v>5550800</v>
          </cell>
        </row>
        <row r="28">
          <cell r="D28">
            <v>4485</v>
          </cell>
          <cell r="E28">
            <v>2868800</v>
          </cell>
          <cell r="F28">
            <v>10493300</v>
          </cell>
        </row>
        <row r="29">
          <cell r="D29">
            <v>3310</v>
          </cell>
          <cell r="E29">
            <v>2220650</v>
          </cell>
          <cell r="F29">
            <v>7847650</v>
          </cell>
        </row>
        <row r="30">
          <cell r="D30">
            <v>4050</v>
          </cell>
          <cell r="E30">
            <v>1767300</v>
          </cell>
          <cell r="F30">
            <v>8652300</v>
          </cell>
        </row>
        <row r="31">
          <cell r="D31">
            <v>6720</v>
          </cell>
          <cell r="E31">
            <v>2614200</v>
          </cell>
          <cell r="F31">
            <v>14038200</v>
          </cell>
        </row>
        <row r="32">
          <cell r="D32">
            <v>3538</v>
          </cell>
          <cell r="E32">
            <v>2005900</v>
          </cell>
          <cell r="F32">
            <v>8020500</v>
          </cell>
        </row>
        <row r="33">
          <cell r="D33">
            <v>7597</v>
          </cell>
          <cell r="E33">
            <v>4025800</v>
          </cell>
          <cell r="F33">
            <v>16940700</v>
          </cell>
        </row>
        <row r="34">
          <cell r="D34">
            <v>2821</v>
          </cell>
          <cell r="E34">
            <v>1947000</v>
          </cell>
          <cell r="F34">
            <v>6742700</v>
          </cell>
        </row>
        <row r="35">
          <cell r="D35">
            <v>6902</v>
          </cell>
          <cell r="E35">
            <v>3493400</v>
          </cell>
          <cell r="F35">
            <v>15226800</v>
          </cell>
        </row>
        <row r="36">
          <cell r="D36">
            <v>5298</v>
          </cell>
          <cell r="E36">
            <v>1907200</v>
          </cell>
          <cell r="F36">
            <v>10913800</v>
          </cell>
        </row>
        <row r="37">
          <cell r="D37">
            <v>7837</v>
          </cell>
          <cell r="E37">
            <v>4076550</v>
          </cell>
          <cell r="F37">
            <v>17399450</v>
          </cell>
        </row>
        <row r="38">
          <cell r="D38">
            <v>2172</v>
          </cell>
          <cell r="E38">
            <v>908900</v>
          </cell>
          <cell r="F38">
            <v>4601300</v>
          </cell>
        </row>
        <row r="39">
          <cell r="D39">
            <v>5884</v>
          </cell>
          <cell r="E39">
            <v>2787300</v>
          </cell>
          <cell r="F39">
            <v>12790100</v>
          </cell>
        </row>
        <row r="40">
          <cell r="D40">
            <v>7468</v>
          </cell>
          <cell r="E40">
            <v>3467400</v>
          </cell>
          <cell r="F40">
            <v>16163000</v>
          </cell>
        </row>
        <row r="41">
          <cell r="D41">
            <v>2979</v>
          </cell>
          <cell r="E41">
            <v>2388600</v>
          </cell>
          <cell r="F41">
            <v>7452900</v>
          </cell>
        </row>
        <row r="42">
          <cell r="D42">
            <v>2061</v>
          </cell>
          <cell r="E42">
            <v>884800</v>
          </cell>
          <cell r="F42">
            <v>4388500</v>
          </cell>
        </row>
        <row r="43">
          <cell r="D43">
            <v>5838</v>
          </cell>
          <cell r="E43">
            <v>1988200</v>
          </cell>
          <cell r="F43">
            <v>11912800</v>
          </cell>
        </row>
        <row r="44">
          <cell r="D44">
            <v>6078</v>
          </cell>
          <cell r="E44">
            <v>2666600</v>
          </cell>
          <cell r="F44">
            <v>12999200</v>
          </cell>
        </row>
        <row r="45">
          <cell r="D45">
            <v>6794</v>
          </cell>
          <cell r="E45">
            <v>2619300</v>
          </cell>
          <cell r="F45">
            <v>14169100</v>
          </cell>
        </row>
        <row r="46">
          <cell r="D46">
            <v>3849</v>
          </cell>
          <cell r="E46">
            <v>1465300</v>
          </cell>
          <cell r="F46">
            <v>8008600</v>
          </cell>
        </row>
        <row r="47">
          <cell r="D47">
            <v>4255</v>
          </cell>
          <cell r="E47">
            <v>2753600</v>
          </cell>
          <cell r="F47">
            <v>9987100</v>
          </cell>
        </row>
        <row r="48">
          <cell r="D48">
            <v>4869</v>
          </cell>
          <cell r="E48">
            <v>2367500</v>
          </cell>
          <cell r="F48">
            <v>10644800</v>
          </cell>
        </row>
        <row r="49">
          <cell r="D49">
            <v>2673</v>
          </cell>
          <cell r="E49">
            <v>930000</v>
          </cell>
          <cell r="F49">
            <v>5474100</v>
          </cell>
        </row>
        <row r="50">
          <cell r="D50">
            <v>4720</v>
          </cell>
          <cell r="E50">
            <v>3046900</v>
          </cell>
          <cell r="F50">
            <v>11070900</v>
          </cell>
        </row>
        <row r="51">
          <cell r="D51">
            <v>5522</v>
          </cell>
          <cell r="E51">
            <v>4193500</v>
          </cell>
          <cell r="F51">
            <v>13580900</v>
          </cell>
        </row>
        <row r="52">
          <cell r="D52">
            <v>2246</v>
          </cell>
          <cell r="E52">
            <v>1565950</v>
          </cell>
          <cell r="F52">
            <v>5384150</v>
          </cell>
        </row>
        <row r="53">
          <cell r="D53">
            <v>4625</v>
          </cell>
          <cell r="E53">
            <v>2653600</v>
          </cell>
          <cell r="F53">
            <v>10516100</v>
          </cell>
        </row>
        <row r="54">
          <cell r="D54">
            <v>9927</v>
          </cell>
          <cell r="E54">
            <v>4916400</v>
          </cell>
          <cell r="F54">
            <v>21792300</v>
          </cell>
        </row>
        <row r="55">
          <cell r="D55">
            <v>16559</v>
          </cell>
          <cell r="E55">
            <v>7193700</v>
          </cell>
          <cell r="F55">
            <v>35344000</v>
          </cell>
        </row>
        <row r="56">
          <cell r="D56">
            <v>28335</v>
          </cell>
          <cell r="E56">
            <v>14799350</v>
          </cell>
          <cell r="F56">
            <v>62968850</v>
          </cell>
        </row>
        <row r="57">
          <cell r="D57">
            <v>12608</v>
          </cell>
          <cell r="E57">
            <v>8163950</v>
          </cell>
          <cell r="F57">
            <v>29597550</v>
          </cell>
        </row>
        <row r="58">
          <cell r="D58">
            <v>47063</v>
          </cell>
          <cell r="E58">
            <v>23169750</v>
          </cell>
          <cell r="F58">
            <v>103176850</v>
          </cell>
        </row>
        <row r="59">
          <cell r="D59">
            <v>8110</v>
          </cell>
          <cell r="E59">
            <v>4017250</v>
          </cell>
          <cell r="F59">
            <v>17804250</v>
          </cell>
        </row>
        <row r="60">
          <cell r="D60">
            <v>9678</v>
          </cell>
          <cell r="E60">
            <v>4032700</v>
          </cell>
          <cell r="F60">
            <v>20485300</v>
          </cell>
        </row>
        <row r="61">
          <cell r="D61">
            <v>2132</v>
          </cell>
          <cell r="E61">
            <v>1405500</v>
          </cell>
          <cell r="F61">
            <v>5029900</v>
          </cell>
        </row>
        <row r="62">
          <cell r="D62">
            <v>1491</v>
          </cell>
          <cell r="E62">
            <v>518350</v>
          </cell>
          <cell r="F62">
            <v>3053050</v>
          </cell>
        </row>
        <row r="63">
          <cell r="D63">
            <v>2479</v>
          </cell>
          <cell r="E63">
            <v>845800</v>
          </cell>
          <cell r="F63">
            <v>5060100</v>
          </cell>
        </row>
        <row r="64">
          <cell r="D64">
            <v>3271</v>
          </cell>
          <cell r="E64">
            <v>1011000</v>
          </cell>
          <cell r="F64">
            <v>6571700</v>
          </cell>
        </row>
        <row r="65">
          <cell r="D65">
            <v>4125</v>
          </cell>
          <cell r="E65">
            <v>2232500</v>
          </cell>
          <cell r="F65">
            <v>9245000</v>
          </cell>
        </row>
        <row r="66">
          <cell r="D66">
            <v>4385</v>
          </cell>
          <cell r="E66">
            <v>2074600</v>
          </cell>
          <cell r="F66">
            <v>9529100</v>
          </cell>
        </row>
        <row r="67">
          <cell r="D67">
            <v>2761</v>
          </cell>
          <cell r="E67">
            <v>1385600</v>
          </cell>
          <cell r="F67">
            <v>6079300</v>
          </cell>
        </row>
        <row r="68">
          <cell r="D68">
            <v>7044</v>
          </cell>
          <cell r="E68">
            <v>4209900</v>
          </cell>
          <cell r="F68">
            <v>16184700</v>
          </cell>
        </row>
        <row r="69">
          <cell r="D69">
            <v>6358</v>
          </cell>
          <cell r="E69">
            <v>2909550</v>
          </cell>
          <cell r="F69">
            <v>13718150</v>
          </cell>
        </row>
        <row r="70">
          <cell r="D70">
            <v>4711</v>
          </cell>
          <cell r="E70">
            <v>2310000</v>
          </cell>
          <cell r="F70">
            <v>10318700</v>
          </cell>
        </row>
        <row r="71">
          <cell r="D71">
            <v>3881</v>
          </cell>
          <cell r="E71">
            <v>2820650</v>
          </cell>
          <cell r="F71">
            <v>9418350</v>
          </cell>
        </row>
        <row r="72">
          <cell r="D72">
            <v>3754</v>
          </cell>
          <cell r="E72">
            <v>2740300</v>
          </cell>
          <cell r="F72">
            <v>9122100</v>
          </cell>
        </row>
        <row r="73">
          <cell r="D73">
            <v>1842</v>
          </cell>
          <cell r="E73">
            <v>874400</v>
          </cell>
          <cell r="F73">
            <v>4005800</v>
          </cell>
        </row>
        <row r="74">
          <cell r="D74">
            <v>0</v>
          </cell>
          <cell r="E74">
            <v>1946000</v>
          </cell>
          <cell r="F74">
            <v>1946000</v>
          </cell>
          <cell r="M74">
            <v>610682.94099999999</v>
          </cell>
        </row>
        <row r="75">
          <cell r="D75">
            <v>0</v>
          </cell>
          <cell r="E75">
            <v>1508000</v>
          </cell>
          <cell r="F75">
            <v>1508000</v>
          </cell>
        </row>
        <row r="76">
          <cell r="D76">
            <v>0</v>
          </cell>
          <cell r="E76">
            <v>1588000</v>
          </cell>
          <cell r="F76">
            <v>1588000</v>
          </cell>
        </row>
        <row r="77">
          <cell r="D77">
            <v>0</v>
          </cell>
          <cell r="E77">
            <v>1251000</v>
          </cell>
          <cell r="F77">
            <v>1251000</v>
          </cell>
        </row>
        <row r="78">
          <cell r="D78">
            <v>0</v>
          </cell>
          <cell r="E78">
            <v>725000</v>
          </cell>
          <cell r="F78">
            <v>725000</v>
          </cell>
        </row>
        <row r="79">
          <cell r="D79">
            <v>0</v>
          </cell>
          <cell r="E79">
            <v>1462000</v>
          </cell>
          <cell r="F79">
            <v>1462000</v>
          </cell>
        </row>
        <row r="80">
          <cell r="D80">
            <v>0</v>
          </cell>
          <cell r="E80">
            <v>1468000</v>
          </cell>
          <cell r="F80">
            <v>1468000</v>
          </cell>
        </row>
        <row r="81">
          <cell r="D81">
            <v>0</v>
          </cell>
          <cell r="E81">
            <v>1707000</v>
          </cell>
          <cell r="F81">
            <v>1707000</v>
          </cell>
        </row>
        <row r="82">
          <cell r="D82">
            <v>0</v>
          </cell>
          <cell r="E82">
            <v>1993000</v>
          </cell>
          <cell r="F82">
            <v>1993000</v>
          </cell>
        </row>
        <row r="83">
          <cell r="D83">
            <v>0</v>
          </cell>
          <cell r="E83">
            <v>1211000</v>
          </cell>
          <cell r="F83">
            <v>1211000</v>
          </cell>
        </row>
        <row r="84">
          <cell r="D84">
            <v>0</v>
          </cell>
          <cell r="E84">
            <v>285000</v>
          </cell>
          <cell r="F84">
            <v>285000</v>
          </cell>
        </row>
        <row r="85">
          <cell r="D85">
            <v>0</v>
          </cell>
          <cell r="E85">
            <v>1829000</v>
          </cell>
          <cell r="F85">
            <v>1829000</v>
          </cell>
        </row>
        <row r="86">
          <cell r="D86">
            <v>0</v>
          </cell>
          <cell r="E86">
            <v>2000</v>
          </cell>
          <cell r="F86">
            <v>2000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166000</v>
          </cell>
          <cell r="F88">
            <v>166000</v>
          </cell>
        </row>
        <row r="89">
          <cell r="D89">
            <v>0</v>
          </cell>
          <cell r="E89">
            <v>12000</v>
          </cell>
          <cell r="F89">
            <v>12000</v>
          </cell>
        </row>
        <row r="90">
          <cell r="D90">
            <v>0</v>
          </cell>
          <cell r="E90">
            <v>367000</v>
          </cell>
          <cell r="F90">
            <v>367000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670</v>
          </cell>
          <cell r="E92">
            <v>386000</v>
          </cell>
          <cell r="F92">
            <v>1525000</v>
          </cell>
        </row>
        <row r="93">
          <cell r="D93">
            <v>450</v>
          </cell>
          <cell r="E93">
            <v>3338600</v>
          </cell>
          <cell r="F93">
            <v>4103600</v>
          </cell>
        </row>
        <row r="94">
          <cell r="D94">
            <v>440</v>
          </cell>
          <cell r="E94">
            <v>2976700</v>
          </cell>
          <cell r="F94">
            <v>3724700</v>
          </cell>
        </row>
        <row r="95">
          <cell r="D95">
            <v>257</v>
          </cell>
          <cell r="E95">
            <v>6194800</v>
          </cell>
          <cell r="F95">
            <v>6631700</v>
          </cell>
        </row>
        <row r="96">
          <cell r="D96">
            <v>315</v>
          </cell>
          <cell r="E96">
            <v>3559400</v>
          </cell>
          <cell r="F96">
            <v>4094900</v>
          </cell>
        </row>
        <row r="97">
          <cell r="D97">
            <v>647</v>
          </cell>
          <cell r="E97">
            <v>2839000</v>
          </cell>
          <cell r="F97">
            <v>3938900</v>
          </cell>
        </row>
        <row r="99">
          <cell r="E99">
            <v>103000</v>
          </cell>
          <cell r="F99">
            <v>103000</v>
          </cell>
        </row>
      </sheetData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4869</v>
          </cell>
          <cell r="E11">
            <v>3300400</v>
          </cell>
          <cell r="F11">
            <v>11577700</v>
          </cell>
        </row>
        <row r="12">
          <cell r="D12">
            <v>2389</v>
          </cell>
          <cell r="E12">
            <v>1313200</v>
          </cell>
          <cell r="F12">
            <v>5374500</v>
          </cell>
        </row>
        <row r="13">
          <cell r="D13">
            <v>1183</v>
          </cell>
          <cell r="E13">
            <v>1066200</v>
          </cell>
          <cell r="F13">
            <v>3077300</v>
          </cell>
        </row>
        <row r="14">
          <cell r="D14">
            <v>40128</v>
          </cell>
          <cell r="E14">
            <v>19827650</v>
          </cell>
          <cell r="F14">
            <v>88045250</v>
          </cell>
        </row>
        <row r="15">
          <cell r="D15">
            <v>22606</v>
          </cell>
          <cell r="E15">
            <v>5513500</v>
          </cell>
          <cell r="F15">
            <v>43943700</v>
          </cell>
        </row>
        <row r="16">
          <cell r="D16">
            <v>5223</v>
          </cell>
          <cell r="E16">
            <v>1753700</v>
          </cell>
          <cell r="F16">
            <v>10632800</v>
          </cell>
        </row>
        <row r="17">
          <cell r="D17">
            <v>4505</v>
          </cell>
          <cell r="E17">
            <v>1227700</v>
          </cell>
          <cell r="F17">
            <v>8886200</v>
          </cell>
        </row>
        <row r="18">
          <cell r="D18">
            <v>9348</v>
          </cell>
          <cell r="E18">
            <v>3182900</v>
          </cell>
          <cell r="F18">
            <v>19074500</v>
          </cell>
        </row>
        <row r="19">
          <cell r="D19">
            <v>4805</v>
          </cell>
          <cell r="E19">
            <v>1355000</v>
          </cell>
          <cell r="F19">
            <v>9523500</v>
          </cell>
        </row>
        <row r="20">
          <cell r="D20">
            <v>2803</v>
          </cell>
          <cell r="E20">
            <v>1517100</v>
          </cell>
          <cell r="F20">
            <v>6282200</v>
          </cell>
        </row>
        <row r="21">
          <cell r="D21">
            <v>11525</v>
          </cell>
          <cell r="E21">
            <v>6507850</v>
          </cell>
          <cell r="F21">
            <v>26100350</v>
          </cell>
        </row>
        <row r="22">
          <cell r="D22">
            <v>3205</v>
          </cell>
          <cell r="E22">
            <v>971500</v>
          </cell>
          <cell r="F22">
            <v>6420000</v>
          </cell>
        </row>
        <row r="23">
          <cell r="D23">
            <v>4348</v>
          </cell>
          <cell r="E23">
            <v>1686600</v>
          </cell>
          <cell r="F23">
            <v>9078200</v>
          </cell>
        </row>
        <row r="24">
          <cell r="D24">
            <v>7750</v>
          </cell>
          <cell r="E24">
            <v>2227000</v>
          </cell>
          <cell r="F24">
            <v>15402000</v>
          </cell>
        </row>
        <row r="25">
          <cell r="D25">
            <v>6895</v>
          </cell>
          <cell r="E25">
            <v>2743100</v>
          </cell>
          <cell r="F25">
            <v>14464600</v>
          </cell>
        </row>
        <row r="26">
          <cell r="D26">
            <v>6736</v>
          </cell>
          <cell r="E26">
            <v>2653900</v>
          </cell>
          <cell r="F26">
            <v>14105100</v>
          </cell>
        </row>
        <row r="27">
          <cell r="D27">
            <v>2130</v>
          </cell>
          <cell r="E27">
            <v>1006500</v>
          </cell>
          <cell r="F27">
            <v>4627500</v>
          </cell>
        </row>
        <row r="28">
          <cell r="D28">
            <v>4573</v>
          </cell>
          <cell r="E28">
            <v>2265450</v>
          </cell>
          <cell r="F28">
            <v>10039550</v>
          </cell>
        </row>
        <row r="29">
          <cell r="D29">
            <v>3150</v>
          </cell>
          <cell r="E29">
            <v>1669600</v>
          </cell>
          <cell r="F29">
            <v>7024600</v>
          </cell>
        </row>
        <row r="30">
          <cell r="D30">
            <v>3793</v>
          </cell>
          <cell r="E30">
            <v>1485100</v>
          </cell>
          <cell r="F30">
            <v>7933200</v>
          </cell>
        </row>
        <row r="31">
          <cell r="D31">
            <v>6431</v>
          </cell>
          <cell r="E31">
            <v>2422000</v>
          </cell>
          <cell r="F31">
            <v>13354700</v>
          </cell>
        </row>
        <row r="32">
          <cell r="D32">
            <v>3347</v>
          </cell>
          <cell r="E32">
            <v>1757250</v>
          </cell>
          <cell r="F32">
            <v>7447150</v>
          </cell>
        </row>
        <row r="33">
          <cell r="D33">
            <v>7034</v>
          </cell>
          <cell r="E33">
            <v>3101500</v>
          </cell>
          <cell r="F33">
            <v>15059300</v>
          </cell>
        </row>
        <row r="34">
          <cell r="D34">
            <v>2484</v>
          </cell>
          <cell r="E34">
            <v>1528300</v>
          </cell>
          <cell r="F34">
            <v>5751100</v>
          </cell>
        </row>
        <row r="35">
          <cell r="D35">
            <v>6795</v>
          </cell>
          <cell r="E35">
            <v>2433100</v>
          </cell>
          <cell r="F35">
            <v>13984600</v>
          </cell>
        </row>
        <row r="36">
          <cell r="D36">
            <v>5017</v>
          </cell>
          <cell r="E36">
            <v>2480100</v>
          </cell>
          <cell r="F36">
            <v>11009000</v>
          </cell>
        </row>
        <row r="37">
          <cell r="D37">
            <v>7718</v>
          </cell>
          <cell r="E37">
            <v>3538000</v>
          </cell>
          <cell r="F37">
            <v>16658600</v>
          </cell>
        </row>
        <row r="38">
          <cell r="D38">
            <v>2132</v>
          </cell>
          <cell r="E38">
            <v>946000</v>
          </cell>
          <cell r="F38">
            <v>4570400</v>
          </cell>
        </row>
        <row r="39">
          <cell r="D39">
            <v>5564</v>
          </cell>
          <cell r="E39">
            <v>1594700</v>
          </cell>
          <cell r="F39">
            <v>11053500</v>
          </cell>
        </row>
        <row r="40">
          <cell r="D40">
            <v>7534</v>
          </cell>
          <cell r="E40">
            <v>2999200</v>
          </cell>
          <cell r="F40">
            <v>15807000</v>
          </cell>
        </row>
        <row r="41">
          <cell r="D41">
            <v>2496</v>
          </cell>
          <cell r="E41">
            <v>1402550</v>
          </cell>
          <cell r="F41">
            <v>5645750</v>
          </cell>
        </row>
        <row r="42">
          <cell r="D42">
            <v>2151</v>
          </cell>
          <cell r="E42">
            <v>583200</v>
          </cell>
          <cell r="F42">
            <v>4239900</v>
          </cell>
        </row>
        <row r="43">
          <cell r="D43">
            <v>5678</v>
          </cell>
          <cell r="E43">
            <v>1785000</v>
          </cell>
          <cell r="F43">
            <v>11437600</v>
          </cell>
        </row>
        <row r="44">
          <cell r="D44">
            <v>5697</v>
          </cell>
          <cell r="E44">
            <v>1919850</v>
          </cell>
          <cell r="F44">
            <v>11604750</v>
          </cell>
        </row>
        <row r="45">
          <cell r="D45">
            <v>6416</v>
          </cell>
          <cell r="E45">
            <v>2303000</v>
          </cell>
          <cell r="F45">
            <v>13210200</v>
          </cell>
        </row>
        <row r="46">
          <cell r="D46">
            <v>3559</v>
          </cell>
          <cell r="E46">
            <v>1496400</v>
          </cell>
          <cell r="F46">
            <v>7546700</v>
          </cell>
        </row>
        <row r="47">
          <cell r="D47">
            <v>3791</v>
          </cell>
          <cell r="E47">
            <v>2233700</v>
          </cell>
          <cell r="F47">
            <v>8678400</v>
          </cell>
        </row>
        <row r="48">
          <cell r="D48">
            <v>4358</v>
          </cell>
          <cell r="E48">
            <v>1666200</v>
          </cell>
          <cell r="F48">
            <v>9074800</v>
          </cell>
        </row>
        <row r="49">
          <cell r="D49">
            <v>2244</v>
          </cell>
          <cell r="E49">
            <v>791900</v>
          </cell>
          <cell r="F49">
            <v>4606700</v>
          </cell>
        </row>
        <row r="50">
          <cell r="D50">
            <v>4606</v>
          </cell>
          <cell r="E50">
            <v>2164350</v>
          </cell>
          <cell r="F50">
            <v>9994550</v>
          </cell>
        </row>
        <row r="51">
          <cell r="D51">
            <v>5567</v>
          </cell>
          <cell r="E51">
            <v>2739700</v>
          </cell>
          <cell r="F51">
            <v>12203600</v>
          </cell>
        </row>
        <row r="52">
          <cell r="D52">
            <v>2092</v>
          </cell>
          <cell r="E52">
            <v>1176500</v>
          </cell>
          <cell r="F52">
            <v>4732900</v>
          </cell>
        </row>
        <row r="53">
          <cell r="D53">
            <v>4824</v>
          </cell>
          <cell r="E53">
            <v>1808200</v>
          </cell>
          <cell r="F53">
            <v>10009000</v>
          </cell>
        </row>
        <row r="54">
          <cell r="D54">
            <v>9044</v>
          </cell>
          <cell r="E54">
            <v>4066250</v>
          </cell>
          <cell r="F54">
            <v>19441050</v>
          </cell>
        </row>
        <row r="55">
          <cell r="D55">
            <v>15257</v>
          </cell>
          <cell r="E55">
            <v>5656800</v>
          </cell>
          <cell r="F55">
            <v>31593700</v>
          </cell>
        </row>
        <row r="56">
          <cell r="D56">
            <v>26319</v>
          </cell>
          <cell r="E56">
            <v>12849100</v>
          </cell>
          <cell r="F56">
            <v>57591400</v>
          </cell>
        </row>
        <row r="57">
          <cell r="D57">
            <v>11734</v>
          </cell>
          <cell r="E57">
            <v>6879400</v>
          </cell>
          <cell r="F57">
            <v>26827200</v>
          </cell>
        </row>
        <row r="58">
          <cell r="D58">
            <v>43576</v>
          </cell>
          <cell r="E58">
            <v>18416200</v>
          </cell>
          <cell r="F58">
            <v>92495400</v>
          </cell>
        </row>
        <row r="59">
          <cell r="D59">
            <v>8185</v>
          </cell>
          <cell r="E59">
            <v>3626400</v>
          </cell>
          <cell r="F59">
            <v>17540900</v>
          </cell>
        </row>
        <row r="60">
          <cell r="D60">
            <v>9145</v>
          </cell>
          <cell r="E60">
            <v>3241100</v>
          </cell>
          <cell r="F60">
            <v>18787600</v>
          </cell>
        </row>
        <row r="61">
          <cell r="D61">
            <v>2077</v>
          </cell>
          <cell r="E61">
            <v>1166000</v>
          </cell>
          <cell r="F61">
            <v>4696900</v>
          </cell>
        </row>
        <row r="62">
          <cell r="D62">
            <v>1126</v>
          </cell>
          <cell r="E62">
            <v>494800</v>
          </cell>
          <cell r="F62">
            <v>2409000</v>
          </cell>
        </row>
        <row r="63">
          <cell r="D63">
            <v>2362</v>
          </cell>
          <cell r="E63">
            <v>722400</v>
          </cell>
          <cell r="F63">
            <v>4737800</v>
          </cell>
        </row>
        <row r="64">
          <cell r="D64">
            <v>3246</v>
          </cell>
          <cell r="E64">
            <v>828200</v>
          </cell>
          <cell r="F64">
            <v>6346400</v>
          </cell>
        </row>
        <row r="65">
          <cell r="D65">
            <v>3976</v>
          </cell>
          <cell r="E65">
            <v>1459800</v>
          </cell>
          <cell r="F65">
            <v>8219000</v>
          </cell>
        </row>
        <row r="66">
          <cell r="D66">
            <v>4119</v>
          </cell>
          <cell r="E66">
            <v>1490200</v>
          </cell>
          <cell r="F66">
            <v>8492500</v>
          </cell>
        </row>
        <row r="67">
          <cell r="D67">
            <v>2872</v>
          </cell>
          <cell r="E67">
            <v>945650</v>
          </cell>
          <cell r="F67">
            <v>5828050</v>
          </cell>
        </row>
        <row r="68">
          <cell r="D68">
            <v>6686</v>
          </cell>
          <cell r="E68">
            <v>3315000</v>
          </cell>
          <cell r="F68">
            <v>14681200</v>
          </cell>
        </row>
        <row r="69">
          <cell r="D69">
            <v>5947</v>
          </cell>
          <cell r="E69">
            <v>1998700</v>
          </cell>
          <cell r="F69">
            <v>12108600</v>
          </cell>
        </row>
        <row r="70">
          <cell r="D70">
            <v>4346</v>
          </cell>
          <cell r="E70">
            <v>2015200</v>
          </cell>
          <cell r="F70">
            <v>9403400</v>
          </cell>
        </row>
        <row r="71">
          <cell r="D71">
            <v>3971</v>
          </cell>
          <cell r="E71">
            <v>2099950</v>
          </cell>
          <cell r="F71">
            <v>8850650</v>
          </cell>
        </row>
        <row r="72">
          <cell r="D72">
            <v>3836</v>
          </cell>
          <cell r="E72">
            <v>2193300</v>
          </cell>
          <cell r="F72">
            <v>8714500</v>
          </cell>
        </row>
        <row r="73">
          <cell r="D73">
            <v>1281</v>
          </cell>
          <cell r="E73">
            <v>422550</v>
          </cell>
          <cell r="F73">
            <v>2600250</v>
          </cell>
        </row>
        <row r="74">
          <cell r="D74">
            <v>0</v>
          </cell>
          <cell r="E74">
            <v>1416000</v>
          </cell>
          <cell r="F74">
            <v>1416000</v>
          </cell>
          <cell r="M74">
            <v>556133.11699999997</v>
          </cell>
        </row>
        <row r="75">
          <cell r="D75">
            <v>0</v>
          </cell>
          <cell r="E75">
            <v>1120000</v>
          </cell>
          <cell r="F75">
            <v>1120000</v>
          </cell>
        </row>
        <row r="76">
          <cell r="D76">
            <v>0</v>
          </cell>
          <cell r="E76">
            <v>1231000</v>
          </cell>
          <cell r="F76">
            <v>1231000</v>
          </cell>
        </row>
        <row r="77">
          <cell r="D77">
            <v>0</v>
          </cell>
          <cell r="E77">
            <v>1208000</v>
          </cell>
          <cell r="F77">
            <v>1208000</v>
          </cell>
        </row>
        <row r="78">
          <cell r="D78">
            <v>0</v>
          </cell>
          <cell r="E78">
            <v>700000</v>
          </cell>
          <cell r="F78">
            <v>700000</v>
          </cell>
        </row>
        <row r="79">
          <cell r="D79">
            <v>0</v>
          </cell>
          <cell r="E79">
            <v>1515000</v>
          </cell>
          <cell r="F79">
            <v>1515000</v>
          </cell>
        </row>
        <row r="80">
          <cell r="D80">
            <v>0</v>
          </cell>
          <cell r="E80">
            <v>1693000</v>
          </cell>
          <cell r="F80">
            <v>1693000</v>
          </cell>
        </row>
        <row r="81">
          <cell r="D81">
            <v>0</v>
          </cell>
          <cell r="E81">
            <v>1445000</v>
          </cell>
          <cell r="F81">
            <v>1445000</v>
          </cell>
        </row>
        <row r="82">
          <cell r="D82">
            <v>0</v>
          </cell>
          <cell r="E82">
            <v>1559000</v>
          </cell>
          <cell r="F82">
            <v>1559000</v>
          </cell>
        </row>
        <row r="83">
          <cell r="D83">
            <v>0</v>
          </cell>
          <cell r="E83">
            <v>766000</v>
          </cell>
          <cell r="F83">
            <v>766000</v>
          </cell>
        </row>
        <row r="84">
          <cell r="D84">
            <v>0</v>
          </cell>
          <cell r="E84">
            <v>965000</v>
          </cell>
          <cell r="F84">
            <v>965000</v>
          </cell>
        </row>
        <row r="85">
          <cell r="D85">
            <v>0</v>
          </cell>
          <cell r="E85">
            <v>1522000</v>
          </cell>
          <cell r="F85">
            <v>1522000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33000</v>
          </cell>
          <cell r="F87">
            <v>33000</v>
          </cell>
        </row>
        <row r="88">
          <cell r="D88">
            <v>0</v>
          </cell>
          <cell r="E88">
            <v>52000</v>
          </cell>
          <cell r="F88">
            <v>52000</v>
          </cell>
        </row>
        <row r="89">
          <cell r="D89">
            <v>0</v>
          </cell>
          <cell r="E89">
            <v>29000</v>
          </cell>
          <cell r="F89">
            <v>29000</v>
          </cell>
        </row>
        <row r="90">
          <cell r="D90">
            <v>0</v>
          </cell>
          <cell r="E90">
            <v>267000</v>
          </cell>
          <cell r="F90">
            <v>267000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256</v>
          </cell>
          <cell r="E92">
            <v>2266500</v>
          </cell>
          <cell r="F92">
            <v>2701700</v>
          </cell>
        </row>
        <row r="93">
          <cell r="D93">
            <v>254</v>
          </cell>
          <cell r="E93">
            <v>2234800</v>
          </cell>
          <cell r="F93">
            <v>2666600</v>
          </cell>
        </row>
        <row r="94">
          <cell r="D94">
            <v>710</v>
          </cell>
          <cell r="E94">
            <v>2473300</v>
          </cell>
          <cell r="F94">
            <v>3680300</v>
          </cell>
        </row>
        <row r="95">
          <cell r="D95">
            <v>231</v>
          </cell>
          <cell r="E95">
            <v>4262050</v>
          </cell>
          <cell r="F95">
            <v>4654750</v>
          </cell>
        </row>
        <row r="96">
          <cell r="D96">
            <v>351</v>
          </cell>
          <cell r="E96">
            <v>1410500</v>
          </cell>
          <cell r="F96">
            <v>2007200</v>
          </cell>
        </row>
        <row r="97">
          <cell r="D97">
            <v>559</v>
          </cell>
          <cell r="E97">
            <v>2530000</v>
          </cell>
          <cell r="F97">
            <v>3480300</v>
          </cell>
        </row>
        <row r="99">
          <cell r="E99">
            <v>56000</v>
          </cell>
          <cell r="F99">
            <v>56000</v>
          </cell>
        </row>
      </sheetData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4476</v>
          </cell>
          <cell r="E11">
            <v>1775600</v>
          </cell>
          <cell r="F11">
            <v>9384800</v>
          </cell>
        </row>
        <row r="12">
          <cell r="D12">
            <v>1609</v>
          </cell>
          <cell r="E12">
            <v>1039100</v>
          </cell>
          <cell r="F12">
            <v>3774400</v>
          </cell>
        </row>
        <row r="13">
          <cell r="D13">
            <v>728</v>
          </cell>
          <cell r="E13">
            <v>701800</v>
          </cell>
          <cell r="F13">
            <v>1939400</v>
          </cell>
        </row>
        <row r="14">
          <cell r="D14">
            <v>32112</v>
          </cell>
          <cell r="E14">
            <v>12637900</v>
          </cell>
          <cell r="F14">
            <v>67228300</v>
          </cell>
        </row>
        <row r="15">
          <cell r="D15">
            <v>19329</v>
          </cell>
          <cell r="E15">
            <v>3687250</v>
          </cell>
          <cell r="F15">
            <v>36546550</v>
          </cell>
        </row>
        <row r="16">
          <cell r="D16">
            <v>4269</v>
          </cell>
          <cell r="E16">
            <v>768400</v>
          </cell>
          <cell r="F16">
            <v>8025700</v>
          </cell>
        </row>
        <row r="17">
          <cell r="D17">
            <v>3744</v>
          </cell>
          <cell r="E17">
            <v>1037000</v>
          </cell>
          <cell r="F17">
            <v>7401800</v>
          </cell>
        </row>
        <row r="18">
          <cell r="D18">
            <v>6817</v>
          </cell>
          <cell r="E18">
            <v>1848700</v>
          </cell>
          <cell r="F18">
            <v>13437600</v>
          </cell>
        </row>
        <row r="19">
          <cell r="D19">
            <v>3898</v>
          </cell>
          <cell r="E19">
            <v>905300</v>
          </cell>
          <cell r="F19">
            <v>7531900</v>
          </cell>
        </row>
        <row r="20">
          <cell r="D20">
            <v>2358</v>
          </cell>
          <cell r="E20">
            <v>811600</v>
          </cell>
          <cell r="F20">
            <v>4820200</v>
          </cell>
        </row>
        <row r="21">
          <cell r="D21">
            <v>8757</v>
          </cell>
          <cell r="E21">
            <v>3891400</v>
          </cell>
          <cell r="F21">
            <v>18778300</v>
          </cell>
        </row>
        <row r="22">
          <cell r="D22">
            <v>2689</v>
          </cell>
          <cell r="E22">
            <v>807200</v>
          </cell>
          <cell r="F22">
            <v>5378500</v>
          </cell>
        </row>
        <row r="23">
          <cell r="D23">
            <v>3769</v>
          </cell>
          <cell r="E23">
            <v>1025500</v>
          </cell>
          <cell r="F23">
            <v>7432800</v>
          </cell>
        </row>
        <row r="24">
          <cell r="D24">
            <v>6357</v>
          </cell>
          <cell r="E24">
            <v>1303300</v>
          </cell>
          <cell r="F24">
            <v>12110200</v>
          </cell>
        </row>
        <row r="25">
          <cell r="D25">
            <v>5838</v>
          </cell>
          <cell r="E25">
            <v>1751100</v>
          </cell>
          <cell r="F25">
            <v>11675700</v>
          </cell>
        </row>
        <row r="26">
          <cell r="D26">
            <v>5669</v>
          </cell>
          <cell r="E26">
            <v>1782300</v>
          </cell>
          <cell r="F26">
            <v>11419600</v>
          </cell>
        </row>
        <row r="27">
          <cell r="D27">
            <v>1646</v>
          </cell>
          <cell r="E27">
            <v>578100</v>
          </cell>
          <cell r="F27">
            <v>3376300</v>
          </cell>
        </row>
        <row r="28">
          <cell r="D28">
            <v>3527</v>
          </cell>
          <cell r="E28">
            <v>1521800</v>
          </cell>
          <cell r="F28">
            <v>7517700</v>
          </cell>
        </row>
        <row r="29">
          <cell r="D29">
            <v>2567</v>
          </cell>
          <cell r="E29">
            <v>1273000</v>
          </cell>
          <cell r="F29">
            <v>5636900</v>
          </cell>
        </row>
        <row r="30">
          <cell r="D30">
            <v>3195</v>
          </cell>
          <cell r="E30">
            <v>1189600</v>
          </cell>
          <cell r="F30">
            <v>6621100</v>
          </cell>
        </row>
        <row r="31">
          <cell r="D31">
            <v>5227</v>
          </cell>
          <cell r="E31">
            <v>1767750</v>
          </cell>
          <cell r="F31">
            <v>10653650</v>
          </cell>
        </row>
        <row r="32">
          <cell r="D32">
            <v>3440</v>
          </cell>
          <cell r="E32">
            <v>1157800</v>
          </cell>
          <cell r="F32">
            <v>7005800</v>
          </cell>
        </row>
        <row r="33">
          <cell r="D33">
            <v>5990</v>
          </cell>
          <cell r="E33">
            <v>2467900</v>
          </cell>
          <cell r="F33">
            <v>12650900</v>
          </cell>
        </row>
        <row r="34">
          <cell r="D34">
            <v>2085</v>
          </cell>
          <cell r="E34">
            <v>1061800</v>
          </cell>
          <cell r="F34">
            <v>4606300</v>
          </cell>
        </row>
        <row r="35">
          <cell r="D35">
            <v>5925</v>
          </cell>
          <cell r="E35">
            <v>3900300</v>
          </cell>
          <cell r="F35">
            <v>13972800</v>
          </cell>
        </row>
        <row r="36">
          <cell r="D36">
            <v>4099</v>
          </cell>
          <cell r="E36">
            <v>1519450</v>
          </cell>
          <cell r="F36">
            <v>8487750</v>
          </cell>
        </row>
        <row r="37">
          <cell r="D37">
            <v>6561</v>
          </cell>
          <cell r="E37">
            <v>2259300</v>
          </cell>
          <cell r="F37">
            <v>13413000</v>
          </cell>
        </row>
        <row r="38">
          <cell r="D38">
            <v>1585</v>
          </cell>
          <cell r="E38">
            <v>592100</v>
          </cell>
          <cell r="F38">
            <v>3286600</v>
          </cell>
        </row>
        <row r="39">
          <cell r="D39">
            <v>4478</v>
          </cell>
          <cell r="E39">
            <v>1274200</v>
          </cell>
          <cell r="F39">
            <v>8886800</v>
          </cell>
        </row>
        <row r="40">
          <cell r="D40">
            <v>6357</v>
          </cell>
          <cell r="E40">
            <v>2266300</v>
          </cell>
          <cell r="F40">
            <v>13073200</v>
          </cell>
        </row>
        <row r="41">
          <cell r="D41">
            <v>2230</v>
          </cell>
          <cell r="E41">
            <v>921600</v>
          </cell>
          <cell r="F41">
            <v>4712600</v>
          </cell>
        </row>
        <row r="42">
          <cell r="D42">
            <v>1594</v>
          </cell>
          <cell r="E42">
            <v>540500</v>
          </cell>
          <cell r="F42">
            <v>3250300</v>
          </cell>
        </row>
        <row r="43">
          <cell r="D43">
            <v>4709</v>
          </cell>
          <cell r="E43">
            <v>1316250</v>
          </cell>
          <cell r="F43">
            <v>9321550</v>
          </cell>
        </row>
        <row r="44">
          <cell r="D44">
            <v>4722</v>
          </cell>
          <cell r="E44">
            <v>1233300</v>
          </cell>
          <cell r="F44">
            <v>9260700</v>
          </cell>
        </row>
        <row r="45">
          <cell r="D45">
            <v>5406</v>
          </cell>
          <cell r="E45">
            <v>1271650</v>
          </cell>
          <cell r="F45">
            <v>10461850</v>
          </cell>
        </row>
        <row r="46">
          <cell r="D46">
            <v>3163</v>
          </cell>
          <cell r="E46">
            <v>962700</v>
          </cell>
          <cell r="F46">
            <v>6339800</v>
          </cell>
        </row>
        <row r="47">
          <cell r="D47">
            <v>3345</v>
          </cell>
          <cell r="E47">
            <v>1541000</v>
          </cell>
          <cell r="F47">
            <v>7227500</v>
          </cell>
        </row>
        <row r="48">
          <cell r="D48">
            <v>3381</v>
          </cell>
          <cell r="E48">
            <v>1326900</v>
          </cell>
          <cell r="F48">
            <v>7074600</v>
          </cell>
        </row>
        <row r="49">
          <cell r="D49">
            <v>1854</v>
          </cell>
          <cell r="E49">
            <v>655800</v>
          </cell>
          <cell r="F49">
            <v>3807600</v>
          </cell>
        </row>
        <row r="50">
          <cell r="D50">
            <v>4124</v>
          </cell>
          <cell r="E50">
            <v>1691700</v>
          </cell>
          <cell r="F50">
            <v>8702500</v>
          </cell>
        </row>
        <row r="51">
          <cell r="D51">
            <v>4465</v>
          </cell>
          <cell r="E51">
            <v>2099300</v>
          </cell>
          <cell r="F51">
            <v>9689800</v>
          </cell>
        </row>
        <row r="52">
          <cell r="D52">
            <v>1885</v>
          </cell>
          <cell r="E52">
            <v>1054300</v>
          </cell>
          <cell r="F52">
            <v>4258800</v>
          </cell>
        </row>
        <row r="53">
          <cell r="D53">
            <v>4079</v>
          </cell>
          <cell r="E53">
            <v>1555950</v>
          </cell>
          <cell r="F53">
            <v>8490250</v>
          </cell>
        </row>
        <row r="54">
          <cell r="D54">
            <v>7259</v>
          </cell>
          <cell r="E54">
            <v>1835200</v>
          </cell>
          <cell r="F54">
            <v>14175500</v>
          </cell>
        </row>
        <row r="55">
          <cell r="D55">
            <v>12954</v>
          </cell>
          <cell r="E55">
            <v>4197900</v>
          </cell>
          <cell r="F55">
            <v>26219700</v>
          </cell>
        </row>
        <row r="56">
          <cell r="D56">
            <v>22245</v>
          </cell>
          <cell r="E56">
            <v>7816350</v>
          </cell>
          <cell r="F56">
            <v>45632850</v>
          </cell>
        </row>
        <row r="57">
          <cell r="D57">
            <v>9059</v>
          </cell>
          <cell r="E57">
            <v>4490850</v>
          </cell>
          <cell r="F57">
            <v>19891150</v>
          </cell>
        </row>
        <row r="58">
          <cell r="D58">
            <v>35730</v>
          </cell>
          <cell r="E58">
            <v>13018300</v>
          </cell>
          <cell r="F58">
            <v>73759300</v>
          </cell>
        </row>
        <row r="59">
          <cell r="D59">
            <v>6462</v>
          </cell>
          <cell r="E59">
            <v>2285800</v>
          </cell>
          <cell r="F59">
            <v>13271200</v>
          </cell>
        </row>
        <row r="60">
          <cell r="D60">
            <v>7304</v>
          </cell>
          <cell r="E60">
            <v>2766600</v>
          </cell>
          <cell r="F60">
            <v>15183400</v>
          </cell>
        </row>
        <row r="61">
          <cell r="D61">
            <v>1632</v>
          </cell>
          <cell r="E61">
            <v>776200</v>
          </cell>
          <cell r="F61">
            <v>3550600</v>
          </cell>
        </row>
        <row r="62">
          <cell r="D62">
            <v>1285</v>
          </cell>
          <cell r="E62">
            <v>187900</v>
          </cell>
          <cell r="F62">
            <v>2372400</v>
          </cell>
        </row>
        <row r="63">
          <cell r="D63">
            <v>2200</v>
          </cell>
          <cell r="E63">
            <v>505500</v>
          </cell>
          <cell r="F63">
            <v>4245500</v>
          </cell>
        </row>
        <row r="64">
          <cell r="D64">
            <v>2696</v>
          </cell>
          <cell r="E64">
            <v>718700</v>
          </cell>
          <cell r="F64">
            <v>5301900</v>
          </cell>
        </row>
        <row r="65">
          <cell r="D65">
            <v>3371</v>
          </cell>
          <cell r="E65">
            <v>845200</v>
          </cell>
          <cell r="F65">
            <v>6575900</v>
          </cell>
        </row>
        <row r="66">
          <cell r="D66">
            <v>3714</v>
          </cell>
          <cell r="E66">
            <v>1131000</v>
          </cell>
          <cell r="F66">
            <v>7444800</v>
          </cell>
        </row>
        <row r="67">
          <cell r="D67">
            <v>2604</v>
          </cell>
          <cell r="E67">
            <v>749300</v>
          </cell>
          <cell r="F67">
            <v>5176100</v>
          </cell>
        </row>
        <row r="68">
          <cell r="D68">
            <v>5873</v>
          </cell>
          <cell r="E68">
            <v>2333000</v>
          </cell>
          <cell r="F68">
            <v>12317100</v>
          </cell>
        </row>
        <row r="69">
          <cell r="D69">
            <v>5210</v>
          </cell>
          <cell r="E69">
            <v>1422000</v>
          </cell>
          <cell r="F69">
            <v>10279000</v>
          </cell>
        </row>
        <row r="70">
          <cell r="D70">
            <v>3492</v>
          </cell>
          <cell r="E70">
            <v>1035350</v>
          </cell>
          <cell r="F70">
            <v>6971750</v>
          </cell>
        </row>
        <row r="71">
          <cell r="D71">
            <v>3205</v>
          </cell>
          <cell r="E71">
            <v>1870350</v>
          </cell>
          <cell r="F71">
            <v>7318850</v>
          </cell>
        </row>
        <row r="72">
          <cell r="D72">
            <v>3255</v>
          </cell>
          <cell r="E72">
            <v>1169450</v>
          </cell>
          <cell r="F72">
            <v>6702950</v>
          </cell>
        </row>
        <row r="73">
          <cell r="D73">
            <v>1131</v>
          </cell>
          <cell r="E73">
            <v>346600</v>
          </cell>
          <cell r="F73">
            <v>2269300</v>
          </cell>
        </row>
        <row r="74">
          <cell r="D74">
            <v>0</v>
          </cell>
          <cell r="E74">
            <v>973000</v>
          </cell>
          <cell r="F74">
            <v>973000</v>
          </cell>
          <cell r="M74">
            <v>442173.52899999998</v>
          </cell>
        </row>
        <row r="75">
          <cell r="D75">
            <v>0</v>
          </cell>
          <cell r="E75">
            <v>437000</v>
          </cell>
          <cell r="F75">
            <v>437000</v>
          </cell>
        </row>
        <row r="76">
          <cell r="D76">
            <v>0</v>
          </cell>
          <cell r="E76">
            <v>829000</v>
          </cell>
          <cell r="F76">
            <v>829000</v>
          </cell>
        </row>
        <row r="77">
          <cell r="D77">
            <v>0</v>
          </cell>
          <cell r="E77">
            <v>853000</v>
          </cell>
          <cell r="F77">
            <v>853000</v>
          </cell>
        </row>
        <row r="78">
          <cell r="D78">
            <v>0</v>
          </cell>
          <cell r="E78">
            <v>416000</v>
          </cell>
          <cell r="F78">
            <v>416000</v>
          </cell>
        </row>
        <row r="79">
          <cell r="D79">
            <v>0</v>
          </cell>
          <cell r="E79">
            <v>1194000</v>
          </cell>
          <cell r="F79">
            <v>1194000</v>
          </cell>
        </row>
        <row r="80">
          <cell r="D80">
            <v>0</v>
          </cell>
          <cell r="E80">
            <v>830000</v>
          </cell>
          <cell r="F80">
            <v>830000</v>
          </cell>
        </row>
        <row r="81">
          <cell r="D81">
            <v>0</v>
          </cell>
          <cell r="E81">
            <v>875000</v>
          </cell>
          <cell r="F81">
            <v>875000</v>
          </cell>
        </row>
        <row r="82">
          <cell r="D82">
            <v>0</v>
          </cell>
          <cell r="E82">
            <v>1193000</v>
          </cell>
          <cell r="F82">
            <v>1193000</v>
          </cell>
        </row>
        <row r="83">
          <cell r="D83">
            <v>0</v>
          </cell>
          <cell r="E83">
            <v>716000</v>
          </cell>
          <cell r="F83">
            <v>716000</v>
          </cell>
        </row>
        <row r="84">
          <cell r="D84">
            <v>0</v>
          </cell>
          <cell r="E84">
            <v>667000</v>
          </cell>
          <cell r="F84">
            <v>667000</v>
          </cell>
        </row>
        <row r="85">
          <cell r="D85">
            <v>0</v>
          </cell>
          <cell r="E85">
            <v>1040000</v>
          </cell>
          <cell r="F85">
            <v>1040000</v>
          </cell>
        </row>
        <row r="86">
          <cell r="D86">
            <v>0</v>
          </cell>
          <cell r="E86">
            <v>5000</v>
          </cell>
          <cell r="F86">
            <v>5000</v>
          </cell>
        </row>
        <row r="87">
          <cell r="D87">
            <v>0</v>
          </cell>
          <cell r="E87">
            <v>18000</v>
          </cell>
          <cell r="F87">
            <v>18000</v>
          </cell>
        </row>
        <row r="88">
          <cell r="D88">
            <v>0</v>
          </cell>
          <cell r="E88">
            <v>74000</v>
          </cell>
          <cell r="F88">
            <v>74000</v>
          </cell>
        </row>
        <row r="89">
          <cell r="D89">
            <v>0</v>
          </cell>
          <cell r="E89">
            <v>38000</v>
          </cell>
          <cell r="F89">
            <v>38000</v>
          </cell>
        </row>
        <row r="90">
          <cell r="D90">
            <v>0</v>
          </cell>
          <cell r="E90">
            <v>4000</v>
          </cell>
          <cell r="F90">
            <v>4000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220</v>
          </cell>
          <cell r="E93">
            <v>1335700</v>
          </cell>
          <cell r="F93">
            <v>1709700</v>
          </cell>
        </row>
        <row r="94">
          <cell r="D94">
            <v>383</v>
          </cell>
          <cell r="E94">
            <v>1958400</v>
          </cell>
          <cell r="F94">
            <v>2609500</v>
          </cell>
        </row>
        <row r="95">
          <cell r="D95">
            <v>616</v>
          </cell>
          <cell r="E95">
            <v>1583700</v>
          </cell>
          <cell r="F95">
            <v>2630900</v>
          </cell>
        </row>
        <row r="96">
          <cell r="D96">
            <v>156</v>
          </cell>
          <cell r="E96">
            <v>3202450</v>
          </cell>
          <cell r="F96">
            <v>3467650</v>
          </cell>
        </row>
        <row r="97">
          <cell r="D97">
            <v>265</v>
          </cell>
          <cell r="E97">
            <v>1189100</v>
          </cell>
          <cell r="F97">
            <v>1639600</v>
          </cell>
        </row>
        <row r="98">
          <cell r="D98">
            <v>482</v>
          </cell>
          <cell r="E98">
            <v>1276600</v>
          </cell>
          <cell r="F98">
            <v>2096000</v>
          </cell>
        </row>
        <row r="100">
          <cell r="E100">
            <v>48000</v>
          </cell>
          <cell r="F100">
            <v>48000</v>
          </cell>
        </row>
      </sheetData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4096</v>
          </cell>
          <cell r="E11">
            <v>1598550</v>
          </cell>
          <cell r="F11">
            <v>8561750</v>
          </cell>
        </row>
        <row r="12">
          <cell r="D12">
            <v>1991</v>
          </cell>
          <cell r="E12">
            <v>968400</v>
          </cell>
          <cell r="F12">
            <v>4353100</v>
          </cell>
        </row>
        <row r="13">
          <cell r="D13">
            <v>817</v>
          </cell>
          <cell r="E13">
            <v>356100</v>
          </cell>
          <cell r="F13">
            <v>1745000</v>
          </cell>
        </row>
        <row r="14">
          <cell r="D14">
            <v>34147</v>
          </cell>
          <cell r="E14">
            <v>10388040</v>
          </cell>
          <cell r="F14">
            <v>68437940</v>
          </cell>
        </row>
        <row r="15">
          <cell r="D15">
            <v>19354</v>
          </cell>
          <cell r="E15">
            <v>2302800</v>
          </cell>
          <cell r="F15">
            <v>35204600</v>
          </cell>
        </row>
        <row r="16">
          <cell r="D16">
            <v>4490</v>
          </cell>
          <cell r="E16">
            <v>979750</v>
          </cell>
          <cell r="F16">
            <v>8612750</v>
          </cell>
        </row>
        <row r="17">
          <cell r="D17">
            <v>3658</v>
          </cell>
          <cell r="E17">
            <v>694300</v>
          </cell>
          <cell r="F17">
            <v>6912900</v>
          </cell>
        </row>
        <row r="18">
          <cell r="D18">
            <v>7047</v>
          </cell>
          <cell r="E18">
            <v>1790950</v>
          </cell>
          <cell r="F18">
            <v>13770850</v>
          </cell>
        </row>
        <row r="19">
          <cell r="D19">
            <v>3684</v>
          </cell>
          <cell r="E19">
            <v>896100</v>
          </cell>
          <cell r="F19">
            <v>7158900</v>
          </cell>
        </row>
        <row r="20">
          <cell r="D20">
            <v>2210</v>
          </cell>
          <cell r="E20">
            <v>671600</v>
          </cell>
          <cell r="F20">
            <v>4428600</v>
          </cell>
        </row>
        <row r="21">
          <cell r="D21">
            <v>8532</v>
          </cell>
          <cell r="E21">
            <v>3586850</v>
          </cell>
          <cell r="F21">
            <v>18091250</v>
          </cell>
        </row>
        <row r="22">
          <cell r="D22">
            <v>2394</v>
          </cell>
          <cell r="E22">
            <v>382400</v>
          </cell>
          <cell r="F22">
            <v>4452200</v>
          </cell>
        </row>
        <row r="23">
          <cell r="D23">
            <v>3661</v>
          </cell>
          <cell r="E23">
            <v>1050800</v>
          </cell>
          <cell r="F23">
            <v>7274500</v>
          </cell>
        </row>
        <row r="24">
          <cell r="D24">
            <v>6274</v>
          </cell>
          <cell r="E24">
            <v>1143400</v>
          </cell>
          <cell r="F24">
            <v>11809200</v>
          </cell>
        </row>
        <row r="25">
          <cell r="D25">
            <v>5833</v>
          </cell>
          <cell r="E25">
            <v>1481400</v>
          </cell>
          <cell r="F25">
            <v>11397500</v>
          </cell>
        </row>
        <row r="26">
          <cell r="D26">
            <v>5751</v>
          </cell>
          <cell r="E26">
            <v>1618400</v>
          </cell>
          <cell r="F26">
            <v>11395100</v>
          </cell>
        </row>
        <row r="27">
          <cell r="D27">
            <v>1704</v>
          </cell>
          <cell r="E27">
            <v>738400</v>
          </cell>
          <cell r="F27">
            <v>3635200</v>
          </cell>
        </row>
        <row r="28">
          <cell r="D28">
            <v>3411</v>
          </cell>
          <cell r="E28">
            <v>1036800</v>
          </cell>
          <cell r="F28">
            <v>6835500</v>
          </cell>
        </row>
        <row r="29">
          <cell r="D29">
            <v>2569</v>
          </cell>
          <cell r="E29">
            <v>960100</v>
          </cell>
          <cell r="F29">
            <v>5327400</v>
          </cell>
        </row>
        <row r="30">
          <cell r="D30">
            <v>3124</v>
          </cell>
          <cell r="E30">
            <v>725000</v>
          </cell>
          <cell r="F30">
            <v>6035800</v>
          </cell>
        </row>
        <row r="31">
          <cell r="D31">
            <v>5160</v>
          </cell>
          <cell r="E31">
            <v>1586800</v>
          </cell>
          <cell r="F31">
            <v>10358800</v>
          </cell>
        </row>
        <row r="32">
          <cell r="D32">
            <v>2938</v>
          </cell>
          <cell r="E32">
            <v>1043000</v>
          </cell>
          <cell r="F32">
            <v>6037600</v>
          </cell>
        </row>
        <row r="33">
          <cell r="D33">
            <v>6253</v>
          </cell>
          <cell r="E33">
            <v>1995700</v>
          </cell>
          <cell r="F33">
            <v>12625800</v>
          </cell>
        </row>
        <row r="34">
          <cell r="D34">
            <v>2030</v>
          </cell>
          <cell r="E34">
            <v>957650</v>
          </cell>
          <cell r="F34">
            <v>4408650</v>
          </cell>
        </row>
        <row r="35">
          <cell r="D35">
            <v>6137</v>
          </cell>
          <cell r="E35">
            <v>2007300</v>
          </cell>
          <cell r="F35">
            <v>12440200</v>
          </cell>
        </row>
        <row r="36">
          <cell r="D36">
            <v>4111</v>
          </cell>
          <cell r="E36">
            <v>960000</v>
          </cell>
          <cell r="F36">
            <v>7948700</v>
          </cell>
        </row>
        <row r="37">
          <cell r="D37">
            <v>6073</v>
          </cell>
          <cell r="E37">
            <v>2307600</v>
          </cell>
          <cell r="F37">
            <v>12631700</v>
          </cell>
        </row>
        <row r="38">
          <cell r="D38">
            <v>1983</v>
          </cell>
          <cell r="E38">
            <v>398550</v>
          </cell>
          <cell r="F38">
            <v>3769650</v>
          </cell>
        </row>
        <row r="39">
          <cell r="D39">
            <v>4734</v>
          </cell>
          <cell r="E39">
            <v>1071700</v>
          </cell>
          <cell r="F39">
            <v>9119500</v>
          </cell>
        </row>
        <row r="40">
          <cell r="D40">
            <v>6443</v>
          </cell>
          <cell r="E40">
            <v>1855500</v>
          </cell>
          <cell r="F40">
            <v>12808600</v>
          </cell>
        </row>
        <row r="41">
          <cell r="D41">
            <v>2225</v>
          </cell>
          <cell r="E41">
            <v>877300</v>
          </cell>
          <cell r="F41">
            <v>4659800</v>
          </cell>
        </row>
        <row r="42">
          <cell r="D42">
            <v>1716</v>
          </cell>
          <cell r="E42">
            <v>379500</v>
          </cell>
          <cell r="F42">
            <v>3296700</v>
          </cell>
        </row>
        <row r="43">
          <cell r="D43">
            <v>4943</v>
          </cell>
          <cell r="E43">
            <v>1112700</v>
          </cell>
          <cell r="F43">
            <v>9515800</v>
          </cell>
        </row>
        <row r="44">
          <cell r="D44">
            <v>4969</v>
          </cell>
          <cell r="E44">
            <v>1223500</v>
          </cell>
          <cell r="F44">
            <v>9670800</v>
          </cell>
        </row>
        <row r="45">
          <cell r="D45">
            <v>5359</v>
          </cell>
          <cell r="E45">
            <v>1055300</v>
          </cell>
          <cell r="F45">
            <v>10165600</v>
          </cell>
        </row>
        <row r="46">
          <cell r="D46">
            <v>2876</v>
          </cell>
          <cell r="E46">
            <v>927800</v>
          </cell>
          <cell r="F46">
            <v>5817000</v>
          </cell>
        </row>
        <row r="47">
          <cell r="D47">
            <v>3554</v>
          </cell>
          <cell r="E47">
            <v>1404200</v>
          </cell>
          <cell r="F47">
            <v>7446000</v>
          </cell>
        </row>
        <row r="48">
          <cell r="D48">
            <v>3346</v>
          </cell>
          <cell r="E48">
            <v>935100</v>
          </cell>
          <cell r="F48">
            <v>6623300</v>
          </cell>
        </row>
        <row r="49">
          <cell r="D49">
            <v>1993</v>
          </cell>
          <cell r="E49">
            <v>455100</v>
          </cell>
          <cell r="F49">
            <v>3843200</v>
          </cell>
        </row>
        <row r="50">
          <cell r="D50">
            <v>3960</v>
          </cell>
          <cell r="E50">
            <v>1440200</v>
          </cell>
          <cell r="F50">
            <v>8172200</v>
          </cell>
        </row>
        <row r="51">
          <cell r="D51">
            <v>4637</v>
          </cell>
          <cell r="E51">
            <v>1863100</v>
          </cell>
          <cell r="F51">
            <v>9746000</v>
          </cell>
        </row>
        <row r="52">
          <cell r="D52">
            <v>1749</v>
          </cell>
          <cell r="E52">
            <v>726000</v>
          </cell>
          <cell r="F52">
            <v>3699300</v>
          </cell>
        </row>
        <row r="53">
          <cell r="D53">
            <v>3837</v>
          </cell>
          <cell r="E53">
            <v>1263700</v>
          </cell>
          <cell r="F53">
            <v>7786600</v>
          </cell>
        </row>
        <row r="54">
          <cell r="D54">
            <v>7617</v>
          </cell>
          <cell r="E54">
            <v>2268000</v>
          </cell>
          <cell r="F54">
            <v>15216900</v>
          </cell>
        </row>
        <row r="55">
          <cell r="D55">
            <v>13501</v>
          </cell>
          <cell r="E55">
            <v>3552250</v>
          </cell>
          <cell r="F55">
            <v>26503950</v>
          </cell>
        </row>
        <row r="56">
          <cell r="D56">
            <v>23498</v>
          </cell>
          <cell r="E56">
            <v>7182350</v>
          </cell>
          <cell r="F56">
            <v>47128950</v>
          </cell>
        </row>
        <row r="57">
          <cell r="D57">
            <v>9200</v>
          </cell>
          <cell r="E57">
            <v>3648650</v>
          </cell>
          <cell r="F57">
            <v>19288650</v>
          </cell>
        </row>
        <row r="58">
          <cell r="D58">
            <v>37853</v>
          </cell>
          <cell r="E58">
            <v>10848850</v>
          </cell>
          <cell r="F58">
            <v>75198950</v>
          </cell>
        </row>
        <row r="59">
          <cell r="D59">
            <v>6590</v>
          </cell>
          <cell r="E59">
            <v>2152100</v>
          </cell>
          <cell r="F59">
            <v>13355100</v>
          </cell>
        </row>
        <row r="60">
          <cell r="D60">
            <v>7432</v>
          </cell>
          <cell r="E60">
            <v>2072200</v>
          </cell>
          <cell r="F60">
            <v>14706600</v>
          </cell>
        </row>
        <row r="61">
          <cell r="D61">
            <v>1602</v>
          </cell>
          <cell r="E61">
            <v>601000</v>
          </cell>
          <cell r="F61">
            <v>3324400</v>
          </cell>
        </row>
        <row r="62">
          <cell r="D62">
            <v>1042</v>
          </cell>
          <cell r="E62">
            <v>291400</v>
          </cell>
          <cell r="F62">
            <v>2062800</v>
          </cell>
        </row>
        <row r="63">
          <cell r="D63">
            <v>1903</v>
          </cell>
          <cell r="E63">
            <v>411500</v>
          </cell>
          <cell r="F63">
            <v>3646600</v>
          </cell>
        </row>
        <row r="64">
          <cell r="D64">
            <v>2751</v>
          </cell>
          <cell r="E64">
            <v>545200</v>
          </cell>
          <cell r="F64">
            <v>5221900</v>
          </cell>
        </row>
        <row r="65">
          <cell r="D65">
            <v>3116</v>
          </cell>
          <cell r="E65">
            <v>906150</v>
          </cell>
          <cell r="F65">
            <v>6203350</v>
          </cell>
        </row>
        <row r="66">
          <cell r="D66">
            <v>3672</v>
          </cell>
          <cell r="E66">
            <v>1117200</v>
          </cell>
          <cell r="F66">
            <v>7359600</v>
          </cell>
        </row>
        <row r="67">
          <cell r="D67">
            <v>2210</v>
          </cell>
          <cell r="E67">
            <v>626850</v>
          </cell>
          <cell r="F67">
            <v>4383850</v>
          </cell>
        </row>
        <row r="68">
          <cell r="D68">
            <v>5634</v>
          </cell>
          <cell r="E68">
            <v>1622100</v>
          </cell>
          <cell r="F68">
            <v>11199900</v>
          </cell>
        </row>
        <row r="69">
          <cell r="D69">
            <v>5069</v>
          </cell>
          <cell r="E69">
            <v>1373100</v>
          </cell>
          <cell r="F69">
            <v>9990400</v>
          </cell>
        </row>
        <row r="70">
          <cell r="D70">
            <v>3626</v>
          </cell>
          <cell r="E70">
            <v>1028900</v>
          </cell>
          <cell r="F70">
            <v>7193100</v>
          </cell>
        </row>
        <row r="71">
          <cell r="D71">
            <v>3175</v>
          </cell>
          <cell r="E71">
            <v>1417300</v>
          </cell>
          <cell r="F71">
            <v>6814800</v>
          </cell>
        </row>
        <row r="72">
          <cell r="D72">
            <v>3236</v>
          </cell>
          <cell r="E72">
            <v>1399650</v>
          </cell>
          <cell r="F72">
            <v>6900850</v>
          </cell>
        </row>
        <row r="73">
          <cell r="D73">
            <v>1067</v>
          </cell>
          <cell r="E73">
            <v>414000</v>
          </cell>
          <cell r="F73">
            <v>2227900</v>
          </cell>
        </row>
        <row r="74">
          <cell r="D74">
            <v>0</v>
          </cell>
          <cell r="E74">
            <v>953000</v>
          </cell>
          <cell r="F74">
            <v>953000</v>
          </cell>
          <cell r="M74">
            <v>434675.7</v>
          </cell>
        </row>
        <row r="75">
          <cell r="D75">
            <v>0</v>
          </cell>
          <cell r="E75">
            <v>679000</v>
          </cell>
          <cell r="F75">
            <v>679000</v>
          </cell>
        </row>
        <row r="76">
          <cell r="D76">
            <v>0</v>
          </cell>
          <cell r="E76">
            <v>865000</v>
          </cell>
          <cell r="F76">
            <v>865000</v>
          </cell>
        </row>
        <row r="77">
          <cell r="D77">
            <v>0</v>
          </cell>
          <cell r="E77">
            <v>887000</v>
          </cell>
          <cell r="F77">
            <v>887000</v>
          </cell>
        </row>
        <row r="78">
          <cell r="D78">
            <v>0</v>
          </cell>
          <cell r="E78">
            <v>213000</v>
          </cell>
          <cell r="F78">
            <v>213000</v>
          </cell>
        </row>
        <row r="79">
          <cell r="D79">
            <v>0</v>
          </cell>
          <cell r="E79">
            <v>1095000</v>
          </cell>
          <cell r="F79">
            <v>1095000</v>
          </cell>
        </row>
        <row r="80">
          <cell r="D80">
            <v>0</v>
          </cell>
          <cell r="E80">
            <v>188000</v>
          </cell>
          <cell r="F80">
            <v>188000</v>
          </cell>
        </row>
        <row r="81">
          <cell r="D81">
            <v>0</v>
          </cell>
          <cell r="E81">
            <v>384000</v>
          </cell>
          <cell r="F81">
            <v>384000</v>
          </cell>
        </row>
        <row r="82">
          <cell r="D82">
            <v>0</v>
          </cell>
          <cell r="E82">
            <v>1184000</v>
          </cell>
          <cell r="F82">
            <v>1184000</v>
          </cell>
        </row>
        <row r="83">
          <cell r="D83">
            <v>0</v>
          </cell>
          <cell r="E83">
            <v>781000</v>
          </cell>
          <cell r="F83">
            <v>781000</v>
          </cell>
        </row>
        <row r="84">
          <cell r="D84">
            <v>0</v>
          </cell>
          <cell r="E84">
            <v>551000</v>
          </cell>
          <cell r="F84">
            <v>551000</v>
          </cell>
        </row>
        <row r="85">
          <cell r="D85">
            <v>0</v>
          </cell>
          <cell r="E85">
            <v>1042000</v>
          </cell>
          <cell r="F85">
            <v>1042000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73000</v>
          </cell>
          <cell r="F88">
            <v>73000</v>
          </cell>
        </row>
        <row r="89">
          <cell r="D89">
            <v>0</v>
          </cell>
          <cell r="E89">
            <v>10000</v>
          </cell>
          <cell r="F89">
            <v>10000</v>
          </cell>
        </row>
        <row r="90">
          <cell r="D90">
            <v>0</v>
          </cell>
          <cell r="E90">
            <v>17000</v>
          </cell>
          <cell r="F90">
            <v>17000</v>
          </cell>
        </row>
        <row r="91">
          <cell r="D91">
            <v>0</v>
          </cell>
          <cell r="E91">
            <v>14000</v>
          </cell>
          <cell r="F91">
            <v>14000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132</v>
          </cell>
          <cell r="E93">
            <v>1773600</v>
          </cell>
          <cell r="F93">
            <v>1998000</v>
          </cell>
        </row>
        <row r="94">
          <cell r="D94">
            <v>371</v>
          </cell>
          <cell r="E94">
            <v>1726000</v>
          </cell>
          <cell r="F94">
            <v>2356700</v>
          </cell>
        </row>
        <row r="95">
          <cell r="D95">
            <v>684</v>
          </cell>
          <cell r="E95">
            <v>1493400</v>
          </cell>
          <cell r="F95">
            <v>2656200</v>
          </cell>
        </row>
        <row r="96">
          <cell r="D96">
            <v>199</v>
          </cell>
          <cell r="E96">
            <v>2739000</v>
          </cell>
          <cell r="F96">
            <v>3077300</v>
          </cell>
        </row>
        <row r="97">
          <cell r="D97">
            <v>292</v>
          </cell>
          <cell r="E97">
            <v>1254000</v>
          </cell>
          <cell r="F97">
            <v>1750400</v>
          </cell>
        </row>
        <row r="98">
          <cell r="D98">
            <v>474</v>
          </cell>
          <cell r="E98">
            <v>1368200</v>
          </cell>
          <cell r="F98">
            <v>2174000</v>
          </cell>
        </row>
        <row r="100">
          <cell r="E100">
            <v>40000</v>
          </cell>
          <cell r="F100">
            <v>40000</v>
          </cell>
        </row>
      </sheetData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3224</v>
          </cell>
          <cell r="E11">
            <v>1547400</v>
          </cell>
          <cell r="F11">
            <v>7028200</v>
          </cell>
        </row>
        <row r="12">
          <cell r="D12">
            <v>1661</v>
          </cell>
          <cell r="E12">
            <v>600300</v>
          </cell>
          <cell r="F12">
            <v>3424000</v>
          </cell>
        </row>
        <row r="13">
          <cell r="D13">
            <v>433</v>
          </cell>
          <cell r="E13">
            <v>208100</v>
          </cell>
          <cell r="F13">
            <v>944200</v>
          </cell>
        </row>
        <row r="14">
          <cell r="D14">
            <v>26861</v>
          </cell>
          <cell r="E14">
            <v>7699700</v>
          </cell>
          <cell r="F14">
            <v>53363400</v>
          </cell>
        </row>
        <row r="15">
          <cell r="D15">
            <v>15164</v>
          </cell>
          <cell r="E15">
            <v>2555300</v>
          </cell>
          <cell r="F15">
            <v>28334100</v>
          </cell>
        </row>
        <row r="16">
          <cell r="D16">
            <v>3729</v>
          </cell>
          <cell r="E16">
            <v>886200</v>
          </cell>
          <cell r="F16">
            <v>7225500</v>
          </cell>
        </row>
        <row r="17">
          <cell r="D17">
            <v>3293</v>
          </cell>
          <cell r="E17">
            <v>579000</v>
          </cell>
          <cell r="F17">
            <v>6177100</v>
          </cell>
        </row>
        <row r="18">
          <cell r="D18">
            <v>5863</v>
          </cell>
          <cell r="E18">
            <v>1082600</v>
          </cell>
          <cell r="F18">
            <v>11049700</v>
          </cell>
        </row>
        <row r="19">
          <cell r="D19">
            <v>3034</v>
          </cell>
          <cell r="E19">
            <v>758300</v>
          </cell>
          <cell r="F19">
            <v>5916100</v>
          </cell>
        </row>
        <row r="20">
          <cell r="D20">
            <v>1687</v>
          </cell>
          <cell r="E20">
            <v>458500</v>
          </cell>
          <cell r="F20">
            <v>3326400</v>
          </cell>
        </row>
        <row r="21">
          <cell r="D21">
            <v>5708</v>
          </cell>
          <cell r="E21">
            <v>2379350</v>
          </cell>
          <cell r="F21">
            <v>12082950</v>
          </cell>
        </row>
        <row r="22">
          <cell r="D22">
            <v>1790</v>
          </cell>
          <cell r="E22">
            <v>418600</v>
          </cell>
          <cell r="F22">
            <v>3461600</v>
          </cell>
        </row>
        <row r="23">
          <cell r="D23">
            <v>2726</v>
          </cell>
          <cell r="E23">
            <v>601200</v>
          </cell>
          <cell r="F23">
            <v>5235400</v>
          </cell>
        </row>
        <row r="24">
          <cell r="D24">
            <v>4723</v>
          </cell>
          <cell r="E24">
            <v>687400</v>
          </cell>
          <cell r="F24">
            <v>8716500</v>
          </cell>
        </row>
        <row r="25">
          <cell r="D25">
            <v>4246</v>
          </cell>
          <cell r="E25">
            <v>1098500</v>
          </cell>
          <cell r="F25">
            <v>8316700</v>
          </cell>
        </row>
        <row r="26">
          <cell r="D26">
            <v>4373</v>
          </cell>
          <cell r="E26">
            <v>1269200</v>
          </cell>
          <cell r="F26">
            <v>8703300</v>
          </cell>
        </row>
        <row r="27">
          <cell r="D27">
            <v>1083</v>
          </cell>
          <cell r="E27">
            <v>319000</v>
          </cell>
          <cell r="F27">
            <v>2160100</v>
          </cell>
        </row>
        <row r="28">
          <cell r="D28">
            <v>2688</v>
          </cell>
          <cell r="E28">
            <v>1030250</v>
          </cell>
          <cell r="F28">
            <v>5599850</v>
          </cell>
        </row>
        <row r="29">
          <cell r="D29">
            <v>2193</v>
          </cell>
          <cell r="E29">
            <v>679600</v>
          </cell>
          <cell r="F29">
            <v>4407700</v>
          </cell>
        </row>
        <row r="30">
          <cell r="D30">
            <v>2599</v>
          </cell>
          <cell r="E30">
            <v>1103600</v>
          </cell>
          <cell r="F30">
            <v>5521900</v>
          </cell>
        </row>
        <row r="31">
          <cell r="D31">
            <v>4058</v>
          </cell>
          <cell r="E31">
            <v>1034000</v>
          </cell>
          <cell r="F31">
            <v>7932600</v>
          </cell>
        </row>
        <row r="32">
          <cell r="D32">
            <v>2386</v>
          </cell>
          <cell r="E32">
            <v>721600</v>
          </cell>
          <cell r="F32">
            <v>4777800</v>
          </cell>
        </row>
        <row r="33">
          <cell r="D33">
            <v>4985</v>
          </cell>
          <cell r="E33">
            <v>1729500</v>
          </cell>
          <cell r="F33">
            <v>10204000</v>
          </cell>
        </row>
        <row r="34">
          <cell r="D34">
            <v>1254</v>
          </cell>
          <cell r="E34">
            <v>486500</v>
          </cell>
          <cell r="F34">
            <v>2618300</v>
          </cell>
        </row>
        <row r="35">
          <cell r="D35">
            <v>3033</v>
          </cell>
          <cell r="E35">
            <v>785900</v>
          </cell>
          <cell r="F35">
            <v>5942000</v>
          </cell>
        </row>
        <row r="36">
          <cell r="D36">
            <v>2867</v>
          </cell>
          <cell r="E36">
            <v>848900</v>
          </cell>
          <cell r="F36">
            <v>5722800</v>
          </cell>
        </row>
        <row r="37">
          <cell r="D37">
            <v>3503</v>
          </cell>
          <cell r="E37">
            <v>1060100</v>
          </cell>
          <cell r="F37">
            <v>7015200</v>
          </cell>
        </row>
        <row r="38">
          <cell r="D38">
            <v>1264</v>
          </cell>
          <cell r="E38">
            <v>243300</v>
          </cell>
          <cell r="F38">
            <v>2392100</v>
          </cell>
        </row>
        <row r="39">
          <cell r="D39">
            <v>2557</v>
          </cell>
          <cell r="E39">
            <v>690100</v>
          </cell>
          <cell r="F39">
            <v>5037000</v>
          </cell>
        </row>
        <row r="40">
          <cell r="D40">
            <v>5171</v>
          </cell>
          <cell r="E40">
            <v>1692400</v>
          </cell>
          <cell r="F40">
            <v>10483100</v>
          </cell>
        </row>
        <row r="41">
          <cell r="D41">
            <v>1240</v>
          </cell>
          <cell r="E41">
            <v>625400</v>
          </cell>
          <cell r="F41">
            <v>2733400</v>
          </cell>
        </row>
        <row r="42">
          <cell r="D42">
            <v>1249</v>
          </cell>
          <cell r="E42">
            <v>346400</v>
          </cell>
          <cell r="F42">
            <v>2469700</v>
          </cell>
        </row>
        <row r="43">
          <cell r="D43">
            <v>4022</v>
          </cell>
          <cell r="E43">
            <v>904450</v>
          </cell>
          <cell r="F43">
            <v>7741850</v>
          </cell>
        </row>
        <row r="44">
          <cell r="D44">
            <v>4052</v>
          </cell>
          <cell r="E44">
            <v>835000</v>
          </cell>
          <cell r="F44">
            <v>7723400</v>
          </cell>
        </row>
        <row r="45">
          <cell r="D45">
            <v>4140</v>
          </cell>
          <cell r="E45">
            <v>1041250</v>
          </cell>
          <cell r="F45">
            <v>8079250</v>
          </cell>
        </row>
        <row r="46">
          <cell r="D46">
            <v>2123</v>
          </cell>
          <cell r="E46">
            <v>424200</v>
          </cell>
          <cell r="F46">
            <v>4033300</v>
          </cell>
        </row>
        <row r="47">
          <cell r="D47">
            <v>3722</v>
          </cell>
          <cell r="E47">
            <v>1445500</v>
          </cell>
          <cell r="F47">
            <v>7772900</v>
          </cell>
        </row>
        <row r="48">
          <cell r="D48">
            <v>2323</v>
          </cell>
          <cell r="E48">
            <v>787450</v>
          </cell>
          <cell r="F48">
            <v>4736550</v>
          </cell>
        </row>
        <row r="49">
          <cell r="D49">
            <v>1288</v>
          </cell>
          <cell r="E49">
            <v>362600</v>
          </cell>
          <cell r="F49">
            <v>2552200</v>
          </cell>
        </row>
        <row r="50">
          <cell r="D50">
            <v>3308</v>
          </cell>
          <cell r="E50">
            <v>1234200</v>
          </cell>
          <cell r="F50">
            <v>6857800</v>
          </cell>
        </row>
        <row r="51">
          <cell r="D51">
            <v>3641</v>
          </cell>
          <cell r="E51">
            <v>1413200</v>
          </cell>
          <cell r="F51">
            <v>7602900</v>
          </cell>
        </row>
        <row r="52">
          <cell r="D52">
            <v>1254</v>
          </cell>
          <cell r="E52">
            <v>574800</v>
          </cell>
          <cell r="F52">
            <v>2706600</v>
          </cell>
        </row>
        <row r="53">
          <cell r="D53">
            <v>3200</v>
          </cell>
          <cell r="E53">
            <v>851300</v>
          </cell>
          <cell r="F53">
            <v>6291300</v>
          </cell>
        </row>
        <row r="54">
          <cell r="D54">
            <v>6063</v>
          </cell>
          <cell r="E54">
            <v>1387000</v>
          </cell>
          <cell r="F54">
            <v>11694100</v>
          </cell>
        </row>
        <row r="55">
          <cell r="D55">
            <v>10799</v>
          </cell>
          <cell r="E55">
            <v>2579100</v>
          </cell>
          <cell r="F55">
            <v>20937400</v>
          </cell>
        </row>
        <row r="56">
          <cell r="D56">
            <v>18441</v>
          </cell>
          <cell r="E56">
            <v>4632100</v>
          </cell>
          <cell r="F56">
            <v>35981800</v>
          </cell>
        </row>
        <row r="57">
          <cell r="D57">
            <v>7953</v>
          </cell>
          <cell r="E57">
            <v>3194800</v>
          </cell>
          <cell r="F57">
            <v>16714900</v>
          </cell>
        </row>
        <row r="58">
          <cell r="D58">
            <v>29634</v>
          </cell>
          <cell r="E58">
            <v>7202900</v>
          </cell>
          <cell r="F58">
            <v>57580700</v>
          </cell>
        </row>
        <row r="59">
          <cell r="D59">
            <v>4677</v>
          </cell>
          <cell r="E59">
            <v>1299300</v>
          </cell>
          <cell r="F59">
            <v>9250200</v>
          </cell>
        </row>
        <row r="60">
          <cell r="D60">
            <v>5475</v>
          </cell>
          <cell r="E60">
            <v>1185400</v>
          </cell>
          <cell r="F60">
            <v>10492900</v>
          </cell>
        </row>
        <row r="61">
          <cell r="D61">
            <v>1091</v>
          </cell>
          <cell r="E61">
            <v>448100</v>
          </cell>
          <cell r="F61">
            <v>2302800</v>
          </cell>
        </row>
        <row r="62">
          <cell r="D62">
            <v>958</v>
          </cell>
          <cell r="E62">
            <v>166700</v>
          </cell>
          <cell r="F62">
            <v>1795300</v>
          </cell>
        </row>
        <row r="63">
          <cell r="D63">
            <v>1307</v>
          </cell>
          <cell r="E63">
            <v>262750</v>
          </cell>
          <cell r="F63">
            <v>2484650</v>
          </cell>
        </row>
        <row r="64">
          <cell r="D64">
            <v>2168</v>
          </cell>
          <cell r="E64">
            <v>531650</v>
          </cell>
          <cell r="F64">
            <v>4217250</v>
          </cell>
        </row>
        <row r="65">
          <cell r="D65">
            <v>2264</v>
          </cell>
          <cell r="E65">
            <v>938500</v>
          </cell>
          <cell r="F65">
            <v>4787300</v>
          </cell>
        </row>
        <row r="66">
          <cell r="D66">
            <v>2621</v>
          </cell>
          <cell r="E66">
            <v>901400</v>
          </cell>
          <cell r="F66">
            <v>5357100</v>
          </cell>
        </row>
        <row r="67">
          <cell r="D67">
            <v>1441</v>
          </cell>
          <cell r="E67">
            <v>454900</v>
          </cell>
          <cell r="F67">
            <v>2904600</v>
          </cell>
        </row>
        <row r="68">
          <cell r="D68">
            <v>3380</v>
          </cell>
          <cell r="E68">
            <v>831800</v>
          </cell>
          <cell r="F68">
            <v>6577800</v>
          </cell>
        </row>
        <row r="69">
          <cell r="D69">
            <v>2909</v>
          </cell>
          <cell r="E69">
            <v>784100</v>
          </cell>
          <cell r="F69">
            <v>5729400</v>
          </cell>
        </row>
        <row r="70">
          <cell r="D70">
            <v>2731</v>
          </cell>
          <cell r="E70">
            <v>819900</v>
          </cell>
          <cell r="F70">
            <v>5462600</v>
          </cell>
        </row>
        <row r="71">
          <cell r="D71">
            <v>2471</v>
          </cell>
          <cell r="E71">
            <v>783800</v>
          </cell>
          <cell r="F71">
            <v>4984500</v>
          </cell>
        </row>
        <row r="72">
          <cell r="D72">
            <v>1969</v>
          </cell>
          <cell r="E72">
            <v>498100</v>
          </cell>
          <cell r="F72">
            <v>3845400</v>
          </cell>
        </row>
        <row r="73">
          <cell r="D73">
            <v>705</v>
          </cell>
          <cell r="E73">
            <v>247600</v>
          </cell>
          <cell r="F73">
            <v>1446100</v>
          </cell>
        </row>
        <row r="74">
          <cell r="D74">
            <v>0</v>
          </cell>
          <cell r="E74">
            <v>653000</v>
          </cell>
          <cell r="F74">
            <v>653000</v>
          </cell>
          <cell r="M74">
            <v>325311</v>
          </cell>
        </row>
        <row r="75">
          <cell r="D75">
            <v>0</v>
          </cell>
          <cell r="E75">
            <v>95000</v>
          </cell>
          <cell r="F75">
            <v>95000</v>
          </cell>
        </row>
        <row r="76">
          <cell r="D76">
            <v>0</v>
          </cell>
          <cell r="E76">
            <v>232000</v>
          </cell>
          <cell r="F76">
            <v>232000</v>
          </cell>
        </row>
        <row r="77">
          <cell r="D77">
            <v>0</v>
          </cell>
          <cell r="E77">
            <v>491000</v>
          </cell>
          <cell r="F77">
            <v>491000</v>
          </cell>
        </row>
        <row r="78">
          <cell r="D78">
            <v>0</v>
          </cell>
          <cell r="E78">
            <v>265000</v>
          </cell>
          <cell r="F78">
            <v>265000</v>
          </cell>
        </row>
        <row r="79">
          <cell r="D79">
            <v>0</v>
          </cell>
          <cell r="E79">
            <v>886000</v>
          </cell>
          <cell r="F79">
            <v>886000</v>
          </cell>
        </row>
        <row r="80">
          <cell r="D80">
            <v>0</v>
          </cell>
          <cell r="E80">
            <v>629000</v>
          </cell>
          <cell r="F80">
            <v>629000</v>
          </cell>
        </row>
        <row r="81">
          <cell r="D81">
            <v>0</v>
          </cell>
          <cell r="E81">
            <v>615000</v>
          </cell>
          <cell r="F81">
            <v>615000</v>
          </cell>
        </row>
        <row r="82">
          <cell r="D82">
            <v>0</v>
          </cell>
          <cell r="E82">
            <v>599000</v>
          </cell>
          <cell r="F82">
            <v>599000</v>
          </cell>
        </row>
        <row r="83">
          <cell r="D83">
            <v>0</v>
          </cell>
          <cell r="E83">
            <v>529000</v>
          </cell>
          <cell r="F83">
            <v>529000</v>
          </cell>
        </row>
        <row r="84">
          <cell r="D84">
            <v>0</v>
          </cell>
          <cell r="E84">
            <v>425000</v>
          </cell>
          <cell r="F84">
            <v>425000</v>
          </cell>
        </row>
        <row r="85">
          <cell r="D85">
            <v>0</v>
          </cell>
          <cell r="E85">
            <v>562000</v>
          </cell>
          <cell r="F85">
            <v>562000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34000</v>
          </cell>
          <cell r="F88">
            <v>34000</v>
          </cell>
        </row>
        <row r="89">
          <cell r="D89">
            <v>0</v>
          </cell>
          <cell r="E89">
            <v>18000</v>
          </cell>
          <cell r="F89">
            <v>18000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6000</v>
          </cell>
          <cell r="F91">
            <v>6000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</v>
          </cell>
          <cell r="E93">
            <v>481300</v>
          </cell>
          <cell r="F93">
            <v>486400</v>
          </cell>
        </row>
        <row r="94">
          <cell r="D94">
            <v>301</v>
          </cell>
          <cell r="E94">
            <v>1179400</v>
          </cell>
          <cell r="F94">
            <v>1691100</v>
          </cell>
        </row>
        <row r="95">
          <cell r="D95">
            <v>340</v>
          </cell>
          <cell r="E95">
            <v>655900</v>
          </cell>
          <cell r="F95">
            <v>1233900</v>
          </cell>
        </row>
        <row r="96">
          <cell r="D96">
            <v>90</v>
          </cell>
          <cell r="E96">
            <v>1477500</v>
          </cell>
          <cell r="F96">
            <v>1630500</v>
          </cell>
        </row>
        <row r="97">
          <cell r="D97">
            <v>300</v>
          </cell>
          <cell r="E97">
            <v>1050050</v>
          </cell>
          <cell r="F97">
            <v>1560050</v>
          </cell>
        </row>
        <row r="98">
          <cell r="D98">
            <v>434</v>
          </cell>
          <cell r="E98">
            <v>661400</v>
          </cell>
          <cell r="F98">
            <v>1399200</v>
          </cell>
        </row>
        <row r="100">
          <cell r="E100">
            <v>21000</v>
          </cell>
          <cell r="F100">
            <v>21000</v>
          </cell>
        </row>
      </sheetData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2808</v>
          </cell>
          <cell r="E11">
            <v>1193000</v>
          </cell>
          <cell r="F11">
            <v>5966600</v>
          </cell>
        </row>
        <row r="12">
          <cell r="D12">
            <v>388</v>
          </cell>
          <cell r="E12">
            <v>275700</v>
          </cell>
          <cell r="F12">
            <v>935300</v>
          </cell>
        </row>
        <row r="13">
          <cell r="D13">
            <v>115</v>
          </cell>
          <cell r="E13">
            <v>80800</v>
          </cell>
          <cell r="F13">
            <v>276300</v>
          </cell>
        </row>
        <row r="14">
          <cell r="D14">
            <v>14122</v>
          </cell>
          <cell r="E14">
            <v>3578100</v>
          </cell>
          <cell r="F14">
            <v>27585500</v>
          </cell>
        </row>
        <row r="15">
          <cell r="D15">
            <v>6792</v>
          </cell>
          <cell r="E15">
            <v>1134300</v>
          </cell>
          <cell r="F15">
            <v>12680700</v>
          </cell>
        </row>
        <row r="16">
          <cell r="D16">
            <v>1831</v>
          </cell>
          <cell r="E16">
            <v>194150</v>
          </cell>
          <cell r="F16">
            <v>3306850</v>
          </cell>
        </row>
        <row r="17">
          <cell r="D17">
            <v>1717</v>
          </cell>
          <cell r="E17">
            <v>313300</v>
          </cell>
          <cell r="F17">
            <v>3232200</v>
          </cell>
        </row>
        <row r="18">
          <cell r="D18">
            <v>3742</v>
          </cell>
          <cell r="E18">
            <v>1020200</v>
          </cell>
          <cell r="F18">
            <v>7381600</v>
          </cell>
        </row>
        <row r="19">
          <cell r="D19">
            <v>1633</v>
          </cell>
          <cell r="E19">
            <v>573300</v>
          </cell>
          <cell r="F19">
            <v>3349400</v>
          </cell>
        </row>
        <row r="20">
          <cell r="D20">
            <v>617</v>
          </cell>
          <cell r="E20">
            <v>206800</v>
          </cell>
          <cell r="F20">
            <v>1255700</v>
          </cell>
        </row>
        <row r="21">
          <cell r="D21">
            <v>3242</v>
          </cell>
          <cell r="E21">
            <v>1681000</v>
          </cell>
          <cell r="F21">
            <v>7192400</v>
          </cell>
        </row>
        <row r="22">
          <cell r="D22">
            <v>577</v>
          </cell>
          <cell r="E22">
            <v>179700</v>
          </cell>
          <cell r="F22">
            <v>1160600</v>
          </cell>
        </row>
        <row r="23">
          <cell r="D23">
            <v>1250</v>
          </cell>
          <cell r="E23">
            <v>293900</v>
          </cell>
          <cell r="F23">
            <v>2418900</v>
          </cell>
        </row>
        <row r="24">
          <cell r="D24">
            <v>1953</v>
          </cell>
          <cell r="E24">
            <v>302600</v>
          </cell>
          <cell r="F24">
            <v>3622700</v>
          </cell>
        </row>
        <row r="25">
          <cell r="D25">
            <v>1779</v>
          </cell>
          <cell r="E25">
            <v>336200</v>
          </cell>
          <cell r="F25">
            <v>3360500</v>
          </cell>
        </row>
        <row r="26">
          <cell r="D26">
            <v>1899</v>
          </cell>
          <cell r="E26">
            <v>356700</v>
          </cell>
          <cell r="F26">
            <v>3585000</v>
          </cell>
        </row>
        <row r="27">
          <cell r="D27">
            <v>343</v>
          </cell>
          <cell r="E27">
            <v>139500</v>
          </cell>
          <cell r="F27">
            <v>722600</v>
          </cell>
        </row>
        <row r="28">
          <cell r="D28">
            <v>775</v>
          </cell>
          <cell r="E28">
            <v>284600</v>
          </cell>
          <cell r="F28">
            <v>1602100</v>
          </cell>
        </row>
        <row r="29">
          <cell r="D29">
            <v>777</v>
          </cell>
          <cell r="E29">
            <v>178500</v>
          </cell>
          <cell r="F29">
            <v>1499400</v>
          </cell>
        </row>
        <row r="30">
          <cell r="D30">
            <v>1015</v>
          </cell>
          <cell r="E30">
            <v>99500</v>
          </cell>
          <cell r="F30">
            <v>1825000</v>
          </cell>
        </row>
        <row r="31">
          <cell r="D31">
            <v>1167</v>
          </cell>
          <cell r="E31">
            <v>343300</v>
          </cell>
          <cell r="F31">
            <v>2327200</v>
          </cell>
        </row>
        <row r="32">
          <cell r="D32">
            <v>1072</v>
          </cell>
          <cell r="E32">
            <v>295000</v>
          </cell>
          <cell r="F32">
            <v>2117400</v>
          </cell>
        </row>
        <row r="33">
          <cell r="D33">
            <v>3070</v>
          </cell>
          <cell r="E33">
            <v>558250</v>
          </cell>
          <cell r="F33">
            <v>5777250</v>
          </cell>
        </row>
        <row r="34">
          <cell r="D34">
            <v>445</v>
          </cell>
          <cell r="E34">
            <v>80500</v>
          </cell>
          <cell r="F34">
            <v>837000</v>
          </cell>
        </row>
        <row r="35">
          <cell r="D35">
            <v>755</v>
          </cell>
          <cell r="E35">
            <v>161600</v>
          </cell>
          <cell r="F35">
            <v>1445100</v>
          </cell>
        </row>
        <row r="36">
          <cell r="D36">
            <v>1385</v>
          </cell>
          <cell r="E36">
            <v>222800</v>
          </cell>
          <cell r="F36">
            <v>2577300</v>
          </cell>
        </row>
        <row r="37">
          <cell r="D37">
            <v>2556</v>
          </cell>
          <cell r="E37">
            <v>741650</v>
          </cell>
          <cell r="F37">
            <v>5086850</v>
          </cell>
        </row>
        <row r="38">
          <cell r="D38">
            <v>565</v>
          </cell>
          <cell r="E38">
            <v>136200</v>
          </cell>
          <cell r="F38">
            <v>1096700</v>
          </cell>
        </row>
        <row r="39">
          <cell r="D39">
            <v>683</v>
          </cell>
          <cell r="E39">
            <v>154800</v>
          </cell>
          <cell r="F39">
            <v>1315900</v>
          </cell>
        </row>
        <row r="40">
          <cell r="D40">
            <v>1654</v>
          </cell>
          <cell r="E40">
            <v>504200</v>
          </cell>
          <cell r="F40">
            <v>3316000</v>
          </cell>
        </row>
        <row r="41">
          <cell r="D41">
            <v>280</v>
          </cell>
          <cell r="E41">
            <v>111900</v>
          </cell>
          <cell r="F41">
            <v>587900</v>
          </cell>
        </row>
        <row r="42">
          <cell r="D42">
            <v>526</v>
          </cell>
          <cell r="E42">
            <v>66000</v>
          </cell>
          <cell r="F42">
            <v>960200</v>
          </cell>
        </row>
        <row r="43">
          <cell r="D43">
            <v>1850</v>
          </cell>
          <cell r="E43">
            <v>545550</v>
          </cell>
          <cell r="F43">
            <v>3690550</v>
          </cell>
        </row>
        <row r="44">
          <cell r="D44">
            <v>2304</v>
          </cell>
          <cell r="E44">
            <v>602100</v>
          </cell>
          <cell r="F44">
            <v>4518900</v>
          </cell>
        </row>
        <row r="45">
          <cell r="D45">
            <v>2026</v>
          </cell>
          <cell r="E45">
            <v>478400</v>
          </cell>
          <cell r="F45">
            <v>3922600</v>
          </cell>
        </row>
        <row r="46">
          <cell r="D46">
            <v>1246</v>
          </cell>
          <cell r="E46">
            <v>324100</v>
          </cell>
          <cell r="F46">
            <v>2442300</v>
          </cell>
        </row>
        <row r="47">
          <cell r="D47">
            <v>3011</v>
          </cell>
          <cell r="E47">
            <v>1082700</v>
          </cell>
          <cell r="F47">
            <v>6201400</v>
          </cell>
        </row>
        <row r="48">
          <cell r="D48">
            <v>1229</v>
          </cell>
          <cell r="E48">
            <v>257000</v>
          </cell>
          <cell r="F48">
            <v>2346300</v>
          </cell>
        </row>
        <row r="49">
          <cell r="D49">
            <v>565</v>
          </cell>
          <cell r="E49">
            <v>144900</v>
          </cell>
          <cell r="F49">
            <v>1105400</v>
          </cell>
        </row>
        <row r="50">
          <cell r="D50">
            <v>1518</v>
          </cell>
          <cell r="E50">
            <v>567200</v>
          </cell>
          <cell r="F50">
            <v>3147800</v>
          </cell>
        </row>
        <row r="51">
          <cell r="D51">
            <v>2051</v>
          </cell>
          <cell r="E51">
            <v>813800</v>
          </cell>
          <cell r="F51">
            <v>4300500</v>
          </cell>
        </row>
        <row r="52">
          <cell r="D52">
            <v>572</v>
          </cell>
          <cell r="E52">
            <v>108500</v>
          </cell>
          <cell r="F52">
            <v>1080900</v>
          </cell>
        </row>
        <row r="53">
          <cell r="D53">
            <v>1445</v>
          </cell>
          <cell r="E53">
            <v>397900</v>
          </cell>
          <cell r="F53">
            <v>2854400</v>
          </cell>
        </row>
        <row r="54">
          <cell r="D54">
            <v>2345</v>
          </cell>
          <cell r="E54">
            <v>731100</v>
          </cell>
          <cell r="F54">
            <v>4717600</v>
          </cell>
        </row>
        <row r="55">
          <cell r="D55">
            <v>6238</v>
          </cell>
          <cell r="E55">
            <v>1421900</v>
          </cell>
          <cell r="F55">
            <v>12026500</v>
          </cell>
        </row>
        <row r="56">
          <cell r="D56">
            <v>9712</v>
          </cell>
          <cell r="E56">
            <v>2275800</v>
          </cell>
          <cell r="F56">
            <v>18786200</v>
          </cell>
        </row>
        <row r="57">
          <cell r="D57">
            <v>5208</v>
          </cell>
          <cell r="E57">
            <v>2470550</v>
          </cell>
          <cell r="F57">
            <v>11324150</v>
          </cell>
        </row>
        <row r="58">
          <cell r="D58">
            <v>14890</v>
          </cell>
          <cell r="E58">
            <v>2875100</v>
          </cell>
          <cell r="F58">
            <v>28188100</v>
          </cell>
        </row>
        <row r="59">
          <cell r="D59">
            <v>2353</v>
          </cell>
          <cell r="E59">
            <v>908600</v>
          </cell>
          <cell r="F59">
            <v>4908700</v>
          </cell>
        </row>
        <row r="60">
          <cell r="D60">
            <v>2815</v>
          </cell>
          <cell r="E60">
            <v>890000</v>
          </cell>
          <cell r="F60">
            <v>5675500</v>
          </cell>
        </row>
        <row r="61">
          <cell r="D61">
            <v>554</v>
          </cell>
          <cell r="E61">
            <v>182800</v>
          </cell>
          <cell r="F61">
            <v>1124600</v>
          </cell>
        </row>
        <row r="62">
          <cell r="D62">
            <v>273</v>
          </cell>
          <cell r="E62">
            <v>125000</v>
          </cell>
          <cell r="F62">
            <v>589100</v>
          </cell>
        </row>
        <row r="63">
          <cell r="D63">
            <v>483</v>
          </cell>
          <cell r="E63">
            <v>70400</v>
          </cell>
          <cell r="F63">
            <v>891500</v>
          </cell>
        </row>
        <row r="64">
          <cell r="D64">
            <v>894</v>
          </cell>
          <cell r="E64">
            <v>272500</v>
          </cell>
          <cell r="F64">
            <v>1792300</v>
          </cell>
        </row>
        <row r="65">
          <cell r="D65">
            <v>807</v>
          </cell>
          <cell r="E65">
            <v>155400</v>
          </cell>
          <cell r="F65">
            <v>1527300</v>
          </cell>
        </row>
        <row r="66">
          <cell r="D66">
            <v>1206</v>
          </cell>
          <cell r="E66">
            <v>366700</v>
          </cell>
          <cell r="F66">
            <v>2416900</v>
          </cell>
        </row>
        <row r="67">
          <cell r="D67">
            <v>436</v>
          </cell>
          <cell r="E67">
            <v>158600</v>
          </cell>
          <cell r="F67">
            <v>899800</v>
          </cell>
        </row>
        <row r="68">
          <cell r="D68">
            <v>1501</v>
          </cell>
          <cell r="E68">
            <v>356800</v>
          </cell>
          <cell r="F68">
            <v>2908500</v>
          </cell>
        </row>
        <row r="69">
          <cell r="D69">
            <v>973</v>
          </cell>
          <cell r="E69">
            <v>379250</v>
          </cell>
          <cell r="F69">
            <v>2033350</v>
          </cell>
        </row>
        <row r="70">
          <cell r="D70">
            <v>974</v>
          </cell>
          <cell r="E70">
            <v>405600</v>
          </cell>
          <cell r="F70">
            <v>2061400</v>
          </cell>
        </row>
        <row r="71">
          <cell r="D71">
            <v>1335</v>
          </cell>
          <cell r="E71">
            <v>444800</v>
          </cell>
          <cell r="F71">
            <v>2714300</v>
          </cell>
        </row>
        <row r="72">
          <cell r="D72">
            <v>752</v>
          </cell>
          <cell r="E72">
            <v>112300</v>
          </cell>
          <cell r="F72">
            <v>1390700</v>
          </cell>
        </row>
        <row r="73">
          <cell r="D73">
            <v>289</v>
          </cell>
          <cell r="E73">
            <v>72500</v>
          </cell>
          <cell r="F73">
            <v>563800</v>
          </cell>
        </row>
        <row r="74">
          <cell r="D74">
            <v>0</v>
          </cell>
          <cell r="E74">
            <v>339000</v>
          </cell>
          <cell r="F74">
            <v>339000</v>
          </cell>
          <cell r="M74">
            <v>156206.764</v>
          </cell>
        </row>
        <row r="75">
          <cell r="D75">
            <v>0</v>
          </cell>
          <cell r="E75">
            <v>30000</v>
          </cell>
          <cell r="F75">
            <v>30000</v>
          </cell>
        </row>
        <row r="76">
          <cell r="D76">
            <v>0</v>
          </cell>
          <cell r="E76">
            <v>245000</v>
          </cell>
          <cell r="F76">
            <v>245000</v>
          </cell>
        </row>
        <row r="77">
          <cell r="D77">
            <v>0</v>
          </cell>
          <cell r="E77">
            <v>324000</v>
          </cell>
          <cell r="F77">
            <v>324000</v>
          </cell>
        </row>
        <row r="78">
          <cell r="D78">
            <v>0</v>
          </cell>
          <cell r="E78">
            <v>88000</v>
          </cell>
          <cell r="F78">
            <v>88000</v>
          </cell>
        </row>
        <row r="79">
          <cell r="D79">
            <v>0</v>
          </cell>
          <cell r="E79">
            <v>296000</v>
          </cell>
          <cell r="F79">
            <v>296000</v>
          </cell>
        </row>
        <row r="80">
          <cell r="D80">
            <v>0</v>
          </cell>
          <cell r="E80">
            <v>236000</v>
          </cell>
          <cell r="F80">
            <v>236000</v>
          </cell>
        </row>
        <row r="81">
          <cell r="D81">
            <v>0</v>
          </cell>
          <cell r="E81">
            <v>359000</v>
          </cell>
          <cell r="F81">
            <v>359000</v>
          </cell>
        </row>
        <row r="82">
          <cell r="D82">
            <v>0</v>
          </cell>
          <cell r="E82">
            <v>245000</v>
          </cell>
          <cell r="F82">
            <v>245000</v>
          </cell>
        </row>
        <row r="83">
          <cell r="D83">
            <v>0</v>
          </cell>
          <cell r="E83">
            <v>241000</v>
          </cell>
          <cell r="F83">
            <v>241000</v>
          </cell>
        </row>
        <row r="84">
          <cell r="D84">
            <v>0</v>
          </cell>
          <cell r="E84">
            <v>330000</v>
          </cell>
          <cell r="F84">
            <v>330000</v>
          </cell>
        </row>
        <row r="85">
          <cell r="D85">
            <v>0</v>
          </cell>
          <cell r="E85">
            <v>262000</v>
          </cell>
          <cell r="F85">
            <v>262000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</row>
        <row r="100">
          <cell r="E100">
            <v>1000</v>
          </cell>
          <cell r="F100">
            <v>1000</v>
          </cell>
        </row>
      </sheetData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5782</v>
          </cell>
          <cell r="E11">
            <v>2732300</v>
          </cell>
          <cell r="F11">
            <v>12561700</v>
          </cell>
        </row>
        <row r="12">
          <cell r="D12">
            <v>3098</v>
          </cell>
          <cell r="E12">
            <v>1515250</v>
          </cell>
          <cell r="F12">
            <v>6781850</v>
          </cell>
        </row>
        <row r="13">
          <cell r="D13">
            <v>1647</v>
          </cell>
          <cell r="E13">
            <v>1539900</v>
          </cell>
          <cell r="F13">
            <v>4339800</v>
          </cell>
        </row>
        <row r="14">
          <cell r="D14">
            <v>49182</v>
          </cell>
          <cell r="E14">
            <v>22323250</v>
          </cell>
          <cell r="F14">
            <v>105932650</v>
          </cell>
        </row>
        <row r="15">
          <cell r="D15">
            <v>27193</v>
          </cell>
          <cell r="E15">
            <v>4318750</v>
          </cell>
          <cell r="F15">
            <v>50546850</v>
          </cell>
        </row>
        <row r="16">
          <cell r="D16">
            <v>5787</v>
          </cell>
          <cell r="E16">
            <v>1985100</v>
          </cell>
          <cell r="F16">
            <v>11823000</v>
          </cell>
        </row>
        <row r="17">
          <cell r="D17">
            <v>5353</v>
          </cell>
          <cell r="E17">
            <v>1602900</v>
          </cell>
          <cell r="F17">
            <v>10703000</v>
          </cell>
        </row>
        <row r="18">
          <cell r="D18">
            <v>10661</v>
          </cell>
          <cell r="E18">
            <v>3130100</v>
          </cell>
          <cell r="F18">
            <v>21253800</v>
          </cell>
        </row>
        <row r="19">
          <cell r="D19">
            <v>5239</v>
          </cell>
          <cell r="E19">
            <v>1856000</v>
          </cell>
          <cell r="F19">
            <v>10762300</v>
          </cell>
        </row>
        <row r="20">
          <cell r="D20">
            <v>3112</v>
          </cell>
          <cell r="E20">
            <v>1694300</v>
          </cell>
          <cell r="F20">
            <v>6984700</v>
          </cell>
        </row>
        <row r="21">
          <cell r="D21">
            <v>13416</v>
          </cell>
          <cell r="E21">
            <v>6582300</v>
          </cell>
          <cell r="F21">
            <v>29389500</v>
          </cell>
        </row>
        <row r="22">
          <cell r="D22">
            <v>3971</v>
          </cell>
          <cell r="E22">
            <v>1193000</v>
          </cell>
          <cell r="F22">
            <v>7943700</v>
          </cell>
        </row>
        <row r="23">
          <cell r="D23">
            <v>5249</v>
          </cell>
          <cell r="E23">
            <v>1810600</v>
          </cell>
          <cell r="F23">
            <v>10733900</v>
          </cell>
        </row>
        <row r="24">
          <cell r="D24">
            <v>9204</v>
          </cell>
          <cell r="E24">
            <v>2374200</v>
          </cell>
          <cell r="F24">
            <v>18021000</v>
          </cell>
        </row>
        <row r="25">
          <cell r="D25">
            <v>7077</v>
          </cell>
          <cell r="E25">
            <v>2339700</v>
          </cell>
          <cell r="F25">
            <v>14370600</v>
          </cell>
        </row>
        <row r="26">
          <cell r="D26">
            <v>6492</v>
          </cell>
          <cell r="E26">
            <v>2851700</v>
          </cell>
          <cell r="F26">
            <v>13888100</v>
          </cell>
        </row>
        <row r="27">
          <cell r="D27">
            <v>1934</v>
          </cell>
          <cell r="E27">
            <v>1131600</v>
          </cell>
          <cell r="F27">
            <v>4419400</v>
          </cell>
        </row>
        <row r="28">
          <cell r="D28">
            <v>4012</v>
          </cell>
          <cell r="E28">
            <v>1964700</v>
          </cell>
          <cell r="F28">
            <v>8785100</v>
          </cell>
        </row>
        <row r="29">
          <cell r="D29">
            <v>3263</v>
          </cell>
          <cell r="E29">
            <v>1390700</v>
          </cell>
          <cell r="F29">
            <v>6937800</v>
          </cell>
        </row>
        <row r="30">
          <cell r="D30">
            <v>3673</v>
          </cell>
          <cell r="E30">
            <v>1242700</v>
          </cell>
          <cell r="F30">
            <v>7486800</v>
          </cell>
        </row>
        <row r="31">
          <cell r="D31">
            <v>6339</v>
          </cell>
          <cell r="E31">
            <v>2366200</v>
          </cell>
          <cell r="F31">
            <v>13142500</v>
          </cell>
        </row>
        <row r="32">
          <cell r="D32">
            <v>3460</v>
          </cell>
          <cell r="E32">
            <v>1424800</v>
          </cell>
          <cell r="F32">
            <v>7306800</v>
          </cell>
        </row>
        <row r="33">
          <cell r="D33">
            <v>7080</v>
          </cell>
          <cell r="E33">
            <v>3350450</v>
          </cell>
          <cell r="F33">
            <v>15386450</v>
          </cell>
        </row>
        <row r="34">
          <cell r="D34">
            <v>2565</v>
          </cell>
          <cell r="E34">
            <v>1582200</v>
          </cell>
          <cell r="F34">
            <v>5942700</v>
          </cell>
        </row>
        <row r="35">
          <cell r="D35">
            <v>9046</v>
          </cell>
          <cell r="E35">
            <v>4653700</v>
          </cell>
          <cell r="F35">
            <v>20031900</v>
          </cell>
        </row>
        <row r="36">
          <cell r="D36">
            <v>5190</v>
          </cell>
          <cell r="E36">
            <v>1846450</v>
          </cell>
          <cell r="F36">
            <v>10669450</v>
          </cell>
        </row>
        <row r="37">
          <cell r="D37">
            <v>6818</v>
          </cell>
          <cell r="E37">
            <v>2765800</v>
          </cell>
          <cell r="F37">
            <v>14356400</v>
          </cell>
        </row>
        <row r="38">
          <cell r="D38">
            <v>2311</v>
          </cell>
          <cell r="E38">
            <v>628000</v>
          </cell>
          <cell r="F38">
            <v>4556700</v>
          </cell>
        </row>
        <row r="39">
          <cell r="D39">
            <v>5266</v>
          </cell>
          <cell r="E39">
            <v>1737400</v>
          </cell>
          <cell r="F39">
            <v>10689600</v>
          </cell>
        </row>
        <row r="40">
          <cell r="D40">
            <v>7724</v>
          </cell>
          <cell r="E40">
            <v>2773200</v>
          </cell>
          <cell r="F40">
            <v>15904000</v>
          </cell>
        </row>
        <row r="41">
          <cell r="D41">
            <v>2604</v>
          </cell>
          <cell r="E41">
            <v>1360100</v>
          </cell>
          <cell r="F41">
            <v>5786900</v>
          </cell>
        </row>
        <row r="42">
          <cell r="D42">
            <v>2117</v>
          </cell>
          <cell r="E42">
            <v>652400</v>
          </cell>
          <cell r="F42">
            <v>4251300</v>
          </cell>
        </row>
        <row r="43">
          <cell r="D43">
            <v>6066</v>
          </cell>
          <cell r="E43">
            <v>1932600</v>
          </cell>
          <cell r="F43">
            <v>12244800</v>
          </cell>
        </row>
        <row r="44">
          <cell r="D44">
            <v>6254</v>
          </cell>
          <cell r="E44">
            <v>1974600</v>
          </cell>
          <cell r="F44">
            <v>12606400</v>
          </cell>
        </row>
        <row r="45">
          <cell r="D45">
            <v>7161</v>
          </cell>
          <cell r="E45">
            <v>2270800</v>
          </cell>
          <cell r="F45">
            <v>14444500</v>
          </cell>
        </row>
        <row r="46">
          <cell r="D46">
            <v>4055</v>
          </cell>
          <cell r="E46">
            <v>1354100</v>
          </cell>
          <cell r="F46">
            <v>8247600</v>
          </cell>
        </row>
        <row r="47">
          <cell r="D47">
            <v>3811</v>
          </cell>
          <cell r="E47">
            <v>2415800</v>
          </cell>
          <cell r="F47">
            <v>8894500</v>
          </cell>
        </row>
        <row r="48">
          <cell r="D48">
            <v>4914</v>
          </cell>
          <cell r="E48">
            <v>2500400</v>
          </cell>
          <cell r="F48">
            <v>10854200</v>
          </cell>
        </row>
        <row r="49">
          <cell r="D49">
            <v>3151</v>
          </cell>
          <cell r="E49">
            <v>886200</v>
          </cell>
          <cell r="F49">
            <v>6242900</v>
          </cell>
        </row>
        <row r="50">
          <cell r="D50">
            <v>4728</v>
          </cell>
          <cell r="E50">
            <v>2755200</v>
          </cell>
          <cell r="F50">
            <v>10792800</v>
          </cell>
        </row>
        <row r="51">
          <cell r="D51">
            <v>6153</v>
          </cell>
          <cell r="E51">
            <v>3152500</v>
          </cell>
          <cell r="F51">
            <v>13612600</v>
          </cell>
        </row>
        <row r="52">
          <cell r="D52">
            <v>2278</v>
          </cell>
          <cell r="E52">
            <v>1418900</v>
          </cell>
          <cell r="F52">
            <v>5291500</v>
          </cell>
        </row>
        <row r="53">
          <cell r="D53">
            <v>5740</v>
          </cell>
          <cell r="E53">
            <v>2410450</v>
          </cell>
          <cell r="F53">
            <v>12168450</v>
          </cell>
        </row>
        <row r="54">
          <cell r="D54">
            <v>9938</v>
          </cell>
          <cell r="E54">
            <v>3537300</v>
          </cell>
          <cell r="F54">
            <v>20431900</v>
          </cell>
        </row>
        <row r="55">
          <cell r="D55">
            <v>17969</v>
          </cell>
          <cell r="E55">
            <v>5707300</v>
          </cell>
          <cell r="F55">
            <v>36254600</v>
          </cell>
        </row>
        <row r="56">
          <cell r="D56">
            <v>31927</v>
          </cell>
          <cell r="E56">
            <v>13338000</v>
          </cell>
          <cell r="F56">
            <v>67613900</v>
          </cell>
        </row>
        <row r="57">
          <cell r="D57">
            <v>13021</v>
          </cell>
          <cell r="E57">
            <v>7160700</v>
          </cell>
          <cell r="F57">
            <v>29296400</v>
          </cell>
        </row>
        <row r="58">
          <cell r="D58">
            <v>54924</v>
          </cell>
          <cell r="E58">
            <v>24842750</v>
          </cell>
          <cell r="F58">
            <v>118213550</v>
          </cell>
        </row>
        <row r="59">
          <cell r="D59">
            <v>9180</v>
          </cell>
          <cell r="E59">
            <v>4814500</v>
          </cell>
          <cell r="F59">
            <v>20420500</v>
          </cell>
        </row>
        <row r="60">
          <cell r="D60">
            <v>10464</v>
          </cell>
          <cell r="E60">
            <v>3512150</v>
          </cell>
          <cell r="F60">
            <v>21300950</v>
          </cell>
        </row>
        <row r="61">
          <cell r="D61">
            <v>2203</v>
          </cell>
          <cell r="E61">
            <v>1487400</v>
          </cell>
          <cell r="F61">
            <v>5232500</v>
          </cell>
        </row>
        <row r="62">
          <cell r="D62">
            <v>1295</v>
          </cell>
          <cell r="E62">
            <v>471700</v>
          </cell>
          <cell r="F62">
            <v>2673200</v>
          </cell>
        </row>
        <row r="63">
          <cell r="D63">
            <v>2605</v>
          </cell>
          <cell r="E63">
            <v>910500</v>
          </cell>
          <cell r="F63">
            <v>5339000</v>
          </cell>
        </row>
        <row r="64">
          <cell r="D64">
            <v>3973</v>
          </cell>
          <cell r="E64">
            <v>1211950</v>
          </cell>
          <cell r="F64">
            <v>7966050</v>
          </cell>
        </row>
        <row r="65">
          <cell r="D65">
            <v>3957</v>
          </cell>
          <cell r="E65">
            <v>1628000</v>
          </cell>
          <cell r="F65">
            <v>8354900</v>
          </cell>
        </row>
        <row r="66">
          <cell r="D66">
            <v>4220</v>
          </cell>
          <cell r="E66">
            <v>1487000</v>
          </cell>
          <cell r="F66">
            <v>8661000</v>
          </cell>
        </row>
        <row r="67">
          <cell r="D67">
            <v>3321</v>
          </cell>
          <cell r="E67">
            <v>1146650</v>
          </cell>
          <cell r="F67">
            <v>6792350</v>
          </cell>
        </row>
        <row r="68">
          <cell r="D68">
            <v>7401</v>
          </cell>
          <cell r="E68">
            <v>3218000</v>
          </cell>
          <cell r="F68">
            <v>15799700</v>
          </cell>
        </row>
        <row r="69">
          <cell r="D69">
            <v>6628</v>
          </cell>
          <cell r="E69">
            <v>2088050</v>
          </cell>
          <cell r="F69">
            <v>13355650</v>
          </cell>
        </row>
        <row r="70">
          <cell r="D70">
            <v>4418</v>
          </cell>
          <cell r="E70">
            <v>1393600</v>
          </cell>
          <cell r="F70">
            <v>8904200</v>
          </cell>
        </row>
        <row r="71">
          <cell r="D71">
            <v>3519</v>
          </cell>
          <cell r="E71">
            <v>1640850</v>
          </cell>
          <cell r="F71">
            <v>7623150</v>
          </cell>
        </row>
        <row r="72">
          <cell r="D72">
            <v>3915</v>
          </cell>
          <cell r="E72">
            <v>2057550</v>
          </cell>
          <cell r="F72">
            <v>8713050</v>
          </cell>
        </row>
        <row r="73">
          <cell r="D73">
            <v>1431</v>
          </cell>
          <cell r="E73">
            <v>732400</v>
          </cell>
          <cell r="F73">
            <v>3165100</v>
          </cell>
        </row>
        <row r="74">
          <cell r="D74">
            <v>0</v>
          </cell>
          <cell r="E74">
            <v>1591000</v>
          </cell>
          <cell r="F74">
            <v>1591000</v>
          </cell>
          <cell r="M74">
            <v>626636.97</v>
          </cell>
        </row>
        <row r="75">
          <cell r="D75">
            <v>0</v>
          </cell>
          <cell r="E75">
            <v>1693000</v>
          </cell>
          <cell r="F75">
            <v>1693000</v>
          </cell>
        </row>
        <row r="76">
          <cell r="D76">
            <v>0</v>
          </cell>
          <cell r="E76">
            <v>1718000</v>
          </cell>
          <cell r="F76">
            <v>1718000</v>
          </cell>
        </row>
        <row r="77">
          <cell r="D77">
            <v>0</v>
          </cell>
          <cell r="E77">
            <v>2110000</v>
          </cell>
          <cell r="F77">
            <v>2110000</v>
          </cell>
        </row>
        <row r="78">
          <cell r="D78">
            <v>0</v>
          </cell>
          <cell r="E78">
            <v>867000</v>
          </cell>
          <cell r="F78">
            <v>867000</v>
          </cell>
        </row>
        <row r="79">
          <cell r="D79">
            <v>0</v>
          </cell>
          <cell r="E79">
            <v>2103000</v>
          </cell>
          <cell r="F79">
            <v>2103000</v>
          </cell>
        </row>
        <row r="80">
          <cell r="D80">
            <v>0</v>
          </cell>
          <cell r="E80">
            <v>2472000</v>
          </cell>
          <cell r="F80">
            <v>2472000</v>
          </cell>
        </row>
        <row r="81">
          <cell r="D81">
            <v>0</v>
          </cell>
          <cell r="E81">
            <v>1813000</v>
          </cell>
          <cell r="F81">
            <v>1813000</v>
          </cell>
        </row>
        <row r="82">
          <cell r="D82">
            <v>0</v>
          </cell>
          <cell r="E82">
            <v>1823000</v>
          </cell>
          <cell r="F82">
            <v>1823000</v>
          </cell>
        </row>
        <row r="83">
          <cell r="D83">
            <v>0</v>
          </cell>
          <cell r="E83">
            <v>1091000</v>
          </cell>
          <cell r="F83">
            <v>1091000</v>
          </cell>
        </row>
        <row r="84">
          <cell r="D84">
            <v>0</v>
          </cell>
          <cell r="E84">
            <v>553000</v>
          </cell>
          <cell r="F84">
            <v>553000</v>
          </cell>
        </row>
        <row r="85">
          <cell r="D85">
            <v>0</v>
          </cell>
          <cell r="E85">
            <v>1753000</v>
          </cell>
          <cell r="F85">
            <v>1753000</v>
          </cell>
        </row>
        <row r="86">
          <cell r="D86">
            <v>0</v>
          </cell>
          <cell r="E86">
            <v>14000</v>
          </cell>
          <cell r="F86">
            <v>14000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128000</v>
          </cell>
          <cell r="F88">
            <v>128000</v>
          </cell>
        </row>
        <row r="89">
          <cell r="D89">
            <v>0</v>
          </cell>
          <cell r="E89">
            <v>13000</v>
          </cell>
          <cell r="F89">
            <v>13000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60000</v>
          </cell>
          <cell r="F91">
            <v>60000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257</v>
          </cell>
          <cell r="E93">
            <v>2792900</v>
          </cell>
          <cell r="F93">
            <v>3229800</v>
          </cell>
        </row>
        <row r="94">
          <cell r="D94">
            <v>348</v>
          </cell>
          <cell r="E94">
            <v>3308400</v>
          </cell>
          <cell r="F94">
            <v>3900000</v>
          </cell>
        </row>
        <row r="95">
          <cell r="D95">
            <v>673</v>
          </cell>
          <cell r="E95">
            <v>2406050</v>
          </cell>
          <cell r="F95">
            <v>3550150</v>
          </cell>
        </row>
        <row r="96">
          <cell r="D96">
            <v>281</v>
          </cell>
          <cell r="E96">
            <v>4722050</v>
          </cell>
          <cell r="F96">
            <v>5199750</v>
          </cell>
        </row>
        <row r="97">
          <cell r="D97">
            <v>306</v>
          </cell>
          <cell r="E97">
            <v>2432200</v>
          </cell>
          <cell r="F97">
            <v>2952400</v>
          </cell>
        </row>
        <row r="98">
          <cell r="D98">
            <v>379</v>
          </cell>
          <cell r="E98">
            <v>2671300</v>
          </cell>
          <cell r="F98">
            <v>3315600</v>
          </cell>
        </row>
        <row r="100">
          <cell r="E100">
            <v>131000</v>
          </cell>
          <cell r="F100">
            <v>131000</v>
          </cell>
        </row>
      </sheetData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4727</v>
          </cell>
          <cell r="E11">
            <v>2215000</v>
          </cell>
          <cell r="F11">
            <v>10250900</v>
          </cell>
        </row>
        <row r="12">
          <cell r="D12">
            <v>2148</v>
          </cell>
          <cell r="E12">
            <v>1013500</v>
          </cell>
          <cell r="F12">
            <v>4665100</v>
          </cell>
        </row>
        <row r="13">
          <cell r="D13">
            <v>1029</v>
          </cell>
          <cell r="E13">
            <v>695900</v>
          </cell>
          <cell r="F13">
            <v>2445200</v>
          </cell>
        </row>
        <row r="14">
          <cell r="D14">
            <v>37699</v>
          </cell>
          <cell r="E14">
            <v>13001050</v>
          </cell>
          <cell r="F14">
            <v>77089350</v>
          </cell>
        </row>
        <row r="15">
          <cell r="D15">
            <v>21202</v>
          </cell>
          <cell r="E15">
            <v>2980050</v>
          </cell>
          <cell r="F15">
            <v>39023450</v>
          </cell>
        </row>
        <row r="16">
          <cell r="D16">
            <v>4980</v>
          </cell>
          <cell r="E16">
            <v>1127000</v>
          </cell>
          <cell r="F16">
            <v>9593000</v>
          </cell>
        </row>
        <row r="17">
          <cell r="D17">
            <v>3992</v>
          </cell>
          <cell r="E17">
            <v>1045800</v>
          </cell>
          <cell r="F17">
            <v>7832200</v>
          </cell>
        </row>
        <row r="18">
          <cell r="D18">
            <v>8256</v>
          </cell>
          <cell r="E18">
            <v>1756500</v>
          </cell>
          <cell r="F18">
            <v>15791700</v>
          </cell>
        </row>
        <row r="19">
          <cell r="D19">
            <v>4408</v>
          </cell>
          <cell r="E19">
            <v>1179500</v>
          </cell>
          <cell r="F19">
            <v>8673100</v>
          </cell>
        </row>
        <row r="20">
          <cell r="D20">
            <v>2544</v>
          </cell>
          <cell r="E20">
            <v>819100</v>
          </cell>
          <cell r="F20">
            <v>5143900</v>
          </cell>
        </row>
        <row r="21">
          <cell r="D21">
            <v>10317</v>
          </cell>
          <cell r="E21">
            <v>4455100</v>
          </cell>
          <cell r="F21">
            <v>21994000</v>
          </cell>
        </row>
        <row r="22">
          <cell r="D22">
            <v>2923</v>
          </cell>
          <cell r="E22">
            <v>792000</v>
          </cell>
          <cell r="F22">
            <v>5761100</v>
          </cell>
        </row>
        <row r="23">
          <cell r="D23">
            <v>4344</v>
          </cell>
          <cell r="E23">
            <v>1212100</v>
          </cell>
          <cell r="F23">
            <v>8596900</v>
          </cell>
        </row>
        <row r="24">
          <cell r="D24">
            <v>7352</v>
          </cell>
          <cell r="E24">
            <v>1788100</v>
          </cell>
          <cell r="F24">
            <v>14286500</v>
          </cell>
        </row>
        <row r="25">
          <cell r="D25">
            <v>6179</v>
          </cell>
          <cell r="E25">
            <v>1903600</v>
          </cell>
          <cell r="F25">
            <v>12407900</v>
          </cell>
        </row>
        <row r="26">
          <cell r="D26">
            <v>6026</v>
          </cell>
          <cell r="E26">
            <v>1915400</v>
          </cell>
          <cell r="F26">
            <v>12159600</v>
          </cell>
        </row>
        <row r="27">
          <cell r="D27">
            <v>1865</v>
          </cell>
          <cell r="E27">
            <v>697000</v>
          </cell>
          <cell r="F27">
            <v>3867500</v>
          </cell>
        </row>
        <row r="28">
          <cell r="D28">
            <v>3673</v>
          </cell>
          <cell r="E28">
            <v>1604100</v>
          </cell>
          <cell r="F28">
            <v>7848200</v>
          </cell>
        </row>
        <row r="29">
          <cell r="D29">
            <v>3032</v>
          </cell>
          <cell r="E29">
            <v>931400</v>
          </cell>
          <cell r="F29">
            <v>6085800</v>
          </cell>
        </row>
        <row r="30">
          <cell r="D30">
            <v>3326</v>
          </cell>
          <cell r="E30">
            <v>943200</v>
          </cell>
          <cell r="F30">
            <v>6597400</v>
          </cell>
        </row>
        <row r="31">
          <cell r="D31">
            <v>5955</v>
          </cell>
          <cell r="E31">
            <v>1790000</v>
          </cell>
          <cell r="F31">
            <v>11913500</v>
          </cell>
        </row>
        <row r="32">
          <cell r="D32">
            <v>3107</v>
          </cell>
          <cell r="E32">
            <v>940600</v>
          </cell>
          <cell r="F32">
            <v>6222500</v>
          </cell>
        </row>
        <row r="33">
          <cell r="D33">
            <v>6669</v>
          </cell>
          <cell r="E33">
            <v>2247650</v>
          </cell>
          <cell r="F33">
            <v>13584950</v>
          </cell>
        </row>
        <row r="34">
          <cell r="D34">
            <v>2388</v>
          </cell>
          <cell r="E34">
            <v>999500</v>
          </cell>
          <cell r="F34">
            <v>5059100</v>
          </cell>
        </row>
        <row r="35">
          <cell r="D35">
            <v>8579</v>
          </cell>
          <cell r="E35">
            <v>3699600</v>
          </cell>
          <cell r="F35">
            <v>18283900</v>
          </cell>
        </row>
        <row r="36">
          <cell r="D36">
            <v>4756</v>
          </cell>
          <cell r="E36">
            <v>1158100</v>
          </cell>
          <cell r="F36">
            <v>9243300</v>
          </cell>
        </row>
        <row r="37">
          <cell r="D37">
            <v>6356</v>
          </cell>
          <cell r="E37">
            <v>2312800</v>
          </cell>
          <cell r="F37">
            <v>13118000</v>
          </cell>
        </row>
        <row r="38">
          <cell r="D38">
            <v>1853</v>
          </cell>
          <cell r="E38">
            <v>622600</v>
          </cell>
          <cell r="F38">
            <v>3772700</v>
          </cell>
        </row>
        <row r="39">
          <cell r="D39">
            <v>5128</v>
          </cell>
          <cell r="E39">
            <v>1287900</v>
          </cell>
          <cell r="F39">
            <v>10005500</v>
          </cell>
        </row>
        <row r="40">
          <cell r="D40">
            <v>6674</v>
          </cell>
          <cell r="E40">
            <v>1805100</v>
          </cell>
          <cell r="F40">
            <v>13150900</v>
          </cell>
        </row>
        <row r="41">
          <cell r="D41">
            <v>2314</v>
          </cell>
          <cell r="E41">
            <v>868100</v>
          </cell>
          <cell r="F41">
            <v>4801900</v>
          </cell>
        </row>
        <row r="42">
          <cell r="D42">
            <v>1802</v>
          </cell>
          <cell r="E42">
            <v>585500</v>
          </cell>
          <cell r="F42">
            <v>3648900</v>
          </cell>
        </row>
        <row r="43">
          <cell r="D43">
            <v>5287</v>
          </cell>
          <cell r="E43">
            <v>1138800</v>
          </cell>
          <cell r="F43">
            <v>10126700</v>
          </cell>
        </row>
        <row r="44">
          <cell r="D44">
            <v>5408</v>
          </cell>
          <cell r="E44">
            <v>1140850</v>
          </cell>
          <cell r="F44">
            <v>10334450</v>
          </cell>
        </row>
        <row r="45">
          <cell r="D45">
            <v>6127</v>
          </cell>
          <cell r="E45">
            <v>1744800</v>
          </cell>
          <cell r="F45">
            <v>12160700</v>
          </cell>
        </row>
        <row r="46">
          <cell r="D46">
            <v>3537</v>
          </cell>
          <cell r="E46">
            <v>906500</v>
          </cell>
          <cell r="F46">
            <v>6919400</v>
          </cell>
        </row>
        <row r="47">
          <cell r="D47">
            <v>3286</v>
          </cell>
          <cell r="E47">
            <v>1507300</v>
          </cell>
          <cell r="F47">
            <v>7093500</v>
          </cell>
        </row>
        <row r="48">
          <cell r="D48">
            <v>3919</v>
          </cell>
          <cell r="E48">
            <v>1472400</v>
          </cell>
          <cell r="F48">
            <v>8134700</v>
          </cell>
        </row>
        <row r="49">
          <cell r="D49">
            <v>2193</v>
          </cell>
          <cell r="E49">
            <v>754200</v>
          </cell>
          <cell r="F49">
            <v>4482300</v>
          </cell>
        </row>
        <row r="50">
          <cell r="D50">
            <v>4442</v>
          </cell>
          <cell r="E50">
            <v>1894600</v>
          </cell>
          <cell r="F50">
            <v>9446000</v>
          </cell>
        </row>
        <row r="51">
          <cell r="D51">
            <v>5076</v>
          </cell>
          <cell r="E51">
            <v>2118900</v>
          </cell>
          <cell r="F51">
            <v>10748100</v>
          </cell>
        </row>
        <row r="52">
          <cell r="D52">
            <v>2121</v>
          </cell>
          <cell r="E52">
            <v>913800</v>
          </cell>
          <cell r="F52">
            <v>4519500</v>
          </cell>
        </row>
        <row r="53">
          <cell r="D53">
            <v>4319</v>
          </cell>
          <cell r="E53">
            <v>1798250</v>
          </cell>
          <cell r="F53">
            <v>9140550</v>
          </cell>
        </row>
        <row r="54">
          <cell r="D54">
            <v>8621</v>
          </cell>
          <cell r="E54">
            <v>2401200</v>
          </cell>
          <cell r="F54">
            <v>17056900</v>
          </cell>
        </row>
        <row r="55">
          <cell r="D55">
            <v>14559</v>
          </cell>
          <cell r="E55">
            <v>3443600</v>
          </cell>
          <cell r="F55">
            <v>28193900</v>
          </cell>
        </row>
        <row r="56">
          <cell r="D56">
            <v>25055</v>
          </cell>
          <cell r="E56">
            <v>7823600</v>
          </cell>
          <cell r="F56">
            <v>50417100</v>
          </cell>
        </row>
        <row r="57">
          <cell r="D57">
            <v>10358</v>
          </cell>
          <cell r="E57">
            <v>4768400</v>
          </cell>
          <cell r="F57">
            <v>22377000</v>
          </cell>
        </row>
        <row r="58">
          <cell r="D58">
            <v>42696</v>
          </cell>
          <cell r="E58">
            <v>13716550</v>
          </cell>
          <cell r="F58">
            <v>86299750</v>
          </cell>
        </row>
        <row r="59">
          <cell r="D59">
            <v>7379</v>
          </cell>
          <cell r="E59">
            <v>2200250</v>
          </cell>
          <cell r="F59">
            <v>14744550</v>
          </cell>
        </row>
        <row r="60">
          <cell r="D60">
            <v>8521</v>
          </cell>
          <cell r="E60">
            <v>2495600</v>
          </cell>
          <cell r="F60">
            <v>16981300</v>
          </cell>
        </row>
        <row r="61">
          <cell r="D61">
            <v>1773</v>
          </cell>
          <cell r="E61">
            <v>796600</v>
          </cell>
          <cell r="F61">
            <v>3810700</v>
          </cell>
        </row>
        <row r="62">
          <cell r="D62">
            <v>1195</v>
          </cell>
          <cell r="E62">
            <v>234250</v>
          </cell>
          <cell r="F62">
            <v>2265750</v>
          </cell>
        </row>
        <row r="63">
          <cell r="D63">
            <v>2253</v>
          </cell>
          <cell r="E63">
            <v>613000</v>
          </cell>
          <cell r="F63">
            <v>4443100</v>
          </cell>
        </row>
        <row r="64">
          <cell r="D64">
            <v>3041</v>
          </cell>
          <cell r="E64">
            <v>752400</v>
          </cell>
          <cell r="F64">
            <v>5922100</v>
          </cell>
        </row>
        <row r="65">
          <cell r="D65">
            <v>3466</v>
          </cell>
          <cell r="E65">
            <v>1326450</v>
          </cell>
          <cell r="F65">
            <v>7218650</v>
          </cell>
        </row>
        <row r="66">
          <cell r="D66">
            <v>3771</v>
          </cell>
          <cell r="E66">
            <v>1277400</v>
          </cell>
          <cell r="F66">
            <v>7688100</v>
          </cell>
        </row>
        <row r="67">
          <cell r="D67">
            <v>2358</v>
          </cell>
          <cell r="E67">
            <v>776800</v>
          </cell>
          <cell r="F67">
            <v>4785400</v>
          </cell>
        </row>
        <row r="68">
          <cell r="D68">
            <v>6468</v>
          </cell>
          <cell r="E68">
            <v>2365800</v>
          </cell>
          <cell r="F68">
            <v>13361400</v>
          </cell>
        </row>
        <row r="69">
          <cell r="D69">
            <v>5605</v>
          </cell>
          <cell r="E69">
            <v>1844850</v>
          </cell>
          <cell r="F69">
            <v>11373350</v>
          </cell>
        </row>
        <row r="70">
          <cell r="D70">
            <v>4055</v>
          </cell>
          <cell r="E70">
            <v>1269200</v>
          </cell>
          <cell r="F70">
            <v>8162700</v>
          </cell>
        </row>
        <row r="71">
          <cell r="D71">
            <v>3407</v>
          </cell>
          <cell r="E71">
            <v>1310550</v>
          </cell>
          <cell r="F71">
            <v>7102450</v>
          </cell>
        </row>
        <row r="72">
          <cell r="D72">
            <v>3393</v>
          </cell>
          <cell r="E72">
            <v>1178200</v>
          </cell>
          <cell r="F72">
            <v>6946300</v>
          </cell>
        </row>
        <row r="73">
          <cell r="D73">
            <v>1089</v>
          </cell>
          <cell r="E73">
            <v>442500</v>
          </cell>
          <cell r="F73">
            <v>2293800</v>
          </cell>
        </row>
        <row r="74">
          <cell r="D74">
            <v>0</v>
          </cell>
          <cell r="E74">
            <v>1307000</v>
          </cell>
          <cell r="F74">
            <v>1307000</v>
          </cell>
          <cell r="M74">
            <v>492043.647</v>
          </cell>
        </row>
        <row r="75">
          <cell r="D75">
            <v>0</v>
          </cell>
          <cell r="E75">
            <v>1089000</v>
          </cell>
          <cell r="F75">
            <v>1089000</v>
          </cell>
        </row>
        <row r="76">
          <cell r="D76">
            <v>0</v>
          </cell>
          <cell r="E76">
            <v>672000</v>
          </cell>
          <cell r="F76">
            <v>672000</v>
          </cell>
        </row>
        <row r="77">
          <cell r="D77">
            <v>0</v>
          </cell>
          <cell r="E77">
            <v>907000</v>
          </cell>
          <cell r="F77">
            <v>907000</v>
          </cell>
        </row>
        <row r="78">
          <cell r="D78">
            <v>0</v>
          </cell>
          <cell r="E78">
            <v>530000</v>
          </cell>
          <cell r="F78">
            <v>530000</v>
          </cell>
        </row>
        <row r="79">
          <cell r="D79">
            <v>0</v>
          </cell>
          <cell r="E79">
            <v>1424000</v>
          </cell>
          <cell r="F79">
            <v>1424000</v>
          </cell>
        </row>
        <row r="80">
          <cell r="D80">
            <v>0</v>
          </cell>
          <cell r="E80">
            <v>1330000</v>
          </cell>
          <cell r="F80">
            <v>1330000</v>
          </cell>
        </row>
        <row r="81">
          <cell r="D81">
            <v>0</v>
          </cell>
          <cell r="E81">
            <v>958000</v>
          </cell>
          <cell r="F81">
            <v>958000</v>
          </cell>
        </row>
        <row r="82">
          <cell r="D82">
            <v>0</v>
          </cell>
          <cell r="E82">
            <v>1512000</v>
          </cell>
          <cell r="F82">
            <v>1512000</v>
          </cell>
        </row>
        <row r="83">
          <cell r="D83">
            <v>0</v>
          </cell>
          <cell r="E83">
            <v>898000</v>
          </cell>
          <cell r="F83">
            <v>898000</v>
          </cell>
        </row>
        <row r="84">
          <cell r="D84">
            <v>0</v>
          </cell>
          <cell r="E84">
            <v>789000</v>
          </cell>
          <cell r="F84">
            <v>789000</v>
          </cell>
        </row>
        <row r="85">
          <cell r="D85">
            <v>0</v>
          </cell>
          <cell r="E85">
            <v>1351000</v>
          </cell>
          <cell r="F85">
            <v>1351000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31000</v>
          </cell>
          <cell r="F87">
            <v>31000</v>
          </cell>
        </row>
        <row r="88">
          <cell r="D88">
            <v>0</v>
          </cell>
          <cell r="E88">
            <v>93000</v>
          </cell>
          <cell r="F88">
            <v>93000</v>
          </cell>
        </row>
        <row r="89">
          <cell r="D89">
            <v>0</v>
          </cell>
          <cell r="E89">
            <v>50000</v>
          </cell>
          <cell r="F89">
            <v>50000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30000</v>
          </cell>
          <cell r="F91">
            <v>30000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48</v>
          </cell>
          <cell r="E93">
            <v>1907700</v>
          </cell>
          <cell r="F93">
            <v>1989300</v>
          </cell>
        </row>
        <row r="94">
          <cell r="D94">
            <v>219</v>
          </cell>
          <cell r="E94">
            <v>2386100</v>
          </cell>
          <cell r="F94">
            <v>2758400</v>
          </cell>
        </row>
        <row r="95">
          <cell r="D95">
            <v>648</v>
          </cell>
          <cell r="E95">
            <v>1587650</v>
          </cell>
          <cell r="F95">
            <v>2689250</v>
          </cell>
        </row>
        <row r="96">
          <cell r="D96">
            <v>169</v>
          </cell>
          <cell r="E96">
            <v>3287600</v>
          </cell>
          <cell r="F96">
            <v>3574900</v>
          </cell>
        </row>
        <row r="97">
          <cell r="D97">
            <v>181</v>
          </cell>
          <cell r="E97">
            <v>1508600</v>
          </cell>
          <cell r="F97">
            <v>1816300</v>
          </cell>
        </row>
        <row r="98">
          <cell r="D98">
            <v>694</v>
          </cell>
          <cell r="E98">
            <v>1959100</v>
          </cell>
          <cell r="F98">
            <v>3138900</v>
          </cell>
        </row>
        <row r="100">
          <cell r="E100">
            <v>68000</v>
          </cell>
          <cell r="F100">
            <v>68000</v>
          </cell>
        </row>
      </sheetData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4763</v>
          </cell>
          <cell r="E11">
            <v>1887300</v>
          </cell>
          <cell r="F11">
            <v>9984400</v>
          </cell>
        </row>
        <row r="12">
          <cell r="D12">
            <v>1778</v>
          </cell>
          <cell r="E12">
            <v>972000</v>
          </cell>
          <cell r="F12">
            <v>3994600</v>
          </cell>
        </row>
        <row r="13">
          <cell r="D13">
            <v>904</v>
          </cell>
          <cell r="E13">
            <v>423000</v>
          </cell>
          <cell r="F13">
            <v>1959800</v>
          </cell>
        </row>
        <row r="14">
          <cell r="D14">
            <v>35606</v>
          </cell>
          <cell r="E14">
            <v>11507900</v>
          </cell>
          <cell r="F14">
            <v>72038100</v>
          </cell>
        </row>
        <row r="15">
          <cell r="D15">
            <v>19403</v>
          </cell>
          <cell r="E15">
            <v>3054000</v>
          </cell>
          <cell r="F15">
            <v>36039100</v>
          </cell>
        </row>
        <row r="16">
          <cell r="D16">
            <v>4513</v>
          </cell>
          <cell r="E16">
            <v>825800</v>
          </cell>
          <cell r="F16">
            <v>8497900</v>
          </cell>
        </row>
        <row r="17">
          <cell r="D17">
            <v>3700</v>
          </cell>
          <cell r="E17">
            <v>635300</v>
          </cell>
          <cell r="F17">
            <v>6925300</v>
          </cell>
        </row>
        <row r="18">
          <cell r="D18">
            <v>7531</v>
          </cell>
          <cell r="E18">
            <v>1643800</v>
          </cell>
          <cell r="F18">
            <v>14446500</v>
          </cell>
        </row>
        <row r="19">
          <cell r="D19">
            <v>4487</v>
          </cell>
          <cell r="E19">
            <v>987100</v>
          </cell>
          <cell r="F19">
            <v>8615000</v>
          </cell>
        </row>
        <row r="20">
          <cell r="D20">
            <v>2606</v>
          </cell>
          <cell r="E20">
            <v>885400</v>
          </cell>
          <cell r="F20">
            <v>5315600</v>
          </cell>
        </row>
        <row r="21">
          <cell r="D21">
            <v>10153</v>
          </cell>
          <cell r="E21">
            <v>4091100</v>
          </cell>
          <cell r="F21">
            <v>21351200</v>
          </cell>
        </row>
        <row r="22">
          <cell r="D22">
            <v>2531</v>
          </cell>
          <cell r="E22">
            <v>730250</v>
          </cell>
          <cell r="F22">
            <v>5032950</v>
          </cell>
        </row>
        <row r="23">
          <cell r="D23">
            <v>3906</v>
          </cell>
          <cell r="E23">
            <v>1183200</v>
          </cell>
          <cell r="F23">
            <v>7823400</v>
          </cell>
        </row>
        <row r="24">
          <cell r="D24">
            <v>6623</v>
          </cell>
          <cell r="E24">
            <v>1239600</v>
          </cell>
          <cell r="F24">
            <v>12498700</v>
          </cell>
        </row>
        <row r="25">
          <cell r="D25">
            <v>5958</v>
          </cell>
          <cell r="E25">
            <v>1605300</v>
          </cell>
          <cell r="F25">
            <v>11733900</v>
          </cell>
        </row>
        <row r="26">
          <cell r="D26">
            <v>6030</v>
          </cell>
          <cell r="E26">
            <v>1677550</v>
          </cell>
          <cell r="F26">
            <v>11928550</v>
          </cell>
        </row>
        <row r="27">
          <cell r="D27">
            <v>1916</v>
          </cell>
          <cell r="E27">
            <v>611800</v>
          </cell>
          <cell r="F27">
            <v>3869000</v>
          </cell>
        </row>
        <row r="28">
          <cell r="D28">
            <v>3655</v>
          </cell>
          <cell r="E28">
            <v>1145900</v>
          </cell>
          <cell r="F28">
            <v>7359400</v>
          </cell>
        </row>
        <row r="29">
          <cell r="D29">
            <v>2631</v>
          </cell>
          <cell r="E29">
            <v>830800</v>
          </cell>
          <cell r="F29">
            <v>5303500</v>
          </cell>
        </row>
        <row r="30">
          <cell r="D30">
            <v>3274</v>
          </cell>
          <cell r="E30">
            <v>977850</v>
          </cell>
          <cell r="F30">
            <v>6543650</v>
          </cell>
        </row>
        <row r="31">
          <cell r="D31">
            <v>5471</v>
          </cell>
          <cell r="E31">
            <v>1470400</v>
          </cell>
          <cell r="F31">
            <v>10771100</v>
          </cell>
        </row>
        <row r="32">
          <cell r="D32">
            <v>3101</v>
          </cell>
          <cell r="E32">
            <v>1118800</v>
          </cell>
          <cell r="F32">
            <v>6390500</v>
          </cell>
        </row>
        <row r="33">
          <cell r="D33">
            <v>6111</v>
          </cell>
          <cell r="E33">
            <v>2235200</v>
          </cell>
          <cell r="F33">
            <v>12623900</v>
          </cell>
        </row>
        <row r="34">
          <cell r="D34">
            <v>2282</v>
          </cell>
          <cell r="E34">
            <v>1081100</v>
          </cell>
          <cell r="F34">
            <v>4960500</v>
          </cell>
        </row>
        <row r="35">
          <cell r="D35">
            <v>7969</v>
          </cell>
          <cell r="E35">
            <v>3133600</v>
          </cell>
          <cell r="F35">
            <v>16680900</v>
          </cell>
        </row>
        <row r="36">
          <cell r="D36">
            <v>4309</v>
          </cell>
          <cell r="E36">
            <v>1001150</v>
          </cell>
          <cell r="F36">
            <v>8326450</v>
          </cell>
        </row>
        <row r="37">
          <cell r="D37">
            <v>6072</v>
          </cell>
          <cell r="E37">
            <v>2227300</v>
          </cell>
          <cell r="F37">
            <v>12549700</v>
          </cell>
        </row>
        <row r="38">
          <cell r="D38">
            <v>1841</v>
          </cell>
          <cell r="E38">
            <v>500700</v>
          </cell>
          <cell r="F38">
            <v>3630400</v>
          </cell>
        </row>
        <row r="39">
          <cell r="D39">
            <v>4950</v>
          </cell>
          <cell r="E39">
            <v>1118500</v>
          </cell>
          <cell r="F39">
            <v>9533500</v>
          </cell>
        </row>
        <row r="40">
          <cell r="D40">
            <v>6404</v>
          </cell>
          <cell r="E40">
            <v>1895450</v>
          </cell>
          <cell r="F40">
            <v>12782250</v>
          </cell>
        </row>
        <row r="41">
          <cell r="D41">
            <v>2266</v>
          </cell>
          <cell r="E41">
            <v>1102100</v>
          </cell>
          <cell r="F41">
            <v>4954300</v>
          </cell>
        </row>
        <row r="42">
          <cell r="D42">
            <v>1826</v>
          </cell>
          <cell r="E42">
            <v>473050</v>
          </cell>
          <cell r="F42">
            <v>3577250</v>
          </cell>
        </row>
        <row r="43">
          <cell r="D43">
            <v>5120</v>
          </cell>
          <cell r="E43">
            <v>1148600</v>
          </cell>
          <cell r="F43">
            <v>9852600</v>
          </cell>
        </row>
        <row r="44">
          <cell r="D44">
            <v>5106</v>
          </cell>
          <cell r="E44">
            <v>1443900</v>
          </cell>
          <cell r="F44">
            <v>10124100</v>
          </cell>
        </row>
        <row r="45">
          <cell r="D45">
            <v>5491</v>
          </cell>
          <cell r="E45">
            <v>1302250</v>
          </cell>
          <cell r="F45">
            <v>10636950</v>
          </cell>
        </row>
        <row r="46">
          <cell r="D46">
            <v>3285</v>
          </cell>
          <cell r="E46">
            <v>745100</v>
          </cell>
          <cell r="F46">
            <v>6329600</v>
          </cell>
        </row>
        <row r="47">
          <cell r="D47">
            <v>3223</v>
          </cell>
          <cell r="E47">
            <v>1071700</v>
          </cell>
          <cell r="F47">
            <v>6550800</v>
          </cell>
        </row>
        <row r="48">
          <cell r="D48">
            <v>3723</v>
          </cell>
          <cell r="E48">
            <v>1102400</v>
          </cell>
          <cell r="F48">
            <v>7431500</v>
          </cell>
        </row>
        <row r="49">
          <cell r="D49">
            <v>2205</v>
          </cell>
          <cell r="E49">
            <v>509000</v>
          </cell>
          <cell r="F49">
            <v>4257500</v>
          </cell>
        </row>
        <row r="50">
          <cell r="D50">
            <v>4002</v>
          </cell>
          <cell r="E50">
            <v>1288100</v>
          </cell>
          <cell r="F50">
            <v>8091500</v>
          </cell>
        </row>
        <row r="51">
          <cell r="D51">
            <v>4884</v>
          </cell>
          <cell r="E51">
            <v>1874900</v>
          </cell>
          <cell r="F51">
            <v>10177700</v>
          </cell>
        </row>
        <row r="52">
          <cell r="D52">
            <v>1973</v>
          </cell>
          <cell r="E52">
            <v>647100</v>
          </cell>
          <cell r="F52">
            <v>4001200</v>
          </cell>
        </row>
        <row r="53">
          <cell r="D53">
            <v>4086</v>
          </cell>
          <cell r="E53">
            <v>1209750</v>
          </cell>
          <cell r="F53">
            <v>8155950</v>
          </cell>
        </row>
        <row r="54">
          <cell r="D54">
            <v>8199</v>
          </cell>
          <cell r="E54">
            <v>2514600</v>
          </cell>
          <cell r="F54">
            <v>16452900</v>
          </cell>
        </row>
        <row r="55">
          <cell r="D55">
            <v>14122</v>
          </cell>
          <cell r="E55">
            <v>3354800</v>
          </cell>
          <cell r="F55">
            <v>27362200</v>
          </cell>
        </row>
        <row r="56">
          <cell r="D56">
            <v>23820</v>
          </cell>
          <cell r="E56">
            <v>6600700</v>
          </cell>
          <cell r="F56">
            <v>47094700</v>
          </cell>
        </row>
        <row r="57">
          <cell r="D57">
            <v>9663</v>
          </cell>
          <cell r="E57">
            <v>3618700</v>
          </cell>
          <cell r="F57">
            <v>20045800</v>
          </cell>
        </row>
        <row r="58">
          <cell r="D58">
            <v>39806</v>
          </cell>
          <cell r="E58">
            <v>12050050</v>
          </cell>
          <cell r="F58">
            <v>79720250</v>
          </cell>
        </row>
        <row r="59">
          <cell r="D59">
            <v>7192</v>
          </cell>
          <cell r="E59">
            <v>2225700</v>
          </cell>
          <cell r="F59">
            <v>14452100</v>
          </cell>
        </row>
        <row r="60">
          <cell r="D60">
            <v>8231</v>
          </cell>
          <cell r="E60">
            <v>2078500</v>
          </cell>
          <cell r="F60">
            <v>16071200</v>
          </cell>
        </row>
        <row r="61">
          <cell r="D61">
            <v>2259</v>
          </cell>
          <cell r="E61">
            <v>756700</v>
          </cell>
          <cell r="F61">
            <v>4597000</v>
          </cell>
        </row>
        <row r="62">
          <cell r="D62">
            <v>1337</v>
          </cell>
          <cell r="E62">
            <v>403700</v>
          </cell>
          <cell r="F62">
            <v>2676600</v>
          </cell>
        </row>
        <row r="63">
          <cell r="D63">
            <v>2199</v>
          </cell>
          <cell r="E63">
            <v>513400</v>
          </cell>
          <cell r="F63">
            <v>4251700</v>
          </cell>
        </row>
        <row r="64">
          <cell r="D64">
            <v>2986</v>
          </cell>
          <cell r="E64">
            <v>642200</v>
          </cell>
          <cell r="F64">
            <v>5718400</v>
          </cell>
        </row>
        <row r="65">
          <cell r="D65">
            <v>3273</v>
          </cell>
          <cell r="E65">
            <v>869450</v>
          </cell>
          <cell r="F65">
            <v>6433550</v>
          </cell>
        </row>
        <row r="66">
          <cell r="D66">
            <v>3554</v>
          </cell>
          <cell r="E66">
            <v>832800</v>
          </cell>
          <cell r="F66">
            <v>6874600</v>
          </cell>
        </row>
        <row r="67">
          <cell r="D67">
            <v>2338</v>
          </cell>
          <cell r="E67">
            <v>909200</v>
          </cell>
          <cell r="F67">
            <v>4883800</v>
          </cell>
        </row>
        <row r="68">
          <cell r="D68">
            <v>6097</v>
          </cell>
          <cell r="E68">
            <v>1970250</v>
          </cell>
          <cell r="F68">
            <v>12335150</v>
          </cell>
        </row>
        <row r="69">
          <cell r="D69">
            <v>5151</v>
          </cell>
          <cell r="E69">
            <v>1299100</v>
          </cell>
          <cell r="F69">
            <v>10055800</v>
          </cell>
        </row>
        <row r="70">
          <cell r="D70">
            <v>3805</v>
          </cell>
          <cell r="E70">
            <v>1219100</v>
          </cell>
          <cell r="F70">
            <v>7687600</v>
          </cell>
        </row>
        <row r="71">
          <cell r="D71">
            <v>3539</v>
          </cell>
          <cell r="E71">
            <v>1393300</v>
          </cell>
          <cell r="F71">
            <v>7409600</v>
          </cell>
        </row>
        <row r="72">
          <cell r="D72">
            <v>3206</v>
          </cell>
          <cell r="E72">
            <v>1145250</v>
          </cell>
          <cell r="F72">
            <v>6595450</v>
          </cell>
        </row>
        <row r="73">
          <cell r="D73">
            <v>1178</v>
          </cell>
          <cell r="E73">
            <v>338400</v>
          </cell>
          <cell r="F73">
            <v>2341000</v>
          </cell>
        </row>
        <row r="74">
          <cell r="D74">
            <v>0</v>
          </cell>
          <cell r="E74">
            <v>987000</v>
          </cell>
          <cell r="F74">
            <v>987000</v>
          </cell>
          <cell r="M74">
            <v>458869.5</v>
          </cell>
        </row>
        <row r="75">
          <cell r="D75">
            <v>0</v>
          </cell>
          <cell r="E75">
            <v>426000</v>
          </cell>
          <cell r="F75">
            <v>426000</v>
          </cell>
        </row>
        <row r="76">
          <cell r="D76">
            <v>0</v>
          </cell>
          <cell r="E76">
            <v>977000</v>
          </cell>
          <cell r="F76">
            <v>977000</v>
          </cell>
        </row>
        <row r="77">
          <cell r="D77">
            <v>0</v>
          </cell>
          <cell r="E77">
            <v>954000</v>
          </cell>
          <cell r="F77">
            <v>954000</v>
          </cell>
        </row>
        <row r="78">
          <cell r="D78">
            <v>0</v>
          </cell>
          <cell r="E78">
            <v>474000</v>
          </cell>
          <cell r="F78">
            <v>474000</v>
          </cell>
        </row>
        <row r="79">
          <cell r="D79">
            <v>0</v>
          </cell>
          <cell r="E79">
            <v>1019000</v>
          </cell>
          <cell r="F79">
            <v>1019000</v>
          </cell>
        </row>
        <row r="80">
          <cell r="D80">
            <v>0</v>
          </cell>
          <cell r="E80">
            <v>1070000</v>
          </cell>
          <cell r="F80">
            <v>1070000</v>
          </cell>
        </row>
        <row r="81">
          <cell r="D81">
            <v>0</v>
          </cell>
          <cell r="E81">
            <v>1105000</v>
          </cell>
          <cell r="F81">
            <v>1105000</v>
          </cell>
        </row>
        <row r="82">
          <cell r="D82">
            <v>0</v>
          </cell>
          <cell r="E82">
            <v>1167000</v>
          </cell>
          <cell r="F82">
            <v>1167000</v>
          </cell>
        </row>
        <row r="83">
          <cell r="D83">
            <v>0</v>
          </cell>
          <cell r="E83">
            <v>541000</v>
          </cell>
          <cell r="F83">
            <v>541000</v>
          </cell>
        </row>
        <row r="84">
          <cell r="D84">
            <v>0</v>
          </cell>
          <cell r="E84">
            <v>151000</v>
          </cell>
          <cell r="F84">
            <v>151000</v>
          </cell>
        </row>
        <row r="85">
          <cell r="D85">
            <v>0</v>
          </cell>
          <cell r="E85">
            <v>1220000</v>
          </cell>
          <cell r="F85">
            <v>1220000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21000</v>
          </cell>
          <cell r="F87">
            <v>21000</v>
          </cell>
        </row>
        <row r="88">
          <cell r="D88">
            <v>0</v>
          </cell>
          <cell r="E88">
            <v>21000</v>
          </cell>
          <cell r="F88">
            <v>21000</v>
          </cell>
        </row>
        <row r="89">
          <cell r="D89">
            <v>0</v>
          </cell>
          <cell r="E89">
            <v>25000</v>
          </cell>
          <cell r="F89">
            <v>25000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61000</v>
          </cell>
          <cell r="F91">
            <v>61000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49</v>
          </cell>
          <cell r="E93">
            <v>1455100</v>
          </cell>
          <cell r="F93">
            <v>1538400</v>
          </cell>
        </row>
        <row r="94">
          <cell r="D94">
            <v>450</v>
          </cell>
          <cell r="E94">
            <v>1397100</v>
          </cell>
          <cell r="F94">
            <v>2162100</v>
          </cell>
        </row>
        <row r="95">
          <cell r="D95">
            <v>577</v>
          </cell>
          <cell r="E95">
            <v>1459300</v>
          </cell>
          <cell r="F95">
            <v>2440200</v>
          </cell>
        </row>
        <row r="96">
          <cell r="D96">
            <v>196</v>
          </cell>
          <cell r="E96">
            <v>3072550</v>
          </cell>
          <cell r="F96">
            <v>3405750</v>
          </cell>
        </row>
        <row r="97">
          <cell r="D97">
            <v>202</v>
          </cell>
          <cell r="E97">
            <v>1266300</v>
          </cell>
          <cell r="F97">
            <v>1609700</v>
          </cell>
        </row>
        <row r="98">
          <cell r="D98">
            <v>394</v>
          </cell>
          <cell r="E98">
            <v>1302100</v>
          </cell>
          <cell r="F98">
            <v>1971900</v>
          </cell>
        </row>
        <row r="100">
          <cell r="E100">
            <v>21000</v>
          </cell>
          <cell r="F100">
            <v>21000</v>
          </cell>
        </row>
      </sheetData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4505</v>
          </cell>
          <cell r="E11">
            <v>1435800</v>
          </cell>
          <cell r="F11">
            <v>9094300</v>
          </cell>
        </row>
        <row r="12">
          <cell r="D12">
            <v>2331</v>
          </cell>
          <cell r="E12">
            <v>806800</v>
          </cell>
          <cell r="F12">
            <v>4769500</v>
          </cell>
        </row>
        <row r="13">
          <cell r="D13">
            <v>536</v>
          </cell>
          <cell r="E13">
            <v>427250</v>
          </cell>
          <cell r="F13">
            <v>1338450</v>
          </cell>
        </row>
        <row r="14">
          <cell r="D14">
            <v>33979</v>
          </cell>
          <cell r="E14">
            <v>10173501</v>
          </cell>
          <cell r="F14">
            <v>67937801</v>
          </cell>
        </row>
        <row r="15">
          <cell r="D15">
            <v>20181</v>
          </cell>
          <cell r="E15">
            <v>3070600</v>
          </cell>
          <cell r="F15">
            <v>37378300</v>
          </cell>
        </row>
        <row r="16">
          <cell r="D16">
            <v>4560</v>
          </cell>
          <cell r="E16">
            <v>861100</v>
          </cell>
          <cell r="F16">
            <v>8613100</v>
          </cell>
        </row>
        <row r="17">
          <cell r="D17">
            <v>3750</v>
          </cell>
          <cell r="E17">
            <v>711500</v>
          </cell>
          <cell r="F17">
            <v>7086500</v>
          </cell>
        </row>
        <row r="18">
          <cell r="D18">
            <v>7553</v>
          </cell>
          <cell r="E18">
            <v>2048700</v>
          </cell>
          <cell r="F18">
            <v>14888800</v>
          </cell>
        </row>
        <row r="19">
          <cell r="D19">
            <v>4177</v>
          </cell>
          <cell r="E19">
            <v>1154500</v>
          </cell>
          <cell r="F19">
            <v>8255400</v>
          </cell>
        </row>
        <row r="20">
          <cell r="D20">
            <v>2535</v>
          </cell>
          <cell r="E20">
            <v>1118600</v>
          </cell>
          <cell r="F20">
            <v>5428100</v>
          </cell>
        </row>
        <row r="21">
          <cell r="D21">
            <v>9447</v>
          </cell>
          <cell r="E21">
            <v>3816350</v>
          </cell>
          <cell r="F21">
            <v>19876250</v>
          </cell>
        </row>
        <row r="22">
          <cell r="D22">
            <v>2621</v>
          </cell>
          <cell r="E22">
            <v>814000</v>
          </cell>
          <cell r="F22">
            <v>5269700</v>
          </cell>
        </row>
        <row r="23">
          <cell r="D23">
            <v>3980</v>
          </cell>
          <cell r="E23">
            <v>958500</v>
          </cell>
          <cell r="F23">
            <v>7724500</v>
          </cell>
        </row>
        <row r="24">
          <cell r="D24">
            <v>6686</v>
          </cell>
          <cell r="E24">
            <v>1426150</v>
          </cell>
          <cell r="F24">
            <v>12792350</v>
          </cell>
        </row>
        <row r="25">
          <cell r="D25">
            <v>5869</v>
          </cell>
          <cell r="E25">
            <v>1700100</v>
          </cell>
          <cell r="F25">
            <v>11677400</v>
          </cell>
        </row>
        <row r="26">
          <cell r="D26">
            <v>5904</v>
          </cell>
          <cell r="E26">
            <v>1853500</v>
          </cell>
          <cell r="F26">
            <v>11890300</v>
          </cell>
        </row>
        <row r="27">
          <cell r="D27">
            <v>1855</v>
          </cell>
          <cell r="E27">
            <v>628700</v>
          </cell>
          <cell r="F27">
            <v>3782200</v>
          </cell>
        </row>
        <row r="28">
          <cell r="D28">
            <v>3638</v>
          </cell>
          <cell r="E28">
            <v>1305700</v>
          </cell>
          <cell r="F28">
            <v>7490300</v>
          </cell>
        </row>
        <row r="29">
          <cell r="D29">
            <v>2754</v>
          </cell>
          <cell r="E29">
            <v>701200</v>
          </cell>
          <cell r="F29">
            <v>5383000</v>
          </cell>
        </row>
        <row r="30">
          <cell r="D30">
            <v>2969</v>
          </cell>
          <cell r="E30">
            <v>931600</v>
          </cell>
          <cell r="F30">
            <v>5978900</v>
          </cell>
        </row>
        <row r="31">
          <cell r="D31">
            <v>5572</v>
          </cell>
          <cell r="E31">
            <v>1859900</v>
          </cell>
          <cell r="F31">
            <v>11332300</v>
          </cell>
        </row>
        <row r="32">
          <cell r="D32">
            <v>4005</v>
          </cell>
          <cell r="E32">
            <v>1087400</v>
          </cell>
          <cell r="F32">
            <v>7895900</v>
          </cell>
        </row>
        <row r="33">
          <cell r="D33">
            <v>6481</v>
          </cell>
          <cell r="E33">
            <v>2197100</v>
          </cell>
          <cell r="F33">
            <v>13214800</v>
          </cell>
        </row>
        <row r="34">
          <cell r="D34">
            <v>2183</v>
          </cell>
          <cell r="E34">
            <v>749950</v>
          </cell>
          <cell r="F34">
            <v>4461050</v>
          </cell>
        </row>
        <row r="35">
          <cell r="D35">
            <v>7763</v>
          </cell>
          <cell r="E35">
            <v>3323950</v>
          </cell>
          <cell r="F35">
            <v>16521050</v>
          </cell>
        </row>
        <row r="36">
          <cell r="D36">
            <v>4530</v>
          </cell>
          <cell r="E36">
            <v>1378100</v>
          </cell>
          <cell r="F36">
            <v>9079100</v>
          </cell>
        </row>
        <row r="37">
          <cell r="D37">
            <v>5858</v>
          </cell>
          <cell r="E37">
            <v>2140600</v>
          </cell>
          <cell r="F37">
            <v>12099200</v>
          </cell>
        </row>
        <row r="38">
          <cell r="D38">
            <v>1787</v>
          </cell>
          <cell r="E38">
            <v>482800</v>
          </cell>
          <cell r="F38">
            <v>3520700</v>
          </cell>
        </row>
        <row r="39">
          <cell r="D39">
            <v>4816</v>
          </cell>
          <cell r="E39">
            <v>1186700</v>
          </cell>
          <cell r="F39">
            <v>9373900</v>
          </cell>
        </row>
        <row r="40">
          <cell r="D40">
            <v>6454</v>
          </cell>
          <cell r="E40">
            <v>2391700</v>
          </cell>
          <cell r="F40">
            <v>13363500</v>
          </cell>
        </row>
        <row r="41">
          <cell r="D41">
            <v>2338</v>
          </cell>
          <cell r="E41">
            <v>775500</v>
          </cell>
          <cell r="F41">
            <v>4750100</v>
          </cell>
        </row>
        <row r="42">
          <cell r="D42">
            <v>1877</v>
          </cell>
          <cell r="E42">
            <v>440900</v>
          </cell>
          <cell r="F42">
            <v>3631800</v>
          </cell>
        </row>
        <row r="43">
          <cell r="D43">
            <v>5079</v>
          </cell>
          <cell r="E43">
            <v>1303150</v>
          </cell>
          <cell r="F43">
            <v>9937450</v>
          </cell>
        </row>
        <row r="44">
          <cell r="D44">
            <v>5204</v>
          </cell>
          <cell r="E44">
            <v>1251800</v>
          </cell>
          <cell r="F44">
            <v>10098600</v>
          </cell>
        </row>
        <row r="45">
          <cell r="D45">
            <v>5464</v>
          </cell>
          <cell r="E45">
            <v>1458600</v>
          </cell>
          <cell r="F45">
            <v>10747400</v>
          </cell>
        </row>
        <row r="46">
          <cell r="D46">
            <v>3113</v>
          </cell>
          <cell r="E46">
            <v>930800</v>
          </cell>
          <cell r="F46">
            <v>6222900</v>
          </cell>
        </row>
        <row r="47">
          <cell r="D47">
            <v>3158</v>
          </cell>
          <cell r="E47">
            <v>1332750</v>
          </cell>
          <cell r="F47">
            <v>6701350</v>
          </cell>
        </row>
        <row r="48">
          <cell r="D48">
            <v>3495</v>
          </cell>
          <cell r="E48">
            <v>839500</v>
          </cell>
          <cell r="F48">
            <v>6781000</v>
          </cell>
        </row>
        <row r="49">
          <cell r="D49">
            <v>2070</v>
          </cell>
          <cell r="E49">
            <v>429400</v>
          </cell>
          <cell r="F49">
            <v>3948400</v>
          </cell>
        </row>
        <row r="50">
          <cell r="D50">
            <v>3861</v>
          </cell>
          <cell r="E50">
            <v>1038000</v>
          </cell>
          <cell r="F50">
            <v>7601700</v>
          </cell>
        </row>
        <row r="51">
          <cell r="D51">
            <v>4908</v>
          </cell>
          <cell r="E51">
            <v>1854600</v>
          </cell>
          <cell r="F51">
            <v>10198200</v>
          </cell>
        </row>
        <row r="52">
          <cell r="D52">
            <v>1892</v>
          </cell>
          <cell r="E52">
            <v>904300</v>
          </cell>
          <cell r="F52">
            <v>4120700</v>
          </cell>
        </row>
        <row r="53">
          <cell r="D53">
            <v>4205</v>
          </cell>
          <cell r="E53">
            <v>1196450</v>
          </cell>
          <cell r="F53">
            <v>8344950</v>
          </cell>
        </row>
        <row r="54">
          <cell r="D54">
            <v>7867</v>
          </cell>
          <cell r="E54">
            <v>2300100</v>
          </cell>
          <cell r="F54">
            <v>15674000</v>
          </cell>
        </row>
        <row r="55">
          <cell r="D55">
            <v>14188</v>
          </cell>
          <cell r="E55">
            <v>3147000</v>
          </cell>
          <cell r="F55">
            <v>27266600</v>
          </cell>
        </row>
        <row r="56">
          <cell r="D56">
            <v>23954</v>
          </cell>
          <cell r="E56">
            <v>6442100</v>
          </cell>
          <cell r="F56">
            <v>47163900</v>
          </cell>
        </row>
        <row r="57">
          <cell r="D57">
            <v>9675</v>
          </cell>
          <cell r="E57">
            <v>3396350</v>
          </cell>
          <cell r="F57">
            <v>19843850</v>
          </cell>
        </row>
        <row r="58">
          <cell r="D58">
            <v>39487</v>
          </cell>
          <cell r="E58">
            <v>13271650</v>
          </cell>
          <cell r="F58">
            <v>80399550</v>
          </cell>
        </row>
        <row r="59">
          <cell r="D59">
            <v>7052</v>
          </cell>
          <cell r="E59">
            <v>2459650</v>
          </cell>
          <cell r="F59">
            <v>14448050</v>
          </cell>
        </row>
        <row r="60">
          <cell r="D60">
            <v>7933</v>
          </cell>
          <cell r="E60">
            <v>1827300</v>
          </cell>
          <cell r="F60">
            <v>15313400</v>
          </cell>
        </row>
        <row r="61">
          <cell r="D61">
            <v>1505</v>
          </cell>
          <cell r="E61">
            <v>596250</v>
          </cell>
          <cell r="F61">
            <v>3154750</v>
          </cell>
        </row>
        <row r="62">
          <cell r="D62">
            <v>1095</v>
          </cell>
          <cell r="E62">
            <v>267950</v>
          </cell>
          <cell r="F62">
            <v>2129450</v>
          </cell>
        </row>
        <row r="63">
          <cell r="D63">
            <v>1923</v>
          </cell>
          <cell r="E63">
            <v>487500</v>
          </cell>
          <cell r="F63">
            <v>3756600</v>
          </cell>
        </row>
        <row r="64">
          <cell r="D64">
            <v>3004</v>
          </cell>
          <cell r="E64">
            <v>592350</v>
          </cell>
          <cell r="F64">
            <v>5699150</v>
          </cell>
        </row>
        <row r="65">
          <cell r="D65">
            <v>3276</v>
          </cell>
          <cell r="E65">
            <v>1119050</v>
          </cell>
          <cell r="F65">
            <v>6688250</v>
          </cell>
        </row>
        <row r="66">
          <cell r="D66">
            <v>3381</v>
          </cell>
          <cell r="E66">
            <v>1063350</v>
          </cell>
          <cell r="F66">
            <v>6811050</v>
          </cell>
        </row>
        <row r="67">
          <cell r="D67">
            <v>2334</v>
          </cell>
          <cell r="E67">
            <v>646100</v>
          </cell>
          <cell r="F67">
            <v>4613900</v>
          </cell>
        </row>
        <row r="68">
          <cell r="D68">
            <v>5953</v>
          </cell>
          <cell r="E68">
            <v>2066500</v>
          </cell>
          <cell r="F68">
            <v>12186600</v>
          </cell>
        </row>
        <row r="69">
          <cell r="D69">
            <v>5242</v>
          </cell>
          <cell r="E69">
            <v>1517900</v>
          </cell>
          <cell r="F69">
            <v>10429300</v>
          </cell>
        </row>
        <row r="70">
          <cell r="D70">
            <v>3832</v>
          </cell>
          <cell r="E70">
            <v>1317650</v>
          </cell>
          <cell r="F70">
            <v>7832050</v>
          </cell>
        </row>
        <row r="71">
          <cell r="D71">
            <v>3278</v>
          </cell>
          <cell r="E71">
            <v>1314700</v>
          </cell>
          <cell r="F71">
            <v>6887300</v>
          </cell>
        </row>
        <row r="72">
          <cell r="D72">
            <v>3423</v>
          </cell>
          <cell r="E72">
            <v>950000</v>
          </cell>
          <cell r="F72">
            <v>6769100</v>
          </cell>
        </row>
        <row r="73">
          <cell r="D73">
            <v>1146</v>
          </cell>
          <cell r="E73">
            <v>458900</v>
          </cell>
          <cell r="F73">
            <v>2407100</v>
          </cell>
        </row>
        <row r="74">
          <cell r="D74">
            <v>0</v>
          </cell>
          <cell r="E74">
            <v>1216000</v>
          </cell>
          <cell r="F74">
            <v>1216000</v>
          </cell>
          <cell r="M74">
            <v>454932.67700000003</v>
          </cell>
        </row>
        <row r="75">
          <cell r="D75">
            <v>0</v>
          </cell>
          <cell r="E75">
            <v>848000</v>
          </cell>
          <cell r="F75">
            <v>848000</v>
          </cell>
        </row>
        <row r="76">
          <cell r="D76">
            <v>0</v>
          </cell>
          <cell r="E76">
            <v>952000</v>
          </cell>
          <cell r="F76">
            <v>952000</v>
          </cell>
        </row>
        <row r="77">
          <cell r="D77">
            <v>0</v>
          </cell>
          <cell r="E77">
            <v>906000</v>
          </cell>
          <cell r="F77">
            <v>906000</v>
          </cell>
        </row>
        <row r="78">
          <cell r="D78">
            <v>0</v>
          </cell>
          <cell r="E78">
            <v>519000</v>
          </cell>
          <cell r="F78">
            <v>519000</v>
          </cell>
        </row>
        <row r="79">
          <cell r="D79">
            <v>0</v>
          </cell>
          <cell r="E79">
            <v>1265000</v>
          </cell>
          <cell r="F79">
            <v>1265000</v>
          </cell>
        </row>
        <row r="80">
          <cell r="D80">
            <v>0</v>
          </cell>
          <cell r="E80">
            <v>277000</v>
          </cell>
          <cell r="F80">
            <v>277000</v>
          </cell>
        </row>
        <row r="81">
          <cell r="D81">
            <v>0</v>
          </cell>
          <cell r="E81">
            <v>993000</v>
          </cell>
          <cell r="F81">
            <v>993000</v>
          </cell>
        </row>
        <row r="82">
          <cell r="D82">
            <v>0</v>
          </cell>
          <cell r="E82">
            <v>1047000</v>
          </cell>
          <cell r="F82">
            <v>1047000</v>
          </cell>
        </row>
        <row r="83">
          <cell r="D83">
            <v>0</v>
          </cell>
          <cell r="E83">
            <v>770000</v>
          </cell>
          <cell r="F83">
            <v>770000</v>
          </cell>
        </row>
        <row r="84">
          <cell r="D84">
            <v>0</v>
          </cell>
          <cell r="E84">
            <v>726000</v>
          </cell>
          <cell r="F84">
            <v>726000</v>
          </cell>
        </row>
        <row r="85">
          <cell r="D85">
            <v>0</v>
          </cell>
          <cell r="E85">
            <v>1170000</v>
          </cell>
          <cell r="F85">
            <v>1170000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28000</v>
          </cell>
          <cell r="F87">
            <v>28000</v>
          </cell>
        </row>
        <row r="88">
          <cell r="D88">
            <v>0</v>
          </cell>
          <cell r="E88">
            <v>83000</v>
          </cell>
          <cell r="F88">
            <v>83000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76000</v>
          </cell>
          <cell r="F91">
            <v>76000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164</v>
          </cell>
          <cell r="E93">
            <v>1241100</v>
          </cell>
          <cell r="F93">
            <v>1519900</v>
          </cell>
        </row>
        <row r="94">
          <cell r="D94">
            <v>353</v>
          </cell>
          <cell r="E94">
            <v>1820650</v>
          </cell>
          <cell r="F94">
            <v>2420750</v>
          </cell>
        </row>
        <row r="95">
          <cell r="D95">
            <v>688</v>
          </cell>
          <cell r="E95">
            <v>1483800</v>
          </cell>
          <cell r="F95">
            <v>2653400</v>
          </cell>
        </row>
        <row r="96">
          <cell r="D96">
            <v>130</v>
          </cell>
          <cell r="E96">
            <v>1952950</v>
          </cell>
          <cell r="F96">
            <v>2173950</v>
          </cell>
        </row>
        <row r="97">
          <cell r="D97">
            <v>239</v>
          </cell>
          <cell r="E97">
            <v>1385400</v>
          </cell>
          <cell r="F97">
            <v>1791700</v>
          </cell>
        </row>
        <row r="98">
          <cell r="D98">
            <v>349</v>
          </cell>
          <cell r="E98">
            <v>1212400</v>
          </cell>
          <cell r="F98">
            <v>1805700</v>
          </cell>
        </row>
        <row r="100">
          <cell r="E100">
            <v>69000</v>
          </cell>
          <cell r="F100">
            <v>69000</v>
          </cell>
        </row>
      </sheetData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4301</v>
          </cell>
          <cell r="E11">
            <v>1701200</v>
          </cell>
          <cell r="F11">
            <v>9012900</v>
          </cell>
        </row>
        <row r="12">
          <cell r="D12">
            <v>1790</v>
          </cell>
          <cell r="E12">
            <v>659700</v>
          </cell>
          <cell r="F12">
            <v>3702700</v>
          </cell>
        </row>
        <row r="13">
          <cell r="D13">
            <v>805</v>
          </cell>
          <cell r="E13">
            <v>585000</v>
          </cell>
          <cell r="F13">
            <v>1953500</v>
          </cell>
        </row>
        <row r="14">
          <cell r="D14">
            <v>33224</v>
          </cell>
          <cell r="E14">
            <v>10371800</v>
          </cell>
          <cell r="F14">
            <v>66852600</v>
          </cell>
        </row>
        <row r="15">
          <cell r="D15">
            <v>19572</v>
          </cell>
          <cell r="E15">
            <v>2788950</v>
          </cell>
          <cell r="F15">
            <v>36061350</v>
          </cell>
        </row>
        <row r="16">
          <cell r="D16">
            <v>4306</v>
          </cell>
          <cell r="E16">
            <v>773850</v>
          </cell>
          <cell r="F16">
            <v>8094050</v>
          </cell>
        </row>
        <row r="17">
          <cell r="D17">
            <v>3690</v>
          </cell>
          <cell r="E17">
            <v>801500</v>
          </cell>
          <cell r="F17">
            <v>7074500</v>
          </cell>
        </row>
        <row r="18">
          <cell r="D18">
            <v>6957</v>
          </cell>
          <cell r="E18">
            <v>1898700</v>
          </cell>
          <cell r="F18">
            <v>13725600</v>
          </cell>
        </row>
        <row r="19">
          <cell r="D19">
            <v>3601</v>
          </cell>
          <cell r="E19">
            <v>928400</v>
          </cell>
          <cell r="F19">
            <v>7050100</v>
          </cell>
        </row>
        <row r="20">
          <cell r="D20">
            <v>2286</v>
          </cell>
          <cell r="E20">
            <v>756700</v>
          </cell>
          <cell r="F20">
            <v>4642900</v>
          </cell>
        </row>
        <row r="21">
          <cell r="D21">
            <v>8831</v>
          </cell>
          <cell r="E21">
            <v>3256950</v>
          </cell>
          <cell r="F21">
            <v>18269650</v>
          </cell>
        </row>
        <row r="22">
          <cell r="D22">
            <v>2674</v>
          </cell>
          <cell r="E22">
            <v>527400</v>
          </cell>
          <cell r="F22">
            <v>5073200</v>
          </cell>
        </row>
        <row r="23">
          <cell r="D23">
            <v>3672</v>
          </cell>
          <cell r="E23">
            <v>810800</v>
          </cell>
          <cell r="F23">
            <v>7053200</v>
          </cell>
        </row>
        <row r="24">
          <cell r="D24">
            <v>6656</v>
          </cell>
          <cell r="E24">
            <v>1023800</v>
          </cell>
          <cell r="F24">
            <v>12339000</v>
          </cell>
        </row>
        <row r="25">
          <cell r="D25">
            <v>5823</v>
          </cell>
          <cell r="E25">
            <v>1443300</v>
          </cell>
          <cell r="F25">
            <v>11342400</v>
          </cell>
        </row>
        <row r="26">
          <cell r="D26">
            <v>5749</v>
          </cell>
          <cell r="E26">
            <v>1668300</v>
          </cell>
          <cell r="F26">
            <v>11441600</v>
          </cell>
        </row>
        <row r="27">
          <cell r="D27">
            <v>1673</v>
          </cell>
          <cell r="E27">
            <v>821000</v>
          </cell>
          <cell r="F27">
            <v>3665100</v>
          </cell>
        </row>
        <row r="28">
          <cell r="D28">
            <v>3476</v>
          </cell>
          <cell r="E28">
            <v>1072900</v>
          </cell>
          <cell r="F28">
            <v>6982100</v>
          </cell>
        </row>
        <row r="29">
          <cell r="D29">
            <v>2642</v>
          </cell>
          <cell r="E29">
            <v>845800</v>
          </cell>
          <cell r="F29">
            <v>5337200</v>
          </cell>
        </row>
        <row r="30">
          <cell r="D30">
            <v>2910</v>
          </cell>
          <cell r="E30">
            <v>763800</v>
          </cell>
          <cell r="F30">
            <v>5710800</v>
          </cell>
        </row>
        <row r="31">
          <cell r="D31">
            <v>5061</v>
          </cell>
          <cell r="E31">
            <v>1190550</v>
          </cell>
          <cell r="F31">
            <v>9794250</v>
          </cell>
        </row>
        <row r="32">
          <cell r="D32">
            <v>4029</v>
          </cell>
          <cell r="E32">
            <v>1016150</v>
          </cell>
          <cell r="F32">
            <v>7865450</v>
          </cell>
        </row>
        <row r="33">
          <cell r="D33">
            <v>6205</v>
          </cell>
          <cell r="E33">
            <v>1582600</v>
          </cell>
          <cell r="F33">
            <v>12131100</v>
          </cell>
        </row>
        <row r="34">
          <cell r="D34">
            <v>2049</v>
          </cell>
          <cell r="E34">
            <v>696950</v>
          </cell>
          <cell r="F34">
            <v>4180250</v>
          </cell>
        </row>
        <row r="35">
          <cell r="D35">
            <v>7648</v>
          </cell>
          <cell r="E35">
            <v>2759450</v>
          </cell>
          <cell r="F35">
            <v>15761050</v>
          </cell>
        </row>
        <row r="36">
          <cell r="D36">
            <v>4473</v>
          </cell>
          <cell r="E36">
            <v>1441200</v>
          </cell>
          <cell r="F36">
            <v>9045300</v>
          </cell>
        </row>
        <row r="37">
          <cell r="D37">
            <v>6111</v>
          </cell>
          <cell r="E37">
            <v>1751950</v>
          </cell>
          <cell r="F37">
            <v>12140650</v>
          </cell>
        </row>
        <row r="38">
          <cell r="D38">
            <v>1732</v>
          </cell>
          <cell r="E38">
            <v>424500</v>
          </cell>
          <cell r="F38">
            <v>3368900</v>
          </cell>
        </row>
        <row r="39">
          <cell r="D39">
            <v>4741</v>
          </cell>
          <cell r="E39">
            <v>1122900</v>
          </cell>
          <cell r="F39">
            <v>9182600</v>
          </cell>
        </row>
        <row r="40">
          <cell r="D40">
            <v>6396</v>
          </cell>
          <cell r="E40">
            <v>1657900</v>
          </cell>
          <cell r="F40">
            <v>12531100</v>
          </cell>
        </row>
        <row r="41">
          <cell r="D41">
            <v>2158</v>
          </cell>
          <cell r="E41">
            <v>789600</v>
          </cell>
          <cell r="F41">
            <v>4458200</v>
          </cell>
        </row>
        <row r="42">
          <cell r="D42">
            <v>1671</v>
          </cell>
          <cell r="E42">
            <v>396500</v>
          </cell>
          <cell r="F42">
            <v>3237200</v>
          </cell>
        </row>
        <row r="43">
          <cell r="D43">
            <v>4979</v>
          </cell>
          <cell r="E43">
            <v>1073700</v>
          </cell>
          <cell r="F43">
            <v>9538000</v>
          </cell>
        </row>
        <row r="44">
          <cell r="D44">
            <v>4952</v>
          </cell>
          <cell r="E44">
            <v>1226700</v>
          </cell>
          <cell r="F44">
            <v>9645100</v>
          </cell>
        </row>
        <row r="45">
          <cell r="D45">
            <v>5192</v>
          </cell>
          <cell r="E45">
            <v>1255250</v>
          </cell>
          <cell r="F45">
            <v>10081650</v>
          </cell>
        </row>
        <row r="46">
          <cell r="D46">
            <v>2788</v>
          </cell>
          <cell r="E46">
            <v>614100</v>
          </cell>
          <cell r="F46">
            <v>5353700</v>
          </cell>
        </row>
        <row r="47">
          <cell r="D47">
            <v>3173</v>
          </cell>
          <cell r="E47">
            <v>1160400</v>
          </cell>
          <cell r="F47">
            <v>6554500</v>
          </cell>
        </row>
        <row r="48">
          <cell r="D48">
            <v>3273</v>
          </cell>
          <cell r="E48">
            <v>1030450</v>
          </cell>
          <cell r="F48">
            <v>6594550</v>
          </cell>
        </row>
        <row r="49">
          <cell r="D49">
            <v>1934</v>
          </cell>
          <cell r="E49">
            <v>575900</v>
          </cell>
          <cell r="F49">
            <v>3863700</v>
          </cell>
        </row>
        <row r="50">
          <cell r="D50">
            <v>3851</v>
          </cell>
          <cell r="E50">
            <v>1434000</v>
          </cell>
          <cell r="F50">
            <v>7980700</v>
          </cell>
        </row>
        <row r="51">
          <cell r="D51">
            <v>4657</v>
          </cell>
          <cell r="E51">
            <v>1532600</v>
          </cell>
          <cell r="F51">
            <v>9449500</v>
          </cell>
        </row>
        <row r="52">
          <cell r="D52">
            <v>1758</v>
          </cell>
          <cell r="E52">
            <v>821100</v>
          </cell>
          <cell r="F52">
            <v>3809700</v>
          </cell>
        </row>
        <row r="53">
          <cell r="D53">
            <v>3770</v>
          </cell>
          <cell r="E53">
            <v>1158800</v>
          </cell>
          <cell r="F53">
            <v>7567800</v>
          </cell>
        </row>
        <row r="54">
          <cell r="D54">
            <v>8005</v>
          </cell>
          <cell r="E54">
            <v>1919200</v>
          </cell>
          <cell r="F54">
            <v>15527700</v>
          </cell>
        </row>
        <row r="55">
          <cell r="D55">
            <v>14181</v>
          </cell>
          <cell r="E55">
            <v>3241500</v>
          </cell>
          <cell r="F55">
            <v>27349200</v>
          </cell>
        </row>
        <row r="56">
          <cell r="D56">
            <v>23725</v>
          </cell>
          <cell r="E56">
            <v>6060850</v>
          </cell>
          <cell r="F56">
            <v>46393350</v>
          </cell>
        </row>
        <row r="57">
          <cell r="D57">
            <v>9223</v>
          </cell>
          <cell r="E57">
            <v>3289850</v>
          </cell>
          <cell r="F57">
            <v>18968950</v>
          </cell>
        </row>
        <row r="58">
          <cell r="D58">
            <v>38298</v>
          </cell>
          <cell r="E58">
            <v>10879950</v>
          </cell>
          <cell r="F58">
            <v>75986550</v>
          </cell>
        </row>
        <row r="59">
          <cell r="D59">
            <v>6448</v>
          </cell>
          <cell r="E59">
            <v>2254800</v>
          </cell>
          <cell r="F59">
            <v>13216400</v>
          </cell>
        </row>
        <row r="60">
          <cell r="D60">
            <v>7522</v>
          </cell>
          <cell r="E60">
            <v>1952150</v>
          </cell>
          <cell r="F60">
            <v>14739550</v>
          </cell>
        </row>
        <row r="61">
          <cell r="D61">
            <v>1608</v>
          </cell>
          <cell r="E61">
            <v>644500</v>
          </cell>
          <cell r="F61">
            <v>3378100</v>
          </cell>
        </row>
        <row r="62">
          <cell r="D62">
            <v>1116</v>
          </cell>
          <cell r="E62">
            <v>262500</v>
          </cell>
          <cell r="F62">
            <v>2159700</v>
          </cell>
        </row>
        <row r="63">
          <cell r="D63">
            <v>2031</v>
          </cell>
          <cell r="E63">
            <v>550900</v>
          </cell>
          <cell r="F63">
            <v>4003600</v>
          </cell>
        </row>
        <row r="64">
          <cell r="D64">
            <v>2717</v>
          </cell>
          <cell r="E64">
            <v>582050</v>
          </cell>
          <cell r="F64">
            <v>5200950</v>
          </cell>
        </row>
        <row r="65">
          <cell r="D65">
            <v>3145</v>
          </cell>
          <cell r="E65">
            <v>833000</v>
          </cell>
          <cell r="F65">
            <v>6179500</v>
          </cell>
        </row>
        <row r="66">
          <cell r="D66">
            <v>3400</v>
          </cell>
          <cell r="E66">
            <v>1019300</v>
          </cell>
          <cell r="F66">
            <v>6799300</v>
          </cell>
        </row>
        <row r="67">
          <cell r="D67">
            <v>2231</v>
          </cell>
          <cell r="E67">
            <v>573200</v>
          </cell>
          <cell r="F67">
            <v>4365900</v>
          </cell>
        </row>
        <row r="68">
          <cell r="D68">
            <v>5889</v>
          </cell>
          <cell r="E68">
            <v>1776000</v>
          </cell>
          <cell r="F68">
            <v>11787300</v>
          </cell>
        </row>
        <row r="69">
          <cell r="D69">
            <v>4976</v>
          </cell>
          <cell r="E69">
            <v>795100</v>
          </cell>
          <cell r="F69">
            <v>9254300</v>
          </cell>
        </row>
        <row r="70">
          <cell r="D70">
            <v>3491</v>
          </cell>
          <cell r="E70">
            <v>1026250</v>
          </cell>
          <cell r="F70">
            <v>6960950</v>
          </cell>
        </row>
        <row r="71">
          <cell r="D71">
            <v>2992</v>
          </cell>
          <cell r="E71">
            <v>1147450</v>
          </cell>
          <cell r="F71">
            <v>6233850</v>
          </cell>
        </row>
        <row r="72">
          <cell r="D72">
            <v>3211</v>
          </cell>
          <cell r="E72">
            <v>1124000</v>
          </cell>
          <cell r="F72">
            <v>6582700</v>
          </cell>
        </row>
        <row r="73">
          <cell r="D73">
            <v>1044</v>
          </cell>
          <cell r="E73">
            <v>322000</v>
          </cell>
          <cell r="F73">
            <v>2096800</v>
          </cell>
        </row>
        <row r="74">
          <cell r="D74">
            <v>0</v>
          </cell>
          <cell r="E74">
            <v>1065000</v>
          </cell>
          <cell r="F74">
            <v>1065000</v>
          </cell>
          <cell r="M74">
            <v>433887.91099999996</v>
          </cell>
        </row>
        <row r="75">
          <cell r="D75">
            <v>0</v>
          </cell>
          <cell r="E75">
            <v>803000</v>
          </cell>
          <cell r="F75">
            <v>803000</v>
          </cell>
        </row>
        <row r="76">
          <cell r="D76">
            <v>0</v>
          </cell>
          <cell r="E76">
            <v>687000</v>
          </cell>
          <cell r="F76">
            <v>687000</v>
          </cell>
        </row>
        <row r="77">
          <cell r="D77">
            <v>0</v>
          </cell>
          <cell r="E77">
            <v>404000</v>
          </cell>
          <cell r="F77">
            <v>404000</v>
          </cell>
        </row>
        <row r="78">
          <cell r="D78">
            <v>0</v>
          </cell>
          <cell r="E78">
            <v>135000</v>
          </cell>
          <cell r="F78">
            <v>135000</v>
          </cell>
        </row>
        <row r="79">
          <cell r="D79">
            <v>0</v>
          </cell>
          <cell r="E79">
            <v>964000</v>
          </cell>
          <cell r="F79">
            <v>964000</v>
          </cell>
        </row>
        <row r="80">
          <cell r="D80">
            <v>0</v>
          </cell>
          <cell r="E80">
            <v>1159000</v>
          </cell>
          <cell r="F80">
            <v>1159000</v>
          </cell>
        </row>
        <row r="81">
          <cell r="D81">
            <v>0</v>
          </cell>
          <cell r="E81">
            <v>797000</v>
          </cell>
          <cell r="F81">
            <v>797000</v>
          </cell>
        </row>
        <row r="82">
          <cell r="D82">
            <v>0</v>
          </cell>
          <cell r="E82">
            <v>632000</v>
          </cell>
          <cell r="F82">
            <v>632000</v>
          </cell>
        </row>
        <row r="83">
          <cell r="D83">
            <v>0</v>
          </cell>
          <cell r="E83">
            <v>325000</v>
          </cell>
          <cell r="F83">
            <v>325000</v>
          </cell>
        </row>
        <row r="84">
          <cell r="D84">
            <v>0</v>
          </cell>
          <cell r="E84">
            <v>165000</v>
          </cell>
          <cell r="F84">
            <v>165000</v>
          </cell>
        </row>
        <row r="85">
          <cell r="D85">
            <v>0</v>
          </cell>
          <cell r="E85">
            <v>522000</v>
          </cell>
          <cell r="F85">
            <v>522000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11000</v>
          </cell>
          <cell r="F87">
            <v>11000</v>
          </cell>
        </row>
        <row r="88">
          <cell r="D88">
            <v>0</v>
          </cell>
          <cell r="E88">
            <v>31000</v>
          </cell>
          <cell r="F88">
            <v>31000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61000</v>
          </cell>
          <cell r="F91">
            <v>61000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79</v>
          </cell>
          <cell r="E93">
            <v>1420600</v>
          </cell>
          <cell r="F93">
            <v>1554900</v>
          </cell>
        </row>
        <row r="94">
          <cell r="D94">
            <v>348</v>
          </cell>
          <cell r="E94">
            <v>1785200</v>
          </cell>
          <cell r="F94">
            <v>2376800</v>
          </cell>
        </row>
        <row r="95">
          <cell r="D95">
            <v>477</v>
          </cell>
          <cell r="E95">
            <v>1523600</v>
          </cell>
          <cell r="F95">
            <v>2334500</v>
          </cell>
        </row>
        <row r="96">
          <cell r="D96">
            <v>264</v>
          </cell>
          <cell r="E96">
            <v>2718500</v>
          </cell>
          <cell r="F96">
            <v>3167300</v>
          </cell>
        </row>
        <row r="97">
          <cell r="D97">
            <v>346</v>
          </cell>
          <cell r="E97">
            <v>1287100</v>
          </cell>
          <cell r="F97">
            <v>1875300</v>
          </cell>
        </row>
        <row r="98">
          <cell r="D98">
            <v>337</v>
          </cell>
          <cell r="E98">
            <v>1233700</v>
          </cell>
          <cell r="F98">
            <v>1806600</v>
          </cell>
        </row>
        <row r="100">
          <cell r="E100">
            <v>29000</v>
          </cell>
          <cell r="F100">
            <v>29000</v>
          </cell>
        </row>
      </sheetData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3621</v>
          </cell>
          <cell r="E11">
            <v>1051600</v>
          </cell>
          <cell r="F11">
            <v>7207300</v>
          </cell>
        </row>
        <row r="12">
          <cell r="D12">
            <v>1321</v>
          </cell>
          <cell r="E12">
            <v>474200</v>
          </cell>
          <cell r="F12">
            <v>2719900</v>
          </cell>
        </row>
        <row r="13">
          <cell r="D13">
            <v>421</v>
          </cell>
          <cell r="E13">
            <v>197900</v>
          </cell>
          <cell r="F13">
            <v>913600</v>
          </cell>
        </row>
        <row r="14">
          <cell r="D14">
            <v>26819</v>
          </cell>
          <cell r="E14">
            <v>6119000</v>
          </cell>
          <cell r="F14">
            <v>51711300</v>
          </cell>
        </row>
        <row r="15">
          <cell r="D15">
            <v>15325</v>
          </cell>
          <cell r="E15">
            <v>2232550</v>
          </cell>
          <cell r="F15">
            <v>28285050</v>
          </cell>
        </row>
        <row r="16">
          <cell r="D16">
            <v>3640</v>
          </cell>
          <cell r="E16">
            <v>946800</v>
          </cell>
          <cell r="F16">
            <v>7134800</v>
          </cell>
        </row>
        <row r="17">
          <cell r="D17">
            <v>2984</v>
          </cell>
          <cell r="E17">
            <v>459100</v>
          </cell>
          <cell r="F17">
            <v>5531900</v>
          </cell>
        </row>
        <row r="18">
          <cell r="D18">
            <v>5796</v>
          </cell>
          <cell r="E18">
            <v>1154800</v>
          </cell>
          <cell r="F18">
            <v>11008000</v>
          </cell>
        </row>
        <row r="19">
          <cell r="D19">
            <v>2938</v>
          </cell>
          <cell r="E19">
            <v>573600</v>
          </cell>
          <cell r="F19">
            <v>5568200</v>
          </cell>
        </row>
        <row r="20">
          <cell r="D20">
            <v>1571</v>
          </cell>
          <cell r="E20">
            <v>538000</v>
          </cell>
          <cell r="F20">
            <v>3208700</v>
          </cell>
        </row>
        <row r="21">
          <cell r="D21">
            <v>6164</v>
          </cell>
          <cell r="E21">
            <v>2187850</v>
          </cell>
          <cell r="F21">
            <v>12666650</v>
          </cell>
        </row>
        <row r="22">
          <cell r="D22">
            <v>1658</v>
          </cell>
          <cell r="E22">
            <v>595300</v>
          </cell>
          <cell r="F22">
            <v>3413900</v>
          </cell>
        </row>
        <row r="23">
          <cell r="D23">
            <v>2566</v>
          </cell>
          <cell r="E23">
            <v>550300</v>
          </cell>
          <cell r="F23">
            <v>4912500</v>
          </cell>
        </row>
        <row r="24">
          <cell r="D24">
            <v>4444</v>
          </cell>
          <cell r="E24">
            <v>866000</v>
          </cell>
          <cell r="F24">
            <v>8420800</v>
          </cell>
        </row>
        <row r="25">
          <cell r="D25">
            <v>3865</v>
          </cell>
          <cell r="E25">
            <v>967200</v>
          </cell>
          <cell r="F25">
            <v>7537700</v>
          </cell>
        </row>
        <row r="26">
          <cell r="D26">
            <v>3796</v>
          </cell>
          <cell r="E26">
            <v>1185500</v>
          </cell>
          <cell r="F26">
            <v>7638700</v>
          </cell>
        </row>
        <row r="27">
          <cell r="D27">
            <v>892</v>
          </cell>
          <cell r="E27">
            <v>329400</v>
          </cell>
          <cell r="F27">
            <v>1845800</v>
          </cell>
        </row>
        <row r="28">
          <cell r="D28">
            <v>2598</v>
          </cell>
          <cell r="E28">
            <v>955700</v>
          </cell>
          <cell r="F28">
            <v>5372300</v>
          </cell>
        </row>
        <row r="29">
          <cell r="D29">
            <v>2085</v>
          </cell>
          <cell r="E29">
            <v>628000</v>
          </cell>
          <cell r="F29">
            <v>4172500</v>
          </cell>
        </row>
        <row r="30">
          <cell r="D30">
            <v>2671</v>
          </cell>
          <cell r="E30">
            <v>999750</v>
          </cell>
          <cell r="F30">
            <v>5540450</v>
          </cell>
        </row>
        <row r="31">
          <cell r="D31">
            <v>3727</v>
          </cell>
          <cell r="E31">
            <v>1410850</v>
          </cell>
          <cell r="F31">
            <v>7746750</v>
          </cell>
        </row>
        <row r="32">
          <cell r="D32">
            <v>3093</v>
          </cell>
          <cell r="E32">
            <v>622150</v>
          </cell>
          <cell r="F32">
            <v>5880250</v>
          </cell>
        </row>
        <row r="33">
          <cell r="D33">
            <v>5893</v>
          </cell>
          <cell r="E33">
            <v>1499400</v>
          </cell>
          <cell r="F33">
            <v>11517500</v>
          </cell>
        </row>
        <row r="34">
          <cell r="D34">
            <v>1459</v>
          </cell>
          <cell r="E34">
            <v>424800</v>
          </cell>
          <cell r="F34">
            <v>2905100</v>
          </cell>
        </row>
        <row r="35">
          <cell r="D35">
            <v>3398</v>
          </cell>
          <cell r="E35">
            <v>1037300</v>
          </cell>
          <cell r="F35">
            <v>6813900</v>
          </cell>
        </row>
        <row r="36">
          <cell r="D36">
            <v>3005</v>
          </cell>
          <cell r="E36">
            <v>903200</v>
          </cell>
          <cell r="F36">
            <v>6011700</v>
          </cell>
        </row>
        <row r="37">
          <cell r="D37">
            <v>3637</v>
          </cell>
          <cell r="E37">
            <v>845300</v>
          </cell>
          <cell r="F37">
            <v>7028200</v>
          </cell>
        </row>
        <row r="38">
          <cell r="D38">
            <v>1169</v>
          </cell>
          <cell r="E38">
            <v>258200</v>
          </cell>
          <cell r="F38">
            <v>2245500</v>
          </cell>
        </row>
        <row r="39">
          <cell r="D39">
            <v>2365</v>
          </cell>
          <cell r="E39">
            <v>611100</v>
          </cell>
          <cell r="F39">
            <v>4631600</v>
          </cell>
        </row>
        <row r="40">
          <cell r="D40">
            <v>5070</v>
          </cell>
          <cell r="E40">
            <v>1446500</v>
          </cell>
          <cell r="F40">
            <v>10065500</v>
          </cell>
        </row>
        <row r="41">
          <cell r="D41">
            <v>1203</v>
          </cell>
          <cell r="E41">
            <v>404900</v>
          </cell>
          <cell r="F41">
            <v>2450000</v>
          </cell>
        </row>
        <row r="42">
          <cell r="D42">
            <v>1219</v>
          </cell>
          <cell r="E42">
            <v>225000</v>
          </cell>
          <cell r="F42">
            <v>2297300</v>
          </cell>
        </row>
        <row r="43">
          <cell r="D43">
            <v>4134</v>
          </cell>
          <cell r="E43">
            <v>809900</v>
          </cell>
          <cell r="F43">
            <v>7837700</v>
          </cell>
        </row>
        <row r="44">
          <cell r="D44">
            <v>4264</v>
          </cell>
          <cell r="E44">
            <v>773600</v>
          </cell>
          <cell r="F44">
            <v>8022400</v>
          </cell>
        </row>
        <row r="45">
          <cell r="D45">
            <v>4124</v>
          </cell>
          <cell r="E45">
            <v>1028600</v>
          </cell>
          <cell r="F45">
            <v>8039400</v>
          </cell>
        </row>
        <row r="46">
          <cell r="D46">
            <v>2118</v>
          </cell>
          <cell r="E46">
            <v>531600</v>
          </cell>
          <cell r="F46">
            <v>4132200</v>
          </cell>
        </row>
        <row r="47">
          <cell r="D47">
            <v>3825</v>
          </cell>
          <cell r="E47">
            <v>1144650</v>
          </cell>
          <cell r="F47">
            <v>7647150</v>
          </cell>
        </row>
        <row r="48">
          <cell r="D48">
            <v>2360</v>
          </cell>
          <cell r="E48">
            <v>602250</v>
          </cell>
          <cell r="F48">
            <v>4614250</v>
          </cell>
        </row>
        <row r="49">
          <cell r="D49">
            <v>1317</v>
          </cell>
          <cell r="E49">
            <v>216100</v>
          </cell>
          <cell r="F49">
            <v>2455000</v>
          </cell>
        </row>
        <row r="50">
          <cell r="D50">
            <v>3137</v>
          </cell>
          <cell r="E50">
            <v>844000</v>
          </cell>
          <cell r="F50">
            <v>6176900</v>
          </cell>
        </row>
        <row r="51">
          <cell r="D51">
            <v>3659</v>
          </cell>
          <cell r="E51">
            <v>1258900</v>
          </cell>
          <cell r="F51">
            <v>7479200</v>
          </cell>
        </row>
        <row r="52">
          <cell r="D52">
            <v>1261</v>
          </cell>
          <cell r="E52">
            <v>505500</v>
          </cell>
          <cell r="F52">
            <v>2649200</v>
          </cell>
        </row>
        <row r="53">
          <cell r="D53">
            <v>3193</v>
          </cell>
          <cell r="E53">
            <v>867900</v>
          </cell>
          <cell r="F53">
            <v>6296000</v>
          </cell>
        </row>
        <row r="54">
          <cell r="D54">
            <v>6062</v>
          </cell>
          <cell r="E54">
            <v>1511300</v>
          </cell>
          <cell r="F54">
            <v>11816700</v>
          </cell>
        </row>
        <row r="55">
          <cell r="D55">
            <v>10677</v>
          </cell>
          <cell r="E55">
            <v>2583950</v>
          </cell>
          <cell r="F55">
            <v>20734850</v>
          </cell>
        </row>
        <row r="56">
          <cell r="D56">
            <v>18722</v>
          </cell>
          <cell r="E56">
            <v>4273800</v>
          </cell>
          <cell r="F56">
            <v>36101200</v>
          </cell>
        </row>
        <row r="57">
          <cell r="D57">
            <v>7819</v>
          </cell>
          <cell r="E57">
            <v>2739300</v>
          </cell>
          <cell r="F57">
            <v>16031600</v>
          </cell>
        </row>
        <row r="58">
          <cell r="D58">
            <v>29554</v>
          </cell>
          <cell r="E58">
            <v>6682400</v>
          </cell>
          <cell r="F58">
            <v>56924200</v>
          </cell>
        </row>
        <row r="59">
          <cell r="D59">
            <v>4950</v>
          </cell>
          <cell r="E59">
            <v>1300000</v>
          </cell>
          <cell r="F59">
            <v>9715000</v>
          </cell>
        </row>
        <row r="60">
          <cell r="D60">
            <v>5542</v>
          </cell>
          <cell r="E60">
            <v>1261700</v>
          </cell>
          <cell r="F60">
            <v>10683100</v>
          </cell>
        </row>
        <row r="61">
          <cell r="D61">
            <v>1052</v>
          </cell>
          <cell r="E61">
            <v>424700</v>
          </cell>
          <cell r="F61">
            <v>2213100</v>
          </cell>
        </row>
        <row r="62">
          <cell r="D62">
            <v>835</v>
          </cell>
          <cell r="E62">
            <v>160100</v>
          </cell>
          <cell r="F62">
            <v>1579600</v>
          </cell>
        </row>
        <row r="63">
          <cell r="D63">
            <v>1274</v>
          </cell>
          <cell r="E63">
            <v>401000</v>
          </cell>
          <cell r="F63">
            <v>2566800</v>
          </cell>
        </row>
        <row r="64">
          <cell r="D64">
            <v>2075</v>
          </cell>
          <cell r="E64">
            <v>367900</v>
          </cell>
          <cell r="F64">
            <v>3895400</v>
          </cell>
        </row>
        <row r="65">
          <cell r="D65">
            <v>2250</v>
          </cell>
          <cell r="E65">
            <v>539900</v>
          </cell>
          <cell r="F65">
            <v>4364900</v>
          </cell>
        </row>
        <row r="66">
          <cell r="D66">
            <v>2666</v>
          </cell>
          <cell r="E66">
            <v>659200</v>
          </cell>
          <cell r="F66">
            <v>5191400</v>
          </cell>
        </row>
        <row r="67">
          <cell r="D67">
            <v>1339</v>
          </cell>
          <cell r="E67">
            <v>503400</v>
          </cell>
          <cell r="F67">
            <v>2779700</v>
          </cell>
        </row>
        <row r="68">
          <cell r="D68">
            <v>3480</v>
          </cell>
          <cell r="E68">
            <v>1056200</v>
          </cell>
          <cell r="F68">
            <v>6972200</v>
          </cell>
        </row>
        <row r="69">
          <cell r="D69">
            <v>2879</v>
          </cell>
          <cell r="E69">
            <v>871650</v>
          </cell>
          <cell r="F69">
            <v>5765950</v>
          </cell>
        </row>
        <row r="70">
          <cell r="D70">
            <v>2583</v>
          </cell>
          <cell r="E70">
            <v>824000</v>
          </cell>
          <cell r="F70">
            <v>5215100</v>
          </cell>
        </row>
        <row r="71">
          <cell r="D71">
            <v>2354</v>
          </cell>
          <cell r="E71">
            <v>692500</v>
          </cell>
          <cell r="F71">
            <v>4694300</v>
          </cell>
        </row>
        <row r="72">
          <cell r="D72">
            <v>2076</v>
          </cell>
          <cell r="E72">
            <v>483300</v>
          </cell>
          <cell r="F72">
            <v>4012500</v>
          </cell>
        </row>
        <row r="73">
          <cell r="D73">
            <v>682</v>
          </cell>
          <cell r="E73">
            <v>234300</v>
          </cell>
          <cell r="F73">
            <v>1393700</v>
          </cell>
        </row>
        <row r="74">
          <cell r="D74">
            <v>0</v>
          </cell>
          <cell r="E74">
            <v>820000</v>
          </cell>
          <cell r="F74">
            <v>820000</v>
          </cell>
          <cell r="M74">
            <v>321933.96999999997</v>
          </cell>
        </row>
        <row r="75">
          <cell r="D75">
            <v>0</v>
          </cell>
          <cell r="E75">
            <v>390000</v>
          </cell>
          <cell r="F75">
            <v>390000</v>
          </cell>
        </row>
        <row r="76">
          <cell r="D76">
            <v>0</v>
          </cell>
          <cell r="E76">
            <v>754000</v>
          </cell>
          <cell r="F76">
            <v>754000</v>
          </cell>
        </row>
        <row r="77">
          <cell r="D77">
            <v>0</v>
          </cell>
          <cell r="E77">
            <v>579000</v>
          </cell>
          <cell r="F77">
            <v>579000</v>
          </cell>
        </row>
        <row r="78">
          <cell r="D78">
            <v>0</v>
          </cell>
          <cell r="E78">
            <v>225000</v>
          </cell>
          <cell r="F78">
            <v>225000</v>
          </cell>
        </row>
        <row r="79">
          <cell r="D79">
            <v>0</v>
          </cell>
          <cell r="E79">
            <v>736000</v>
          </cell>
          <cell r="F79">
            <v>736000</v>
          </cell>
        </row>
        <row r="80">
          <cell r="D80">
            <v>0</v>
          </cell>
          <cell r="E80">
            <v>598000</v>
          </cell>
          <cell r="F80">
            <v>598000</v>
          </cell>
        </row>
        <row r="81">
          <cell r="D81">
            <v>0</v>
          </cell>
          <cell r="E81">
            <v>557000</v>
          </cell>
          <cell r="F81">
            <v>557000</v>
          </cell>
        </row>
        <row r="82">
          <cell r="D82">
            <v>0</v>
          </cell>
          <cell r="E82">
            <v>547000</v>
          </cell>
          <cell r="F82">
            <v>547000</v>
          </cell>
        </row>
        <row r="83">
          <cell r="D83">
            <v>0</v>
          </cell>
          <cell r="E83">
            <v>547000</v>
          </cell>
          <cell r="F83">
            <v>547000</v>
          </cell>
        </row>
        <row r="84">
          <cell r="D84">
            <v>0</v>
          </cell>
          <cell r="E84">
            <v>397000</v>
          </cell>
          <cell r="F84">
            <v>397000</v>
          </cell>
        </row>
        <row r="85">
          <cell r="D85">
            <v>0</v>
          </cell>
          <cell r="E85">
            <v>495000</v>
          </cell>
          <cell r="F85">
            <v>495000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1000</v>
          </cell>
          <cell r="F87">
            <v>1000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4000</v>
          </cell>
          <cell r="F91">
            <v>4000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80</v>
          </cell>
          <cell r="E93">
            <v>521300</v>
          </cell>
          <cell r="F93">
            <v>657300</v>
          </cell>
        </row>
        <row r="94">
          <cell r="D94">
            <v>423</v>
          </cell>
          <cell r="E94">
            <v>1337300</v>
          </cell>
          <cell r="F94">
            <v>2056400</v>
          </cell>
        </row>
        <row r="95">
          <cell r="D95">
            <v>545</v>
          </cell>
          <cell r="E95">
            <v>899100</v>
          </cell>
          <cell r="F95">
            <v>1825600</v>
          </cell>
        </row>
        <row r="96">
          <cell r="D96">
            <v>97</v>
          </cell>
          <cell r="E96">
            <v>1100900</v>
          </cell>
          <cell r="F96">
            <v>1265800</v>
          </cell>
        </row>
        <row r="97">
          <cell r="D97">
            <v>326</v>
          </cell>
          <cell r="E97">
            <v>648000</v>
          </cell>
          <cell r="F97">
            <v>1202200</v>
          </cell>
        </row>
        <row r="98">
          <cell r="D98">
            <v>257</v>
          </cell>
          <cell r="E98">
            <v>765500</v>
          </cell>
          <cell r="F98">
            <v>1202400</v>
          </cell>
        </row>
        <row r="100">
          <cell r="E100">
            <v>24000</v>
          </cell>
          <cell r="F100">
            <v>24000</v>
          </cell>
        </row>
      </sheetData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2635</v>
          </cell>
          <cell r="E11">
            <v>990500</v>
          </cell>
          <cell r="F11">
            <v>5470000</v>
          </cell>
        </row>
        <row r="12">
          <cell r="D12">
            <v>320</v>
          </cell>
          <cell r="E12">
            <v>118500</v>
          </cell>
          <cell r="F12">
            <v>662500</v>
          </cell>
        </row>
        <row r="13">
          <cell r="D13">
            <v>33</v>
          </cell>
          <cell r="E13">
            <v>52200</v>
          </cell>
          <cell r="F13">
            <v>108300</v>
          </cell>
        </row>
        <row r="14">
          <cell r="D14">
            <v>13217</v>
          </cell>
          <cell r="E14">
            <v>2412000</v>
          </cell>
          <cell r="F14">
            <v>24880900</v>
          </cell>
        </row>
        <row r="15">
          <cell r="D15">
            <v>6855</v>
          </cell>
          <cell r="E15">
            <v>868600</v>
          </cell>
          <cell r="F15">
            <v>12522100</v>
          </cell>
        </row>
        <row r="16">
          <cell r="D16">
            <v>1801</v>
          </cell>
          <cell r="E16">
            <v>277500</v>
          </cell>
          <cell r="F16">
            <v>3339200</v>
          </cell>
        </row>
        <row r="17">
          <cell r="D17">
            <v>1454</v>
          </cell>
          <cell r="E17">
            <v>267600</v>
          </cell>
          <cell r="F17">
            <v>2739400</v>
          </cell>
        </row>
        <row r="18">
          <cell r="D18">
            <v>3534</v>
          </cell>
          <cell r="E18">
            <v>685500</v>
          </cell>
          <cell r="F18">
            <v>6693300</v>
          </cell>
        </row>
        <row r="19">
          <cell r="D19">
            <v>1484</v>
          </cell>
          <cell r="E19">
            <v>357200</v>
          </cell>
          <cell r="F19">
            <v>2880000</v>
          </cell>
        </row>
        <row r="20">
          <cell r="D20">
            <v>716</v>
          </cell>
          <cell r="E20">
            <v>258500</v>
          </cell>
          <cell r="F20">
            <v>1475700</v>
          </cell>
        </row>
        <row r="21">
          <cell r="D21">
            <v>2949</v>
          </cell>
          <cell r="E21">
            <v>1224500</v>
          </cell>
          <cell r="F21">
            <v>6237800</v>
          </cell>
        </row>
        <row r="22">
          <cell r="D22">
            <v>581</v>
          </cell>
          <cell r="E22">
            <v>178500</v>
          </cell>
          <cell r="F22">
            <v>1166200</v>
          </cell>
        </row>
        <row r="23">
          <cell r="D23">
            <v>1245</v>
          </cell>
          <cell r="E23">
            <v>276800</v>
          </cell>
          <cell r="F23">
            <v>2393300</v>
          </cell>
        </row>
        <row r="24">
          <cell r="D24">
            <v>1866</v>
          </cell>
          <cell r="E24">
            <v>335500</v>
          </cell>
          <cell r="F24">
            <v>3507700</v>
          </cell>
        </row>
        <row r="25">
          <cell r="D25">
            <v>1559</v>
          </cell>
          <cell r="E25">
            <v>316100</v>
          </cell>
          <cell r="F25">
            <v>2966400</v>
          </cell>
        </row>
        <row r="26">
          <cell r="D26">
            <v>1981</v>
          </cell>
          <cell r="E26">
            <v>350800</v>
          </cell>
          <cell r="F26">
            <v>3718500</v>
          </cell>
        </row>
        <row r="27">
          <cell r="D27">
            <v>317</v>
          </cell>
          <cell r="E27">
            <v>87600</v>
          </cell>
          <cell r="F27">
            <v>626500</v>
          </cell>
        </row>
        <row r="28">
          <cell r="D28">
            <v>877</v>
          </cell>
          <cell r="E28">
            <v>173600</v>
          </cell>
          <cell r="F28">
            <v>1664500</v>
          </cell>
        </row>
        <row r="29">
          <cell r="D29">
            <v>863</v>
          </cell>
          <cell r="E29">
            <v>118200</v>
          </cell>
          <cell r="F29">
            <v>1585300</v>
          </cell>
        </row>
        <row r="30">
          <cell r="D30">
            <v>1052</v>
          </cell>
          <cell r="E30">
            <v>194400</v>
          </cell>
          <cell r="F30">
            <v>1982800</v>
          </cell>
        </row>
        <row r="31">
          <cell r="D31">
            <v>1250</v>
          </cell>
          <cell r="E31">
            <v>191900</v>
          </cell>
          <cell r="F31">
            <v>2316900</v>
          </cell>
        </row>
        <row r="32">
          <cell r="D32">
            <v>1749</v>
          </cell>
          <cell r="E32">
            <v>267500</v>
          </cell>
          <cell r="F32">
            <v>3240800</v>
          </cell>
        </row>
        <row r="33">
          <cell r="D33">
            <v>2602</v>
          </cell>
          <cell r="E33">
            <v>529950</v>
          </cell>
          <cell r="F33">
            <v>4953350</v>
          </cell>
        </row>
        <row r="34">
          <cell r="D34">
            <v>359</v>
          </cell>
          <cell r="E34">
            <v>123400</v>
          </cell>
          <cell r="F34">
            <v>733700</v>
          </cell>
        </row>
        <row r="35">
          <cell r="D35">
            <v>891</v>
          </cell>
          <cell r="E35">
            <v>178850</v>
          </cell>
          <cell r="F35">
            <v>1693550</v>
          </cell>
        </row>
        <row r="36">
          <cell r="D36">
            <v>1197</v>
          </cell>
          <cell r="E36">
            <v>382800</v>
          </cell>
          <cell r="F36">
            <v>2417700</v>
          </cell>
        </row>
        <row r="37">
          <cell r="D37">
            <v>2435</v>
          </cell>
          <cell r="E37">
            <v>821100</v>
          </cell>
          <cell r="F37">
            <v>4960600</v>
          </cell>
        </row>
        <row r="38">
          <cell r="D38">
            <v>608</v>
          </cell>
          <cell r="E38">
            <v>75400</v>
          </cell>
          <cell r="F38">
            <v>1109000</v>
          </cell>
        </row>
        <row r="39">
          <cell r="D39">
            <v>703</v>
          </cell>
          <cell r="E39">
            <v>127500</v>
          </cell>
          <cell r="F39">
            <v>1322600</v>
          </cell>
        </row>
        <row r="40">
          <cell r="D40">
            <v>1494</v>
          </cell>
          <cell r="E40">
            <v>449300</v>
          </cell>
          <cell r="F40">
            <v>2989100</v>
          </cell>
        </row>
        <row r="41">
          <cell r="D41">
            <v>332</v>
          </cell>
          <cell r="E41">
            <v>41800</v>
          </cell>
          <cell r="F41">
            <v>606200</v>
          </cell>
        </row>
        <row r="42">
          <cell r="D42">
            <v>429</v>
          </cell>
          <cell r="E42">
            <v>44900</v>
          </cell>
          <cell r="F42">
            <v>774200</v>
          </cell>
        </row>
        <row r="43">
          <cell r="D43">
            <v>1868</v>
          </cell>
          <cell r="E43">
            <v>411300</v>
          </cell>
          <cell r="F43">
            <v>3586900</v>
          </cell>
        </row>
        <row r="44">
          <cell r="D44">
            <v>2027</v>
          </cell>
          <cell r="E44">
            <v>321200</v>
          </cell>
          <cell r="F44">
            <v>3767100</v>
          </cell>
        </row>
        <row r="45">
          <cell r="D45">
            <v>1791</v>
          </cell>
          <cell r="E45">
            <v>450450</v>
          </cell>
          <cell r="F45">
            <v>3495150</v>
          </cell>
        </row>
        <row r="46">
          <cell r="D46">
            <v>1042</v>
          </cell>
          <cell r="E46">
            <v>352050</v>
          </cell>
          <cell r="F46">
            <v>2123450</v>
          </cell>
        </row>
        <row r="47">
          <cell r="D47">
            <v>2768</v>
          </cell>
          <cell r="E47">
            <v>1091200</v>
          </cell>
          <cell r="F47">
            <v>5796800</v>
          </cell>
        </row>
        <row r="48">
          <cell r="D48">
            <v>1110</v>
          </cell>
          <cell r="E48">
            <v>222800</v>
          </cell>
          <cell r="F48">
            <v>2109800</v>
          </cell>
        </row>
        <row r="49">
          <cell r="D49">
            <v>500</v>
          </cell>
          <cell r="E49">
            <v>74000</v>
          </cell>
          <cell r="F49">
            <v>924000</v>
          </cell>
        </row>
        <row r="50">
          <cell r="D50">
            <v>1516</v>
          </cell>
          <cell r="E50">
            <v>425100</v>
          </cell>
          <cell r="F50">
            <v>3002300</v>
          </cell>
        </row>
        <row r="51">
          <cell r="D51">
            <v>1917</v>
          </cell>
          <cell r="E51">
            <v>722200</v>
          </cell>
          <cell r="F51">
            <v>3981100</v>
          </cell>
        </row>
        <row r="52">
          <cell r="D52">
            <v>525</v>
          </cell>
          <cell r="E52">
            <v>141900</v>
          </cell>
          <cell r="F52">
            <v>1034400</v>
          </cell>
        </row>
        <row r="53">
          <cell r="D53">
            <v>1245</v>
          </cell>
          <cell r="E53">
            <v>336900</v>
          </cell>
          <cell r="F53">
            <v>2453400</v>
          </cell>
        </row>
        <row r="54">
          <cell r="D54">
            <v>2476</v>
          </cell>
          <cell r="E54">
            <v>434300</v>
          </cell>
          <cell r="F54">
            <v>4643500</v>
          </cell>
        </row>
        <row r="55">
          <cell r="D55">
            <v>5630</v>
          </cell>
          <cell r="E55">
            <v>1331000</v>
          </cell>
          <cell r="F55">
            <v>10902000</v>
          </cell>
        </row>
        <row r="56">
          <cell r="D56">
            <v>8920</v>
          </cell>
          <cell r="E56">
            <v>1976300</v>
          </cell>
          <cell r="F56">
            <v>17140300</v>
          </cell>
        </row>
        <row r="57">
          <cell r="D57">
            <v>4665</v>
          </cell>
          <cell r="E57">
            <v>1618400</v>
          </cell>
          <cell r="F57">
            <v>9548900</v>
          </cell>
        </row>
        <row r="58">
          <cell r="D58">
            <v>13760</v>
          </cell>
          <cell r="E58">
            <v>2869000</v>
          </cell>
          <cell r="F58">
            <v>26261000</v>
          </cell>
        </row>
        <row r="59">
          <cell r="D59">
            <v>1888</v>
          </cell>
          <cell r="E59">
            <v>1007550</v>
          </cell>
          <cell r="F59">
            <v>4217150</v>
          </cell>
        </row>
        <row r="60">
          <cell r="D60">
            <v>2720</v>
          </cell>
          <cell r="E60">
            <v>598300</v>
          </cell>
          <cell r="F60">
            <v>5222300</v>
          </cell>
        </row>
        <row r="61">
          <cell r="D61">
            <v>515</v>
          </cell>
          <cell r="E61">
            <v>226100</v>
          </cell>
          <cell r="F61">
            <v>1101600</v>
          </cell>
        </row>
        <row r="62">
          <cell r="D62">
            <v>314</v>
          </cell>
          <cell r="E62">
            <v>56100</v>
          </cell>
          <cell r="F62">
            <v>589900</v>
          </cell>
        </row>
        <row r="63">
          <cell r="D63">
            <v>508</v>
          </cell>
          <cell r="E63">
            <v>99100</v>
          </cell>
          <cell r="F63">
            <v>962700</v>
          </cell>
        </row>
        <row r="64">
          <cell r="D64">
            <v>876</v>
          </cell>
          <cell r="E64">
            <v>160000</v>
          </cell>
          <cell r="F64">
            <v>1649200</v>
          </cell>
        </row>
        <row r="65">
          <cell r="D65">
            <v>588</v>
          </cell>
          <cell r="E65">
            <v>193100</v>
          </cell>
          <cell r="F65">
            <v>1192700</v>
          </cell>
        </row>
        <row r="66">
          <cell r="D66">
            <v>1045</v>
          </cell>
          <cell r="E66">
            <v>291600</v>
          </cell>
          <cell r="F66">
            <v>2068100</v>
          </cell>
        </row>
        <row r="67">
          <cell r="D67">
            <v>409</v>
          </cell>
          <cell r="E67">
            <v>193900</v>
          </cell>
          <cell r="F67">
            <v>889200</v>
          </cell>
        </row>
        <row r="68">
          <cell r="D68">
            <v>1453</v>
          </cell>
          <cell r="E68">
            <v>334600</v>
          </cell>
          <cell r="F68">
            <v>2804700</v>
          </cell>
        </row>
        <row r="69">
          <cell r="D69">
            <v>1126</v>
          </cell>
          <cell r="E69">
            <v>291700</v>
          </cell>
          <cell r="F69">
            <v>2205900</v>
          </cell>
        </row>
        <row r="70">
          <cell r="D70">
            <v>954</v>
          </cell>
          <cell r="E70">
            <v>295550</v>
          </cell>
          <cell r="F70">
            <v>1917350</v>
          </cell>
        </row>
        <row r="71">
          <cell r="D71">
            <v>1407</v>
          </cell>
          <cell r="E71">
            <v>476550</v>
          </cell>
          <cell r="F71">
            <v>2868450</v>
          </cell>
        </row>
        <row r="72">
          <cell r="D72">
            <v>844</v>
          </cell>
          <cell r="E72">
            <v>140800</v>
          </cell>
          <cell r="F72">
            <v>1575600</v>
          </cell>
        </row>
        <row r="73">
          <cell r="D73">
            <v>238</v>
          </cell>
          <cell r="E73">
            <v>78300</v>
          </cell>
          <cell r="F73">
            <v>482900</v>
          </cell>
        </row>
        <row r="74">
          <cell r="D74">
            <v>0</v>
          </cell>
          <cell r="E74">
            <v>263000</v>
          </cell>
          <cell r="F74">
            <v>263000</v>
          </cell>
          <cell r="M74">
            <v>145116.44099999999</v>
          </cell>
        </row>
        <row r="75">
          <cell r="D75">
            <v>0</v>
          </cell>
          <cell r="E75">
            <v>57000</v>
          </cell>
          <cell r="F75">
            <v>57000</v>
          </cell>
        </row>
        <row r="76">
          <cell r="D76">
            <v>0</v>
          </cell>
          <cell r="E76">
            <v>200000</v>
          </cell>
          <cell r="F76">
            <v>200000</v>
          </cell>
        </row>
        <row r="77">
          <cell r="D77">
            <v>0</v>
          </cell>
          <cell r="E77">
            <v>226000</v>
          </cell>
          <cell r="F77">
            <v>226000</v>
          </cell>
        </row>
        <row r="78">
          <cell r="D78">
            <v>0</v>
          </cell>
          <cell r="E78">
            <v>52000</v>
          </cell>
          <cell r="F78">
            <v>52000</v>
          </cell>
        </row>
        <row r="79">
          <cell r="D79">
            <v>0</v>
          </cell>
          <cell r="E79">
            <v>356000</v>
          </cell>
          <cell r="F79">
            <v>356000</v>
          </cell>
        </row>
        <row r="80">
          <cell r="D80">
            <v>0</v>
          </cell>
          <cell r="E80">
            <v>321000</v>
          </cell>
          <cell r="F80">
            <v>321000</v>
          </cell>
        </row>
        <row r="81">
          <cell r="D81">
            <v>0</v>
          </cell>
          <cell r="E81">
            <v>270000</v>
          </cell>
          <cell r="F81">
            <v>270000</v>
          </cell>
        </row>
        <row r="82">
          <cell r="D82">
            <v>0</v>
          </cell>
          <cell r="E82">
            <v>169000</v>
          </cell>
          <cell r="F82">
            <v>169000</v>
          </cell>
        </row>
        <row r="83">
          <cell r="D83">
            <v>0</v>
          </cell>
          <cell r="E83">
            <v>149000</v>
          </cell>
          <cell r="F83">
            <v>149000</v>
          </cell>
        </row>
        <row r="84">
          <cell r="D84">
            <v>0</v>
          </cell>
          <cell r="E84">
            <v>234000</v>
          </cell>
          <cell r="F84">
            <v>234000</v>
          </cell>
        </row>
        <row r="85">
          <cell r="D85">
            <v>0</v>
          </cell>
          <cell r="E85">
            <v>141000</v>
          </cell>
          <cell r="F85">
            <v>141000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2000</v>
          </cell>
          <cell r="F88">
            <v>2000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</row>
        <row r="100">
          <cell r="E100">
            <v>2000</v>
          </cell>
          <cell r="F100">
            <v>2000</v>
          </cell>
        </row>
      </sheetData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4414</v>
          </cell>
          <cell r="E11">
            <v>2121050</v>
          </cell>
          <cell r="F11">
            <v>9624850</v>
          </cell>
        </row>
        <row r="12">
          <cell r="D12">
            <v>1781</v>
          </cell>
          <cell r="E12">
            <v>1093600</v>
          </cell>
          <cell r="F12">
            <v>4121300</v>
          </cell>
        </row>
        <row r="13">
          <cell r="D13">
            <v>1697</v>
          </cell>
          <cell r="E13">
            <v>1432600</v>
          </cell>
          <cell r="F13">
            <v>4317500</v>
          </cell>
        </row>
        <row r="14">
          <cell r="D14">
            <v>37957</v>
          </cell>
          <cell r="E14">
            <v>13005900</v>
          </cell>
          <cell r="F14">
            <v>77532800</v>
          </cell>
        </row>
        <row r="15">
          <cell r="D15">
            <v>23753</v>
          </cell>
          <cell r="E15">
            <v>3582150</v>
          </cell>
          <cell r="F15">
            <v>43962250</v>
          </cell>
        </row>
        <row r="16">
          <cell r="D16">
            <v>4859</v>
          </cell>
          <cell r="E16">
            <v>1280900</v>
          </cell>
          <cell r="F16">
            <v>9541200</v>
          </cell>
        </row>
        <row r="17">
          <cell r="D17">
            <v>3588</v>
          </cell>
          <cell r="E17">
            <v>711900</v>
          </cell>
          <cell r="F17">
            <v>6811500</v>
          </cell>
        </row>
        <row r="18">
          <cell r="D18">
            <v>7644</v>
          </cell>
          <cell r="E18">
            <v>1889700</v>
          </cell>
          <cell r="F18">
            <v>14884500</v>
          </cell>
        </row>
        <row r="19">
          <cell r="D19">
            <v>3833</v>
          </cell>
          <cell r="E19">
            <v>706100</v>
          </cell>
          <cell r="F19">
            <v>7222200</v>
          </cell>
        </row>
        <row r="20">
          <cell r="D20">
            <v>2717</v>
          </cell>
          <cell r="E20">
            <v>1016300</v>
          </cell>
          <cell r="F20">
            <v>5635200</v>
          </cell>
        </row>
        <row r="21">
          <cell r="D21">
            <v>13600</v>
          </cell>
          <cell r="E21">
            <v>5050450</v>
          </cell>
          <cell r="F21">
            <v>28170450</v>
          </cell>
        </row>
        <row r="22">
          <cell r="D22">
            <v>3726</v>
          </cell>
          <cell r="E22">
            <v>1031500</v>
          </cell>
          <cell r="F22">
            <v>7365700</v>
          </cell>
        </row>
        <row r="23">
          <cell r="D23">
            <v>5242</v>
          </cell>
          <cell r="E23">
            <v>1409600</v>
          </cell>
          <cell r="F23">
            <v>10321000</v>
          </cell>
        </row>
        <row r="24">
          <cell r="D24">
            <v>9446</v>
          </cell>
          <cell r="E24">
            <v>2302400</v>
          </cell>
          <cell r="F24">
            <v>18360600</v>
          </cell>
        </row>
        <row r="25">
          <cell r="D25">
            <v>7076</v>
          </cell>
          <cell r="E25">
            <v>1930500</v>
          </cell>
          <cell r="F25">
            <v>13959700</v>
          </cell>
        </row>
        <row r="26">
          <cell r="D26">
            <v>6246</v>
          </cell>
          <cell r="E26">
            <v>2457900</v>
          </cell>
          <cell r="F26">
            <v>13076100</v>
          </cell>
        </row>
        <row r="27">
          <cell r="D27">
            <v>2067</v>
          </cell>
          <cell r="E27">
            <v>858300</v>
          </cell>
          <cell r="F27">
            <v>4372200</v>
          </cell>
        </row>
        <row r="28">
          <cell r="D28">
            <v>4164</v>
          </cell>
          <cell r="E28">
            <v>1873900</v>
          </cell>
          <cell r="F28">
            <v>8952700</v>
          </cell>
        </row>
        <row r="29">
          <cell r="D29">
            <v>3230</v>
          </cell>
          <cell r="E29">
            <v>1226900</v>
          </cell>
          <cell r="F29">
            <v>6717900</v>
          </cell>
        </row>
        <row r="30">
          <cell r="D30">
            <v>3797</v>
          </cell>
          <cell r="E30">
            <v>1564500</v>
          </cell>
          <cell r="F30">
            <v>8019400</v>
          </cell>
        </row>
        <row r="31">
          <cell r="D31">
            <v>6377</v>
          </cell>
          <cell r="E31">
            <v>2562900</v>
          </cell>
          <cell r="F31">
            <v>13403800</v>
          </cell>
        </row>
        <row r="32">
          <cell r="D32">
            <v>3916</v>
          </cell>
          <cell r="E32">
            <v>1593900</v>
          </cell>
          <cell r="F32">
            <v>8251100</v>
          </cell>
        </row>
        <row r="33">
          <cell r="D33">
            <v>7520</v>
          </cell>
          <cell r="E33">
            <v>3123950</v>
          </cell>
          <cell r="F33">
            <v>15907950</v>
          </cell>
        </row>
        <row r="34">
          <cell r="D34">
            <v>2823</v>
          </cell>
          <cell r="E34">
            <v>1349950</v>
          </cell>
          <cell r="F34">
            <v>6149050</v>
          </cell>
        </row>
        <row r="35">
          <cell r="D35">
            <v>9660</v>
          </cell>
          <cell r="E35">
            <v>4592850</v>
          </cell>
          <cell r="F35">
            <v>21014850</v>
          </cell>
        </row>
        <row r="36">
          <cell r="D36">
            <v>7074</v>
          </cell>
          <cell r="E36">
            <v>2386400</v>
          </cell>
          <cell r="F36">
            <v>14412200</v>
          </cell>
        </row>
        <row r="37">
          <cell r="D37">
            <v>7709</v>
          </cell>
          <cell r="E37">
            <v>3010000</v>
          </cell>
          <cell r="F37">
            <v>16115300</v>
          </cell>
        </row>
        <row r="38">
          <cell r="D38">
            <v>2283</v>
          </cell>
          <cell r="E38">
            <v>915500</v>
          </cell>
          <cell r="F38">
            <v>4796600</v>
          </cell>
        </row>
        <row r="39">
          <cell r="D39">
            <v>5901</v>
          </cell>
          <cell r="E39">
            <v>1507500</v>
          </cell>
          <cell r="F39">
            <v>11539200</v>
          </cell>
        </row>
        <row r="40">
          <cell r="D40">
            <v>8036</v>
          </cell>
          <cell r="E40">
            <v>2576200</v>
          </cell>
          <cell r="F40">
            <v>16237400</v>
          </cell>
        </row>
        <row r="41">
          <cell r="D41">
            <v>2781</v>
          </cell>
          <cell r="E41">
            <v>1193950</v>
          </cell>
          <cell r="F41">
            <v>5921650</v>
          </cell>
        </row>
        <row r="42">
          <cell r="D42">
            <v>2088</v>
          </cell>
          <cell r="E42">
            <v>751350</v>
          </cell>
          <cell r="F42">
            <v>4300950</v>
          </cell>
        </row>
        <row r="43">
          <cell r="D43">
            <v>6205</v>
          </cell>
          <cell r="E43">
            <v>1617250</v>
          </cell>
          <cell r="F43">
            <v>12165750</v>
          </cell>
        </row>
        <row r="44">
          <cell r="D44">
            <v>6211</v>
          </cell>
          <cell r="E44">
            <v>2121650</v>
          </cell>
          <cell r="F44">
            <v>12680350</v>
          </cell>
        </row>
        <row r="45">
          <cell r="D45">
            <v>6754</v>
          </cell>
          <cell r="E45">
            <v>2195900</v>
          </cell>
          <cell r="F45">
            <v>13677700</v>
          </cell>
        </row>
        <row r="46">
          <cell r="D46">
            <v>4159</v>
          </cell>
          <cell r="E46">
            <v>1283700</v>
          </cell>
          <cell r="F46">
            <v>8354000</v>
          </cell>
        </row>
        <row r="47">
          <cell r="D47">
            <v>3713</v>
          </cell>
          <cell r="E47">
            <v>1921900</v>
          </cell>
          <cell r="F47">
            <v>8234000</v>
          </cell>
        </row>
        <row r="48">
          <cell r="D48">
            <v>4953</v>
          </cell>
          <cell r="E48">
            <v>2094000</v>
          </cell>
          <cell r="F48">
            <v>10514100</v>
          </cell>
        </row>
        <row r="49">
          <cell r="D49">
            <v>2922</v>
          </cell>
          <cell r="E49">
            <v>813500</v>
          </cell>
          <cell r="F49">
            <v>5780900</v>
          </cell>
        </row>
        <row r="50">
          <cell r="D50">
            <v>5076</v>
          </cell>
          <cell r="E50">
            <v>2275700</v>
          </cell>
          <cell r="F50">
            <v>10904900</v>
          </cell>
        </row>
        <row r="51">
          <cell r="D51">
            <v>6266</v>
          </cell>
          <cell r="E51">
            <v>3268400</v>
          </cell>
          <cell r="F51">
            <v>13920600</v>
          </cell>
        </row>
        <row r="52">
          <cell r="D52">
            <v>2491</v>
          </cell>
          <cell r="E52">
            <v>1286500</v>
          </cell>
          <cell r="F52">
            <v>5521200</v>
          </cell>
        </row>
        <row r="53">
          <cell r="D53">
            <v>5509</v>
          </cell>
          <cell r="E53">
            <v>2093050</v>
          </cell>
          <cell r="F53">
            <v>11458350</v>
          </cell>
        </row>
        <row r="54">
          <cell r="D54">
            <v>10141</v>
          </cell>
          <cell r="E54">
            <v>3795600</v>
          </cell>
          <cell r="F54">
            <v>21035300</v>
          </cell>
        </row>
        <row r="55">
          <cell r="D55">
            <v>18952</v>
          </cell>
          <cell r="E55">
            <v>4823200</v>
          </cell>
          <cell r="F55">
            <v>37041600</v>
          </cell>
        </row>
        <row r="56">
          <cell r="D56">
            <v>32340</v>
          </cell>
          <cell r="E56">
            <v>11921000</v>
          </cell>
          <cell r="F56">
            <v>66899000</v>
          </cell>
        </row>
        <row r="57">
          <cell r="D57">
            <v>12100</v>
          </cell>
          <cell r="E57">
            <v>4234150</v>
          </cell>
          <cell r="F57">
            <v>24804150</v>
          </cell>
        </row>
        <row r="58">
          <cell r="D58">
            <v>42633</v>
          </cell>
          <cell r="E58">
            <v>12143750</v>
          </cell>
          <cell r="F58">
            <v>84619850</v>
          </cell>
        </row>
        <row r="59">
          <cell r="D59">
            <v>9629</v>
          </cell>
          <cell r="E59">
            <v>3876000</v>
          </cell>
          <cell r="F59">
            <v>20245300</v>
          </cell>
        </row>
        <row r="60">
          <cell r="D60">
            <v>10482</v>
          </cell>
          <cell r="E60">
            <v>3466700</v>
          </cell>
          <cell r="F60">
            <v>21286100</v>
          </cell>
        </row>
        <row r="61">
          <cell r="D61">
            <v>2362</v>
          </cell>
          <cell r="E61">
            <v>1444300</v>
          </cell>
          <cell r="F61">
            <v>5459700</v>
          </cell>
        </row>
        <row r="62">
          <cell r="D62">
            <v>1476</v>
          </cell>
          <cell r="E62">
            <v>372900</v>
          </cell>
          <cell r="F62">
            <v>2882100</v>
          </cell>
        </row>
        <row r="63">
          <cell r="D63">
            <v>2885</v>
          </cell>
          <cell r="E63">
            <v>993600</v>
          </cell>
          <cell r="F63">
            <v>5898100</v>
          </cell>
        </row>
        <row r="64">
          <cell r="D64">
            <v>3972</v>
          </cell>
          <cell r="E64">
            <v>994450</v>
          </cell>
          <cell r="F64">
            <v>7746850</v>
          </cell>
        </row>
        <row r="65">
          <cell r="D65">
            <v>4194</v>
          </cell>
          <cell r="E65">
            <v>1542900</v>
          </cell>
          <cell r="F65">
            <v>8672700</v>
          </cell>
        </row>
        <row r="66">
          <cell r="D66">
            <v>4470</v>
          </cell>
          <cell r="E66">
            <v>1835100</v>
          </cell>
          <cell r="F66">
            <v>9434100</v>
          </cell>
        </row>
        <row r="67">
          <cell r="D67">
            <v>3062</v>
          </cell>
          <cell r="E67">
            <v>1182300</v>
          </cell>
          <cell r="F67">
            <v>6387700</v>
          </cell>
        </row>
        <row r="68">
          <cell r="D68">
            <v>7428</v>
          </cell>
          <cell r="E68">
            <v>3421200</v>
          </cell>
          <cell r="F68">
            <v>16048800</v>
          </cell>
        </row>
        <row r="69">
          <cell r="D69">
            <v>6489</v>
          </cell>
          <cell r="E69">
            <v>1889300</v>
          </cell>
          <cell r="F69">
            <v>12920600</v>
          </cell>
        </row>
        <row r="70">
          <cell r="D70">
            <v>4612</v>
          </cell>
          <cell r="E70">
            <v>1684100</v>
          </cell>
          <cell r="F70">
            <v>9524500</v>
          </cell>
        </row>
        <row r="71">
          <cell r="D71">
            <v>3700</v>
          </cell>
          <cell r="E71">
            <v>1879450</v>
          </cell>
          <cell r="F71">
            <v>8169450</v>
          </cell>
        </row>
        <row r="72">
          <cell r="D72">
            <v>4137</v>
          </cell>
          <cell r="E72">
            <v>1742400</v>
          </cell>
          <cell r="F72">
            <v>8775300</v>
          </cell>
        </row>
        <row r="73">
          <cell r="D73">
            <v>1349</v>
          </cell>
          <cell r="E73">
            <v>717100</v>
          </cell>
          <cell r="F73">
            <v>3010400</v>
          </cell>
        </row>
        <row r="74">
          <cell r="D74">
            <v>0</v>
          </cell>
          <cell r="E74">
            <v>1457000</v>
          </cell>
          <cell r="F74">
            <v>1457000</v>
          </cell>
          <cell r="M74">
            <v>575290.79399999999</v>
          </cell>
        </row>
        <row r="75">
          <cell r="D75">
            <v>0</v>
          </cell>
          <cell r="E75">
            <v>1648000</v>
          </cell>
          <cell r="F75">
            <v>1648000</v>
          </cell>
        </row>
        <row r="76">
          <cell r="D76">
            <v>0</v>
          </cell>
          <cell r="E76">
            <v>507000</v>
          </cell>
          <cell r="F76">
            <v>507000</v>
          </cell>
        </row>
        <row r="77">
          <cell r="D77">
            <v>0</v>
          </cell>
          <cell r="E77">
            <v>1276000</v>
          </cell>
          <cell r="F77">
            <v>1276000</v>
          </cell>
        </row>
        <row r="78">
          <cell r="D78">
            <v>0</v>
          </cell>
          <cell r="E78">
            <v>541000</v>
          </cell>
          <cell r="F78">
            <v>541000</v>
          </cell>
        </row>
        <row r="79">
          <cell r="D79">
            <v>0</v>
          </cell>
          <cell r="E79">
            <v>2453000</v>
          </cell>
          <cell r="F79">
            <v>2453000</v>
          </cell>
        </row>
        <row r="80">
          <cell r="D80">
            <v>0</v>
          </cell>
          <cell r="E80">
            <v>2513000</v>
          </cell>
          <cell r="F80">
            <v>2513000</v>
          </cell>
        </row>
        <row r="81">
          <cell r="D81">
            <v>0</v>
          </cell>
          <cell r="E81">
            <v>2656000</v>
          </cell>
          <cell r="F81">
            <v>2656000</v>
          </cell>
        </row>
        <row r="82">
          <cell r="D82">
            <v>0</v>
          </cell>
          <cell r="E82">
            <v>2201000</v>
          </cell>
          <cell r="F82">
            <v>2201000</v>
          </cell>
        </row>
        <row r="83">
          <cell r="D83">
            <v>0</v>
          </cell>
          <cell r="E83">
            <v>1283000</v>
          </cell>
          <cell r="F83">
            <v>1283000</v>
          </cell>
        </row>
        <row r="84">
          <cell r="D84">
            <v>0</v>
          </cell>
          <cell r="E84">
            <v>1301000</v>
          </cell>
          <cell r="F84">
            <v>1301000</v>
          </cell>
        </row>
        <row r="85">
          <cell r="D85">
            <v>0</v>
          </cell>
          <cell r="E85">
            <v>1579000</v>
          </cell>
          <cell r="F85">
            <v>1579000</v>
          </cell>
        </row>
        <row r="86">
          <cell r="D86">
            <v>0</v>
          </cell>
          <cell r="E86">
            <v>17000</v>
          </cell>
          <cell r="F86">
            <v>17000</v>
          </cell>
        </row>
        <row r="87">
          <cell r="D87">
            <v>0</v>
          </cell>
          <cell r="E87">
            <v>5000</v>
          </cell>
          <cell r="F87">
            <v>5000</v>
          </cell>
        </row>
        <row r="88">
          <cell r="D88">
            <v>0</v>
          </cell>
          <cell r="E88">
            <v>80000</v>
          </cell>
          <cell r="F88">
            <v>80000</v>
          </cell>
        </row>
        <row r="89">
          <cell r="D89">
            <v>0</v>
          </cell>
          <cell r="E89">
            <v>21000</v>
          </cell>
          <cell r="F89">
            <v>21000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187000</v>
          </cell>
          <cell r="F91">
            <v>187000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106</v>
          </cell>
          <cell r="E93">
            <v>2918100</v>
          </cell>
          <cell r="F93">
            <v>3098300</v>
          </cell>
        </row>
        <row r="94">
          <cell r="D94">
            <v>530</v>
          </cell>
          <cell r="E94">
            <v>3150450</v>
          </cell>
          <cell r="F94">
            <v>4051450</v>
          </cell>
        </row>
        <row r="95">
          <cell r="D95">
            <v>653</v>
          </cell>
          <cell r="E95">
            <v>3247300</v>
          </cell>
          <cell r="F95">
            <v>4357400</v>
          </cell>
        </row>
        <row r="96">
          <cell r="D96">
            <v>456</v>
          </cell>
          <cell r="E96">
            <v>5315650</v>
          </cell>
          <cell r="F96">
            <v>6090850</v>
          </cell>
        </row>
        <row r="97">
          <cell r="D97">
            <v>227</v>
          </cell>
          <cell r="E97">
            <v>2410200</v>
          </cell>
          <cell r="F97">
            <v>2796100</v>
          </cell>
        </row>
        <row r="98">
          <cell r="D98">
            <v>165</v>
          </cell>
          <cell r="E98">
            <v>2365200</v>
          </cell>
          <cell r="F98">
            <v>2645700</v>
          </cell>
        </row>
        <row r="100">
          <cell r="E100">
            <v>137000</v>
          </cell>
          <cell r="F100">
            <v>137000</v>
          </cell>
        </row>
      </sheetData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920</v>
          </cell>
          <cell r="E11">
            <v>710700</v>
          </cell>
          <cell r="F11">
            <v>2274700</v>
          </cell>
        </row>
        <row r="12">
          <cell r="D12">
            <v>0</v>
          </cell>
          <cell r="E12">
            <v>0</v>
          </cell>
          <cell r="F12">
            <v>0</v>
          </cell>
        </row>
        <row r="13">
          <cell r="D13">
            <v>295</v>
          </cell>
          <cell r="E13">
            <v>241300</v>
          </cell>
          <cell r="F13">
            <v>742800</v>
          </cell>
        </row>
        <row r="14">
          <cell r="D14">
            <v>5088</v>
          </cell>
          <cell r="E14">
            <v>4571600</v>
          </cell>
          <cell r="F14">
            <v>13221200</v>
          </cell>
        </row>
        <row r="15">
          <cell r="D15">
            <v>26732</v>
          </cell>
          <cell r="E15">
            <v>6184300</v>
          </cell>
          <cell r="F15">
            <v>51628700</v>
          </cell>
        </row>
        <row r="16">
          <cell r="D16">
            <v>239</v>
          </cell>
          <cell r="E16">
            <v>243000</v>
          </cell>
          <cell r="F16">
            <v>649300</v>
          </cell>
        </row>
        <row r="17">
          <cell r="D17">
            <v>280</v>
          </cell>
          <cell r="E17">
            <v>254500</v>
          </cell>
          <cell r="F17">
            <v>730500</v>
          </cell>
        </row>
        <row r="18">
          <cell r="D18">
            <v>0</v>
          </cell>
          <cell r="E18">
            <v>0</v>
          </cell>
          <cell r="F18">
            <v>0</v>
          </cell>
        </row>
        <row r="19">
          <cell r="D19">
            <v>0</v>
          </cell>
          <cell r="E19">
            <v>5100</v>
          </cell>
          <cell r="F19">
            <v>5100</v>
          </cell>
        </row>
        <row r="20">
          <cell r="D20">
            <v>8303</v>
          </cell>
          <cell r="E20">
            <v>1982700</v>
          </cell>
          <cell r="F20">
            <v>16097800</v>
          </cell>
        </row>
        <row r="21">
          <cell r="D21">
            <v>18395</v>
          </cell>
          <cell r="E21">
            <v>8068000</v>
          </cell>
          <cell r="F21">
            <v>39339500</v>
          </cell>
        </row>
        <row r="22">
          <cell r="D22">
            <v>2983</v>
          </cell>
          <cell r="E22">
            <v>924600</v>
          </cell>
          <cell r="F22">
            <v>5995700</v>
          </cell>
        </row>
        <row r="23">
          <cell r="D23">
            <v>3863</v>
          </cell>
          <cell r="E23">
            <v>1416400</v>
          </cell>
          <cell r="F23">
            <v>7983500</v>
          </cell>
        </row>
        <row r="24">
          <cell r="D24">
            <v>7287</v>
          </cell>
          <cell r="E24">
            <v>1994250</v>
          </cell>
          <cell r="F24">
            <v>14382150</v>
          </cell>
        </row>
        <row r="25">
          <cell r="D25">
            <v>5577</v>
          </cell>
          <cell r="E25">
            <v>2303100</v>
          </cell>
          <cell r="F25">
            <v>11784000</v>
          </cell>
        </row>
        <row r="26">
          <cell r="D26">
            <v>4651</v>
          </cell>
          <cell r="E26">
            <v>2743300</v>
          </cell>
          <cell r="F26">
            <v>10650000</v>
          </cell>
        </row>
        <row r="27">
          <cell r="D27">
            <v>2160</v>
          </cell>
          <cell r="E27">
            <v>1224000</v>
          </cell>
          <cell r="F27">
            <v>4896000</v>
          </cell>
        </row>
        <row r="28">
          <cell r="D28">
            <v>4535</v>
          </cell>
          <cell r="E28">
            <v>2640900</v>
          </cell>
          <cell r="F28">
            <v>10350400</v>
          </cell>
        </row>
        <row r="29">
          <cell r="D29">
            <v>5189</v>
          </cell>
          <cell r="E29">
            <v>2187700</v>
          </cell>
          <cell r="F29">
            <v>11009000</v>
          </cell>
        </row>
        <row r="30">
          <cell r="D30">
            <v>655</v>
          </cell>
          <cell r="E30">
            <v>249500</v>
          </cell>
          <cell r="F30">
            <v>1363000</v>
          </cell>
        </row>
        <row r="31">
          <cell r="D31">
            <v>6243</v>
          </cell>
          <cell r="E31">
            <v>2681600</v>
          </cell>
          <cell r="F31">
            <v>13294700</v>
          </cell>
        </row>
        <row r="32">
          <cell r="D32">
            <v>3324</v>
          </cell>
          <cell r="E32">
            <v>1455050</v>
          </cell>
          <cell r="F32">
            <v>7105850</v>
          </cell>
        </row>
        <row r="33">
          <cell r="D33">
            <v>7032</v>
          </cell>
          <cell r="E33">
            <v>3338950</v>
          </cell>
          <cell r="F33">
            <v>15293350</v>
          </cell>
        </row>
        <row r="34">
          <cell r="D34">
            <v>2613</v>
          </cell>
          <cell r="E34">
            <v>1187050</v>
          </cell>
          <cell r="F34">
            <v>5629150</v>
          </cell>
        </row>
        <row r="35">
          <cell r="D35">
            <v>8751</v>
          </cell>
          <cell r="E35">
            <v>4100200</v>
          </cell>
          <cell r="F35">
            <v>18976900</v>
          </cell>
        </row>
        <row r="36">
          <cell r="D36">
            <v>5087</v>
          </cell>
          <cell r="E36">
            <v>1995400</v>
          </cell>
          <cell r="F36">
            <v>10643300</v>
          </cell>
        </row>
        <row r="37">
          <cell r="D37">
            <v>6889</v>
          </cell>
          <cell r="E37">
            <v>3263400</v>
          </cell>
          <cell r="F37">
            <v>14974700</v>
          </cell>
        </row>
        <row r="38">
          <cell r="D38">
            <v>2065</v>
          </cell>
          <cell r="E38">
            <v>831300</v>
          </cell>
          <cell r="F38">
            <v>4341800</v>
          </cell>
        </row>
        <row r="39">
          <cell r="D39">
            <v>5641</v>
          </cell>
          <cell r="E39">
            <v>2423650</v>
          </cell>
          <cell r="F39">
            <v>12013350</v>
          </cell>
        </row>
        <row r="40">
          <cell r="D40">
            <v>7493</v>
          </cell>
          <cell r="E40">
            <v>2689600</v>
          </cell>
          <cell r="F40">
            <v>15427700</v>
          </cell>
        </row>
        <row r="41">
          <cell r="D41">
            <v>2421</v>
          </cell>
          <cell r="E41">
            <v>2153400</v>
          </cell>
          <cell r="F41">
            <v>6269100</v>
          </cell>
        </row>
        <row r="42">
          <cell r="D42">
            <v>2039</v>
          </cell>
          <cell r="E42">
            <v>546800</v>
          </cell>
          <cell r="F42">
            <v>4013100</v>
          </cell>
        </row>
        <row r="43">
          <cell r="D43">
            <v>5723</v>
          </cell>
          <cell r="E43">
            <v>1573500</v>
          </cell>
          <cell r="F43">
            <v>11302600</v>
          </cell>
        </row>
        <row r="44">
          <cell r="D44">
            <v>5441</v>
          </cell>
          <cell r="E44">
            <v>1843700</v>
          </cell>
          <cell r="F44">
            <v>11093400</v>
          </cell>
        </row>
        <row r="45">
          <cell r="D45">
            <v>6616</v>
          </cell>
          <cell r="E45">
            <v>1798801</v>
          </cell>
          <cell r="F45">
            <v>13046001</v>
          </cell>
        </row>
        <row r="46">
          <cell r="D46">
            <v>3496</v>
          </cell>
          <cell r="E46">
            <v>1621200</v>
          </cell>
          <cell r="F46">
            <v>7564400</v>
          </cell>
        </row>
        <row r="47">
          <cell r="D47">
            <v>3598</v>
          </cell>
          <cell r="E47">
            <v>2810800</v>
          </cell>
          <cell r="F47">
            <v>8927400</v>
          </cell>
        </row>
        <row r="48">
          <cell r="D48">
            <v>4249</v>
          </cell>
          <cell r="E48">
            <v>1590350</v>
          </cell>
          <cell r="F48">
            <v>8813650</v>
          </cell>
        </row>
        <row r="49">
          <cell r="D49">
            <v>2496</v>
          </cell>
          <cell r="E49">
            <v>923800</v>
          </cell>
          <cell r="F49">
            <v>5167000</v>
          </cell>
        </row>
        <row r="50">
          <cell r="D50">
            <v>4363</v>
          </cell>
          <cell r="E50">
            <v>2221100</v>
          </cell>
          <cell r="F50">
            <v>9638200</v>
          </cell>
        </row>
        <row r="51">
          <cell r="D51">
            <v>5634</v>
          </cell>
          <cell r="E51">
            <v>3237400</v>
          </cell>
          <cell r="F51">
            <v>12815200</v>
          </cell>
        </row>
        <row r="52">
          <cell r="D52">
            <v>2308</v>
          </cell>
          <cell r="E52">
            <v>1058500</v>
          </cell>
          <cell r="F52">
            <v>4982100</v>
          </cell>
        </row>
        <row r="53">
          <cell r="D53">
            <v>4659</v>
          </cell>
          <cell r="E53">
            <v>2351600</v>
          </cell>
          <cell r="F53">
            <v>10271900</v>
          </cell>
        </row>
        <row r="54">
          <cell r="D54">
            <v>8794</v>
          </cell>
          <cell r="E54">
            <v>3213600</v>
          </cell>
          <cell r="F54">
            <v>18163400</v>
          </cell>
        </row>
        <row r="55">
          <cell r="D55">
            <v>16659</v>
          </cell>
          <cell r="E55">
            <v>5282600</v>
          </cell>
          <cell r="F55">
            <v>33602900</v>
          </cell>
        </row>
        <row r="56">
          <cell r="D56">
            <v>27476</v>
          </cell>
          <cell r="E56">
            <v>9926000</v>
          </cell>
          <cell r="F56">
            <v>56635200</v>
          </cell>
        </row>
        <row r="57">
          <cell r="D57">
            <v>11885</v>
          </cell>
          <cell r="E57">
            <v>6631300</v>
          </cell>
          <cell r="F57">
            <v>26835800</v>
          </cell>
        </row>
        <row r="58">
          <cell r="D58">
            <v>44155</v>
          </cell>
          <cell r="E58">
            <v>18449500</v>
          </cell>
          <cell r="F58">
            <v>93513000</v>
          </cell>
        </row>
        <row r="59">
          <cell r="D59">
            <v>7659</v>
          </cell>
          <cell r="E59">
            <v>3091750</v>
          </cell>
          <cell r="F59">
            <v>16112050</v>
          </cell>
        </row>
        <row r="60">
          <cell r="D60">
            <v>9129</v>
          </cell>
          <cell r="E60">
            <v>3165700</v>
          </cell>
          <cell r="F60">
            <v>18685000</v>
          </cell>
        </row>
        <row r="61">
          <cell r="D61">
            <v>1912</v>
          </cell>
          <cell r="E61">
            <v>1251800</v>
          </cell>
          <cell r="F61">
            <v>4502200</v>
          </cell>
        </row>
        <row r="62">
          <cell r="D62">
            <v>1512</v>
          </cell>
          <cell r="E62">
            <v>329000</v>
          </cell>
          <cell r="F62">
            <v>2899400</v>
          </cell>
        </row>
        <row r="63">
          <cell r="D63">
            <v>2564</v>
          </cell>
          <cell r="E63">
            <v>786400</v>
          </cell>
          <cell r="F63">
            <v>5145200</v>
          </cell>
        </row>
        <row r="64">
          <cell r="D64">
            <v>3328</v>
          </cell>
          <cell r="E64">
            <v>940750</v>
          </cell>
          <cell r="F64">
            <v>6598350</v>
          </cell>
        </row>
        <row r="65">
          <cell r="D65">
            <v>3674</v>
          </cell>
          <cell r="E65">
            <v>1571100</v>
          </cell>
          <cell r="F65">
            <v>7816900</v>
          </cell>
        </row>
        <row r="66">
          <cell r="D66">
            <v>4191</v>
          </cell>
          <cell r="E66">
            <v>2011000</v>
          </cell>
          <cell r="F66">
            <v>9135700</v>
          </cell>
        </row>
        <row r="67">
          <cell r="D67">
            <v>2787</v>
          </cell>
          <cell r="E67">
            <v>1102000</v>
          </cell>
          <cell r="F67">
            <v>5839900</v>
          </cell>
        </row>
        <row r="68">
          <cell r="D68">
            <v>6679</v>
          </cell>
          <cell r="E68">
            <v>3402000</v>
          </cell>
          <cell r="F68">
            <v>14756300</v>
          </cell>
        </row>
        <row r="69">
          <cell r="D69">
            <v>6467</v>
          </cell>
          <cell r="E69">
            <v>2115000</v>
          </cell>
          <cell r="F69">
            <v>13108900</v>
          </cell>
        </row>
        <row r="70">
          <cell r="D70">
            <v>4380</v>
          </cell>
          <cell r="E70">
            <v>2019350</v>
          </cell>
          <cell r="F70">
            <v>9465350</v>
          </cell>
        </row>
        <row r="71">
          <cell r="D71">
            <v>3772</v>
          </cell>
          <cell r="E71">
            <v>2601200</v>
          </cell>
          <cell r="F71">
            <v>9013600</v>
          </cell>
        </row>
        <row r="72">
          <cell r="D72">
            <v>3730</v>
          </cell>
          <cell r="E72">
            <v>1948100</v>
          </cell>
          <cell r="F72">
            <v>8289100</v>
          </cell>
        </row>
        <row r="73">
          <cell r="D73">
            <v>1469</v>
          </cell>
          <cell r="E73">
            <v>776900</v>
          </cell>
          <cell r="F73">
            <v>3274200</v>
          </cell>
        </row>
        <row r="74">
          <cell r="D74">
            <v>0</v>
          </cell>
          <cell r="E74">
            <v>534000</v>
          </cell>
          <cell r="F74">
            <v>534000</v>
          </cell>
          <cell r="M74">
            <v>485069.88199999998</v>
          </cell>
        </row>
        <row r="75">
          <cell r="D75">
            <v>0</v>
          </cell>
          <cell r="E75">
            <v>1516000</v>
          </cell>
          <cell r="F75">
            <v>1516000</v>
          </cell>
        </row>
        <row r="76">
          <cell r="D76">
            <v>0</v>
          </cell>
          <cell r="E76">
            <v>229000</v>
          </cell>
          <cell r="F76">
            <v>229000</v>
          </cell>
        </row>
        <row r="77">
          <cell r="D77">
            <v>0</v>
          </cell>
          <cell r="E77">
            <v>176000</v>
          </cell>
          <cell r="F77">
            <v>176000</v>
          </cell>
        </row>
        <row r="78">
          <cell r="D78">
            <v>0</v>
          </cell>
          <cell r="E78">
            <v>321000</v>
          </cell>
          <cell r="F78">
            <v>321000</v>
          </cell>
        </row>
        <row r="79">
          <cell r="D79">
            <v>0</v>
          </cell>
          <cell r="E79">
            <v>1356000</v>
          </cell>
          <cell r="F79">
            <v>1356000</v>
          </cell>
        </row>
        <row r="80">
          <cell r="D80">
            <v>0</v>
          </cell>
          <cell r="E80">
            <v>1545000</v>
          </cell>
          <cell r="F80">
            <v>1545000</v>
          </cell>
        </row>
        <row r="81">
          <cell r="D81">
            <v>0</v>
          </cell>
          <cell r="E81">
            <v>1554000</v>
          </cell>
          <cell r="F81">
            <v>1554000</v>
          </cell>
        </row>
        <row r="82">
          <cell r="D82">
            <v>0</v>
          </cell>
          <cell r="E82">
            <v>1573000</v>
          </cell>
          <cell r="F82">
            <v>1573000</v>
          </cell>
        </row>
        <row r="83">
          <cell r="D83">
            <v>0</v>
          </cell>
          <cell r="E83">
            <v>550000</v>
          </cell>
          <cell r="F83">
            <v>550000</v>
          </cell>
        </row>
        <row r="84">
          <cell r="D84">
            <v>0</v>
          </cell>
          <cell r="E84">
            <v>871000</v>
          </cell>
          <cell r="F84">
            <v>871000</v>
          </cell>
        </row>
        <row r="85">
          <cell r="D85">
            <v>0</v>
          </cell>
          <cell r="E85">
            <v>1475000</v>
          </cell>
          <cell r="F85">
            <v>1475000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23000</v>
          </cell>
          <cell r="F87">
            <v>23000</v>
          </cell>
        </row>
        <row r="88">
          <cell r="D88">
            <v>0</v>
          </cell>
          <cell r="E88">
            <v>66000</v>
          </cell>
          <cell r="F88">
            <v>66000</v>
          </cell>
        </row>
        <row r="89">
          <cell r="D89">
            <v>0</v>
          </cell>
          <cell r="E89">
            <v>14000</v>
          </cell>
          <cell r="F89">
            <v>14000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107000</v>
          </cell>
          <cell r="F91">
            <v>107000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318</v>
          </cell>
          <cell r="E93">
            <v>1131500</v>
          </cell>
          <cell r="F93">
            <v>1672100</v>
          </cell>
        </row>
        <row r="94">
          <cell r="D94">
            <v>223</v>
          </cell>
          <cell r="E94">
            <v>1027400</v>
          </cell>
          <cell r="F94">
            <v>1406500</v>
          </cell>
        </row>
        <row r="95">
          <cell r="D95">
            <v>427</v>
          </cell>
          <cell r="E95">
            <v>905400</v>
          </cell>
          <cell r="F95">
            <v>1631300</v>
          </cell>
        </row>
        <row r="96">
          <cell r="D96">
            <v>302</v>
          </cell>
          <cell r="E96">
            <v>4184850</v>
          </cell>
          <cell r="F96">
            <v>4698250</v>
          </cell>
        </row>
        <row r="97">
          <cell r="D97">
            <v>250</v>
          </cell>
          <cell r="E97">
            <v>1984500</v>
          </cell>
          <cell r="F97">
            <v>2409500</v>
          </cell>
        </row>
        <row r="98">
          <cell r="D98">
            <v>317</v>
          </cell>
          <cell r="E98">
            <v>2215600</v>
          </cell>
          <cell r="F98">
            <v>2754500</v>
          </cell>
        </row>
        <row r="100">
          <cell r="E100">
            <v>36000</v>
          </cell>
          <cell r="F100">
            <v>36000</v>
          </cell>
        </row>
      </sheetData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3740</v>
          </cell>
          <cell r="E11">
            <v>2969400</v>
          </cell>
          <cell r="F11">
            <v>9327400</v>
          </cell>
        </row>
        <row r="12">
          <cell r="D12">
            <v>871</v>
          </cell>
          <cell r="E12">
            <v>702700</v>
          </cell>
          <cell r="F12">
            <v>2183400</v>
          </cell>
        </row>
        <row r="13">
          <cell r="D13">
            <v>894</v>
          </cell>
          <cell r="E13">
            <v>1241900</v>
          </cell>
          <cell r="F13">
            <v>2761700</v>
          </cell>
        </row>
        <row r="14">
          <cell r="D14">
            <v>19733</v>
          </cell>
          <cell r="E14">
            <v>15198350</v>
          </cell>
          <cell r="F14">
            <v>48744450</v>
          </cell>
        </row>
        <row r="15">
          <cell r="D15">
            <v>25546</v>
          </cell>
          <cell r="E15">
            <v>6830500</v>
          </cell>
          <cell r="F15">
            <v>50258700</v>
          </cell>
        </row>
        <row r="16">
          <cell r="D16">
            <v>2717</v>
          </cell>
          <cell r="E16">
            <v>1233400</v>
          </cell>
          <cell r="F16">
            <v>5852300</v>
          </cell>
        </row>
        <row r="17">
          <cell r="D17">
            <v>1506</v>
          </cell>
          <cell r="E17">
            <v>945900</v>
          </cell>
          <cell r="F17">
            <v>3506100</v>
          </cell>
        </row>
        <row r="18">
          <cell r="D18">
            <v>0</v>
          </cell>
          <cell r="E18">
            <v>0</v>
          </cell>
          <cell r="F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</row>
        <row r="20">
          <cell r="D20">
            <v>9585</v>
          </cell>
          <cell r="E20">
            <v>3458800</v>
          </cell>
          <cell r="F20">
            <v>19753300</v>
          </cell>
        </row>
        <row r="21">
          <cell r="D21">
            <v>15154</v>
          </cell>
          <cell r="E21">
            <v>7771450</v>
          </cell>
          <cell r="F21">
            <v>33533250</v>
          </cell>
        </row>
        <row r="22">
          <cell r="D22">
            <v>2883</v>
          </cell>
          <cell r="E22">
            <v>1025200</v>
          </cell>
          <cell r="F22">
            <v>5926300</v>
          </cell>
        </row>
        <row r="23">
          <cell r="D23">
            <v>3971</v>
          </cell>
          <cell r="E23">
            <v>1298250</v>
          </cell>
          <cell r="F23">
            <v>8048950</v>
          </cell>
        </row>
        <row r="24">
          <cell r="D24">
            <v>7582</v>
          </cell>
          <cell r="E24">
            <v>1982150</v>
          </cell>
          <cell r="F24">
            <v>14871550</v>
          </cell>
        </row>
        <row r="25">
          <cell r="D25">
            <v>6165</v>
          </cell>
          <cell r="E25">
            <v>3091500</v>
          </cell>
          <cell r="F25">
            <v>13572000</v>
          </cell>
        </row>
        <row r="26">
          <cell r="D26">
            <v>5060</v>
          </cell>
          <cell r="E26">
            <v>2859700</v>
          </cell>
          <cell r="F26">
            <v>11461700</v>
          </cell>
        </row>
        <row r="27">
          <cell r="D27">
            <v>1977</v>
          </cell>
          <cell r="E27">
            <v>1198100</v>
          </cell>
          <cell r="F27">
            <v>4559000</v>
          </cell>
        </row>
        <row r="28">
          <cell r="D28">
            <v>4683</v>
          </cell>
          <cell r="E28">
            <v>2991000</v>
          </cell>
          <cell r="F28">
            <v>10952100</v>
          </cell>
        </row>
        <row r="29">
          <cell r="D29">
            <v>5799</v>
          </cell>
          <cell r="E29">
            <v>2721350</v>
          </cell>
          <cell r="F29">
            <v>12579650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6044</v>
          </cell>
          <cell r="E31">
            <v>2939900</v>
          </cell>
          <cell r="F31">
            <v>13214700</v>
          </cell>
        </row>
        <row r="32">
          <cell r="D32">
            <v>3256</v>
          </cell>
          <cell r="E32">
            <v>1382350</v>
          </cell>
          <cell r="F32">
            <v>6917550</v>
          </cell>
        </row>
        <row r="33">
          <cell r="D33">
            <v>6371</v>
          </cell>
          <cell r="E33">
            <v>2644650</v>
          </cell>
          <cell r="F33">
            <v>13475350</v>
          </cell>
        </row>
        <row r="34">
          <cell r="D34">
            <v>2478</v>
          </cell>
          <cell r="E34">
            <v>1178450</v>
          </cell>
          <cell r="F34">
            <v>5391050</v>
          </cell>
        </row>
        <row r="35">
          <cell r="D35">
            <v>8574</v>
          </cell>
          <cell r="E35">
            <v>3308450</v>
          </cell>
          <cell r="F35">
            <v>17884250</v>
          </cell>
        </row>
        <row r="36">
          <cell r="D36">
            <v>5195</v>
          </cell>
          <cell r="E36">
            <v>2460700</v>
          </cell>
          <cell r="F36">
            <v>11292200</v>
          </cell>
        </row>
        <row r="37">
          <cell r="D37">
            <v>7029</v>
          </cell>
          <cell r="E37">
            <v>2825300</v>
          </cell>
          <cell r="F37">
            <v>14774600</v>
          </cell>
        </row>
        <row r="38">
          <cell r="D38">
            <v>2066</v>
          </cell>
          <cell r="E38">
            <v>779150</v>
          </cell>
          <cell r="F38">
            <v>4291350</v>
          </cell>
        </row>
        <row r="39">
          <cell r="D39">
            <v>5392</v>
          </cell>
          <cell r="E39">
            <v>1954500</v>
          </cell>
          <cell r="F39">
            <v>11120900</v>
          </cell>
        </row>
        <row r="40">
          <cell r="D40">
            <v>7502</v>
          </cell>
          <cell r="E40">
            <v>3897700</v>
          </cell>
          <cell r="F40">
            <v>16651100</v>
          </cell>
        </row>
        <row r="41">
          <cell r="D41">
            <v>2529</v>
          </cell>
          <cell r="E41">
            <v>1776050</v>
          </cell>
          <cell r="F41">
            <v>6075350</v>
          </cell>
        </row>
        <row r="42">
          <cell r="D42">
            <v>1953</v>
          </cell>
          <cell r="E42">
            <v>804600</v>
          </cell>
          <cell r="F42">
            <v>4124700</v>
          </cell>
        </row>
        <row r="43">
          <cell r="D43">
            <v>6124</v>
          </cell>
          <cell r="E43">
            <v>1756600</v>
          </cell>
          <cell r="F43">
            <v>12167400</v>
          </cell>
        </row>
        <row r="44">
          <cell r="D44">
            <v>5400</v>
          </cell>
          <cell r="E44">
            <v>2040800</v>
          </cell>
          <cell r="F44">
            <v>11220800</v>
          </cell>
        </row>
        <row r="45">
          <cell r="D45">
            <v>6184</v>
          </cell>
          <cell r="E45">
            <v>1968650</v>
          </cell>
          <cell r="F45">
            <v>12481450</v>
          </cell>
        </row>
        <row r="46">
          <cell r="D46">
            <v>3404</v>
          </cell>
          <cell r="E46">
            <v>1243600</v>
          </cell>
          <cell r="F46">
            <v>7030400</v>
          </cell>
        </row>
        <row r="47">
          <cell r="D47">
            <v>3885</v>
          </cell>
          <cell r="E47">
            <v>2038250</v>
          </cell>
          <cell r="F47">
            <v>8642750</v>
          </cell>
        </row>
        <row r="48">
          <cell r="D48">
            <v>4330</v>
          </cell>
          <cell r="E48">
            <v>1958600</v>
          </cell>
          <cell r="F48">
            <v>9319600</v>
          </cell>
        </row>
        <row r="49">
          <cell r="D49">
            <v>2637</v>
          </cell>
          <cell r="E49">
            <v>1294700</v>
          </cell>
          <cell r="F49">
            <v>5777600</v>
          </cell>
        </row>
        <row r="50">
          <cell r="D50">
            <v>4478</v>
          </cell>
          <cell r="E50">
            <v>2844200</v>
          </cell>
          <cell r="F50">
            <v>10456800</v>
          </cell>
        </row>
        <row r="51">
          <cell r="D51">
            <v>5621</v>
          </cell>
          <cell r="E51">
            <v>2757850</v>
          </cell>
          <cell r="F51">
            <v>12313550</v>
          </cell>
        </row>
        <row r="52">
          <cell r="D52">
            <v>2413</v>
          </cell>
          <cell r="E52">
            <v>1403000</v>
          </cell>
          <cell r="F52">
            <v>5505100</v>
          </cell>
        </row>
        <row r="53">
          <cell r="D53">
            <v>4686</v>
          </cell>
          <cell r="E53">
            <v>2209900</v>
          </cell>
          <cell r="F53">
            <v>10176100</v>
          </cell>
        </row>
        <row r="54">
          <cell r="D54">
            <v>9678</v>
          </cell>
          <cell r="E54">
            <v>3754600</v>
          </cell>
          <cell r="F54">
            <v>20207200</v>
          </cell>
        </row>
        <row r="55">
          <cell r="D55">
            <v>16603</v>
          </cell>
          <cell r="E55">
            <v>7059500</v>
          </cell>
          <cell r="F55">
            <v>35284600</v>
          </cell>
        </row>
        <row r="56">
          <cell r="D56">
            <v>29516</v>
          </cell>
          <cell r="E56">
            <v>14764500</v>
          </cell>
          <cell r="F56">
            <v>64941700</v>
          </cell>
        </row>
        <row r="57">
          <cell r="D57">
            <v>11187</v>
          </cell>
          <cell r="E57">
            <v>6389600</v>
          </cell>
          <cell r="F57">
            <v>25407500</v>
          </cell>
        </row>
        <row r="58">
          <cell r="D58">
            <v>45049</v>
          </cell>
          <cell r="E58">
            <v>20584900</v>
          </cell>
          <cell r="F58">
            <v>97168200</v>
          </cell>
        </row>
        <row r="59">
          <cell r="D59">
            <v>7821</v>
          </cell>
          <cell r="E59">
            <v>4039700</v>
          </cell>
          <cell r="F59">
            <v>17335400</v>
          </cell>
        </row>
        <row r="60">
          <cell r="D60">
            <v>9018</v>
          </cell>
          <cell r="E60">
            <v>3496200</v>
          </cell>
          <cell r="F60">
            <v>18826800</v>
          </cell>
        </row>
        <row r="61">
          <cell r="D61">
            <v>1861</v>
          </cell>
          <cell r="E61">
            <v>1201100</v>
          </cell>
          <cell r="F61">
            <v>4364800</v>
          </cell>
        </row>
        <row r="62">
          <cell r="D62">
            <v>1321</v>
          </cell>
          <cell r="E62">
            <v>536800</v>
          </cell>
          <cell r="F62">
            <v>2782500</v>
          </cell>
        </row>
        <row r="63">
          <cell r="D63">
            <v>2418</v>
          </cell>
          <cell r="E63">
            <v>673600</v>
          </cell>
          <cell r="F63">
            <v>4784200</v>
          </cell>
        </row>
        <row r="64">
          <cell r="D64">
            <v>3245</v>
          </cell>
          <cell r="E64">
            <v>928900</v>
          </cell>
          <cell r="F64">
            <v>6445400</v>
          </cell>
        </row>
        <row r="65">
          <cell r="D65">
            <v>3509</v>
          </cell>
          <cell r="E65">
            <v>1758950</v>
          </cell>
          <cell r="F65">
            <v>7724250</v>
          </cell>
        </row>
        <row r="66">
          <cell r="D66">
            <v>3937</v>
          </cell>
          <cell r="E66">
            <v>1749700</v>
          </cell>
          <cell r="F66">
            <v>8442600</v>
          </cell>
        </row>
        <row r="67">
          <cell r="D67">
            <v>2555</v>
          </cell>
          <cell r="E67">
            <v>912200</v>
          </cell>
          <cell r="F67">
            <v>5255700</v>
          </cell>
        </row>
        <row r="68">
          <cell r="D68">
            <v>6812</v>
          </cell>
          <cell r="E68">
            <v>2882900</v>
          </cell>
          <cell r="F68">
            <v>14463300</v>
          </cell>
        </row>
        <row r="69">
          <cell r="D69">
            <v>6077</v>
          </cell>
          <cell r="E69">
            <v>1854100</v>
          </cell>
          <cell r="F69">
            <v>12185000</v>
          </cell>
        </row>
        <row r="70">
          <cell r="D70">
            <v>4375</v>
          </cell>
          <cell r="E70">
            <v>2011000</v>
          </cell>
          <cell r="F70">
            <v>9448500</v>
          </cell>
        </row>
        <row r="71">
          <cell r="D71">
            <v>3923</v>
          </cell>
          <cell r="E71">
            <v>2591600</v>
          </cell>
          <cell r="F71">
            <v>9260700</v>
          </cell>
        </row>
        <row r="72">
          <cell r="D72">
            <v>3879</v>
          </cell>
          <cell r="E72">
            <v>1534950</v>
          </cell>
          <cell r="F72">
            <v>8129250</v>
          </cell>
        </row>
        <row r="73">
          <cell r="D73">
            <v>1437</v>
          </cell>
          <cell r="E73">
            <v>621800</v>
          </cell>
          <cell r="F73">
            <v>3064700</v>
          </cell>
        </row>
        <row r="74">
          <cell r="D74">
            <v>0</v>
          </cell>
          <cell r="E74">
            <v>956000</v>
          </cell>
          <cell r="F74">
            <v>956000</v>
          </cell>
          <cell r="M74">
            <v>526335.02899999998</v>
          </cell>
        </row>
        <row r="75">
          <cell r="D75">
            <v>0</v>
          </cell>
          <cell r="E75">
            <v>1425000</v>
          </cell>
          <cell r="F75">
            <v>1425000</v>
          </cell>
        </row>
        <row r="76">
          <cell r="D76">
            <v>0</v>
          </cell>
          <cell r="E76">
            <v>698000</v>
          </cell>
          <cell r="F76">
            <v>698000</v>
          </cell>
        </row>
        <row r="77">
          <cell r="D77">
            <v>0</v>
          </cell>
          <cell r="E77">
            <v>917000</v>
          </cell>
          <cell r="F77">
            <v>917000</v>
          </cell>
        </row>
        <row r="78">
          <cell r="D78">
            <v>0</v>
          </cell>
          <cell r="E78">
            <v>589000</v>
          </cell>
          <cell r="F78">
            <v>589000</v>
          </cell>
        </row>
        <row r="79">
          <cell r="D79">
            <v>0</v>
          </cell>
          <cell r="E79">
            <v>1523000</v>
          </cell>
          <cell r="F79">
            <v>1523000</v>
          </cell>
        </row>
        <row r="80">
          <cell r="D80">
            <v>0</v>
          </cell>
          <cell r="E80">
            <v>2029000</v>
          </cell>
          <cell r="F80">
            <v>2029000</v>
          </cell>
        </row>
        <row r="81">
          <cell r="D81">
            <v>0</v>
          </cell>
          <cell r="E81">
            <v>1770000</v>
          </cell>
          <cell r="F81">
            <v>1770000</v>
          </cell>
        </row>
        <row r="82">
          <cell r="D82">
            <v>0</v>
          </cell>
          <cell r="E82">
            <v>1822000</v>
          </cell>
          <cell r="F82">
            <v>1822000</v>
          </cell>
        </row>
        <row r="83">
          <cell r="D83">
            <v>0</v>
          </cell>
          <cell r="E83">
            <v>387000</v>
          </cell>
          <cell r="F83">
            <v>387000</v>
          </cell>
        </row>
        <row r="84">
          <cell r="D84">
            <v>0</v>
          </cell>
          <cell r="E84">
            <v>827000</v>
          </cell>
          <cell r="F84">
            <v>827000</v>
          </cell>
        </row>
        <row r="85">
          <cell r="D85">
            <v>0</v>
          </cell>
          <cell r="E85">
            <v>1833000</v>
          </cell>
          <cell r="F85">
            <v>1833000</v>
          </cell>
        </row>
        <row r="86">
          <cell r="D86">
            <v>0</v>
          </cell>
          <cell r="E86">
            <v>2000</v>
          </cell>
          <cell r="F86">
            <v>2000</v>
          </cell>
        </row>
        <row r="87">
          <cell r="D87">
            <v>0</v>
          </cell>
          <cell r="E87">
            <v>22000</v>
          </cell>
          <cell r="F87">
            <v>22000</v>
          </cell>
        </row>
        <row r="88">
          <cell r="D88">
            <v>0</v>
          </cell>
          <cell r="E88">
            <v>59000</v>
          </cell>
          <cell r="F88">
            <v>59000</v>
          </cell>
        </row>
        <row r="89">
          <cell r="D89">
            <v>0</v>
          </cell>
          <cell r="E89">
            <v>10000</v>
          </cell>
          <cell r="F89">
            <v>10000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131</v>
          </cell>
          <cell r="E93">
            <v>1117700</v>
          </cell>
          <cell r="F93">
            <v>1340400</v>
          </cell>
        </row>
        <row r="94">
          <cell r="D94">
            <v>150</v>
          </cell>
          <cell r="E94">
            <v>1137500</v>
          </cell>
          <cell r="F94">
            <v>1392500</v>
          </cell>
        </row>
        <row r="95">
          <cell r="D95">
            <v>148</v>
          </cell>
          <cell r="E95">
            <v>1550700</v>
          </cell>
          <cell r="F95">
            <v>1802300</v>
          </cell>
        </row>
        <row r="96">
          <cell r="D96">
            <v>374</v>
          </cell>
          <cell r="E96">
            <v>4560450</v>
          </cell>
          <cell r="F96">
            <v>5196250</v>
          </cell>
        </row>
        <row r="97">
          <cell r="D97">
            <v>384</v>
          </cell>
          <cell r="E97">
            <v>1752800</v>
          </cell>
          <cell r="F97">
            <v>2405600</v>
          </cell>
        </row>
        <row r="98">
          <cell r="D98">
            <v>451</v>
          </cell>
          <cell r="E98">
            <v>3142000</v>
          </cell>
          <cell r="F98">
            <v>3908700</v>
          </cell>
        </row>
        <row r="100">
          <cell r="E100">
            <v>136000</v>
          </cell>
          <cell r="F100">
            <v>136000</v>
          </cell>
        </row>
      </sheetData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2479</v>
          </cell>
          <cell r="E11">
            <v>2194100</v>
          </cell>
          <cell r="F11">
            <v>6408400</v>
          </cell>
        </row>
        <row r="12">
          <cell r="D12">
            <v>2088</v>
          </cell>
          <cell r="E12">
            <v>1684700</v>
          </cell>
          <cell r="F12">
            <v>5234300</v>
          </cell>
        </row>
        <row r="13">
          <cell r="D13">
            <v>825</v>
          </cell>
          <cell r="E13">
            <v>651700</v>
          </cell>
          <cell r="F13">
            <v>2054200</v>
          </cell>
        </row>
        <row r="14">
          <cell r="D14">
            <v>21466</v>
          </cell>
          <cell r="E14">
            <v>12579380</v>
          </cell>
          <cell r="F14">
            <v>49071580</v>
          </cell>
        </row>
        <row r="15">
          <cell r="D15">
            <v>26281</v>
          </cell>
          <cell r="E15">
            <v>5592050</v>
          </cell>
          <cell r="F15">
            <v>50269750</v>
          </cell>
        </row>
        <row r="16">
          <cell r="D16">
            <v>3679</v>
          </cell>
          <cell r="E16">
            <v>1343500</v>
          </cell>
          <cell r="F16">
            <v>7597800</v>
          </cell>
        </row>
        <row r="17">
          <cell r="D17">
            <v>1767</v>
          </cell>
          <cell r="E17">
            <v>524400</v>
          </cell>
          <cell r="F17">
            <v>3528300</v>
          </cell>
        </row>
        <row r="18">
          <cell r="D18">
            <v>0</v>
          </cell>
          <cell r="E18">
            <v>0</v>
          </cell>
          <cell r="F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</row>
        <row r="20">
          <cell r="D20">
            <v>9049</v>
          </cell>
          <cell r="E20">
            <v>2639350</v>
          </cell>
          <cell r="F20">
            <v>18022650</v>
          </cell>
        </row>
        <row r="21">
          <cell r="D21">
            <v>13486</v>
          </cell>
          <cell r="E21">
            <v>6643000</v>
          </cell>
          <cell r="F21">
            <v>29569200</v>
          </cell>
        </row>
        <row r="22">
          <cell r="D22">
            <v>2828</v>
          </cell>
          <cell r="E22">
            <v>921500</v>
          </cell>
          <cell r="F22">
            <v>5729100</v>
          </cell>
        </row>
        <row r="23">
          <cell r="D23">
            <v>3990</v>
          </cell>
          <cell r="E23">
            <v>1240900</v>
          </cell>
          <cell r="F23">
            <v>8023900</v>
          </cell>
        </row>
        <row r="24">
          <cell r="D24">
            <v>7238</v>
          </cell>
          <cell r="E24">
            <v>1709550</v>
          </cell>
          <cell r="F24">
            <v>14014150</v>
          </cell>
        </row>
        <row r="25">
          <cell r="D25">
            <v>6072</v>
          </cell>
          <cell r="E25">
            <v>1937400</v>
          </cell>
          <cell r="F25">
            <v>12259800</v>
          </cell>
        </row>
        <row r="26">
          <cell r="D26">
            <v>5278</v>
          </cell>
          <cell r="E26">
            <v>2312600</v>
          </cell>
          <cell r="F26">
            <v>11285200</v>
          </cell>
        </row>
        <row r="27">
          <cell r="D27">
            <v>2015</v>
          </cell>
          <cell r="E27">
            <v>1165700</v>
          </cell>
          <cell r="F27">
            <v>4591200</v>
          </cell>
        </row>
        <row r="28">
          <cell r="D28">
            <v>4250</v>
          </cell>
          <cell r="E28">
            <v>2353400</v>
          </cell>
          <cell r="F28">
            <v>9578400</v>
          </cell>
        </row>
        <row r="29">
          <cell r="D29">
            <v>5557</v>
          </cell>
          <cell r="E29">
            <v>2273750</v>
          </cell>
          <cell r="F29">
            <v>11720650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5723</v>
          </cell>
          <cell r="E31">
            <v>2018300</v>
          </cell>
          <cell r="F31">
            <v>11747400</v>
          </cell>
        </row>
        <row r="32">
          <cell r="D32">
            <v>3094</v>
          </cell>
          <cell r="E32">
            <v>1042300</v>
          </cell>
          <cell r="F32">
            <v>6302100</v>
          </cell>
        </row>
        <row r="33">
          <cell r="D33">
            <v>6584</v>
          </cell>
          <cell r="E33">
            <v>2482800</v>
          </cell>
          <cell r="F33">
            <v>13675600</v>
          </cell>
        </row>
        <row r="34">
          <cell r="D34">
            <v>2427</v>
          </cell>
          <cell r="E34">
            <v>1320300</v>
          </cell>
          <cell r="F34">
            <v>5446200</v>
          </cell>
        </row>
        <row r="35">
          <cell r="D35">
            <v>8285</v>
          </cell>
          <cell r="E35">
            <v>3344000</v>
          </cell>
          <cell r="F35">
            <v>17428500</v>
          </cell>
        </row>
        <row r="36">
          <cell r="D36">
            <v>4813</v>
          </cell>
          <cell r="E36">
            <v>2032700</v>
          </cell>
          <cell r="F36">
            <v>10214800</v>
          </cell>
        </row>
        <row r="37">
          <cell r="D37">
            <v>6756</v>
          </cell>
          <cell r="E37">
            <v>2466350</v>
          </cell>
          <cell r="F37">
            <v>13951550</v>
          </cell>
        </row>
        <row r="38">
          <cell r="D38">
            <v>2066</v>
          </cell>
          <cell r="E38">
            <v>689600</v>
          </cell>
          <cell r="F38">
            <v>4201800</v>
          </cell>
        </row>
        <row r="39">
          <cell r="D39">
            <v>5143</v>
          </cell>
          <cell r="E39">
            <v>1294700</v>
          </cell>
          <cell r="F39">
            <v>10037800</v>
          </cell>
        </row>
        <row r="40">
          <cell r="D40">
            <v>7313</v>
          </cell>
          <cell r="E40">
            <v>3076100</v>
          </cell>
          <cell r="F40">
            <v>15508200</v>
          </cell>
        </row>
        <row r="41">
          <cell r="D41">
            <v>2509</v>
          </cell>
          <cell r="E41">
            <v>1110350</v>
          </cell>
          <cell r="F41">
            <v>5375650</v>
          </cell>
        </row>
        <row r="42">
          <cell r="D42">
            <v>1917</v>
          </cell>
          <cell r="E42">
            <v>611300</v>
          </cell>
          <cell r="F42">
            <v>3870200</v>
          </cell>
        </row>
        <row r="43">
          <cell r="D43">
            <v>5230</v>
          </cell>
          <cell r="E43">
            <v>1486500</v>
          </cell>
          <cell r="F43">
            <v>10377500</v>
          </cell>
        </row>
        <row r="44">
          <cell r="D44">
            <v>5054</v>
          </cell>
          <cell r="E44">
            <v>1557400</v>
          </cell>
          <cell r="F44">
            <v>10149200</v>
          </cell>
        </row>
        <row r="45">
          <cell r="D45">
            <v>5704</v>
          </cell>
          <cell r="E45">
            <v>1969600</v>
          </cell>
          <cell r="F45">
            <v>11666400</v>
          </cell>
        </row>
        <row r="46">
          <cell r="D46">
            <v>3355</v>
          </cell>
          <cell r="E46">
            <v>1091300</v>
          </cell>
          <cell r="F46">
            <v>6794800</v>
          </cell>
        </row>
        <row r="47">
          <cell r="D47">
            <v>3444</v>
          </cell>
          <cell r="E47">
            <v>1965800</v>
          </cell>
          <cell r="F47">
            <v>7820600</v>
          </cell>
        </row>
        <row r="48">
          <cell r="D48">
            <v>4139</v>
          </cell>
          <cell r="E48">
            <v>1366850</v>
          </cell>
          <cell r="F48">
            <v>8403150</v>
          </cell>
        </row>
        <row r="49">
          <cell r="D49">
            <v>2296</v>
          </cell>
          <cell r="E49">
            <v>928100</v>
          </cell>
          <cell r="F49">
            <v>4831300</v>
          </cell>
        </row>
        <row r="50">
          <cell r="D50">
            <v>4296</v>
          </cell>
          <cell r="E50">
            <v>1715150</v>
          </cell>
          <cell r="F50">
            <v>9018350</v>
          </cell>
        </row>
        <row r="51">
          <cell r="D51">
            <v>5694</v>
          </cell>
          <cell r="E51">
            <v>2578650</v>
          </cell>
          <cell r="F51">
            <v>12258450</v>
          </cell>
        </row>
        <row r="52">
          <cell r="D52">
            <v>2098</v>
          </cell>
          <cell r="E52">
            <v>1734600</v>
          </cell>
          <cell r="F52">
            <v>5301200</v>
          </cell>
        </row>
        <row r="53">
          <cell r="D53">
            <v>4691</v>
          </cell>
          <cell r="E53">
            <v>1565000</v>
          </cell>
          <cell r="F53">
            <v>9539700</v>
          </cell>
        </row>
        <row r="54">
          <cell r="D54">
            <v>8428</v>
          </cell>
          <cell r="E54">
            <v>3003300</v>
          </cell>
          <cell r="F54">
            <v>17330900</v>
          </cell>
        </row>
        <row r="55">
          <cell r="D55">
            <v>15420</v>
          </cell>
          <cell r="E55">
            <v>4905800</v>
          </cell>
          <cell r="F55">
            <v>31119800</v>
          </cell>
        </row>
        <row r="56">
          <cell r="D56">
            <v>28417</v>
          </cell>
          <cell r="E56">
            <v>11737900</v>
          </cell>
          <cell r="F56">
            <v>60046800</v>
          </cell>
        </row>
        <row r="57">
          <cell r="D57">
            <v>10751</v>
          </cell>
          <cell r="E57">
            <v>5042250</v>
          </cell>
          <cell r="F57">
            <v>23318950</v>
          </cell>
        </row>
        <row r="58">
          <cell r="D58">
            <v>41840</v>
          </cell>
          <cell r="E58">
            <v>16451950</v>
          </cell>
          <cell r="F58">
            <v>87579950</v>
          </cell>
        </row>
        <row r="59">
          <cell r="D59">
            <v>7423</v>
          </cell>
          <cell r="E59">
            <v>3135500</v>
          </cell>
          <cell r="F59">
            <v>15754600</v>
          </cell>
        </row>
        <row r="60">
          <cell r="D60">
            <v>8473</v>
          </cell>
          <cell r="E60">
            <v>2936700</v>
          </cell>
          <cell r="F60">
            <v>17340800</v>
          </cell>
        </row>
        <row r="61">
          <cell r="D61">
            <v>1831</v>
          </cell>
          <cell r="E61">
            <v>994100</v>
          </cell>
          <cell r="F61">
            <v>4106800</v>
          </cell>
        </row>
        <row r="62">
          <cell r="D62">
            <v>1259</v>
          </cell>
          <cell r="E62">
            <v>392700</v>
          </cell>
          <cell r="F62">
            <v>2533000</v>
          </cell>
        </row>
        <row r="63">
          <cell r="D63">
            <v>2144</v>
          </cell>
          <cell r="E63">
            <v>592000</v>
          </cell>
          <cell r="F63">
            <v>4236800</v>
          </cell>
        </row>
        <row r="64">
          <cell r="D64">
            <v>3238</v>
          </cell>
          <cell r="E64">
            <v>806550</v>
          </cell>
          <cell r="F64">
            <v>6311150</v>
          </cell>
        </row>
        <row r="65">
          <cell r="D65">
            <v>3588</v>
          </cell>
          <cell r="E65">
            <v>1029200</v>
          </cell>
          <cell r="F65">
            <v>7128800</v>
          </cell>
        </row>
        <row r="66">
          <cell r="D66">
            <v>3895</v>
          </cell>
          <cell r="E66">
            <v>1324900</v>
          </cell>
          <cell r="F66">
            <v>7946400</v>
          </cell>
        </row>
        <row r="67">
          <cell r="D67">
            <v>2481</v>
          </cell>
          <cell r="E67">
            <v>639150</v>
          </cell>
          <cell r="F67">
            <v>4856850</v>
          </cell>
        </row>
        <row r="68">
          <cell r="D68">
            <v>6425</v>
          </cell>
          <cell r="E68">
            <v>2645600</v>
          </cell>
          <cell r="F68">
            <v>13568100</v>
          </cell>
        </row>
        <row r="69">
          <cell r="D69">
            <v>5449</v>
          </cell>
          <cell r="E69">
            <v>1855000</v>
          </cell>
          <cell r="F69">
            <v>11118300</v>
          </cell>
        </row>
        <row r="70">
          <cell r="D70">
            <v>4060</v>
          </cell>
          <cell r="E70">
            <v>1545100</v>
          </cell>
          <cell r="F70">
            <v>8447100</v>
          </cell>
        </row>
        <row r="71">
          <cell r="D71">
            <v>3536</v>
          </cell>
          <cell r="E71">
            <v>1748850</v>
          </cell>
          <cell r="F71">
            <v>7760050</v>
          </cell>
        </row>
        <row r="72">
          <cell r="D72">
            <v>3542</v>
          </cell>
          <cell r="E72">
            <v>1493600</v>
          </cell>
          <cell r="F72">
            <v>7515000</v>
          </cell>
        </row>
        <row r="73">
          <cell r="D73">
            <v>1341</v>
          </cell>
          <cell r="E73">
            <v>697600</v>
          </cell>
          <cell r="F73">
            <v>2977300</v>
          </cell>
        </row>
        <row r="74">
          <cell r="D74">
            <v>0</v>
          </cell>
          <cell r="E74">
            <v>820000</v>
          </cell>
          <cell r="F74">
            <v>820000</v>
          </cell>
          <cell r="M74">
            <v>498464.54700000002</v>
          </cell>
        </row>
        <row r="75">
          <cell r="D75">
            <v>0</v>
          </cell>
          <cell r="E75">
            <v>827000</v>
          </cell>
          <cell r="F75">
            <v>827000</v>
          </cell>
        </row>
        <row r="76">
          <cell r="D76">
            <v>0</v>
          </cell>
          <cell r="E76">
            <v>1000</v>
          </cell>
          <cell r="F76">
            <v>1000</v>
          </cell>
        </row>
        <row r="77">
          <cell r="D77">
            <v>0</v>
          </cell>
          <cell r="E77">
            <v>563000</v>
          </cell>
          <cell r="F77">
            <v>563000</v>
          </cell>
        </row>
        <row r="78">
          <cell r="D78">
            <v>0</v>
          </cell>
          <cell r="E78">
            <v>472000</v>
          </cell>
          <cell r="F78">
            <v>472000</v>
          </cell>
        </row>
        <row r="79">
          <cell r="D79">
            <v>0</v>
          </cell>
          <cell r="E79">
            <v>1054000</v>
          </cell>
          <cell r="F79">
            <v>1054000</v>
          </cell>
        </row>
        <row r="80">
          <cell r="D80">
            <v>0</v>
          </cell>
          <cell r="E80">
            <v>1577000</v>
          </cell>
          <cell r="F80">
            <v>1577000</v>
          </cell>
        </row>
        <row r="81">
          <cell r="D81">
            <v>0</v>
          </cell>
          <cell r="E81">
            <v>1334000</v>
          </cell>
          <cell r="F81">
            <v>1334000</v>
          </cell>
        </row>
        <row r="82">
          <cell r="D82">
            <v>0</v>
          </cell>
          <cell r="E82">
            <v>1629000</v>
          </cell>
          <cell r="F82">
            <v>1629000</v>
          </cell>
        </row>
        <row r="83">
          <cell r="D83">
            <v>0</v>
          </cell>
          <cell r="E83">
            <v>792000</v>
          </cell>
          <cell r="F83">
            <v>792000</v>
          </cell>
        </row>
        <row r="84">
          <cell r="D84">
            <v>0</v>
          </cell>
          <cell r="E84">
            <v>746000</v>
          </cell>
          <cell r="F84">
            <v>746000</v>
          </cell>
        </row>
        <row r="85">
          <cell r="D85">
            <v>0</v>
          </cell>
          <cell r="E85">
            <v>1564000</v>
          </cell>
          <cell r="F85">
            <v>1564000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17000</v>
          </cell>
          <cell r="F87">
            <v>17000</v>
          </cell>
        </row>
        <row r="88">
          <cell r="D88">
            <v>0</v>
          </cell>
          <cell r="E88">
            <v>62000</v>
          </cell>
          <cell r="F88">
            <v>62000</v>
          </cell>
        </row>
        <row r="89">
          <cell r="D89">
            <v>0</v>
          </cell>
          <cell r="E89">
            <v>15000</v>
          </cell>
          <cell r="F89">
            <v>15000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17068000</v>
          </cell>
          <cell r="F91">
            <v>17068000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241</v>
          </cell>
          <cell r="E93">
            <v>1588400</v>
          </cell>
          <cell r="F93">
            <v>1998100</v>
          </cell>
        </row>
        <row r="94">
          <cell r="D94">
            <v>218</v>
          </cell>
          <cell r="E94">
            <v>2395000</v>
          </cell>
          <cell r="F94">
            <v>2765600</v>
          </cell>
        </row>
        <row r="95">
          <cell r="D95">
            <v>606</v>
          </cell>
          <cell r="E95">
            <v>2188900</v>
          </cell>
          <cell r="F95">
            <v>3219100</v>
          </cell>
        </row>
        <row r="96">
          <cell r="D96">
            <v>175</v>
          </cell>
          <cell r="E96">
            <v>3307750</v>
          </cell>
          <cell r="F96">
            <v>3605250</v>
          </cell>
        </row>
        <row r="97">
          <cell r="D97">
            <v>212</v>
          </cell>
          <cell r="E97">
            <v>2084600</v>
          </cell>
          <cell r="F97">
            <v>2445000</v>
          </cell>
        </row>
        <row r="98">
          <cell r="D98">
            <v>89</v>
          </cell>
          <cell r="E98">
            <v>744900</v>
          </cell>
          <cell r="F98">
            <v>896200</v>
          </cell>
        </row>
        <row r="100">
          <cell r="E100">
            <v>43000</v>
          </cell>
          <cell r="F100">
            <v>43000</v>
          </cell>
        </row>
      </sheetData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4660</v>
          </cell>
          <cell r="E11">
            <v>2076000</v>
          </cell>
          <cell r="F11">
            <v>9998000</v>
          </cell>
        </row>
        <row r="12">
          <cell r="D12">
            <v>1677</v>
          </cell>
          <cell r="E12">
            <v>1099900</v>
          </cell>
          <cell r="F12">
            <v>3950800</v>
          </cell>
        </row>
        <row r="13">
          <cell r="D13">
            <v>965</v>
          </cell>
          <cell r="E13">
            <v>633600</v>
          </cell>
          <cell r="F13">
            <v>2274100</v>
          </cell>
        </row>
        <row r="14">
          <cell r="D14">
            <v>34080</v>
          </cell>
          <cell r="E14">
            <v>12729400</v>
          </cell>
          <cell r="F14">
            <v>70665400</v>
          </cell>
        </row>
        <row r="15">
          <cell r="D15">
            <v>20198</v>
          </cell>
          <cell r="E15">
            <v>3213250</v>
          </cell>
          <cell r="F15">
            <v>37549850</v>
          </cell>
        </row>
        <row r="16">
          <cell r="D16">
            <v>4802</v>
          </cell>
          <cell r="E16">
            <v>1319800</v>
          </cell>
          <cell r="F16">
            <v>9483200</v>
          </cell>
        </row>
        <row r="17">
          <cell r="D17">
            <v>3152</v>
          </cell>
          <cell r="E17">
            <v>689400</v>
          </cell>
          <cell r="F17">
            <v>6047800</v>
          </cell>
        </row>
        <row r="18">
          <cell r="D18">
            <v>7202</v>
          </cell>
          <cell r="E18">
            <v>1473550</v>
          </cell>
          <cell r="F18">
            <v>13716950</v>
          </cell>
        </row>
        <row r="19">
          <cell r="D19">
            <v>3735</v>
          </cell>
          <cell r="E19">
            <v>984800</v>
          </cell>
          <cell r="F19">
            <v>7334300</v>
          </cell>
        </row>
        <row r="20">
          <cell r="D20">
            <v>2299</v>
          </cell>
          <cell r="E20">
            <v>1055300</v>
          </cell>
          <cell r="F20">
            <v>4963600</v>
          </cell>
        </row>
        <row r="21">
          <cell r="D21">
            <v>9013</v>
          </cell>
          <cell r="E21">
            <v>3913100</v>
          </cell>
          <cell r="F21">
            <v>19235200</v>
          </cell>
        </row>
        <row r="22">
          <cell r="D22">
            <v>2584</v>
          </cell>
          <cell r="E22">
            <v>834400</v>
          </cell>
          <cell r="F22">
            <v>5227200</v>
          </cell>
        </row>
        <row r="23">
          <cell r="D23">
            <v>3983</v>
          </cell>
          <cell r="E23">
            <v>908400</v>
          </cell>
          <cell r="F23">
            <v>7679500</v>
          </cell>
        </row>
        <row r="24">
          <cell r="D24">
            <v>6636</v>
          </cell>
          <cell r="E24">
            <v>1383400</v>
          </cell>
          <cell r="F24">
            <v>12664600</v>
          </cell>
        </row>
        <row r="25">
          <cell r="D25">
            <v>5959</v>
          </cell>
          <cell r="E25">
            <v>1806400</v>
          </cell>
          <cell r="F25">
            <v>11936700</v>
          </cell>
        </row>
        <row r="26">
          <cell r="D26">
            <v>5768</v>
          </cell>
          <cell r="E26">
            <v>2121700</v>
          </cell>
          <cell r="F26">
            <v>11927300</v>
          </cell>
        </row>
        <row r="27">
          <cell r="D27">
            <v>1683</v>
          </cell>
          <cell r="E27">
            <v>708500</v>
          </cell>
          <cell r="F27">
            <v>3569600</v>
          </cell>
        </row>
        <row r="28">
          <cell r="D28">
            <v>3909</v>
          </cell>
          <cell r="E28">
            <v>1365800</v>
          </cell>
          <cell r="F28">
            <v>8011100</v>
          </cell>
        </row>
        <row r="29">
          <cell r="D29">
            <v>5080</v>
          </cell>
          <cell r="E29">
            <v>1666300</v>
          </cell>
          <cell r="F29">
            <v>10302300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5645</v>
          </cell>
          <cell r="E31">
            <v>1879700</v>
          </cell>
          <cell r="F31">
            <v>11476200</v>
          </cell>
        </row>
        <row r="32">
          <cell r="D32">
            <v>3295</v>
          </cell>
          <cell r="E32">
            <v>1094900</v>
          </cell>
          <cell r="F32">
            <v>6696400</v>
          </cell>
        </row>
        <row r="33">
          <cell r="D33">
            <v>6092</v>
          </cell>
          <cell r="E33">
            <v>2140750</v>
          </cell>
          <cell r="F33">
            <v>12497150</v>
          </cell>
        </row>
        <row r="34">
          <cell r="D34">
            <v>2126</v>
          </cell>
          <cell r="E34">
            <v>847500</v>
          </cell>
          <cell r="F34">
            <v>4461700</v>
          </cell>
        </row>
        <row r="35">
          <cell r="D35">
            <v>7739</v>
          </cell>
          <cell r="E35">
            <v>2930000</v>
          </cell>
          <cell r="F35">
            <v>16086300</v>
          </cell>
        </row>
        <row r="36">
          <cell r="D36">
            <v>4590</v>
          </cell>
          <cell r="E36">
            <v>1254450</v>
          </cell>
          <cell r="F36">
            <v>9057450</v>
          </cell>
        </row>
        <row r="37">
          <cell r="D37">
            <v>6347</v>
          </cell>
          <cell r="E37">
            <v>1900900</v>
          </cell>
          <cell r="F37">
            <v>12690800</v>
          </cell>
        </row>
        <row r="38">
          <cell r="D38">
            <v>1773</v>
          </cell>
          <cell r="E38">
            <v>521800</v>
          </cell>
          <cell r="F38">
            <v>3535900</v>
          </cell>
        </row>
        <row r="39">
          <cell r="D39">
            <v>4751</v>
          </cell>
          <cell r="E39">
            <v>1155100</v>
          </cell>
          <cell r="F39">
            <v>9231800</v>
          </cell>
        </row>
        <row r="40">
          <cell r="D40">
            <v>6826</v>
          </cell>
          <cell r="E40">
            <v>2580200</v>
          </cell>
          <cell r="F40">
            <v>14184400</v>
          </cell>
        </row>
        <row r="41">
          <cell r="D41">
            <v>2304</v>
          </cell>
          <cell r="E41">
            <v>975700</v>
          </cell>
          <cell r="F41">
            <v>4892500</v>
          </cell>
        </row>
        <row r="42">
          <cell r="D42">
            <v>1708</v>
          </cell>
          <cell r="E42">
            <v>516400</v>
          </cell>
          <cell r="F42">
            <v>3420000</v>
          </cell>
        </row>
        <row r="43">
          <cell r="D43">
            <v>4951</v>
          </cell>
          <cell r="E43">
            <v>1200200</v>
          </cell>
          <cell r="F43">
            <v>9616900</v>
          </cell>
        </row>
        <row r="44">
          <cell r="D44">
            <v>5009</v>
          </cell>
          <cell r="E44">
            <v>1060900</v>
          </cell>
          <cell r="F44">
            <v>9576200</v>
          </cell>
        </row>
        <row r="45">
          <cell r="D45">
            <v>5322</v>
          </cell>
          <cell r="E45">
            <v>1647000</v>
          </cell>
          <cell r="F45">
            <v>10694400</v>
          </cell>
        </row>
        <row r="46">
          <cell r="D46">
            <v>3093</v>
          </cell>
          <cell r="E46">
            <v>904800</v>
          </cell>
          <cell r="F46">
            <v>6162900</v>
          </cell>
        </row>
        <row r="47">
          <cell r="D47">
            <v>3446</v>
          </cell>
          <cell r="E47">
            <v>1655450</v>
          </cell>
          <cell r="F47">
            <v>7513650</v>
          </cell>
        </row>
        <row r="48">
          <cell r="D48">
            <v>3585</v>
          </cell>
          <cell r="E48">
            <v>1288600</v>
          </cell>
          <cell r="F48">
            <v>7383100</v>
          </cell>
        </row>
        <row r="49">
          <cell r="D49">
            <v>2183</v>
          </cell>
          <cell r="E49">
            <v>673700</v>
          </cell>
          <cell r="F49">
            <v>4384800</v>
          </cell>
        </row>
        <row r="50">
          <cell r="D50">
            <v>3935</v>
          </cell>
          <cell r="E50">
            <v>1321800</v>
          </cell>
          <cell r="F50">
            <v>8011300</v>
          </cell>
        </row>
        <row r="51">
          <cell r="D51">
            <v>5058</v>
          </cell>
          <cell r="E51">
            <v>1538300</v>
          </cell>
          <cell r="F51">
            <v>10136900</v>
          </cell>
        </row>
        <row r="52">
          <cell r="D52">
            <v>1914</v>
          </cell>
          <cell r="E52">
            <v>833600</v>
          </cell>
          <cell r="F52">
            <v>4087400</v>
          </cell>
        </row>
        <row r="53">
          <cell r="D53">
            <v>4188</v>
          </cell>
          <cell r="E53">
            <v>1317500</v>
          </cell>
          <cell r="F53">
            <v>8437100</v>
          </cell>
        </row>
        <row r="54">
          <cell r="D54">
            <v>8014</v>
          </cell>
          <cell r="E54">
            <v>2772300</v>
          </cell>
          <cell r="F54">
            <v>16396100</v>
          </cell>
        </row>
        <row r="55">
          <cell r="D55">
            <v>14534</v>
          </cell>
          <cell r="E55">
            <v>3878000</v>
          </cell>
          <cell r="F55">
            <v>28585800</v>
          </cell>
        </row>
        <row r="56">
          <cell r="D56">
            <v>24977</v>
          </cell>
          <cell r="E56">
            <v>7456100</v>
          </cell>
          <cell r="F56">
            <v>49917000</v>
          </cell>
        </row>
        <row r="57">
          <cell r="D57">
            <v>9825</v>
          </cell>
          <cell r="E57">
            <v>4084000</v>
          </cell>
          <cell r="F57">
            <v>20786500</v>
          </cell>
        </row>
        <row r="58">
          <cell r="D58">
            <v>39741</v>
          </cell>
          <cell r="E58">
            <v>11768300</v>
          </cell>
          <cell r="F58">
            <v>79328000</v>
          </cell>
        </row>
        <row r="59">
          <cell r="D59">
            <v>6807</v>
          </cell>
          <cell r="E59">
            <v>2565200</v>
          </cell>
          <cell r="F59">
            <v>14137100</v>
          </cell>
        </row>
        <row r="60">
          <cell r="D60">
            <v>7474</v>
          </cell>
          <cell r="E60">
            <v>1893000</v>
          </cell>
          <cell r="F60">
            <v>14598800</v>
          </cell>
        </row>
        <row r="61">
          <cell r="D61">
            <v>1561</v>
          </cell>
          <cell r="E61">
            <v>678300</v>
          </cell>
          <cell r="F61">
            <v>3332000</v>
          </cell>
        </row>
        <row r="62">
          <cell r="D62">
            <v>1082</v>
          </cell>
          <cell r="E62">
            <v>191100</v>
          </cell>
          <cell r="F62">
            <v>2030500</v>
          </cell>
        </row>
        <row r="63">
          <cell r="D63">
            <v>2064</v>
          </cell>
          <cell r="E63">
            <v>574900</v>
          </cell>
          <cell r="F63">
            <v>4083700</v>
          </cell>
        </row>
        <row r="64">
          <cell r="D64">
            <v>2842</v>
          </cell>
          <cell r="E64">
            <v>490000</v>
          </cell>
          <cell r="F64">
            <v>5321400</v>
          </cell>
        </row>
        <row r="65">
          <cell r="D65">
            <v>3339</v>
          </cell>
          <cell r="E65">
            <v>1170200</v>
          </cell>
          <cell r="F65">
            <v>6846500</v>
          </cell>
        </row>
        <row r="66">
          <cell r="D66">
            <v>3717</v>
          </cell>
          <cell r="E66">
            <v>1103300</v>
          </cell>
          <cell r="F66">
            <v>7422200</v>
          </cell>
        </row>
        <row r="67">
          <cell r="D67">
            <v>2171</v>
          </cell>
          <cell r="E67">
            <v>676900</v>
          </cell>
          <cell r="F67">
            <v>4367600</v>
          </cell>
        </row>
        <row r="68">
          <cell r="D68">
            <v>6009</v>
          </cell>
          <cell r="E68">
            <v>2724300</v>
          </cell>
          <cell r="F68">
            <v>12939600</v>
          </cell>
        </row>
        <row r="69">
          <cell r="D69">
            <v>5173</v>
          </cell>
          <cell r="E69">
            <v>1478800</v>
          </cell>
          <cell r="F69">
            <v>10272900</v>
          </cell>
        </row>
        <row r="70">
          <cell r="D70">
            <v>4086</v>
          </cell>
          <cell r="E70">
            <v>1067750</v>
          </cell>
          <cell r="F70">
            <v>8013950</v>
          </cell>
        </row>
        <row r="71">
          <cell r="D71">
            <v>3214</v>
          </cell>
          <cell r="E71">
            <v>1510801</v>
          </cell>
          <cell r="F71">
            <v>6974601</v>
          </cell>
        </row>
        <row r="72">
          <cell r="D72">
            <v>3426</v>
          </cell>
          <cell r="E72">
            <v>1131600</v>
          </cell>
          <cell r="F72">
            <v>6955800</v>
          </cell>
        </row>
        <row r="73">
          <cell r="D73">
            <v>1102</v>
          </cell>
          <cell r="E73">
            <v>529900</v>
          </cell>
          <cell r="F73">
            <v>2403300</v>
          </cell>
        </row>
        <row r="74">
          <cell r="D74">
            <v>0</v>
          </cell>
          <cell r="E74">
            <v>1016000</v>
          </cell>
          <cell r="F74">
            <v>1016000</v>
          </cell>
          <cell r="M74">
            <v>457912.5</v>
          </cell>
        </row>
        <row r="75">
          <cell r="D75">
            <v>0</v>
          </cell>
          <cell r="E75">
            <v>325000</v>
          </cell>
          <cell r="F75">
            <v>325000</v>
          </cell>
        </row>
        <row r="76">
          <cell r="D76">
            <v>0</v>
          </cell>
          <cell r="E76">
            <v>871000</v>
          </cell>
          <cell r="F76">
            <v>871000</v>
          </cell>
        </row>
        <row r="77">
          <cell r="D77">
            <v>0</v>
          </cell>
          <cell r="E77">
            <v>836000</v>
          </cell>
          <cell r="F77">
            <v>836000</v>
          </cell>
        </row>
        <row r="78">
          <cell r="D78">
            <v>0</v>
          </cell>
          <cell r="E78">
            <v>506000</v>
          </cell>
          <cell r="F78">
            <v>506000</v>
          </cell>
        </row>
        <row r="79">
          <cell r="D79">
            <v>0</v>
          </cell>
          <cell r="E79">
            <v>1050000</v>
          </cell>
          <cell r="F79">
            <v>1050000</v>
          </cell>
        </row>
        <row r="80">
          <cell r="D80">
            <v>0</v>
          </cell>
          <cell r="E80">
            <v>1000000</v>
          </cell>
          <cell r="F80">
            <v>1000000</v>
          </cell>
        </row>
        <row r="81">
          <cell r="D81">
            <v>0</v>
          </cell>
          <cell r="E81">
            <v>390000</v>
          </cell>
          <cell r="F81">
            <v>390000</v>
          </cell>
        </row>
        <row r="82">
          <cell r="D82">
            <v>0</v>
          </cell>
          <cell r="E82">
            <v>1178000</v>
          </cell>
          <cell r="F82">
            <v>1178000</v>
          </cell>
        </row>
        <row r="83">
          <cell r="D83">
            <v>0</v>
          </cell>
          <cell r="E83">
            <v>737000</v>
          </cell>
          <cell r="F83">
            <v>737000</v>
          </cell>
        </row>
        <row r="84">
          <cell r="D84">
            <v>0</v>
          </cell>
          <cell r="E84">
            <v>757000</v>
          </cell>
          <cell r="F84">
            <v>757000</v>
          </cell>
        </row>
        <row r="85">
          <cell r="D85">
            <v>0</v>
          </cell>
          <cell r="E85">
            <v>1255000</v>
          </cell>
          <cell r="F85">
            <v>1255000</v>
          </cell>
        </row>
        <row r="86">
          <cell r="D86">
            <v>0</v>
          </cell>
          <cell r="E86">
            <v>3000</v>
          </cell>
          <cell r="F86">
            <v>3000</v>
          </cell>
        </row>
        <row r="87">
          <cell r="D87">
            <v>0</v>
          </cell>
          <cell r="E87">
            <v>17000</v>
          </cell>
          <cell r="F87">
            <v>17000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75000</v>
          </cell>
          <cell r="F91">
            <v>75000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138</v>
          </cell>
          <cell r="E93">
            <v>1603700</v>
          </cell>
          <cell r="F93">
            <v>1838300</v>
          </cell>
        </row>
        <row r="94">
          <cell r="D94">
            <v>292</v>
          </cell>
          <cell r="E94">
            <v>1894200</v>
          </cell>
          <cell r="F94">
            <v>2390600</v>
          </cell>
        </row>
        <row r="95">
          <cell r="D95">
            <v>549</v>
          </cell>
          <cell r="E95">
            <v>1876450</v>
          </cell>
          <cell r="F95">
            <v>2809750</v>
          </cell>
        </row>
        <row r="96">
          <cell r="D96">
            <v>248</v>
          </cell>
          <cell r="E96">
            <v>2298400</v>
          </cell>
          <cell r="F96">
            <v>2720000</v>
          </cell>
        </row>
        <row r="97">
          <cell r="D97">
            <v>282</v>
          </cell>
          <cell r="E97">
            <v>1150100</v>
          </cell>
          <cell r="F97">
            <v>1629500</v>
          </cell>
        </row>
        <row r="98">
          <cell r="D98">
            <v>142</v>
          </cell>
          <cell r="E98">
            <v>1257600</v>
          </cell>
          <cell r="F98">
            <v>1499000</v>
          </cell>
        </row>
        <row r="100">
          <cell r="E100">
            <v>62000</v>
          </cell>
          <cell r="F100">
            <v>62000</v>
          </cell>
        </row>
      </sheetData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3477</v>
          </cell>
          <cell r="E11">
            <v>1433400</v>
          </cell>
          <cell r="F11">
            <v>7344300</v>
          </cell>
        </row>
        <row r="12">
          <cell r="D12">
            <v>1464</v>
          </cell>
          <cell r="E12">
            <v>584600</v>
          </cell>
          <cell r="F12">
            <v>3073400</v>
          </cell>
        </row>
        <row r="13">
          <cell r="D13">
            <v>465</v>
          </cell>
          <cell r="E13">
            <v>293200</v>
          </cell>
          <cell r="F13">
            <v>1083700</v>
          </cell>
        </row>
        <row r="14">
          <cell r="D14">
            <v>26789</v>
          </cell>
          <cell r="E14">
            <v>7837700</v>
          </cell>
          <cell r="F14">
            <v>53379000</v>
          </cell>
        </row>
        <row r="15">
          <cell r="D15">
            <v>15635</v>
          </cell>
          <cell r="E15">
            <v>2509600</v>
          </cell>
          <cell r="F15">
            <v>29089100</v>
          </cell>
        </row>
        <row r="16">
          <cell r="D16">
            <v>3502</v>
          </cell>
          <cell r="E16">
            <v>978700</v>
          </cell>
          <cell r="F16">
            <v>6932100</v>
          </cell>
        </row>
        <row r="17">
          <cell r="D17">
            <v>3032</v>
          </cell>
          <cell r="E17">
            <v>604600</v>
          </cell>
          <cell r="F17">
            <v>5759000</v>
          </cell>
        </row>
        <row r="18">
          <cell r="D18">
            <v>5899</v>
          </cell>
          <cell r="E18">
            <v>1216700</v>
          </cell>
          <cell r="F18">
            <v>11245000</v>
          </cell>
        </row>
        <row r="19">
          <cell r="D19">
            <v>3003</v>
          </cell>
          <cell r="E19">
            <v>693500</v>
          </cell>
          <cell r="F19">
            <v>5798600</v>
          </cell>
        </row>
        <row r="20">
          <cell r="D20">
            <v>1749</v>
          </cell>
          <cell r="E20">
            <v>532700</v>
          </cell>
          <cell r="F20">
            <v>3506000</v>
          </cell>
        </row>
        <row r="21">
          <cell r="D21">
            <v>6249</v>
          </cell>
          <cell r="E21">
            <v>2053400</v>
          </cell>
          <cell r="F21">
            <v>12676700</v>
          </cell>
        </row>
        <row r="22">
          <cell r="D22">
            <v>1684</v>
          </cell>
          <cell r="E22">
            <v>427500</v>
          </cell>
          <cell r="F22">
            <v>3290300</v>
          </cell>
        </row>
        <row r="23">
          <cell r="D23">
            <v>2639</v>
          </cell>
          <cell r="E23">
            <v>559000</v>
          </cell>
          <cell r="F23">
            <v>5045300</v>
          </cell>
        </row>
        <row r="24">
          <cell r="D24">
            <v>4616</v>
          </cell>
          <cell r="E24">
            <v>815100</v>
          </cell>
          <cell r="F24">
            <v>8662300</v>
          </cell>
        </row>
        <row r="25">
          <cell r="D25">
            <v>4167</v>
          </cell>
          <cell r="E25">
            <v>1239600</v>
          </cell>
          <cell r="F25">
            <v>8323500</v>
          </cell>
        </row>
        <row r="26">
          <cell r="D26">
            <v>4008</v>
          </cell>
          <cell r="E26">
            <v>998200</v>
          </cell>
          <cell r="F26">
            <v>7811800</v>
          </cell>
        </row>
        <row r="27">
          <cell r="D27">
            <v>877</v>
          </cell>
          <cell r="E27">
            <v>442300</v>
          </cell>
          <cell r="F27">
            <v>1933200</v>
          </cell>
        </row>
        <row r="28">
          <cell r="D28">
            <v>2816</v>
          </cell>
          <cell r="E28">
            <v>931800</v>
          </cell>
          <cell r="F28">
            <v>5719000</v>
          </cell>
        </row>
        <row r="29">
          <cell r="D29">
            <v>4323</v>
          </cell>
          <cell r="E29">
            <v>1431750</v>
          </cell>
          <cell r="F29">
            <v>8780850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4097</v>
          </cell>
          <cell r="E31">
            <v>1199900</v>
          </cell>
          <cell r="F31">
            <v>8164800</v>
          </cell>
        </row>
        <row r="32">
          <cell r="D32">
            <v>2348</v>
          </cell>
          <cell r="E32">
            <v>681400</v>
          </cell>
          <cell r="F32">
            <v>4673000</v>
          </cell>
        </row>
        <row r="33">
          <cell r="D33">
            <v>5890</v>
          </cell>
          <cell r="E33">
            <v>1339600</v>
          </cell>
          <cell r="F33">
            <v>11352600</v>
          </cell>
        </row>
        <row r="34">
          <cell r="D34">
            <v>1395</v>
          </cell>
          <cell r="E34">
            <v>414650</v>
          </cell>
          <cell r="F34">
            <v>2786150</v>
          </cell>
        </row>
        <row r="35">
          <cell r="D35">
            <v>3799</v>
          </cell>
          <cell r="E35">
            <v>1233600</v>
          </cell>
          <cell r="F35">
            <v>7691900</v>
          </cell>
        </row>
        <row r="36">
          <cell r="D36">
            <v>3088</v>
          </cell>
          <cell r="E36">
            <v>848200</v>
          </cell>
          <cell r="F36">
            <v>6097800</v>
          </cell>
        </row>
        <row r="37">
          <cell r="D37">
            <v>3724</v>
          </cell>
          <cell r="E37">
            <v>964300</v>
          </cell>
          <cell r="F37">
            <v>7295100</v>
          </cell>
        </row>
        <row r="38">
          <cell r="D38">
            <v>1332</v>
          </cell>
          <cell r="E38">
            <v>369800</v>
          </cell>
          <cell r="F38">
            <v>2634200</v>
          </cell>
        </row>
        <row r="39">
          <cell r="D39">
            <v>2464</v>
          </cell>
          <cell r="E39">
            <v>635400</v>
          </cell>
          <cell r="F39">
            <v>4824200</v>
          </cell>
        </row>
        <row r="40">
          <cell r="D40">
            <v>5493</v>
          </cell>
          <cell r="E40">
            <v>1582100</v>
          </cell>
          <cell r="F40">
            <v>10920200</v>
          </cell>
        </row>
        <row r="41">
          <cell r="D41">
            <v>1435</v>
          </cell>
          <cell r="E41">
            <v>766450</v>
          </cell>
          <cell r="F41">
            <v>3205950</v>
          </cell>
        </row>
        <row r="42">
          <cell r="D42">
            <v>1313</v>
          </cell>
          <cell r="E42">
            <v>243600</v>
          </cell>
          <cell r="F42">
            <v>2475700</v>
          </cell>
        </row>
        <row r="43">
          <cell r="D43">
            <v>4264</v>
          </cell>
          <cell r="E43">
            <v>771800</v>
          </cell>
          <cell r="F43">
            <v>8020600</v>
          </cell>
        </row>
        <row r="44">
          <cell r="D44">
            <v>4212</v>
          </cell>
          <cell r="E44">
            <v>843200</v>
          </cell>
          <cell r="F44">
            <v>8003600</v>
          </cell>
        </row>
        <row r="45">
          <cell r="D45">
            <v>4387</v>
          </cell>
          <cell r="E45">
            <v>1098000</v>
          </cell>
          <cell r="F45">
            <v>8555900</v>
          </cell>
        </row>
        <row r="46">
          <cell r="D46">
            <v>2297</v>
          </cell>
          <cell r="E46">
            <v>753400</v>
          </cell>
          <cell r="F46">
            <v>4658300</v>
          </cell>
        </row>
        <row r="47">
          <cell r="D47">
            <v>3854</v>
          </cell>
          <cell r="E47">
            <v>1233000</v>
          </cell>
          <cell r="F47">
            <v>7784800</v>
          </cell>
        </row>
        <row r="48">
          <cell r="D48">
            <v>2315</v>
          </cell>
          <cell r="E48">
            <v>825300</v>
          </cell>
          <cell r="F48">
            <v>4760800</v>
          </cell>
        </row>
        <row r="49">
          <cell r="D49">
            <v>1291</v>
          </cell>
          <cell r="E49">
            <v>265300</v>
          </cell>
          <cell r="F49">
            <v>2460000</v>
          </cell>
        </row>
        <row r="50">
          <cell r="D50">
            <v>3194</v>
          </cell>
          <cell r="E50">
            <v>1204550</v>
          </cell>
          <cell r="F50">
            <v>6634350</v>
          </cell>
        </row>
        <row r="51">
          <cell r="D51">
            <v>3881</v>
          </cell>
          <cell r="E51">
            <v>1230300</v>
          </cell>
          <cell r="F51">
            <v>7828000</v>
          </cell>
        </row>
        <row r="52">
          <cell r="D52">
            <v>1226</v>
          </cell>
          <cell r="E52">
            <v>374200</v>
          </cell>
          <cell r="F52">
            <v>2458400</v>
          </cell>
        </row>
        <row r="53">
          <cell r="D53">
            <v>3266</v>
          </cell>
          <cell r="E53">
            <v>854250</v>
          </cell>
          <cell r="F53">
            <v>6406450</v>
          </cell>
        </row>
        <row r="54">
          <cell r="D54">
            <v>6207</v>
          </cell>
          <cell r="E54">
            <v>1379050</v>
          </cell>
          <cell r="F54">
            <v>11930950</v>
          </cell>
        </row>
        <row r="55">
          <cell r="D55">
            <v>11237</v>
          </cell>
          <cell r="E55">
            <v>2419500</v>
          </cell>
          <cell r="F55">
            <v>21522400</v>
          </cell>
        </row>
        <row r="56">
          <cell r="D56">
            <v>19243</v>
          </cell>
          <cell r="E56">
            <v>4552550</v>
          </cell>
          <cell r="F56">
            <v>37265650</v>
          </cell>
        </row>
        <row r="57">
          <cell r="D57">
            <v>8491</v>
          </cell>
          <cell r="E57">
            <v>3157200</v>
          </cell>
          <cell r="F57">
            <v>17591900</v>
          </cell>
        </row>
        <row r="58">
          <cell r="D58">
            <v>30410</v>
          </cell>
          <cell r="E58">
            <v>8059300</v>
          </cell>
          <cell r="F58">
            <v>59756300</v>
          </cell>
        </row>
        <row r="59">
          <cell r="D59">
            <v>4839</v>
          </cell>
          <cell r="E59">
            <v>1303600</v>
          </cell>
          <cell r="F59">
            <v>9529900</v>
          </cell>
        </row>
        <row r="60">
          <cell r="D60">
            <v>5849</v>
          </cell>
          <cell r="E60">
            <v>1334800</v>
          </cell>
          <cell r="F60">
            <v>11278100</v>
          </cell>
        </row>
        <row r="61">
          <cell r="D61">
            <v>1111</v>
          </cell>
          <cell r="E61">
            <v>435900</v>
          </cell>
          <cell r="F61">
            <v>2324600</v>
          </cell>
        </row>
        <row r="62">
          <cell r="D62">
            <v>978</v>
          </cell>
          <cell r="E62">
            <v>152100</v>
          </cell>
          <cell r="F62">
            <v>1814700</v>
          </cell>
        </row>
        <row r="63">
          <cell r="D63">
            <v>1519</v>
          </cell>
          <cell r="E63">
            <v>364400</v>
          </cell>
          <cell r="F63">
            <v>2946700</v>
          </cell>
        </row>
        <row r="64">
          <cell r="D64">
            <v>2112</v>
          </cell>
          <cell r="E64">
            <v>608050</v>
          </cell>
          <cell r="F64">
            <v>4198450</v>
          </cell>
        </row>
        <row r="65">
          <cell r="D65">
            <v>2351</v>
          </cell>
          <cell r="E65">
            <v>512300</v>
          </cell>
          <cell r="F65">
            <v>4509000</v>
          </cell>
        </row>
        <row r="66">
          <cell r="D66">
            <v>2849</v>
          </cell>
          <cell r="E66">
            <v>840700</v>
          </cell>
          <cell r="F66">
            <v>5684000</v>
          </cell>
        </row>
        <row r="67">
          <cell r="D67">
            <v>1483</v>
          </cell>
          <cell r="E67">
            <v>429700</v>
          </cell>
          <cell r="F67">
            <v>2950800</v>
          </cell>
        </row>
        <row r="68">
          <cell r="D68">
            <v>3404</v>
          </cell>
          <cell r="E68">
            <v>1067400</v>
          </cell>
          <cell r="F68">
            <v>6854200</v>
          </cell>
        </row>
        <row r="69">
          <cell r="D69">
            <v>3314</v>
          </cell>
          <cell r="E69">
            <v>869550</v>
          </cell>
          <cell r="F69">
            <v>6503350</v>
          </cell>
        </row>
        <row r="70">
          <cell r="D70">
            <v>2810</v>
          </cell>
          <cell r="E70">
            <v>832800</v>
          </cell>
          <cell r="F70">
            <v>5609800</v>
          </cell>
        </row>
        <row r="71">
          <cell r="D71">
            <v>2430</v>
          </cell>
          <cell r="E71">
            <v>766100</v>
          </cell>
          <cell r="F71">
            <v>4897100</v>
          </cell>
        </row>
        <row r="72">
          <cell r="D72">
            <v>2151</v>
          </cell>
          <cell r="E72">
            <v>506600</v>
          </cell>
          <cell r="F72">
            <v>4163300</v>
          </cell>
        </row>
        <row r="73">
          <cell r="D73">
            <v>710</v>
          </cell>
          <cell r="E73">
            <v>178450</v>
          </cell>
          <cell r="F73">
            <v>1385450</v>
          </cell>
        </row>
        <row r="74">
          <cell r="D74">
            <v>0</v>
          </cell>
          <cell r="E74">
            <v>757000</v>
          </cell>
          <cell r="F74">
            <v>757000</v>
          </cell>
          <cell r="M74">
            <v>333096.38199999998</v>
          </cell>
        </row>
        <row r="75">
          <cell r="D75">
            <v>0</v>
          </cell>
          <cell r="E75">
            <v>406000</v>
          </cell>
          <cell r="F75">
            <v>406000</v>
          </cell>
        </row>
        <row r="76">
          <cell r="D76">
            <v>0</v>
          </cell>
          <cell r="E76">
            <v>0</v>
          </cell>
          <cell r="F76">
            <v>0</v>
          </cell>
        </row>
        <row r="77">
          <cell r="D77">
            <v>0</v>
          </cell>
          <cell r="E77">
            <v>631000</v>
          </cell>
          <cell r="F77">
            <v>631000</v>
          </cell>
        </row>
        <row r="78">
          <cell r="D78">
            <v>0</v>
          </cell>
          <cell r="E78">
            <v>201000</v>
          </cell>
          <cell r="F78">
            <v>201000</v>
          </cell>
        </row>
        <row r="79">
          <cell r="D79">
            <v>0</v>
          </cell>
          <cell r="E79">
            <v>823000</v>
          </cell>
          <cell r="F79">
            <v>823000</v>
          </cell>
        </row>
        <row r="80">
          <cell r="D80">
            <v>0</v>
          </cell>
          <cell r="E80">
            <v>605000</v>
          </cell>
          <cell r="F80">
            <v>605000</v>
          </cell>
        </row>
        <row r="81">
          <cell r="D81">
            <v>0</v>
          </cell>
          <cell r="E81">
            <v>751000</v>
          </cell>
          <cell r="F81">
            <v>751000</v>
          </cell>
        </row>
        <row r="82">
          <cell r="D82">
            <v>0</v>
          </cell>
          <cell r="E82">
            <v>642000</v>
          </cell>
          <cell r="F82">
            <v>642000</v>
          </cell>
        </row>
        <row r="83">
          <cell r="D83">
            <v>0</v>
          </cell>
          <cell r="E83">
            <v>486000</v>
          </cell>
          <cell r="F83">
            <v>486000</v>
          </cell>
        </row>
        <row r="84">
          <cell r="D84">
            <v>0</v>
          </cell>
          <cell r="E84">
            <v>465000</v>
          </cell>
          <cell r="F84">
            <v>465000</v>
          </cell>
        </row>
        <row r="85">
          <cell r="D85">
            <v>0</v>
          </cell>
          <cell r="E85">
            <v>491000</v>
          </cell>
          <cell r="F85">
            <v>491000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20000</v>
          </cell>
          <cell r="F87">
            <v>20000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2000</v>
          </cell>
          <cell r="F89">
            <v>2000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78</v>
          </cell>
          <cell r="E93">
            <v>705900</v>
          </cell>
          <cell r="F93">
            <v>838500</v>
          </cell>
        </row>
        <row r="94">
          <cell r="D94">
            <v>323</v>
          </cell>
          <cell r="E94">
            <v>1220300</v>
          </cell>
          <cell r="F94">
            <v>1769400</v>
          </cell>
        </row>
        <row r="95">
          <cell r="D95">
            <v>470</v>
          </cell>
          <cell r="E95">
            <v>736700</v>
          </cell>
          <cell r="F95">
            <v>1535700</v>
          </cell>
        </row>
        <row r="96">
          <cell r="D96">
            <v>115</v>
          </cell>
          <cell r="E96">
            <v>1192700</v>
          </cell>
          <cell r="F96">
            <v>1388200</v>
          </cell>
        </row>
        <row r="97">
          <cell r="D97">
            <v>337</v>
          </cell>
          <cell r="E97">
            <v>782300</v>
          </cell>
          <cell r="F97">
            <v>1355200</v>
          </cell>
        </row>
        <row r="98">
          <cell r="D98">
            <v>228</v>
          </cell>
          <cell r="E98">
            <v>812650</v>
          </cell>
          <cell r="F98">
            <v>1200250</v>
          </cell>
        </row>
        <row r="100">
          <cell r="E100">
            <v>34000</v>
          </cell>
          <cell r="F100">
            <v>34000</v>
          </cell>
        </row>
      </sheetData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2321</v>
          </cell>
          <cell r="E11">
            <v>922100</v>
          </cell>
          <cell r="F11">
            <v>4867800</v>
          </cell>
        </row>
        <row r="12">
          <cell r="D12">
            <v>427</v>
          </cell>
          <cell r="E12">
            <v>277600</v>
          </cell>
          <cell r="F12">
            <v>1003500</v>
          </cell>
        </row>
        <row r="13">
          <cell r="D13">
            <v>92</v>
          </cell>
          <cell r="E13">
            <v>75600</v>
          </cell>
          <cell r="F13">
            <v>232000</v>
          </cell>
        </row>
        <row r="14">
          <cell r="D14">
            <v>13164</v>
          </cell>
          <cell r="E14">
            <v>3196800</v>
          </cell>
          <cell r="F14">
            <v>25575600</v>
          </cell>
        </row>
        <row r="15">
          <cell r="D15">
            <v>6638</v>
          </cell>
          <cell r="E15">
            <v>1005300</v>
          </cell>
          <cell r="F15">
            <v>12289900</v>
          </cell>
        </row>
        <row r="16">
          <cell r="D16">
            <v>1765</v>
          </cell>
          <cell r="E16">
            <v>533400</v>
          </cell>
          <cell r="F16">
            <v>3533900</v>
          </cell>
        </row>
        <row r="17">
          <cell r="D17">
            <v>1593</v>
          </cell>
          <cell r="E17">
            <v>173000</v>
          </cell>
          <cell r="F17">
            <v>2881100</v>
          </cell>
        </row>
        <row r="18">
          <cell r="D18">
            <v>3893</v>
          </cell>
          <cell r="E18">
            <v>1137600</v>
          </cell>
          <cell r="F18">
            <v>7755700</v>
          </cell>
        </row>
        <row r="19">
          <cell r="D19">
            <v>1760</v>
          </cell>
          <cell r="E19">
            <v>305200</v>
          </cell>
          <cell r="F19">
            <v>3297200</v>
          </cell>
        </row>
        <row r="20">
          <cell r="D20">
            <v>699</v>
          </cell>
          <cell r="E20">
            <v>279200</v>
          </cell>
          <cell r="F20">
            <v>1467500</v>
          </cell>
        </row>
        <row r="21">
          <cell r="D21">
            <v>3152</v>
          </cell>
          <cell r="E21">
            <v>980400</v>
          </cell>
          <cell r="F21">
            <v>6338800</v>
          </cell>
        </row>
        <row r="22">
          <cell r="D22">
            <v>560</v>
          </cell>
          <cell r="E22">
            <v>101100</v>
          </cell>
          <cell r="F22">
            <v>1053100</v>
          </cell>
        </row>
        <row r="23">
          <cell r="D23">
            <v>1187</v>
          </cell>
          <cell r="E23">
            <v>297100</v>
          </cell>
          <cell r="F23">
            <v>2315000</v>
          </cell>
        </row>
        <row r="24">
          <cell r="D24">
            <v>2047</v>
          </cell>
          <cell r="E24">
            <v>302300</v>
          </cell>
          <cell r="F24">
            <v>3782200</v>
          </cell>
        </row>
        <row r="25">
          <cell r="D25">
            <v>1481</v>
          </cell>
          <cell r="E25">
            <v>278000</v>
          </cell>
          <cell r="F25">
            <v>2795700</v>
          </cell>
        </row>
        <row r="26">
          <cell r="D26">
            <v>1811</v>
          </cell>
          <cell r="E26">
            <v>303500</v>
          </cell>
          <cell r="F26">
            <v>3382200</v>
          </cell>
        </row>
        <row r="27">
          <cell r="D27">
            <v>352</v>
          </cell>
          <cell r="E27">
            <v>93600</v>
          </cell>
          <cell r="F27">
            <v>692000</v>
          </cell>
        </row>
        <row r="28">
          <cell r="D28">
            <v>741</v>
          </cell>
          <cell r="E28">
            <v>181600</v>
          </cell>
          <cell r="F28">
            <v>1441300</v>
          </cell>
        </row>
        <row r="29">
          <cell r="D29">
            <v>1699</v>
          </cell>
          <cell r="E29">
            <v>236900</v>
          </cell>
          <cell r="F29">
            <v>3125200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1288</v>
          </cell>
          <cell r="E31">
            <v>196100</v>
          </cell>
          <cell r="F31">
            <v>2385700</v>
          </cell>
        </row>
        <row r="32">
          <cell r="D32">
            <v>993</v>
          </cell>
          <cell r="E32">
            <v>232300</v>
          </cell>
          <cell r="F32">
            <v>1920400</v>
          </cell>
        </row>
        <row r="33">
          <cell r="D33">
            <v>2235</v>
          </cell>
          <cell r="E33">
            <v>561300</v>
          </cell>
          <cell r="F33">
            <v>4360800</v>
          </cell>
        </row>
        <row r="34">
          <cell r="D34">
            <v>422</v>
          </cell>
          <cell r="E34">
            <v>155700</v>
          </cell>
          <cell r="F34">
            <v>873100</v>
          </cell>
        </row>
        <row r="35">
          <cell r="D35">
            <v>778</v>
          </cell>
          <cell r="E35">
            <v>200900</v>
          </cell>
          <cell r="F35">
            <v>1523500</v>
          </cell>
        </row>
        <row r="36">
          <cell r="D36">
            <v>1312</v>
          </cell>
          <cell r="E36">
            <v>305800</v>
          </cell>
          <cell r="F36">
            <v>2536200</v>
          </cell>
        </row>
        <row r="37">
          <cell r="D37">
            <v>2593</v>
          </cell>
          <cell r="E37">
            <v>791850</v>
          </cell>
          <cell r="F37">
            <v>5199950</v>
          </cell>
        </row>
        <row r="38">
          <cell r="D38">
            <v>654</v>
          </cell>
          <cell r="E38">
            <v>99300</v>
          </cell>
          <cell r="F38">
            <v>1211100</v>
          </cell>
        </row>
        <row r="39">
          <cell r="D39">
            <v>677</v>
          </cell>
          <cell r="E39">
            <v>197600</v>
          </cell>
          <cell r="F39">
            <v>1348500</v>
          </cell>
        </row>
        <row r="40">
          <cell r="D40">
            <v>1509</v>
          </cell>
          <cell r="E40">
            <v>337200</v>
          </cell>
          <cell r="F40">
            <v>2902500</v>
          </cell>
        </row>
        <row r="41">
          <cell r="D41">
            <v>358</v>
          </cell>
          <cell r="E41">
            <v>175000</v>
          </cell>
          <cell r="F41">
            <v>783600</v>
          </cell>
        </row>
        <row r="42">
          <cell r="D42">
            <v>486</v>
          </cell>
          <cell r="E42">
            <v>85200</v>
          </cell>
          <cell r="F42">
            <v>911400</v>
          </cell>
        </row>
        <row r="43">
          <cell r="D43">
            <v>1911</v>
          </cell>
          <cell r="E43">
            <v>464400</v>
          </cell>
          <cell r="F43">
            <v>3713100</v>
          </cell>
        </row>
        <row r="44">
          <cell r="D44">
            <v>2224</v>
          </cell>
          <cell r="E44">
            <v>550200</v>
          </cell>
          <cell r="F44">
            <v>4331000</v>
          </cell>
        </row>
        <row r="45">
          <cell r="D45">
            <v>1911</v>
          </cell>
          <cell r="E45">
            <v>508300</v>
          </cell>
          <cell r="F45">
            <v>3757000</v>
          </cell>
        </row>
        <row r="46">
          <cell r="D46">
            <v>1055</v>
          </cell>
          <cell r="E46">
            <v>291300</v>
          </cell>
          <cell r="F46">
            <v>2084800</v>
          </cell>
        </row>
        <row r="47">
          <cell r="D47">
            <v>2705</v>
          </cell>
          <cell r="E47">
            <v>853050</v>
          </cell>
          <cell r="F47">
            <v>5451550</v>
          </cell>
        </row>
        <row r="48">
          <cell r="D48">
            <v>1108</v>
          </cell>
          <cell r="E48">
            <v>370800</v>
          </cell>
          <cell r="F48">
            <v>2254400</v>
          </cell>
        </row>
        <row r="49">
          <cell r="D49">
            <v>504</v>
          </cell>
          <cell r="E49">
            <v>116800</v>
          </cell>
          <cell r="F49">
            <v>973600</v>
          </cell>
        </row>
        <row r="50">
          <cell r="D50">
            <v>1590</v>
          </cell>
          <cell r="E50">
            <v>484900</v>
          </cell>
          <cell r="F50">
            <v>3187900</v>
          </cell>
        </row>
        <row r="51">
          <cell r="D51">
            <v>1896</v>
          </cell>
          <cell r="E51">
            <v>523700</v>
          </cell>
          <cell r="F51">
            <v>3746900</v>
          </cell>
        </row>
        <row r="52">
          <cell r="D52">
            <v>504</v>
          </cell>
          <cell r="E52">
            <v>131700</v>
          </cell>
          <cell r="F52">
            <v>988500</v>
          </cell>
        </row>
        <row r="53">
          <cell r="D53">
            <v>1368</v>
          </cell>
          <cell r="E53">
            <v>436400</v>
          </cell>
          <cell r="F53">
            <v>2762000</v>
          </cell>
        </row>
        <row r="54">
          <cell r="D54">
            <v>2435</v>
          </cell>
          <cell r="E54">
            <v>543700</v>
          </cell>
          <cell r="F54">
            <v>4683200</v>
          </cell>
        </row>
        <row r="55">
          <cell r="D55">
            <v>5913</v>
          </cell>
          <cell r="E55">
            <v>1546700</v>
          </cell>
          <cell r="F55">
            <v>11598800</v>
          </cell>
        </row>
        <row r="56">
          <cell r="D56">
            <v>9313</v>
          </cell>
          <cell r="E56">
            <v>2103200</v>
          </cell>
          <cell r="F56">
            <v>17935300</v>
          </cell>
        </row>
        <row r="57">
          <cell r="D57">
            <v>5150</v>
          </cell>
          <cell r="E57">
            <v>2153750</v>
          </cell>
          <cell r="F57">
            <v>10908750</v>
          </cell>
        </row>
        <row r="58">
          <cell r="D58">
            <v>14270</v>
          </cell>
          <cell r="E58">
            <v>3039750</v>
          </cell>
          <cell r="F58">
            <v>27298750</v>
          </cell>
        </row>
        <row r="59">
          <cell r="D59">
            <v>2172</v>
          </cell>
          <cell r="E59">
            <v>930000</v>
          </cell>
          <cell r="F59">
            <v>4622400</v>
          </cell>
        </row>
        <row r="60">
          <cell r="D60">
            <v>2709</v>
          </cell>
          <cell r="E60">
            <v>599100</v>
          </cell>
          <cell r="F60">
            <v>5204400</v>
          </cell>
        </row>
        <row r="61">
          <cell r="D61">
            <v>475</v>
          </cell>
          <cell r="E61">
            <v>215900</v>
          </cell>
          <cell r="F61">
            <v>1023400</v>
          </cell>
        </row>
        <row r="62">
          <cell r="D62">
            <v>293</v>
          </cell>
          <cell r="E62">
            <v>88500</v>
          </cell>
          <cell r="F62">
            <v>586600</v>
          </cell>
        </row>
        <row r="63">
          <cell r="D63">
            <v>421</v>
          </cell>
          <cell r="E63">
            <v>71000</v>
          </cell>
          <cell r="F63">
            <v>786700</v>
          </cell>
        </row>
        <row r="64">
          <cell r="D64">
            <v>887</v>
          </cell>
          <cell r="E64">
            <v>163900</v>
          </cell>
          <cell r="F64">
            <v>1671800</v>
          </cell>
        </row>
        <row r="65">
          <cell r="D65">
            <v>684</v>
          </cell>
          <cell r="E65">
            <v>176800</v>
          </cell>
          <cell r="F65">
            <v>1339600</v>
          </cell>
        </row>
        <row r="66">
          <cell r="D66">
            <v>1048</v>
          </cell>
          <cell r="E66">
            <v>332400</v>
          </cell>
          <cell r="F66">
            <v>2114000</v>
          </cell>
        </row>
        <row r="67">
          <cell r="D67">
            <v>441</v>
          </cell>
          <cell r="E67">
            <v>249500</v>
          </cell>
          <cell r="F67">
            <v>999200</v>
          </cell>
        </row>
        <row r="68">
          <cell r="D68">
            <v>1337</v>
          </cell>
          <cell r="E68">
            <v>290900</v>
          </cell>
          <cell r="F68">
            <v>2563800</v>
          </cell>
        </row>
        <row r="69">
          <cell r="D69">
            <v>975</v>
          </cell>
          <cell r="E69">
            <v>469300</v>
          </cell>
          <cell r="F69">
            <v>2126800</v>
          </cell>
        </row>
        <row r="70">
          <cell r="D70">
            <v>1038</v>
          </cell>
          <cell r="E70">
            <v>372800</v>
          </cell>
          <cell r="F70">
            <v>2137400</v>
          </cell>
        </row>
        <row r="71">
          <cell r="D71">
            <v>1470</v>
          </cell>
          <cell r="E71">
            <v>414000</v>
          </cell>
          <cell r="F71">
            <v>2913000</v>
          </cell>
        </row>
        <row r="72">
          <cell r="D72">
            <v>800</v>
          </cell>
          <cell r="E72">
            <v>146800</v>
          </cell>
          <cell r="F72">
            <v>1506800</v>
          </cell>
        </row>
        <row r="73">
          <cell r="D73">
            <v>268</v>
          </cell>
          <cell r="E73">
            <v>64550</v>
          </cell>
          <cell r="F73">
            <v>520150</v>
          </cell>
        </row>
        <row r="74">
          <cell r="D74">
            <v>0</v>
          </cell>
          <cell r="E74">
            <v>302000</v>
          </cell>
          <cell r="F74">
            <v>302000</v>
          </cell>
          <cell r="M74">
            <v>148440.617</v>
          </cell>
        </row>
        <row r="75">
          <cell r="D75">
            <v>0</v>
          </cell>
          <cell r="E75">
            <v>54000</v>
          </cell>
          <cell r="F75">
            <v>54000</v>
          </cell>
        </row>
        <row r="76">
          <cell r="D76">
            <v>0</v>
          </cell>
          <cell r="E76">
            <v>158000</v>
          </cell>
          <cell r="F76">
            <v>158000</v>
          </cell>
        </row>
        <row r="77">
          <cell r="D77">
            <v>0</v>
          </cell>
          <cell r="E77">
            <v>260000</v>
          </cell>
          <cell r="F77">
            <v>260000</v>
          </cell>
        </row>
        <row r="78">
          <cell r="D78">
            <v>0</v>
          </cell>
          <cell r="E78">
            <v>55000</v>
          </cell>
          <cell r="F78">
            <v>55000</v>
          </cell>
        </row>
        <row r="79">
          <cell r="D79">
            <v>0</v>
          </cell>
          <cell r="E79">
            <v>403000</v>
          </cell>
          <cell r="F79">
            <v>403000</v>
          </cell>
        </row>
        <row r="80">
          <cell r="D80">
            <v>0</v>
          </cell>
          <cell r="E80">
            <v>327000</v>
          </cell>
          <cell r="F80">
            <v>327000</v>
          </cell>
        </row>
        <row r="81">
          <cell r="D81">
            <v>0</v>
          </cell>
          <cell r="E81">
            <v>416000</v>
          </cell>
          <cell r="F81">
            <v>416000</v>
          </cell>
        </row>
        <row r="82">
          <cell r="D82">
            <v>0</v>
          </cell>
          <cell r="E82">
            <v>153000</v>
          </cell>
          <cell r="F82">
            <v>153000</v>
          </cell>
        </row>
        <row r="83">
          <cell r="D83">
            <v>0</v>
          </cell>
          <cell r="E83">
            <v>169000</v>
          </cell>
          <cell r="F83">
            <v>169000</v>
          </cell>
        </row>
        <row r="84">
          <cell r="D84">
            <v>0</v>
          </cell>
          <cell r="E84">
            <v>337000</v>
          </cell>
          <cell r="F84">
            <v>337000</v>
          </cell>
        </row>
        <row r="85">
          <cell r="D85">
            <v>0</v>
          </cell>
          <cell r="E85">
            <v>135000</v>
          </cell>
          <cell r="F85">
            <v>135000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</row>
        <row r="100">
          <cell r="E100">
            <v>2000</v>
          </cell>
          <cell r="F100">
            <v>2000</v>
          </cell>
        </row>
      </sheetData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5794</v>
          </cell>
          <cell r="E11">
            <v>2812100</v>
          </cell>
          <cell r="F11">
            <v>12661900</v>
          </cell>
        </row>
        <row r="12">
          <cell r="D12">
            <v>2189</v>
          </cell>
          <cell r="E12">
            <v>1159200</v>
          </cell>
          <cell r="F12">
            <v>4880500</v>
          </cell>
        </row>
        <row r="13">
          <cell r="D13">
            <v>1850</v>
          </cell>
          <cell r="E13">
            <v>1737800</v>
          </cell>
          <cell r="F13">
            <v>4882800</v>
          </cell>
        </row>
        <row r="14">
          <cell r="D14">
            <v>47797</v>
          </cell>
          <cell r="E14">
            <v>21367150</v>
          </cell>
          <cell r="F14">
            <v>102622050</v>
          </cell>
        </row>
        <row r="15">
          <cell r="D15">
            <v>27837</v>
          </cell>
          <cell r="E15">
            <v>5372450</v>
          </cell>
          <cell r="F15">
            <v>52695350</v>
          </cell>
        </row>
        <row r="16">
          <cell r="D16">
            <v>6052</v>
          </cell>
          <cell r="E16">
            <v>1774100</v>
          </cell>
          <cell r="F16">
            <v>12062500</v>
          </cell>
        </row>
        <row r="17">
          <cell r="D17">
            <v>4486</v>
          </cell>
          <cell r="E17">
            <v>1502800</v>
          </cell>
          <cell r="F17">
            <v>9129000</v>
          </cell>
        </row>
        <row r="18">
          <cell r="D18">
            <v>9820</v>
          </cell>
          <cell r="E18">
            <v>3078600</v>
          </cell>
          <cell r="F18">
            <v>19772600</v>
          </cell>
        </row>
        <row r="19">
          <cell r="D19">
            <v>5048</v>
          </cell>
          <cell r="E19">
            <v>1618800</v>
          </cell>
          <cell r="F19">
            <v>10200400</v>
          </cell>
        </row>
        <row r="20">
          <cell r="D20">
            <v>3139</v>
          </cell>
          <cell r="E20">
            <v>1648050</v>
          </cell>
          <cell r="F20">
            <v>6984350</v>
          </cell>
        </row>
        <row r="21">
          <cell r="D21">
            <v>13852</v>
          </cell>
          <cell r="E21">
            <v>6907150</v>
          </cell>
          <cell r="F21">
            <v>30455550</v>
          </cell>
        </row>
        <row r="22">
          <cell r="D22">
            <v>4055</v>
          </cell>
          <cell r="E22">
            <v>1148200</v>
          </cell>
          <cell r="F22">
            <v>8041700</v>
          </cell>
        </row>
        <row r="23">
          <cell r="D23">
            <v>4978</v>
          </cell>
          <cell r="E23">
            <v>1824600</v>
          </cell>
          <cell r="F23">
            <v>10287200</v>
          </cell>
        </row>
        <row r="24">
          <cell r="D24">
            <v>9174</v>
          </cell>
          <cell r="E24">
            <v>2673300</v>
          </cell>
          <cell r="F24">
            <v>18269100</v>
          </cell>
        </row>
        <row r="25">
          <cell r="D25">
            <v>7385</v>
          </cell>
          <cell r="E25">
            <v>2478350</v>
          </cell>
          <cell r="F25">
            <v>15032850</v>
          </cell>
        </row>
        <row r="26">
          <cell r="D26">
            <v>6800</v>
          </cell>
          <cell r="E26">
            <v>2990100</v>
          </cell>
          <cell r="F26">
            <v>14550100</v>
          </cell>
        </row>
        <row r="27">
          <cell r="D27">
            <v>1920</v>
          </cell>
          <cell r="E27">
            <v>925900</v>
          </cell>
          <cell r="F27">
            <v>4189900</v>
          </cell>
        </row>
        <row r="28">
          <cell r="D28">
            <v>4257</v>
          </cell>
          <cell r="E28">
            <v>1695400</v>
          </cell>
          <cell r="F28">
            <v>8932300</v>
          </cell>
        </row>
        <row r="29">
          <cell r="D29">
            <v>6388</v>
          </cell>
          <cell r="E29">
            <v>2131800</v>
          </cell>
          <cell r="F29">
            <v>12991400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6829</v>
          </cell>
          <cell r="E31">
            <v>2224100</v>
          </cell>
          <cell r="F31">
            <v>13833400</v>
          </cell>
        </row>
        <row r="32">
          <cell r="D32">
            <v>3762</v>
          </cell>
          <cell r="E32">
            <v>1335400</v>
          </cell>
          <cell r="F32">
            <v>7730800</v>
          </cell>
        </row>
        <row r="33">
          <cell r="D33">
            <v>7391</v>
          </cell>
          <cell r="E33">
            <v>2896200</v>
          </cell>
          <cell r="F33">
            <v>15460900</v>
          </cell>
        </row>
        <row r="34">
          <cell r="D34">
            <v>2484</v>
          </cell>
          <cell r="E34">
            <v>1313900</v>
          </cell>
          <cell r="F34">
            <v>5536700</v>
          </cell>
        </row>
        <row r="35">
          <cell r="D35">
            <v>9525</v>
          </cell>
          <cell r="E35">
            <v>4619100</v>
          </cell>
          <cell r="F35">
            <v>20811600</v>
          </cell>
        </row>
        <row r="36">
          <cell r="D36">
            <v>5187</v>
          </cell>
          <cell r="E36">
            <v>1549300</v>
          </cell>
          <cell r="F36">
            <v>10367200</v>
          </cell>
        </row>
        <row r="37">
          <cell r="D37">
            <v>6683</v>
          </cell>
          <cell r="E37">
            <v>2765400</v>
          </cell>
          <cell r="F37">
            <v>14126500</v>
          </cell>
        </row>
        <row r="38">
          <cell r="D38">
            <v>2169</v>
          </cell>
          <cell r="E38">
            <v>654700</v>
          </cell>
          <cell r="F38">
            <v>4342000</v>
          </cell>
        </row>
        <row r="39">
          <cell r="D39">
            <v>5194</v>
          </cell>
          <cell r="E39">
            <v>1608100</v>
          </cell>
          <cell r="F39">
            <v>10437900</v>
          </cell>
        </row>
        <row r="40">
          <cell r="D40">
            <v>7669</v>
          </cell>
          <cell r="E40">
            <v>2612300</v>
          </cell>
          <cell r="F40">
            <v>15649600</v>
          </cell>
        </row>
        <row r="41">
          <cell r="D41">
            <v>2793</v>
          </cell>
          <cell r="E41">
            <v>1353350</v>
          </cell>
          <cell r="F41">
            <v>6101450</v>
          </cell>
        </row>
        <row r="42">
          <cell r="D42">
            <v>1982</v>
          </cell>
          <cell r="E42">
            <v>850600</v>
          </cell>
          <cell r="F42">
            <v>4220000</v>
          </cell>
        </row>
        <row r="43">
          <cell r="D43">
            <v>6344</v>
          </cell>
          <cell r="E43">
            <v>1642200</v>
          </cell>
          <cell r="F43">
            <v>12427000</v>
          </cell>
        </row>
        <row r="44">
          <cell r="D44">
            <v>6386</v>
          </cell>
          <cell r="E44">
            <v>2117750</v>
          </cell>
          <cell r="F44">
            <v>12973950</v>
          </cell>
        </row>
        <row r="45">
          <cell r="D45">
            <v>6862</v>
          </cell>
          <cell r="E45">
            <v>2172350</v>
          </cell>
          <cell r="F45">
            <v>13837750</v>
          </cell>
        </row>
        <row r="46">
          <cell r="D46">
            <v>4248</v>
          </cell>
          <cell r="E46">
            <v>1336700</v>
          </cell>
          <cell r="F46">
            <v>8558300</v>
          </cell>
        </row>
        <row r="47">
          <cell r="D47">
            <v>3723</v>
          </cell>
          <cell r="E47">
            <v>2043750</v>
          </cell>
          <cell r="F47">
            <v>8372850</v>
          </cell>
        </row>
        <row r="48">
          <cell r="D48">
            <v>4798</v>
          </cell>
          <cell r="E48">
            <v>2198700</v>
          </cell>
          <cell r="F48">
            <v>10355300</v>
          </cell>
        </row>
        <row r="49">
          <cell r="D49">
            <v>3102</v>
          </cell>
          <cell r="E49">
            <v>1023300</v>
          </cell>
          <cell r="F49">
            <v>6296700</v>
          </cell>
        </row>
        <row r="50">
          <cell r="D50">
            <v>4764</v>
          </cell>
          <cell r="E50">
            <v>2310300</v>
          </cell>
          <cell r="F50">
            <v>10409100</v>
          </cell>
        </row>
        <row r="51">
          <cell r="D51">
            <v>6081</v>
          </cell>
          <cell r="E51">
            <v>3335500</v>
          </cell>
          <cell r="F51">
            <v>13673200</v>
          </cell>
        </row>
        <row r="52">
          <cell r="D52">
            <v>2641</v>
          </cell>
          <cell r="E52">
            <v>1320500</v>
          </cell>
          <cell r="F52">
            <v>5810200</v>
          </cell>
        </row>
        <row r="53">
          <cell r="D53">
            <v>5817</v>
          </cell>
          <cell r="E53">
            <v>2191550</v>
          </cell>
          <cell r="F53">
            <v>12080450</v>
          </cell>
        </row>
        <row r="54">
          <cell r="D54">
            <v>10347</v>
          </cell>
          <cell r="E54">
            <v>3155100</v>
          </cell>
          <cell r="F54">
            <v>20745000</v>
          </cell>
        </row>
        <row r="55">
          <cell r="D55">
            <v>18772</v>
          </cell>
          <cell r="E55">
            <v>5765200</v>
          </cell>
          <cell r="F55">
            <v>37677600</v>
          </cell>
        </row>
        <row r="56">
          <cell r="D56">
            <v>32875</v>
          </cell>
          <cell r="E56">
            <v>12787250</v>
          </cell>
          <cell r="F56">
            <v>68674750</v>
          </cell>
        </row>
        <row r="57">
          <cell r="D57">
            <v>13070</v>
          </cell>
          <cell r="E57">
            <v>7142000</v>
          </cell>
          <cell r="F57">
            <v>29361000</v>
          </cell>
        </row>
        <row r="58">
          <cell r="D58">
            <v>54817</v>
          </cell>
          <cell r="E58">
            <v>24319000</v>
          </cell>
          <cell r="F58">
            <v>117507900</v>
          </cell>
        </row>
        <row r="59">
          <cell r="D59">
            <v>10182</v>
          </cell>
          <cell r="E59">
            <v>3923350</v>
          </cell>
          <cell r="F59">
            <v>21232750</v>
          </cell>
        </row>
        <row r="60">
          <cell r="D60">
            <v>10699</v>
          </cell>
          <cell r="E60">
            <v>3323600</v>
          </cell>
          <cell r="F60">
            <v>21511900</v>
          </cell>
        </row>
        <row r="61">
          <cell r="D61">
            <v>2033</v>
          </cell>
          <cell r="E61">
            <v>1227500</v>
          </cell>
          <cell r="F61">
            <v>4683600</v>
          </cell>
        </row>
        <row r="62">
          <cell r="D62">
            <v>1235</v>
          </cell>
          <cell r="E62">
            <v>382100</v>
          </cell>
          <cell r="F62">
            <v>2481600</v>
          </cell>
        </row>
        <row r="63">
          <cell r="D63">
            <v>2634</v>
          </cell>
          <cell r="E63">
            <v>868200</v>
          </cell>
          <cell r="F63">
            <v>5346000</v>
          </cell>
        </row>
        <row r="64">
          <cell r="D64">
            <v>4074</v>
          </cell>
          <cell r="E64">
            <v>1055900</v>
          </cell>
          <cell r="F64">
            <v>7981700</v>
          </cell>
        </row>
        <row r="65">
          <cell r="D65">
            <v>3965</v>
          </cell>
          <cell r="E65">
            <v>1523550</v>
          </cell>
          <cell r="F65">
            <v>8264050</v>
          </cell>
        </row>
        <row r="66">
          <cell r="D66">
            <v>4268</v>
          </cell>
          <cell r="E66">
            <v>1662200</v>
          </cell>
          <cell r="F66">
            <v>8917800</v>
          </cell>
        </row>
        <row r="67">
          <cell r="D67">
            <v>3160</v>
          </cell>
          <cell r="E67">
            <v>1247400</v>
          </cell>
          <cell r="F67">
            <v>6619400</v>
          </cell>
        </row>
        <row r="68">
          <cell r="D68">
            <v>7709</v>
          </cell>
          <cell r="E68">
            <v>3510000</v>
          </cell>
          <cell r="F68">
            <v>16615300</v>
          </cell>
        </row>
        <row r="69">
          <cell r="D69">
            <v>6361</v>
          </cell>
          <cell r="E69">
            <v>2015800</v>
          </cell>
          <cell r="F69">
            <v>12829500</v>
          </cell>
        </row>
        <row r="70">
          <cell r="D70">
            <v>4240</v>
          </cell>
          <cell r="E70">
            <v>1766100</v>
          </cell>
          <cell r="F70">
            <v>8974100</v>
          </cell>
        </row>
        <row r="71">
          <cell r="D71">
            <v>3617</v>
          </cell>
          <cell r="E71">
            <v>1932850</v>
          </cell>
          <cell r="F71">
            <v>8081750</v>
          </cell>
        </row>
        <row r="72">
          <cell r="D72">
            <v>4179</v>
          </cell>
          <cell r="E72">
            <v>1553800</v>
          </cell>
          <cell r="F72">
            <v>8658100</v>
          </cell>
        </row>
        <row r="73">
          <cell r="D73">
            <v>1255</v>
          </cell>
          <cell r="E73">
            <v>765450</v>
          </cell>
          <cell r="F73">
            <v>2898950</v>
          </cell>
        </row>
        <row r="74">
          <cell r="D74">
            <v>0</v>
          </cell>
          <cell r="E74">
            <v>2090000</v>
          </cell>
          <cell r="F74">
            <v>2090000</v>
          </cell>
          <cell r="M74">
            <v>625460.5</v>
          </cell>
        </row>
        <row r="75">
          <cell r="D75">
            <v>0</v>
          </cell>
          <cell r="E75">
            <v>1710000</v>
          </cell>
          <cell r="F75">
            <v>1710000</v>
          </cell>
        </row>
        <row r="76">
          <cell r="D76">
            <v>0</v>
          </cell>
          <cell r="E76">
            <v>447000</v>
          </cell>
          <cell r="F76">
            <v>447000</v>
          </cell>
        </row>
        <row r="77">
          <cell r="D77">
            <v>0</v>
          </cell>
          <cell r="E77">
            <v>1828000</v>
          </cell>
          <cell r="F77">
            <v>1828000</v>
          </cell>
        </row>
        <row r="78">
          <cell r="D78">
            <v>0</v>
          </cell>
          <cell r="E78">
            <v>900000</v>
          </cell>
          <cell r="F78">
            <v>900000</v>
          </cell>
        </row>
        <row r="79">
          <cell r="D79">
            <v>0</v>
          </cell>
          <cell r="E79">
            <v>2239000</v>
          </cell>
          <cell r="F79">
            <v>2239000</v>
          </cell>
        </row>
        <row r="80">
          <cell r="D80">
            <v>0</v>
          </cell>
          <cell r="E80">
            <v>2444000</v>
          </cell>
          <cell r="F80">
            <v>2444000</v>
          </cell>
        </row>
        <row r="81">
          <cell r="D81">
            <v>0</v>
          </cell>
          <cell r="E81">
            <v>2009000</v>
          </cell>
          <cell r="F81">
            <v>2009000</v>
          </cell>
        </row>
        <row r="82">
          <cell r="D82">
            <v>0</v>
          </cell>
          <cell r="E82">
            <v>1958000</v>
          </cell>
          <cell r="F82">
            <v>1958000</v>
          </cell>
        </row>
        <row r="83">
          <cell r="D83">
            <v>0</v>
          </cell>
          <cell r="E83">
            <v>1260000</v>
          </cell>
          <cell r="F83">
            <v>1260000</v>
          </cell>
        </row>
        <row r="84">
          <cell r="D84">
            <v>0</v>
          </cell>
          <cell r="E84">
            <v>864000</v>
          </cell>
          <cell r="F84">
            <v>864000</v>
          </cell>
        </row>
        <row r="85">
          <cell r="D85">
            <v>0</v>
          </cell>
          <cell r="E85">
            <v>1693000</v>
          </cell>
          <cell r="F85">
            <v>1693000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27000</v>
          </cell>
          <cell r="F87">
            <v>27000</v>
          </cell>
        </row>
        <row r="88">
          <cell r="D88">
            <v>0</v>
          </cell>
          <cell r="E88">
            <v>76000</v>
          </cell>
          <cell r="F88">
            <v>76000</v>
          </cell>
        </row>
        <row r="89">
          <cell r="D89">
            <v>0</v>
          </cell>
          <cell r="E89">
            <v>10000</v>
          </cell>
          <cell r="F89">
            <v>10000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133000</v>
          </cell>
          <cell r="F91">
            <v>133000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398</v>
          </cell>
          <cell r="E93">
            <v>1761100</v>
          </cell>
          <cell r="F93">
            <v>2437700</v>
          </cell>
        </row>
        <row r="94">
          <cell r="D94">
            <v>489</v>
          </cell>
          <cell r="E94">
            <v>4255400</v>
          </cell>
          <cell r="F94">
            <v>5086700</v>
          </cell>
        </row>
        <row r="95">
          <cell r="D95">
            <v>612</v>
          </cell>
          <cell r="E95">
            <v>2833400</v>
          </cell>
          <cell r="F95">
            <v>3873800</v>
          </cell>
        </row>
        <row r="96">
          <cell r="D96">
            <v>350</v>
          </cell>
          <cell r="E96">
            <v>4117000</v>
          </cell>
          <cell r="F96">
            <v>4712000</v>
          </cell>
        </row>
        <row r="97">
          <cell r="D97">
            <v>517</v>
          </cell>
          <cell r="E97">
            <v>2628300</v>
          </cell>
          <cell r="F97">
            <v>3507200</v>
          </cell>
        </row>
        <row r="98">
          <cell r="D98">
            <v>265</v>
          </cell>
          <cell r="E98">
            <v>2328800</v>
          </cell>
          <cell r="F98">
            <v>2779300</v>
          </cell>
        </row>
        <row r="100">
          <cell r="E100">
            <v>81000</v>
          </cell>
          <cell r="F100">
            <v>81000</v>
          </cell>
        </row>
      </sheetData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4775</v>
          </cell>
          <cell r="E11">
            <v>1784400</v>
          </cell>
          <cell r="F11">
            <v>9901900</v>
          </cell>
        </row>
        <row r="12">
          <cell r="D12">
            <v>2165</v>
          </cell>
          <cell r="E12">
            <v>850500</v>
          </cell>
          <cell r="F12">
            <v>4531000</v>
          </cell>
        </row>
        <row r="13">
          <cell r="D13">
            <v>1049</v>
          </cell>
          <cell r="E13">
            <v>550500</v>
          </cell>
          <cell r="F13">
            <v>2333800</v>
          </cell>
        </row>
        <row r="14">
          <cell r="D14">
            <v>36553</v>
          </cell>
          <cell r="E14">
            <v>12459700</v>
          </cell>
          <cell r="F14">
            <v>74599800</v>
          </cell>
        </row>
        <row r="15">
          <cell r="D15">
            <v>21832</v>
          </cell>
          <cell r="E15">
            <v>3106050</v>
          </cell>
          <cell r="F15">
            <v>40220450</v>
          </cell>
        </row>
        <row r="16">
          <cell r="D16">
            <v>4785</v>
          </cell>
          <cell r="E16">
            <v>1010800</v>
          </cell>
          <cell r="F16">
            <v>9145300</v>
          </cell>
        </row>
        <row r="17">
          <cell r="D17">
            <v>4034</v>
          </cell>
          <cell r="E17">
            <v>927400</v>
          </cell>
          <cell r="F17">
            <v>7785200</v>
          </cell>
        </row>
        <row r="18">
          <cell r="D18">
            <v>7956</v>
          </cell>
          <cell r="E18">
            <v>2111600</v>
          </cell>
          <cell r="F18">
            <v>15636800</v>
          </cell>
        </row>
        <row r="19">
          <cell r="D19">
            <v>4215</v>
          </cell>
          <cell r="E19">
            <v>1048000</v>
          </cell>
          <cell r="F19">
            <v>8213500</v>
          </cell>
        </row>
        <row r="20">
          <cell r="D20">
            <v>2635</v>
          </cell>
          <cell r="E20">
            <v>1122700</v>
          </cell>
          <cell r="F20">
            <v>5602200</v>
          </cell>
        </row>
        <row r="21">
          <cell r="D21">
            <v>10433</v>
          </cell>
          <cell r="E21">
            <v>4794000</v>
          </cell>
          <cell r="F21">
            <v>22530100</v>
          </cell>
        </row>
        <row r="22">
          <cell r="D22">
            <v>2999</v>
          </cell>
          <cell r="E22">
            <v>864250</v>
          </cell>
          <cell r="F22">
            <v>5962550</v>
          </cell>
        </row>
        <row r="23">
          <cell r="D23">
            <v>4386</v>
          </cell>
          <cell r="E23">
            <v>998500</v>
          </cell>
          <cell r="F23">
            <v>8454700</v>
          </cell>
        </row>
        <row r="24">
          <cell r="D24">
            <v>7501</v>
          </cell>
          <cell r="E24">
            <v>1412200</v>
          </cell>
          <cell r="F24">
            <v>14163900</v>
          </cell>
        </row>
        <row r="25">
          <cell r="D25">
            <v>6246</v>
          </cell>
          <cell r="E25">
            <v>1572950</v>
          </cell>
          <cell r="F25">
            <v>12191150</v>
          </cell>
        </row>
        <row r="26">
          <cell r="D26">
            <v>6094</v>
          </cell>
          <cell r="E26">
            <v>2290900</v>
          </cell>
          <cell r="F26">
            <v>12650700</v>
          </cell>
        </row>
        <row r="27">
          <cell r="D27">
            <v>1627</v>
          </cell>
          <cell r="E27">
            <v>542300</v>
          </cell>
          <cell r="F27">
            <v>3308200</v>
          </cell>
        </row>
        <row r="28">
          <cell r="D28">
            <v>3925</v>
          </cell>
          <cell r="E28">
            <v>1478300</v>
          </cell>
          <cell r="F28">
            <v>8150800</v>
          </cell>
        </row>
        <row r="29">
          <cell r="D29">
            <v>5288</v>
          </cell>
          <cell r="E29">
            <v>1428050</v>
          </cell>
          <cell r="F29">
            <v>10417650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6264</v>
          </cell>
          <cell r="E31">
            <v>1809500</v>
          </cell>
          <cell r="F31">
            <v>12458300</v>
          </cell>
        </row>
        <row r="32">
          <cell r="D32">
            <v>3220</v>
          </cell>
          <cell r="E32">
            <v>1149500</v>
          </cell>
          <cell r="F32">
            <v>6623500</v>
          </cell>
        </row>
        <row r="33">
          <cell r="D33">
            <v>6675</v>
          </cell>
          <cell r="E33">
            <v>2168550</v>
          </cell>
          <cell r="F33">
            <v>13516050</v>
          </cell>
        </row>
        <row r="34">
          <cell r="D34">
            <v>2538</v>
          </cell>
          <cell r="E34">
            <v>986150</v>
          </cell>
          <cell r="F34">
            <v>5300750</v>
          </cell>
        </row>
        <row r="35">
          <cell r="D35">
            <v>8503</v>
          </cell>
          <cell r="E35">
            <v>3144350</v>
          </cell>
          <cell r="F35">
            <v>17599450</v>
          </cell>
        </row>
        <row r="36">
          <cell r="D36">
            <v>5010</v>
          </cell>
          <cell r="E36">
            <v>1481000</v>
          </cell>
          <cell r="F36">
            <v>9998000</v>
          </cell>
        </row>
        <row r="37">
          <cell r="D37">
            <v>6372</v>
          </cell>
          <cell r="E37">
            <v>2735600</v>
          </cell>
          <cell r="F37">
            <v>13568000</v>
          </cell>
        </row>
        <row r="38">
          <cell r="D38">
            <v>1924</v>
          </cell>
          <cell r="E38">
            <v>547300</v>
          </cell>
          <cell r="F38">
            <v>3818100</v>
          </cell>
        </row>
        <row r="39">
          <cell r="D39">
            <v>4855</v>
          </cell>
          <cell r="E39">
            <v>1655800</v>
          </cell>
          <cell r="F39">
            <v>9909300</v>
          </cell>
        </row>
        <row r="40">
          <cell r="D40">
            <v>6605</v>
          </cell>
          <cell r="E40">
            <v>2106500</v>
          </cell>
          <cell r="F40">
            <v>13335000</v>
          </cell>
        </row>
        <row r="41">
          <cell r="D41">
            <v>2339</v>
          </cell>
          <cell r="E41">
            <v>973900</v>
          </cell>
          <cell r="F41">
            <v>4950200</v>
          </cell>
        </row>
        <row r="42">
          <cell r="D42">
            <v>1868</v>
          </cell>
          <cell r="E42">
            <v>445800</v>
          </cell>
          <cell r="F42">
            <v>3621400</v>
          </cell>
        </row>
        <row r="43">
          <cell r="D43">
            <v>5148</v>
          </cell>
          <cell r="E43">
            <v>1248400</v>
          </cell>
          <cell r="F43">
            <v>10000000</v>
          </cell>
        </row>
        <row r="44">
          <cell r="D44">
            <v>5194</v>
          </cell>
          <cell r="E44">
            <v>1264000</v>
          </cell>
          <cell r="F44">
            <v>10093800</v>
          </cell>
        </row>
        <row r="45">
          <cell r="D45">
            <v>5831</v>
          </cell>
          <cell r="E45">
            <v>1511650</v>
          </cell>
          <cell r="F45">
            <v>11424350</v>
          </cell>
        </row>
        <row r="46">
          <cell r="D46">
            <v>3249</v>
          </cell>
          <cell r="E46">
            <v>969600</v>
          </cell>
          <cell r="F46">
            <v>6492900</v>
          </cell>
        </row>
        <row r="47">
          <cell r="D47">
            <v>3308</v>
          </cell>
          <cell r="E47">
            <v>1673050</v>
          </cell>
          <cell r="F47">
            <v>7296650</v>
          </cell>
        </row>
        <row r="48">
          <cell r="D48">
            <v>3829</v>
          </cell>
          <cell r="E48">
            <v>1535300</v>
          </cell>
          <cell r="F48">
            <v>8044600</v>
          </cell>
        </row>
        <row r="49">
          <cell r="D49">
            <v>2119</v>
          </cell>
          <cell r="E49">
            <v>764100</v>
          </cell>
          <cell r="F49">
            <v>4366400</v>
          </cell>
        </row>
        <row r="50">
          <cell r="D50">
            <v>4283</v>
          </cell>
          <cell r="E50">
            <v>1674800</v>
          </cell>
          <cell r="F50">
            <v>8955900</v>
          </cell>
        </row>
        <row r="51">
          <cell r="D51">
            <v>5080</v>
          </cell>
          <cell r="E51">
            <v>2193250</v>
          </cell>
          <cell r="F51">
            <v>10829250</v>
          </cell>
        </row>
        <row r="52">
          <cell r="D52">
            <v>2090</v>
          </cell>
          <cell r="E52">
            <v>933000</v>
          </cell>
          <cell r="F52">
            <v>4486000</v>
          </cell>
        </row>
        <row r="53">
          <cell r="D53">
            <v>4379</v>
          </cell>
          <cell r="E53">
            <v>1283400</v>
          </cell>
          <cell r="F53">
            <v>8727700</v>
          </cell>
        </row>
        <row r="54">
          <cell r="D54">
            <v>8394</v>
          </cell>
          <cell r="E54">
            <v>2431800</v>
          </cell>
          <cell r="F54">
            <v>16701600</v>
          </cell>
        </row>
        <row r="55">
          <cell r="D55">
            <v>14918</v>
          </cell>
          <cell r="E55">
            <v>3702600</v>
          </cell>
          <cell r="F55">
            <v>29063200</v>
          </cell>
        </row>
        <row r="56">
          <cell r="D56">
            <v>25511</v>
          </cell>
          <cell r="E56">
            <v>6621950</v>
          </cell>
          <cell r="F56">
            <v>49990650</v>
          </cell>
        </row>
        <row r="57">
          <cell r="D57">
            <v>10418</v>
          </cell>
          <cell r="E57">
            <v>4706150</v>
          </cell>
          <cell r="F57">
            <v>22416750</v>
          </cell>
        </row>
        <row r="58">
          <cell r="D58">
            <v>41894</v>
          </cell>
          <cell r="E58">
            <v>13205350</v>
          </cell>
          <cell r="F58">
            <v>84425150</v>
          </cell>
        </row>
        <row r="59">
          <cell r="D59">
            <v>7547</v>
          </cell>
          <cell r="E59">
            <v>2844750</v>
          </cell>
          <cell r="F59">
            <v>15674650</v>
          </cell>
        </row>
        <row r="60">
          <cell r="D60">
            <v>8351</v>
          </cell>
          <cell r="E60">
            <v>2249300</v>
          </cell>
          <cell r="F60">
            <v>16446000</v>
          </cell>
        </row>
        <row r="61">
          <cell r="D61">
            <v>1632</v>
          </cell>
          <cell r="E61">
            <v>757100</v>
          </cell>
          <cell r="F61">
            <v>3531500</v>
          </cell>
        </row>
        <row r="62">
          <cell r="D62">
            <v>1197</v>
          </cell>
          <cell r="E62">
            <v>339050</v>
          </cell>
          <cell r="F62">
            <v>2373950</v>
          </cell>
        </row>
        <row r="63">
          <cell r="D63">
            <v>2331</v>
          </cell>
          <cell r="E63">
            <v>621900</v>
          </cell>
          <cell r="F63">
            <v>4584600</v>
          </cell>
        </row>
        <row r="64">
          <cell r="D64">
            <v>3178</v>
          </cell>
          <cell r="E64">
            <v>688500</v>
          </cell>
          <cell r="F64">
            <v>6091100</v>
          </cell>
        </row>
        <row r="65">
          <cell r="D65">
            <v>3557</v>
          </cell>
          <cell r="E65">
            <v>950100</v>
          </cell>
          <cell r="F65">
            <v>6997000</v>
          </cell>
        </row>
        <row r="66">
          <cell r="D66">
            <v>3559</v>
          </cell>
          <cell r="E66">
            <v>1210700</v>
          </cell>
          <cell r="F66">
            <v>7261000</v>
          </cell>
        </row>
        <row r="67">
          <cell r="D67">
            <v>2446</v>
          </cell>
          <cell r="E67">
            <v>787300</v>
          </cell>
          <cell r="F67">
            <v>4945500</v>
          </cell>
        </row>
        <row r="68">
          <cell r="D68">
            <v>6515</v>
          </cell>
          <cell r="E68">
            <v>2401850</v>
          </cell>
          <cell r="F68">
            <v>13477350</v>
          </cell>
        </row>
        <row r="69">
          <cell r="D69">
            <v>5611</v>
          </cell>
          <cell r="E69">
            <v>1519650</v>
          </cell>
          <cell r="F69">
            <v>11058350</v>
          </cell>
        </row>
        <row r="70">
          <cell r="D70">
            <v>3924</v>
          </cell>
          <cell r="E70">
            <v>1526500</v>
          </cell>
          <cell r="F70">
            <v>8197300</v>
          </cell>
        </row>
        <row r="71">
          <cell r="D71">
            <v>3608</v>
          </cell>
          <cell r="E71">
            <v>1152850</v>
          </cell>
          <cell r="F71">
            <v>7286450</v>
          </cell>
        </row>
        <row r="72">
          <cell r="D72">
            <v>3427</v>
          </cell>
          <cell r="E72">
            <v>1286000</v>
          </cell>
          <cell r="F72">
            <v>7111900</v>
          </cell>
        </row>
        <row r="73">
          <cell r="D73">
            <v>1311</v>
          </cell>
          <cell r="E73">
            <v>449000</v>
          </cell>
          <cell r="F73">
            <v>2677700</v>
          </cell>
        </row>
        <row r="74">
          <cell r="D74">
            <v>0</v>
          </cell>
          <cell r="E74">
            <v>1364000</v>
          </cell>
          <cell r="F74">
            <v>1364000</v>
          </cell>
          <cell r="M74">
            <v>487935.97</v>
          </cell>
        </row>
        <row r="75">
          <cell r="D75">
            <v>0</v>
          </cell>
          <cell r="E75">
            <v>902000</v>
          </cell>
          <cell r="F75">
            <v>902000</v>
          </cell>
        </row>
        <row r="76">
          <cell r="D76">
            <v>0</v>
          </cell>
          <cell r="E76">
            <v>1004000</v>
          </cell>
          <cell r="F76">
            <v>1004000</v>
          </cell>
        </row>
        <row r="77">
          <cell r="D77">
            <v>0</v>
          </cell>
          <cell r="E77">
            <v>959000</v>
          </cell>
          <cell r="F77">
            <v>959000</v>
          </cell>
        </row>
        <row r="78">
          <cell r="D78">
            <v>0</v>
          </cell>
          <cell r="E78">
            <v>393000</v>
          </cell>
          <cell r="F78">
            <v>393000</v>
          </cell>
        </row>
        <row r="79">
          <cell r="D79">
            <v>0</v>
          </cell>
          <cell r="E79">
            <v>1111000</v>
          </cell>
          <cell r="F79">
            <v>1111000</v>
          </cell>
        </row>
        <row r="80">
          <cell r="D80">
            <v>0</v>
          </cell>
          <cell r="E80">
            <v>1418000</v>
          </cell>
          <cell r="F80">
            <v>1418000</v>
          </cell>
        </row>
        <row r="81">
          <cell r="D81">
            <v>0</v>
          </cell>
          <cell r="E81">
            <v>490000</v>
          </cell>
          <cell r="F81">
            <v>490000</v>
          </cell>
        </row>
        <row r="82">
          <cell r="D82">
            <v>0</v>
          </cell>
          <cell r="E82">
            <v>1235000</v>
          </cell>
          <cell r="F82">
            <v>1235000</v>
          </cell>
        </row>
        <row r="83">
          <cell r="D83">
            <v>0</v>
          </cell>
          <cell r="E83">
            <v>771000</v>
          </cell>
          <cell r="F83">
            <v>771000</v>
          </cell>
        </row>
        <row r="84">
          <cell r="D84">
            <v>0</v>
          </cell>
          <cell r="E84">
            <v>693000</v>
          </cell>
          <cell r="F84">
            <v>693000</v>
          </cell>
        </row>
        <row r="85">
          <cell r="D85">
            <v>0</v>
          </cell>
          <cell r="E85">
            <v>1347000</v>
          </cell>
          <cell r="F85">
            <v>1347000</v>
          </cell>
        </row>
        <row r="86">
          <cell r="D86">
            <v>0</v>
          </cell>
          <cell r="E86">
            <v>10000</v>
          </cell>
          <cell r="F86">
            <v>10000</v>
          </cell>
        </row>
        <row r="87">
          <cell r="D87">
            <v>0</v>
          </cell>
          <cell r="E87">
            <v>34000</v>
          </cell>
          <cell r="F87">
            <v>34000</v>
          </cell>
        </row>
        <row r="88">
          <cell r="D88">
            <v>0</v>
          </cell>
          <cell r="E88">
            <v>52000</v>
          </cell>
          <cell r="F88">
            <v>52000</v>
          </cell>
        </row>
        <row r="89">
          <cell r="D89">
            <v>0</v>
          </cell>
          <cell r="E89">
            <v>5000</v>
          </cell>
          <cell r="F89">
            <v>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125000</v>
          </cell>
          <cell r="F91">
            <v>125000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56</v>
          </cell>
          <cell r="E93">
            <v>1913100</v>
          </cell>
          <cell r="F93">
            <v>2008300</v>
          </cell>
        </row>
        <row r="94">
          <cell r="D94">
            <v>442</v>
          </cell>
          <cell r="E94">
            <v>2386100</v>
          </cell>
          <cell r="F94">
            <v>3137500</v>
          </cell>
        </row>
        <row r="95">
          <cell r="D95">
            <v>481</v>
          </cell>
          <cell r="E95">
            <v>1469000</v>
          </cell>
          <cell r="F95">
            <v>2286700</v>
          </cell>
        </row>
        <row r="96">
          <cell r="D96">
            <v>182</v>
          </cell>
          <cell r="E96">
            <v>3272450</v>
          </cell>
          <cell r="F96">
            <v>3581850</v>
          </cell>
        </row>
        <row r="97">
          <cell r="D97">
            <v>338</v>
          </cell>
          <cell r="E97">
            <v>1456700</v>
          </cell>
          <cell r="F97">
            <v>2031300</v>
          </cell>
        </row>
        <row r="98">
          <cell r="D98">
            <v>664</v>
          </cell>
          <cell r="E98">
            <v>1833700</v>
          </cell>
          <cell r="F98">
            <v>2962500</v>
          </cell>
        </row>
        <row r="100">
          <cell r="E100">
            <v>43000</v>
          </cell>
          <cell r="F100">
            <v>43000</v>
          </cell>
        </row>
      </sheetData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4993</v>
          </cell>
          <cell r="E11">
            <v>1672800</v>
          </cell>
          <cell r="F11">
            <v>10160900</v>
          </cell>
        </row>
        <row r="12">
          <cell r="D12">
            <v>1662</v>
          </cell>
          <cell r="E12">
            <v>677100</v>
          </cell>
          <cell r="F12">
            <v>3502500</v>
          </cell>
        </row>
        <row r="13">
          <cell r="D13">
            <v>892</v>
          </cell>
          <cell r="E13">
            <v>557200</v>
          </cell>
          <cell r="F13">
            <v>2073600</v>
          </cell>
        </row>
        <row r="14">
          <cell r="D14">
            <v>34450</v>
          </cell>
          <cell r="E14">
            <v>10326300</v>
          </cell>
          <cell r="F14">
            <v>68891300</v>
          </cell>
        </row>
        <row r="15">
          <cell r="D15">
            <v>20083</v>
          </cell>
          <cell r="E15">
            <v>2511850</v>
          </cell>
          <cell r="F15">
            <v>36652950</v>
          </cell>
        </row>
        <row r="16">
          <cell r="D16">
            <v>4485</v>
          </cell>
          <cell r="E16">
            <v>921150</v>
          </cell>
          <cell r="F16">
            <v>8545650</v>
          </cell>
        </row>
        <row r="17">
          <cell r="D17">
            <v>3678</v>
          </cell>
          <cell r="E17">
            <v>851800</v>
          </cell>
          <cell r="F17">
            <v>7104400</v>
          </cell>
        </row>
        <row r="18">
          <cell r="D18">
            <v>7399</v>
          </cell>
          <cell r="E18">
            <v>1947300</v>
          </cell>
          <cell r="F18">
            <v>14525600</v>
          </cell>
        </row>
        <row r="19">
          <cell r="D19">
            <v>4029</v>
          </cell>
          <cell r="E19">
            <v>959700</v>
          </cell>
          <cell r="F19">
            <v>7809000</v>
          </cell>
        </row>
        <row r="20">
          <cell r="D20">
            <v>2537</v>
          </cell>
          <cell r="E20">
            <v>967500</v>
          </cell>
          <cell r="F20">
            <v>5280400</v>
          </cell>
        </row>
        <row r="21">
          <cell r="D21">
            <v>9995</v>
          </cell>
          <cell r="E21">
            <v>3869050</v>
          </cell>
          <cell r="F21">
            <v>20860550</v>
          </cell>
        </row>
        <row r="22">
          <cell r="D22">
            <v>2998</v>
          </cell>
          <cell r="E22">
            <v>786100</v>
          </cell>
          <cell r="F22">
            <v>5882700</v>
          </cell>
        </row>
        <row r="23">
          <cell r="D23">
            <v>3950</v>
          </cell>
          <cell r="E23">
            <v>1313500</v>
          </cell>
          <cell r="F23">
            <v>8028500</v>
          </cell>
        </row>
        <row r="24">
          <cell r="D24">
            <v>7125</v>
          </cell>
          <cell r="E24">
            <v>1543650</v>
          </cell>
          <cell r="F24">
            <v>13656150</v>
          </cell>
        </row>
        <row r="25">
          <cell r="D25">
            <v>6062</v>
          </cell>
          <cell r="E25">
            <v>1647200</v>
          </cell>
          <cell r="F25">
            <v>11952600</v>
          </cell>
        </row>
        <row r="26">
          <cell r="D26">
            <v>5869</v>
          </cell>
          <cell r="E26">
            <v>2404900</v>
          </cell>
          <cell r="F26">
            <v>12382200</v>
          </cell>
        </row>
        <row r="27">
          <cell r="D27">
            <v>1679</v>
          </cell>
          <cell r="E27">
            <v>722000</v>
          </cell>
          <cell r="F27">
            <v>3576300</v>
          </cell>
        </row>
        <row r="28">
          <cell r="D28">
            <v>3825</v>
          </cell>
          <cell r="E28">
            <v>1434000</v>
          </cell>
          <cell r="F28">
            <v>7936500</v>
          </cell>
        </row>
        <row r="29">
          <cell r="D29">
            <v>5127</v>
          </cell>
          <cell r="E29">
            <v>1452000</v>
          </cell>
          <cell r="F29">
            <v>10167900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5962</v>
          </cell>
          <cell r="E31">
            <v>1813400</v>
          </cell>
          <cell r="F31">
            <v>11948800</v>
          </cell>
        </row>
        <row r="32">
          <cell r="D32">
            <v>3102</v>
          </cell>
          <cell r="E32">
            <v>978600</v>
          </cell>
          <cell r="F32">
            <v>6252000</v>
          </cell>
        </row>
        <row r="33">
          <cell r="D33">
            <v>6174</v>
          </cell>
          <cell r="E33">
            <v>1899750</v>
          </cell>
          <cell r="F33">
            <v>12395550</v>
          </cell>
        </row>
        <row r="34">
          <cell r="D34">
            <v>2252</v>
          </cell>
          <cell r="E34">
            <v>937700</v>
          </cell>
          <cell r="F34">
            <v>4766100</v>
          </cell>
        </row>
        <row r="35">
          <cell r="D35">
            <v>8126</v>
          </cell>
          <cell r="E35">
            <v>3309050</v>
          </cell>
          <cell r="F35">
            <v>17123250</v>
          </cell>
        </row>
        <row r="36">
          <cell r="D36">
            <v>4491</v>
          </cell>
          <cell r="E36">
            <v>1358550</v>
          </cell>
          <cell r="F36">
            <v>8993250</v>
          </cell>
        </row>
        <row r="37">
          <cell r="D37">
            <v>6244</v>
          </cell>
          <cell r="E37">
            <v>2469450</v>
          </cell>
          <cell r="F37">
            <v>13084250</v>
          </cell>
        </row>
        <row r="38">
          <cell r="D38">
            <v>1937</v>
          </cell>
          <cell r="E38">
            <v>647600</v>
          </cell>
          <cell r="F38">
            <v>3940500</v>
          </cell>
        </row>
        <row r="39">
          <cell r="D39">
            <v>5143</v>
          </cell>
          <cell r="E39">
            <v>1625050</v>
          </cell>
          <cell r="F39">
            <v>10368150</v>
          </cell>
        </row>
        <row r="40">
          <cell r="D40">
            <v>6474</v>
          </cell>
          <cell r="E40">
            <v>1954800</v>
          </cell>
          <cell r="F40">
            <v>12960600</v>
          </cell>
        </row>
        <row r="41">
          <cell r="D41">
            <v>2223</v>
          </cell>
          <cell r="E41">
            <v>923100</v>
          </cell>
          <cell r="F41">
            <v>4702200</v>
          </cell>
        </row>
        <row r="42">
          <cell r="D42">
            <v>1823</v>
          </cell>
          <cell r="E42">
            <v>281500</v>
          </cell>
          <cell r="F42">
            <v>3380600</v>
          </cell>
        </row>
        <row r="43">
          <cell r="D43">
            <v>5044</v>
          </cell>
          <cell r="E43">
            <v>1120500</v>
          </cell>
          <cell r="F43">
            <v>9695300</v>
          </cell>
        </row>
        <row r="44">
          <cell r="D44">
            <v>5195</v>
          </cell>
          <cell r="E44">
            <v>1316200</v>
          </cell>
          <cell r="F44">
            <v>10147700</v>
          </cell>
        </row>
        <row r="45">
          <cell r="D45">
            <v>5237</v>
          </cell>
          <cell r="E45">
            <v>1413800</v>
          </cell>
          <cell r="F45">
            <v>10316700</v>
          </cell>
        </row>
        <row r="46">
          <cell r="D46">
            <v>3176</v>
          </cell>
          <cell r="E46">
            <v>723550</v>
          </cell>
          <cell r="F46">
            <v>6122750</v>
          </cell>
        </row>
        <row r="47">
          <cell r="D47">
            <v>3194</v>
          </cell>
          <cell r="E47">
            <v>1267700</v>
          </cell>
          <cell r="F47">
            <v>6697500</v>
          </cell>
        </row>
        <row r="48">
          <cell r="D48">
            <v>3663</v>
          </cell>
          <cell r="E48">
            <v>1198500</v>
          </cell>
          <cell r="F48">
            <v>7425600</v>
          </cell>
        </row>
        <row r="49">
          <cell r="D49">
            <v>2135</v>
          </cell>
          <cell r="E49">
            <v>403000</v>
          </cell>
          <cell r="F49">
            <v>4032500</v>
          </cell>
        </row>
        <row r="50">
          <cell r="D50">
            <v>4014</v>
          </cell>
          <cell r="E50">
            <v>1409000</v>
          </cell>
          <cell r="F50">
            <v>8232800</v>
          </cell>
        </row>
        <row r="51">
          <cell r="D51">
            <v>4988</v>
          </cell>
          <cell r="E51">
            <v>1777900</v>
          </cell>
          <cell r="F51">
            <v>10257500</v>
          </cell>
        </row>
        <row r="52">
          <cell r="D52">
            <v>2150</v>
          </cell>
          <cell r="E52">
            <v>766700</v>
          </cell>
          <cell r="F52">
            <v>4421700</v>
          </cell>
        </row>
        <row r="53">
          <cell r="D53">
            <v>4113</v>
          </cell>
          <cell r="E53">
            <v>1147200</v>
          </cell>
          <cell r="F53">
            <v>8139300</v>
          </cell>
        </row>
        <row r="54">
          <cell r="D54">
            <v>8046</v>
          </cell>
          <cell r="E54">
            <v>2319000</v>
          </cell>
          <cell r="F54">
            <v>15997200</v>
          </cell>
        </row>
        <row r="55">
          <cell r="D55">
            <v>14247</v>
          </cell>
          <cell r="E55">
            <v>3016400</v>
          </cell>
          <cell r="F55">
            <v>27236300</v>
          </cell>
        </row>
        <row r="56">
          <cell r="D56">
            <v>23881</v>
          </cell>
          <cell r="E56">
            <v>6773900</v>
          </cell>
          <cell r="F56">
            <v>47371600</v>
          </cell>
        </row>
        <row r="57">
          <cell r="D57">
            <v>9685</v>
          </cell>
          <cell r="E57">
            <v>3896650</v>
          </cell>
          <cell r="F57">
            <v>20361150</v>
          </cell>
        </row>
        <row r="58">
          <cell r="D58">
            <v>40024</v>
          </cell>
          <cell r="E58">
            <v>10961550</v>
          </cell>
          <cell r="F58">
            <v>79002350</v>
          </cell>
        </row>
        <row r="59">
          <cell r="D59">
            <v>7180</v>
          </cell>
          <cell r="E59">
            <v>2063750</v>
          </cell>
          <cell r="F59">
            <v>14269750</v>
          </cell>
        </row>
        <row r="60">
          <cell r="D60">
            <v>7925</v>
          </cell>
          <cell r="E60">
            <v>2225300</v>
          </cell>
          <cell r="F60">
            <v>15697800</v>
          </cell>
        </row>
        <row r="61">
          <cell r="D61">
            <v>1642</v>
          </cell>
          <cell r="E61">
            <v>811400</v>
          </cell>
          <cell r="F61">
            <v>3602800</v>
          </cell>
        </row>
        <row r="62">
          <cell r="D62">
            <v>1058</v>
          </cell>
          <cell r="E62">
            <v>280400</v>
          </cell>
          <cell r="F62">
            <v>2079000</v>
          </cell>
        </row>
        <row r="63">
          <cell r="D63">
            <v>2164</v>
          </cell>
          <cell r="E63">
            <v>514650</v>
          </cell>
          <cell r="F63">
            <v>4193450</v>
          </cell>
        </row>
        <row r="64">
          <cell r="D64">
            <v>2818</v>
          </cell>
          <cell r="E64">
            <v>502800</v>
          </cell>
          <cell r="F64">
            <v>5293400</v>
          </cell>
        </row>
        <row r="65">
          <cell r="D65">
            <v>3283</v>
          </cell>
          <cell r="E65">
            <v>908100</v>
          </cell>
          <cell r="F65">
            <v>6489200</v>
          </cell>
        </row>
        <row r="66">
          <cell r="D66">
            <v>3601</v>
          </cell>
          <cell r="E66">
            <v>1058500</v>
          </cell>
          <cell r="F66">
            <v>7180200</v>
          </cell>
        </row>
        <row r="67">
          <cell r="D67">
            <v>2451</v>
          </cell>
          <cell r="E67">
            <v>572400</v>
          </cell>
          <cell r="F67">
            <v>4739100</v>
          </cell>
        </row>
        <row r="68">
          <cell r="D68">
            <v>6099</v>
          </cell>
          <cell r="E68">
            <v>2128200</v>
          </cell>
          <cell r="F68">
            <v>12496500</v>
          </cell>
        </row>
        <row r="69">
          <cell r="D69">
            <v>5356</v>
          </cell>
          <cell r="E69">
            <v>1163400</v>
          </cell>
          <cell r="F69">
            <v>10268600</v>
          </cell>
        </row>
        <row r="70">
          <cell r="D70">
            <v>3829</v>
          </cell>
          <cell r="E70">
            <v>1032100</v>
          </cell>
          <cell r="F70">
            <v>7541400</v>
          </cell>
        </row>
        <row r="71">
          <cell r="D71">
            <v>3321</v>
          </cell>
          <cell r="E71">
            <v>1352550</v>
          </cell>
          <cell r="F71">
            <v>6998250</v>
          </cell>
        </row>
        <row r="72">
          <cell r="D72">
            <v>3135</v>
          </cell>
          <cell r="E72">
            <v>1302450</v>
          </cell>
          <cell r="F72">
            <v>6631950</v>
          </cell>
        </row>
        <row r="73">
          <cell r="D73">
            <v>1187</v>
          </cell>
          <cell r="E73">
            <v>388500</v>
          </cell>
          <cell r="F73">
            <v>2406400</v>
          </cell>
        </row>
        <row r="74">
          <cell r="D74">
            <v>0</v>
          </cell>
          <cell r="E74">
            <v>1158000</v>
          </cell>
          <cell r="F74">
            <v>1158000</v>
          </cell>
          <cell r="M74">
            <v>459194.147</v>
          </cell>
        </row>
        <row r="75">
          <cell r="D75">
            <v>0</v>
          </cell>
          <cell r="E75">
            <v>815000</v>
          </cell>
          <cell r="F75">
            <v>815000</v>
          </cell>
        </row>
        <row r="76">
          <cell r="D76">
            <v>0</v>
          </cell>
          <cell r="E76">
            <v>908000</v>
          </cell>
          <cell r="F76">
            <v>908000</v>
          </cell>
        </row>
        <row r="77">
          <cell r="D77">
            <v>0</v>
          </cell>
          <cell r="E77">
            <v>947000</v>
          </cell>
          <cell r="F77">
            <v>947000</v>
          </cell>
        </row>
        <row r="78">
          <cell r="D78">
            <v>0</v>
          </cell>
          <cell r="E78">
            <v>379000</v>
          </cell>
          <cell r="F78">
            <v>379000</v>
          </cell>
        </row>
        <row r="79">
          <cell r="D79">
            <v>0</v>
          </cell>
          <cell r="E79">
            <v>1113000</v>
          </cell>
          <cell r="F79">
            <v>1113000</v>
          </cell>
        </row>
        <row r="80">
          <cell r="D80">
            <v>0</v>
          </cell>
          <cell r="E80">
            <v>1303000</v>
          </cell>
          <cell r="F80">
            <v>1303000</v>
          </cell>
        </row>
        <row r="81">
          <cell r="D81">
            <v>0</v>
          </cell>
          <cell r="E81">
            <v>1018000</v>
          </cell>
          <cell r="F81">
            <v>1018000</v>
          </cell>
        </row>
        <row r="82">
          <cell r="D82">
            <v>0</v>
          </cell>
          <cell r="E82">
            <v>1250000</v>
          </cell>
          <cell r="F82">
            <v>1250000</v>
          </cell>
        </row>
        <row r="83">
          <cell r="D83">
            <v>0</v>
          </cell>
          <cell r="E83">
            <v>791000</v>
          </cell>
          <cell r="F83">
            <v>791000</v>
          </cell>
        </row>
        <row r="84">
          <cell r="D84">
            <v>0</v>
          </cell>
          <cell r="E84">
            <v>412000</v>
          </cell>
          <cell r="F84">
            <v>412000</v>
          </cell>
        </row>
        <row r="85">
          <cell r="D85">
            <v>0</v>
          </cell>
          <cell r="E85">
            <v>1316000</v>
          </cell>
          <cell r="F85">
            <v>1316000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15000</v>
          </cell>
          <cell r="F87">
            <v>15000</v>
          </cell>
        </row>
        <row r="88">
          <cell r="D88">
            <v>0</v>
          </cell>
          <cell r="E88">
            <v>59000</v>
          </cell>
          <cell r="F88">
            <v>59000</v>
          </cell>
        </row>
        <row r="89">
          <cell r="D89">
            <v>0</v>
          </cell>
          <cell r="E89">
            <v>25000</v>
          </cell>
          <cell r="F89">
            <v>25000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95000</v>
          </cell>
          <cell r="F91">
            <v>95000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144</v>
          </cell>
          <cell r="E93">
            <v>1636200</v>
          </cell>
          <cell r="F93">
            <v>1881000</v>
          </cell>
        </row>
        <row r="94">
          <cell r="D94">
            <v>453</v>
          </cell>
          <cell r="E94">
            <v>2076600</v>
          </cell>
          <cell r="F94">
            <v>2846700</v>
          </cell>
        </row>
        <row r="95">
          <cell r="D95">
            <v>405</v>
          </cell>
          <cell r="E95">
            <v>1704800</v>
          </cell>
          <cell r="F95">
            <v>2393300</v>
          </cell>
        </row>
        <row r="96">
          <cell r="D96">
            <v>131</v>
          </cell>
          <cell r="E96">
            <v>2704350</v>
          </cell>
          <cell r="F96">
            <v>2927050</v>
          </cell>
        </row>
        <row r="97">
          <cell r="D97">
            <v>297</v>
          </cell>
          <cell r="E97">
            <v>1308500</v>
          </cell>
          <cell r="F97">
            <v>1813400</v>
          </cell>
        </row>
        <row r="98">
          <cell r="D98">
            <v>471</v>
          </cell>
          <cell r="E98">
            <v>2083200</v>
          </cell>
          <cell r="F98">
            <v>2883900</v>
          </cell>
        </row>
        <row r="100">
          <cell r="E100">
            <v>30000</v>
          </cell>
          <cell r="F100">
            <v>30000</v>
          </cell>
        </row>
      </sheetData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4274</v>
          </cell>
          <cell r="E11">
            <v>1503600</v>
          </cell>
          <cell r="F11">
            <v>8769400</v>
          </cell>
        </row>
        <row r="12">
          <cell r="D12">
            <v>1840</v>
          </cell>
          <cell r="E12">
            <v>819500</v>
          </cell>
          <cell r="F12">
            <v>3947500</v>
          </cell>
        </row>
        <row r="13">
          <cell r="D13">
            <v>1344</v>
          </cell>
          <cell r="E13">
            <v>554300</v>
          </cell>
          <cell r="F13">
            <v>2839100</v>
          </cell>
        </row>
        <row r="14">
          <cell r="D14">
            <v>33193</v>
          </cell>
          <cell r="E14">
            <v>9586000</v>
          </cell>
          <cell r="F14">
            <v>66014100</v>
          </cell>
        </row>
        <row r="15">
          <cell r="D15">
            <v>19660</v>
          </cell>
          <cell r="E15">
            <v>2596900</v>
          </cell>
          <cell r="F15">
            <v>36018900</v>
          </cell>
        </row>
        <row r="16">
          <cell r="D16">
            <v>4366</v>
          </cell>
          <cell r="E16">
            <v>898200</v>
          </cell>
          <cell r="F16">
            <v>8320400</v>
          </cell>
        </row>
        <row r="17">
          <cell r="D17">
            <v>3485</v>
          </cell>
          <cell r="E17">
            <v>582400</v>
          </cell>
          <cell r="F17">
            <v>6506900</v>
          </cell>
        </row>
        <row r="18">
          <cell r="D18">
            <v>6994</v>
          </cell>
          <cell r="E18">
            <v>1567850</v>
          </cell>
          <cell r="F18">
            <v>13457650</v>
          </cell>
        </row>
        <row r="19">
          <cell r="D19">
            <v>4218</v>
          </cell>
          <cell r="E19">
            <v>1004900</v>
          </cell>
          <cell r="F19">
            <v>8175500</v>
          </cell>
        </row>
        <row r="20">
          <cell r="D20">
            <v>2310</v>
          </cell>
          <cell r="E20">
            <v>928400</v>
          </cell>
          <cell r="F20">
            <v>4855400</v>
          </cell>
        </row>
        <row r="21">
          <cell r="D21">
            <v>9496</v>
          </cell>
          <cell r="E21">
            <v>4162050</v>
          </cell>
          <cell r="F21">
            <v>20305250</v>
          </cell>
        </row>
        <row r="22">
          <cell r="D22">
            <v>2701</v>
          </cell>
          <cell r="E22">
            <v>623600</v>
          </cell>
          <cell r="F22">
            <v>5215300</v>
          </cell>
        </row>
        <row r="23">
          <cell r="D23">
            <v>3697</v>
          </cell>
          <cell r="E23">
            <v>997200</v>
          </cell>
          <cell r="F23">
            <v>7282100</v>
          </cell>
        </row>
        <row r="24">
          <cell r="D24">
            <v>6825</v>
          </cell>
          <cell r="E24">
            <v>1554300</v>
          </cell>
          <cell r="F24">
            <v>13156800</v>
          </cell>
        </row>
        <row r="25">
          <cell r="D25">
            <v>5924</v>
          </cell>
          <cell r="E25">
            <v>1313800</v>
          </cell>
          <cell r="F25">
            <v>11384600</v>
          </cell>
        </row>
        <row r="26">
          <cell r="D26">
            <v>5834</v>
          </cell>
          <cell r="E26">
            <v>1707600</v>
          </cell>
          <cell r="F26">
            <v>11625400</v>
          </cell>
        </row>
        <row r="27">
          <cell r="D27">
            <v>1502</v>
          </cell>
          <cell r="E27">
            <v>799300</v>
          </cell>
          <cell r="F27">
            <v>3352700</v>
          </cell>
        </row>
        <row r="28">
          <cell r="D28">
            <v>3629</v>
          </cell>
          <cell r="E28">
            <v>1141050</v>
          </cell>
          <cell r="F28">
            <v>7310350</v>
          </cell>
        </row>
        <row r="29">
          <cell r="D29">
            <v>5012</v>
          </cell>
          <cell r="E29">
            <v>1455300</v>
          </cell>
          <cell r="F29">
            <v>9975700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5700</v>
          </cell>
          <cell r="E31">
            <v>1700400</v>
          </cell>
          <cell r="F31">
            <v>11390400</v>
          </cell>
        </row>
        <row r="32">
          <cell r="D32">
            <v>3212</v>
          </cell>
          <cell r="E32">
            <v>934600</v>
          </cell>
          <cell r="F32">
            <v>6395000</v>
          </cell>
        </row>
        <row r="33">
          <cell r="D33">
            <v>5847</v>
          </cell>
          <cell r="E33">
            <v>1995750</v>
          </cell>
          <cell r="F33">
            <v>11935650</v>
          </cell>
        </row>
        <row r="34">
          <cell r="D34">
            <v>2221</v>
          </cell>
          <cell r="E34">
            <v>871500</v>
          </cell>
          <cell r="F34">
            <v>4647200</v>
          </cell>
        </row>
        <row r="35">
          <cell r="D35">
            <v>7953</v>
          </cell>
          <cell r="E35">
            <v>2502500</v>
          </cell>
          <cell r="F35">
            <v>16022600</v>
          </cell>
        </row>
        <row r="36">
          <cell r="D36">
            <v>4542</v>
          </cell>
          <cell r="E36">
            <v>1297600</v>
          </cell>
          <cell r="F36">
            <v>9019000</v>
          </cell>
        </row>
        <row r="37">
          <cell r="D37">
            <v>6269</v>
          </cell>
          <cell r="E37">
            <v>2061900</v>
          </cell>
          <cell r="F37">
            <v>12719200</v>
          </cell>
        </row>
        <row r="38">
          <cell r="D38">
            <v>1772</v>
          </cell>
          <cell r="E38">
            <v>464100</v>
          </cell>
          <cell r="F38">
            <v>3476500</v>
          </cell>
        </row>
        <row r="39">
          <cell r="D39">
            <v>5058</v>
          </cell>
          <cell r="E39">
            <v>1276400</v>
          </cell>
          <cell r="F39">
            <v>9875000</v>
          </cell>
        </row>
        <row r="40">
          <cell r="D40">
            <v>6574</v>
          </cell>
          <cell r="E40">
            <v>1712800</v>
          </cell>
          <cell r="F40">
            <v>12888600</v>
          </cell>
        </row>
        <row r="41">
          <cell r="D41">
            <v>2286</v>
          </cell>
          <cell r="E41">
            <v>917200</v>
          </cell>
          <cell r="F41">
            <v>4803400</v>
          </cell>
        </row>
        <row r="42">
          <cell r="D42">
            <v>1589</v>
          </cell>
          <cell r="E42">
            <v>451900</v>
          </cell>
          <cell r="F42">
            <v>3153200</v>
          </cell>
        </row>
        <row r="43">
          <cell r="D43">
            <v>4869</v>
          </cell>
          <cell r="E43">
            <v>1160900</v>
          </cell>
          <cell r="F43">
            <v>9438200</v>
          </cell>
        </row>
        <row r="44">
          <cell r="D44">
            <v>4893</v>
          </cell>
          <cell r="E44">
            <v>1217250</v>
          </cell>
          <cell r="F44">
            <v>9535350</v>
          </cell>
        </row>
        <row r="45">
          <cell r="D45">
            <v>5360</v>
          </cell>
          <cell r="E45">
            <v>1291250</v>
          </cell>
          <cell r="F45">
            <v>10403250</v>
          </cell>
        </row>
        <row r="46">
          <cell r="D46">
            <v>3163</v>
          </cell>
          <cell r="E46">
            <v>710200</v>
          </cell>
          <cell r="F46">
            <v>6087300</v>
          </cell>
        </row>
        <row r="47">
          <cell r="D47">
            <v>3075</v>
          </cell>
          <cell r="E47">
            <v>1191600</v>
          </cell>
          <cell r="F47">
            <v>6419100</v>
          </cell>
        </row>
        <row r="48">
          <cell r="D48">
            <v>3586</v>
          </cell>
          <cell r="E48">
            <v>1135600</v>
          </cell>
          <cell r="F48">
            <v>7231800</v>
          </cell>
        </row>
        <row r="49">
          <cell r="D49">
            <v>2035</v>
          </cell>
          <cell r="E49">
            <v>697900</v>
          </cell>
          <cell r="F49">
            <v>4157400</v>
          </cell>
        </row>
        <row r="50">
          <cell r="D50">
            <v>4080</v>
          </cell>
          <cell r="E50">
            <v>1456700</v>
          </cell>
          <cell r="F50">
            <v>8392700</v>
          </cell>
        </row>
        <row r="51">
          <cell r="D51">
            <v>4998</v>
          </cell>
          <cell r="E51">
            <v>1718900</v>
          </cell>
          <cell r="F51">
            <v>10215500</v>
          </cell>
        </row>
        <row r="52">
          <cell r="D52">
            <v>2097</v>
          </cell>
          <cell r="E52">
            <v>684000</v>
          </cell>
          <cell r="F52">
            <v>4248900</v>
          </cell>
        </row>
        <row r="53">
          <cell r="D53">
            <v>3960</v>
          </cell>
          <cell r="E53">
            <v>1160900</v>
          </cell>
          <cell r="F53">
            <v>7892900</v>
          </cell>
        </row>
        <row r="54">
          <cell r="D54">
            <v>7615</v>
          </cell>
          <cell r="E54">
            <v>2289000</v>
          </cell>
          <cell r="F54">
            <v>15234500</v>
          </cell>
        </row>
        <row r="55">
          <cell r="D55">
            <v>14078</v>
          </cell>
          <cell r="E55">
            <v>2732300</v>
          </cell>
          <cell r="F55">
            <v>26664900</v>
          </cell>
        </row>
        <row r="56">
          <cell r="D56">
            <v>23349</v>
          </cell>
          <cell r="E56">
            <v>5328450</v>
          </cell>
          <cell r="F56">
            <v>45021750</v>
          </cell>
        </row>
        <row r="57">
          <cell r="D57">
            <v>9535</v>
          </cell>
          <cell r="E57">
            <v>3808600</v>
          </cell>
          <cell r="F57">
            <v>20018100</v>
          </cell>
        </row>
        <row r="58">
          <cell r="D58">
            <v>38457</v>
          </cell>
          <cell r="E58">
            <v>11958400</v>
          </cell>
          <cell r="F58">
            <v>77335300</v>
          </cell>
        </row>
        <row r="59">
          <cell r="D59">
            <v>7075</v>
          </cell>
          <cell r="E59">
            <v>2202850</v>
          </cell>
          <cell r="F59">
            <v>14230350</v>
          </cell>
        </row>
        <row r="60">
          <cell r="D60">
            <v>7593</v>
          </cell>
          <cell r="E60">
            <v>1730400</v>
          </cell>
          <cell r="F60">
            <v>14638500</v>
          </cell>
        </row>
        <row r="61">
          <cell r="D61">
            <v>1546</v>
          </cell>
          <cell r="E61">
            <v>769300</v>
          </cell>
          <cell r="F61">
            <v>3397500</v>
          </cell>
        </row>
        <row r="62">
          <cell r="D62">
            <v>1076</v>
          </cell>
          <cell r="E62">
            <v>358200</v>
          </cell>
          <cell r="F62">
            <v>2187400</v>
          </cell>
        </row>
        <row r="63">
          <cell r="D63">
            <v>2017</v>
          </cell>
          <cell r="E63">
            <v>516800</v>
          </cell>
          <cell r="F63">
            <v>3945700</v>
          </cell>
        </row>
        <row r="64">
          <cell r="D64">
            <v>2993</v>
          </cell>
          <cell r="E64">
            <v>592300</v>
          </cell>
          <cell r="F64">
            <v>5680400</v>
          </cell>
        </row>
        <row r="65">
          <cell r="D65">
            <v>3175</v>
          </cell>
          <cell r="E65">
            <v>810800</v>
          </cell>
          <cell r="F65">
            <v>6208300</v>
          </cell>
        </row>
        <row r="66">
          <cell r="D66">
            <v>3399</v>
          </cell>
          <cell r="E66">
            <v>909800</v>
          </cell>
          <cell r="F66">
            <v>6688100</v>
          </cell>
        </row>
        <row r="67">
          <cell r="D67">
            <v>2273</v>
          </cell>
          <cell r="E67">
            <v>842200</v>
          </cell>
          <cell r="F67">
            <v>4706300</v>
          </cell>
        </row>
        <row r="68">
          <cell r="D68">
            <v>6023</v>
          </cell>
          <cell r="E68">
            <v>2197150</v>
          </cell>
          <cell r="F68">
            <v>12436250</v>
          </cell>
        </row>
        <row r="69">
          <cell r="D69">
            <v>5107</v>
          </cell>
          <cell r="E69">
            <v>1211050</v>
          </cell>
          <cell r="F69">
            <v>9892950</v>
          </cell>
        </row>
        <row r="70">
          <cell r="D70">
            <v>3857</v>
          </cell>
          <cell r="E70">
            <v>1255900</v>
          </cell>
          <cell r="F70">
            <v>7812800</v>
          </cell>
        </row>
        <row r="71">
          <cell r="D71">
            <v>3217</v>
          </cell>
          <cell r="E71">
            <v>1281800</v>
          </cell>
          <cell r="F71">
            <v>6750700</v>
          </cell>
        </row>
        <row r="72">
          <cell r="D72">
            <v>3214</v>
          </cell>
          <cell r="E72">
            <v>1124100</v>
          </cell>
          <cell r="F72">
            <v>6587900</v>
          </cell>
        </row>
        <row r="73">
          <cell r="D73">
            <v>1238</v>
          </cell>
          <cell r="E73">
            <v>429200</v>
          </cell>
          <cell r="F73">
            <v>2533800</v>
          </cell>
        </row>
        <row r="74">
          <cell r="D74">
            <v>0</v>
          </cell>
          <cell r="E74">
            <v>1219000</v>
          </cell>
          <cell r="F74">
            <v>1219000</v>
          </cell>
          <cell r="M74">
            <v>444819.94099999999</v>
          </cell>
        </row>
        <row r="75">
          <cell r="D75">
            <v>0</v>
          </cell>
          <cell r="E75">
            <v>729000</v>
          </cell>
          <cell r="F75">
            <v>729000</v>
          </cell>
        </row>
        <row r="76">
          <cell r="D76">
            <v>0</v>
          </cell>
          <cell r="E76">
            <v>926000</v>
          </cell>
          <cell r="F76">
            <v>926000</v>
          </cell>
        </row>
        <row r="77">
          <cell r="D77">
            <v>0</v>
          </cell>
          <cell r="E77">
            <v>763000</v>
          </cell>
          <cell r="F77">
            <v>763000</v>
          </cell>
        </row>
        <row r="78">
          <cell r="D78">
            <v>0</v>
          </cell>
          <cell r="E78">
            <v>453000</v>
          </cell>
          <cell r="F78">
            <v>453000</v>
          </cell>
        </row>
        <row r="79">
          <cell r="D79">
            <v>0</v>
          </cell>
          <cell r="E79">
            <v>1210000</v>
          </cell>
          <cell r="F79">
            <v>1210000</v>
          </cell>
        </row>
        <row r="80">
          <cell r="D80">
            <v>0</v>
          </cell>
          <cell r="E80">
            <v>990000</v>
          </cell>
          <cell r="F80">
            <v>990000</v>
          </cell>
        </row>
        <row r="81">
          <cell r="D81">
            <v>0</v>
          </cell>
          <cell r="E81">
            <v>824000</v>
          </cell>
          <cell r="F81">
            <v>824000</v>
          </cell>
        </row>
        <row r="82">
          <cell r="D82">
            <v>0</v>
          </cell>
          <cell r="E82">
            <v>1195000</v>
          </cell>
          <cell r="F82">
            <v>1195000</v>
          </cell>
        </row>
        <row r="83">
          <cell r="D83">
            <v>0</v>
          </cell>
          <cell r="E83">
            <v>700000</v>
          </cell>
          <cell r="F83">
            <v>700000</v>
          </cell>
        </row>
        <row r="84">
          <cell r="D84">
            <v>0</v>
          </cell>
          <cell r="E84">
            <v>545000</v>
          </cell>
          <cell r="F84">
            <v>545000</v>
          </cell>
        </row>
        <row r="85">
          <cell r="D85">
            <v>0</v>
          </cell>
          <cell r="E85">
            <v>1071000</v>
          </cell>
          <cell r="F85">
            <v>1071000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103000</v>
          </cell>
          <cell r="F88">
            <v>103000</v>
          </cell>
        </row>
        <row r="89">
          <cell r="D89">
            <v>0</v>
          </cell>
          <cell r="E89">
            <v>5000</v>
          </cell>
          <cell r="F89">
            <v>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41000</v>
          </cell>
          <cell r="F91">
            <v>41000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116</v>
          </cell>
          <cell r="E93">
            <v>1661700</v>
          </cell>
          <cell r="F93">
            <v>1858900</v>
          </cell>
        </row>
        <row r="94">
          <cell r="D94">
            <v>191</v>
          </cell>
          <cell r="E94">
            <v>2295400</v>
          </cell>
          <cell r="F94">
            <v>2620100</v>
          </cell>
        </row>
        <row r="95">
          <cell r="D95">
            <v>856</v>
          </cell>
          <cell r="E95">
            <v>1611050</v>
          </cell>
          <cell r="F95">
            <v>3066250</v>
          </cell>
        </row>
        <row r="96">
          <cell r="D96">
            <v>177</v>
          </cell>
          <cell r="E96">
            <v>2562350</v>
          </cell>
          <cell r="F96">
            <v>2863250</v>
          </cell>
        </row>
        <row r="97">
          <cell r="D97">
            <v>247</v>
          </cell>
          <cell r="E97">
            <v>1398700</v>
          </cell>
          <cell r="F97">
            <v>1818600</v>
          </cell>
        </row>
        <row r="98">
          <cell r="D98">
            <v>535</v>
          </cell>
          <cell r="E98">
            <v>1413600</v>
          </cell>
          <cell r="F98">
            <v>2323100</v>
          </cell>
        </row>
        <row r="100">
          <cell r="E100">
            <v>37000</v>
          </cell>
          <cell r="F100">
            <v>37000</v>
          </cell>
        </row>
      </sheetData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4716</v>
          </cell>
          <cell r="E11">
            <v>1927700</v>
          </cell>
          <cell r="F11">
            <v>9944900</v>
          </cell>
        </row>
        <row r="12">
          <cell r="D12">
            <v>1589</v>
          </cell>
          <cell r="E12">
            <v>811900</v>
          </cell>
          <cell r="F12">
            <v>3513200</v>
          </cell>
        </row>
        <row r="13">
          <cell r="D13">
            <v>939</v>
          </cell>
          <cell r="E13">
            <v>407600</v>
          </cell>
          <cell r="F13">
            <v>2003900</v>
          </cell>
        </row>
        <row r="14">
          <cell r="D14">
            <v>34535</v>
          </cell>
          <cell r="E14">
            <v>10999450</v>
          </cell>
          <cell r="F14">
            <v>69708950</v>
          </cell>
        </row>
        <row r="15">
          <cell r="D15">
            <v>19304</v>
          </cell>
          <cell r="E15">
            <v>2609400</v>
          </cell>
          <cell r="F15">
            <v>35426200</v>
          </cell>
        </row>
        <row r="16">
          <cell r="D16">
            <v>4369</v>
          </cell>
          <cell r="E16">
            <v>847050</v>
          </cell>
          <cell r="F16">
            <v>8274350</v>
          </cell>
        </row>
        <row r="17">
          <cell r="D17">
            <v>3520</v>
          </cell>
          <cell r="E17">
            <v>930700</v>
          </cell>
          <cell r="F17">
            <v>6914700</v>
          </cell>
        </row>
        <row r="18">
          <cell r="D18">
            <v>6996</v>
          </cell>
          <cell r="E18">
            <v>1596400</v>
          </cell>
          <cell r="F18">
            <v>13489600</v>
          </cell>
        </row>
        <row r="19">
          <cell r="D19">
            <v>3785</v>
          </cell>
          <cell r="E19">
            <v>953800</v>
          </cell>
          <cell r="F19">
            <v>7388300</v>
          </cell>
        </row>
        <row r="20">
          <cell r="D20">
            <v>2336</v>
          </cell>
          <cell r="E20">
            <v>770300</v>
          </cell>
          <cell r="F20">
            <v>4741500</v>
          </cell>
        </row>
        <row r="21">
          <cell r="D21">
            <v>9245</v>
          </cell>
          <cell r="E21">
            <v>3640200</v>
          </cell>
          <cell r="F21">
            <v>19356700</v>
          </cell>
        </row>
        <row r="22">
          <cell r="D22">
            <v>2476</v>
          </cell>
          <cell r="E22">
            <v>614800</v>
          </cell>
          <cell r="F22">
            <v>4824000</v>
          </cell>
        </row>
        <row r="23">
          <cell r="D23">
            <v>3959</v>
          </cell>
          <cell r="E23">
            <v>934500</v>
          </cell>
          <cell r="F23">
            <v>7664800</v>
          </cell>
        </row>
        <row r="24">
          <cell r="D24">
            <v>6569</v>
          </cell>
          <cell r="E24">
            <v>1182050</v>
          </cell>
          <cell r="F24">
            <v>12349350</v>
          </cell>
        </row>
        <row r="25">
          <cell r="D25">
            <v>5870</v>
          </cell>
          <cell r="E25">
            <v>1708050</v>
          </cell>
          <cell r="F25">
            <v>11687050</v>
          </cell>
        </row>
        <row r="26">
          <cell r="D26">
            <v>5967</v>
          </cell>
          <cell r="E26">
            <v>1966900</v>
          </cell>
          <cell r="F26">
            <v>12110800</v>
          </cell>
        </row>
        <row r="27">
          <cell r="D27">
            <v>1630</v>
          </cell>
          <cell r="E27">
            <v>829100</v>
          </cell>
          <cell r="F27">
            <v>3600100</v>
          </cell>
        </row>
        <row r="28">
          <cell r="D28">
            <v>3385</v>
          </cell>
          <cell r="E28">
            <v>1176200</v>
          </cell>
          <cell r="F28">
            <v>6930700</v>
          </cell>
        </row>
        <row r="29">
          <cell r="D29">
            <v>4666</v>
          </cell>
          <cell r="E29">
            <v>1319200</v>
          </cell>
          <cell r="F29">
            <v>9251400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5603</v>
          </cell>
          <cell r="E31">
            <v>1522950</v>
          </cell>
          <cell r="F31">
            <v>11048050</v>
          </cell>
        </row>
        <row r="32">
          <cell r="D32">
            <v>2892</v>
          </cell>
          <cell r="E32">
            <v>1122750</v>
          </cell>
          <cell r="F32">
            <v>6039150</v>
          </cell>
        </row>
        <row r="33">
          <cell r="D33">
            <v>6319</v>
          </cell>
          <cell r="E33">
            <v>2056850</v>
          </cell>
          <cell r="F33">
            <v>12799150</v>
          </cell>
        </row>
        <row r="34">
          <cell r="D34">
            <v>2251</v>
          </cell>
          <cell r="E34">
            <v>891300</v>
          </cell>
          <cell r="F34">
            <v>4718000</v>
          </cell>
        </row>
        <row r="35">
          <cell r="D35">
            <v>8016</v>
          </cell>
          <cell r="E35">
            <v>2499800</v>
          </cell>
          <cell r="F35">
            <v>16127000</v>
          </cell>
        </row>
        <row r="36">
          <cell r="D36">
            <v>4416</v>
          </cell>
          <cell r="E36">
            <v>1085200</v>
          </cell>
          <cell r="F36">
            <v>8592400</v>
          </cell>
        </row>
        <row r="37">
          <cell r="D37">
            <v>6536</v>
          </cell>
          <cell r="E37">
            <v>1866100</v>
          </cell>
          <cell r="F37">
            <v>12977300</v>
          </cell>
        </row>
        <row r="38">
          <cell r="D38">
            <v>1807</v>
          </cell>
          <cell r="E38">
            <v>337250</v>
          </cell>
          <cell r="F38">
            <v>3409150</v>
          </cell>
        </row>
        <row r="39">
          <cell r="D39">
            <v>4899</v>
          </cell>
          <cell r="E39">
            <v>1387700</v>
          </cell>
          <cell r="F39">
            <v>9716000</v>
          </cell>
        </row>
        <row r="40">
          <cell r="D40">
            <v>6171</v>
          </cell>
          <cell r="E40">
            <v>1751400</v>
          </cell>
          <cell r="F40">
            <v>12242100</v>
          </cell>
        </row>
        <row r="41">
          <cell r="D41">
            <v>2108</v>
          </cell>
          <cell r="E41">
            <v>1102000</v>
          </cell>
          <cell r="F41">
            <v>4685600</v>
          </cell>
        </row>
        <row r="42">
          <cell r="D42">
            <v>1678</v>
          </cell>
          <cell r="E42">
            <v>325200</v>
          </cell>
          <cell r="F42">
            <v>3177800</v>
          </cell>
        </row>
        <row r="43">
          <cell r="D43">
            <v>4932</v>
          </cell>
          <cell r="E43">
            <v>944700</v>
          </cell>
          <cell r="F43">
            <v>9329100</v>
          </cell>
        </row>
        <row r="44">
          <cell r="D44">
            <v>5050</v>
          </cell>
          <cell r="E44">
            <v>1085900</v>
          </cell>
          <cell r="F44">
            <v>9670900</v>
          </cell>
        </row>
        <row r="45">
          <cell r="D45">
            <v>5242</v>
          </cell>
          <cell r="E45">
            <v>1177700</v>
          </cell>
          <cell r="F45">
            <v>10089100</v>
          </cell>
        </row>
        <row r="46">
          <cell r="D46">
            <v>2818</v>
          </cell>
          <cell r="E46">
            <v>993900</v>
          </cell>
          <cell r="F46">
            <v>5784500</v>
          </cell>
        </row>
        <row r="47">
          <cell r="D47">
            <v>3374</v>
          </cell>
          <cell r="E47">
            <v>1287050</v>
          </cell>
          <cell r="F47">
            <v>7022850</v>
          </cell>
        </row>
        <row r="48">
          <cell r="D48">
            <v>3669</v>
          </cell>
          <cell r="E48">
            <v>1115750</v>
          </cell>
          <cell r="F48">
            <v>7353050</v>
          </cell>
        </row>
        <row r="49">
          <cell r="D49">
            <v>2165</v>
          </cell>
          <cell r="E49">
            <v>479100</v>
          </cell>
          <cell r="F49">
            <v>4159600</v>
          </cell>
        </row>
        <row r="50">
          <cell r="D50">
            <v>4064</v>
          </cell>
          <cell r="E50">
            <v>1384750</v>
          </cell>
          <cell r="F50">
            <v>8293550</v>
          </cell>
        </row>
        <row r="51">
          <cell r="D51">
            <v>5039</v>
          </cell>
          <cell r="E51">
            <v>1614800</v>
          </cell>
          <cell r="F51">
            <v>10181100</v>
          </cell>
        </row>
        <row r="52">
          <cell r="D52">
            <v>1900</v>
          </cell>
          <cell r="E52">
            <v>740000</v>
          </cell>
          <cell r="F52">
            <v>3970000</v>
          </cell>
        </row>
        <row r="53">
          <cell r="D53">
            <v>4239</v>
          </cell>
          <cell r="E53">
            <v>1006600</v>
          </cell>
          <cell r="F53">
            <v>8212900</v>
          </cell>
        </row>
        <row r="54">
          <cell r="D54">
            <v>7800</v>
          </cell>
          <cell r="E54">
            <v>2843100</v>
          </cell>
          <cell r="F54">
            <v>16103100</v>
          </cell>
        </row>
        <row r="55">
          <cell r="D55">
            <v>14289</v>
          </cell>
          <cell r="E55">
            <v>2934900</v>
          </cell>
          <cell r="F55">
            <v>27226200</v>
          </cell>
        </row>
        <row r="56">
          <cell r="D56">
            <v>24080</v>
          </cell>
          <cell r="E56">
            <v>6005350</v>
          </cell>
          <cell r="F56">
            <v>46941350</v>
          </cell>
        </row>
        <row r="57">
          <cell r="D57">
            <v>9666</v>
          </cell>
          <cell r="E57">
            <v>3947400</v>
          </cell>
          <cell r="F57">
            <v>20379600</v>
          </cell>
        </row>
        <row r="58">
          <cell r="D58">
            <v>38866</v>
          </cell>
          <cell r="E58">
            <v>11097300</v>
          </cell>
          <cell r="F58">
            <v>77169500</v>
          </cell>
        </row>
        <row r="59">
          <cell r="D59">
            <v>6568</v>
          </cell>
          <cell r="E59">
            <v>2229550</v>
          </cell>
          <cell r="F59">
            <v>13395150</v>
          </cell>
        </row>
        <row r="60">
          <cell r="D60">
            <v>7486</v>
          </cell>
          <cell r="E60">
            <v>1756700</v>
          </cell>
          <cell r="F60">
            <v>14482900</v>
          </cell>
        </row>
        <row r="61">
          <cell r="D61">
            <v>1605</v>
          </cell>
          <cell r="E61">
            <v>703800</v>
          </cell>
          <cell r="F61">
            <v>3432300</v>
          </cell>
        </row>
        <row r="62">
          <cell r="D62">
            <v>1148</v>
          </cell>
          <cell r="E62">
            <v>257100</v>
          </cell>
          <cell r="F62">
            <v>2208700</v>
          </cell>
        </row>
        <row r="63">
          <cell r="D63">
            <v>2028</v>
          </cell>
          <cell r="E63">
            <v>731900</v>
          </cell>
          <cell r="F63">
            <v>4179500</v>
          </cell>
        </row>
        <row r="64">
          <cell r="D64">
            <v>2717</v>
          </cell>
          <cell r="E64">
            <v>586950</v>
          </cell>
          <cell r="F64">
            <v>5205850</v>
          </cell>
        </row>
        <row r="65">
          <cell r="D65">
            <v>3210</v>
          </cell>
          <cell r="E65">
            <v>1050900</v>
          </cell>
          <cell r="F65">
            <v>6507900</v>
          </cell>
        </row>
        <row r="66">
          <cell r="D66">
            <v>3741</v>
          </cell>
          <cell r="E66">
            <v>1201000</v>
          </cell>
          <cell r="F66">
            <v>7560700</v>
          </cell>
        </row>
        <row r="67">
          <cell r="D67">
            <v>2090</v>
          </cell>
          <cell r="E67">
            <v>771900</v>
          </cell>
          <cell r="F67">
            <v>4324900</v>
          </cell>
        </row>
        <row r="68">
          <cell r="D68">
            <v>5850</v>
          </cell>
          <cell r="E68">
            <v>2367000</v>
          </cell>
          <cell r="F68">
            <v>12312000</v>
          </cell>
        </row>
        <row r="69">
          <cell r="D69">
            <v>5030</v>
          </cell>
          <cell r="E69">
            <v>1101500</v>
          </cell>
          <cell r="F69">
            <v>9652500</v>
          </cell>
        </row>
        <row r="70">
          <cell r="D70">
            <v>3916</v>
          </cell>
          <cell r="E70">
            <v>1132100</v>
          </cell>
          <cell r="F70">
            <v>7789300</v>
          </cell>
        </row>
        <row r="71">
          <cell r="D71">
            <v>3270</v>
          </cell>
          <cell r="E71">
            <v>1295400</v>
          </cell>
          <cell r="F71">
            <v>6854400</v>
          </cell>
        </row>
        <row r="72">
          <cell r="D72">
            <v>3116</v>
          </cell>
          <cell r="E72">
            <v>1267300</v>
          </cell>
          <cell r="F72">
            <v>6564500</v>
          </cell>
        </row>
        <row r="73">
          <cell r="D73">
            <v>1076</v>
          </cell>
          <cell r="E73">
            <v>444400</v>
          </cell>
          <cell r="F73">
            <v>2273600</v>
          </cell>
        </row>
        <row r="74">
          <cell r="D74">
            <v>0</v>
          </cell>
          <cell r="E74">
            <v>1128000</v>
          </cell>
          <cell r="F74">
            <v>1128000</v>
          </cell>
          <cell r="M74">
            <v>446280</v>
          </cell>
        </row>
        <row r="75">
          <cell r="D75">
            <v>0</v>
          </cell>
          <cell r="E75">
            <v>841000</v>
          </cell>
          <cell r="F75">
            <v>841000</v>
          </cell>
        </row>
        <row r="76">
          <cell r="D76">
            <v>0</v>
          </cell>
          <cell r="E76">
            <v>671000</v>
          </cell>
          <cell r="F76">
            <v>671000</v>
          </cell>
        </row>
        <row r="77">
          <cell r="D77">
            <v>0</v>
          </cell>
          <cell r="E77">
            <v>491000</v>
          </cell>
          <cell r="F77">
            <v>491000</v>
          </cell>
        </row>
        <row r="78">
          <cell r="D78">
            <v>0</v>
          </cell>
          <cell r="E78">
            <v>476000</v>
          </cell>
          <cell r="F78">
            <v>476000</v>
          </cell>
        </row>
        <row r="79">
          <cell r="D79">
            <v>0</v>
          </cell>
          <cell r="E79">
            <v>1083000</v>
          </cell>
          <cell r="F79">
            <v>1083000</v>
          </cell>
        </row>
        <row r="80">
          <cell r="D80">
            <v>0</v>
          </cell>
          <cell r="E80">
            <v>1223000</v>
          </cell>
          <cell r="F80">
            <v>1223000</v>
          </cell>
        </row>
        <row r="81">
          <cell r="D81">
            <v>0</v>
          </cell>
          <cell r="E81">
            <v>994000</v>
          </cell>
          <cell r="F81">
            <v>994000</v>
          </cell>
        </row>
        <row r="82">
          <cell r="D82">
            <v>0</v>
          </cell>
          <cell r="E82">
            <v>1120000</v>
          </cell>
          <cell r="F82">
            <v>1120000</v>
          </cell>
        </row>
        <row r="83">
          <cell r="D83">
            <v>0</v>
          </cell>
          <cell r="E83">
            <v>564000</v>
          </cell>
          <cell r="F83">
            <v>564000</v>
          </cell>
        </row>
        <row r="84">
          <cell r="D84">
            <v>0</v>
          </cell>
          <cell r="E84">
            <v>292000</v>
          </cell>
          <cell r="F84">
            <v>292000</v>
          </cell>
        </row>
        <row r="85">
          <cell r="D85">
            <v>0</v>
          </cell>
          <cell r="E85">
            <v>1192000</v>
          </cell>
          <cell r="F85">
            <v>1192000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10000</v>
          </cell>
          <cell r="F87">
            <v>10000</v>
          </cell>
        </row>
        <row r="88">
          <cell r="D88">
            <v>0</v>
          </cell>
          <cell r="E88">
            <v>48000</v>
          </cell>
          <cell r="F88">
            <v>48000</v>
          </cell>
        </row>
        <row r="89">
          <cell r="D89">
            <v>0</v>
          </cell>
          <cell r="E89">
            <v>1000</v>
          </cell>
          <cell r="F89">
            <v>1000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54000</v>
          </cell>
          <cell r="F91">
            <v>54000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340</v>
          </cell>
          <cell r="E93">
            <v>920350</v>
          </cell>
          <cell r="F93">
            <v>1498350</v>
          </cell>
        </row>
        <row r="94">
          <cell r="D94">
            <v>380</v>
          </cell>
          <cell r="E94">
            <v>1691400</v>
          </cell>
          <cell r="F94">
            <v>2337400</v>
          </cell>
        </row>
        <row r="95">
          <cell r="D95">
            <v>647</v>
          </cell>
          <cell r="E95">
            <v>1590500</v>
          </cell>
          <cell r="F95">
            <v>2690400</v>
          </cell>
        </row>
        <row r="96">
          <cell r="D96">
            <v>211</v>
          </cell>
          <cell r="E96">
            <v>3196200</v>
          </cell>
          <cell r="F96">
            <v>3554900</v>
          </cell>
        </row>
        <row r="97">
          <cell r="D97">
            <v>362</v>
          </cell>
          <cell r="E97">
            <v>1394350</v>
          </cell>
          <cell r="F97">
            <v>2009750</v>
          </cell>
        </row>
        <row r="98">
          <cell r="D98">
            <v>835</v>
          </cell>
          <cell r="E98">
            <v>1593900</v>
          </cell>
          <cell r="F98">
            <v>3013400</v>
          </cell>
        </row>
        <row r="100">
          <cell r="E100">
            <v>41000</v>
          </cell>
          <cell r="F100">
            <v>41000</v>
          </cell>
        </row>
      </sheetData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4227</v>
          </cell>
          <cell r="E11">
            <v>2065850</v>
          </cell>
          <cell r="F11">
            <v>9251750</v>
          </cell>
        </row>
        <row r="12">
          <cell r="D12">
            <v>1430</v>
          </cell>
          <cell r="E12">
            <v>838200</v>
          </cell>
          <cell r="F12">
            <v>3269200</v>
          </cell>
        </row>
        <row r="13">
          <cell r="D13">
            <v>557</v>
          </cell>
          <cell r="E13">
            <v>328600</v>
          </cell>
          <cell r="F13">
            <v>1275500</v>
          </cell>
        </row>
        <row r="14">
          <cell r="D14">
            <v>26970</v>
          </cell>
          <cell r="E14">
            <v>7795800</v>
          </cell>
          <cell r="F14">
            <v>53644800</v>
          </cell>
        </row>
        <row r="15">
          <cell r="D15">
            <v>16026</v>
          </cell>
          <cell r="E15">
            <v>2580400</v>
          </cell>
          <cell r="F15">
            <v>29824600</v>
          </cell>
        </row>
        <row r="16">
          <cell r="D16">
            <v>3792</v>
          </cell>
          <cell r="E16">
            <v>811700</v>
          </cell>
          <cell r="F16">
            <v>7258100</v>
          </cell>
        </row>
        <row r="17">
          <cell r="D17">
            <v>3150</v>
          </cell>
          <cell r="E17">
            <v>596300</v>
          </cell>
          <cell r="F17">
            <v>5951300</v>
          </cell>
        </row>
        <row r="18">
          <cell r="D18">
            <v>6024</v>
          </cell>
          <cell r="E18">
            <v>1148500</v>
          </cell>
          <cell r="F18">
            <v>11389300</v>
          </cell>
        </row>
        <row r="19">
          <cell r="D19">
            <v>2939</v>
          </cell>
          <cell r="E19">
            <v>501700</v>
          </cell>
          <cell r="F19">
            <v>5498000</v>
          </cell>
        </row>
        <row r="20">
          <cell r="D20">
            <v>1661</v>
          </cell>
          <cell r="E20">
            <v>477900</v>
          </cell>
          <cell r="F20">
            <v>3301600</v>
          </cell>
        </row>
        <row r="21">
          <cell r="D21">
            <v>6186</v>
          </cell>
          <cell r="E21">
            <v>2873700</v>
          </cell>
          <cell r="F21">
            <v>13389900</v>
          </cell>
        </row>
        <row r="22">
          <cell r="D22">
            <v>1558</v>
          </cell>
          <cell r="E22">
            <v>423700</v>
          </cell>
          <cell r="F22">
            <v>3072300</v>
          </cell>
        </row>
        <row r="23">
          <cell r="D23">
            <v>2891</v>
          </cell>
          <cell r="E23">
            <v>820500</v>
          </cell>
          <cell r="F23">
            <v>5735200</v>
          </cell>
        </row>
        <row r="24">
          <cell r="D24">
            <v>4926</v>
          </cell>
          <cell r="E24">
            <v>955300</v>
          </cell>
          <cell r="F24">
            <v>9329500</v>
          </cell>
        </row>
        <row r="25">
          <cell r="D25">
            <v>4164</v>
          </cell>
          <cell r="E25">
            <v>997100</v>
          </cell>
          <cell r="F25">
            <v>8075900</v>
          </cell>
        </row>
        <row r="26">
          <cell r="D26">
            <v>4219</v>
          </cell>
          <cell r="E26">
            <v>1318700</v>
          </cell>
          <cell r="F26">
            <v>8491000</v>
          </cell>
        </row>
        <row r="27">
          <cell r="D27">
            <v>968</v>
          </cell>
          <cell r="E27">
            <v>327600</v>
          </cell>
          <cell r="F27">
            <v>1973200</v>
          </cell>
        </row>
        <row r="28">
          <cell r="D28">
            <v>2865</v>
          </cell>
          <cell r="E28">
            <v>1101800</v>
          </cell>
          <cell r="F28">
            <v>5972300</v>
          </cell>
        </row>
        <row r="29">
          <cell r="D29">
            <v>4383</v>
          </cell>
          <cell r="E29">
            <v>1504500</v>
          </cell>
          <cell r="F29">
            <v>8955600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4132</v>
          </cell>
          <cell r="E31">
            <v>1294100</v>
          </cell>
          <cell r="F31">
            <v>8318500</v>
          </cell>
        </row>
        <row r="32">
          <cell r="D32">
            <v>2361</v>
          </cell>
          <cell r="E32">
            <v>1069400</v>
          </cell>
          <cell r="F32">
            <v>5083100</v>
          </cell>
        </row>
        <row r="33">
          <cell r="D33">
            <v>5430</v>
          </cell>
          <cell r="E33">
            <v>1764350</v>
          </cell>
          <cell r="F33">
            <v>10995350</v>
          </cell>
        </row>
        <row r="34">
          <cell r="D34">
            <v>1340</v>
          </cell>
          <cell r="E34">
            <v>605300</v>
          </cell>
          <cell r="F34">
            <v>2883300</v>
          </cell>
        </row>
        <row r="35">
          <cell r="D35">
            <v>4047</v>
          </cell>
          <cell r="E35">
            <v>1184600</v>
          </cell>
          <cell r="F35">
            <v>8064500</v>
          </cell>
        </row>
        <row r="36">
          <cell r="D36">
            <v>3052</v>
          </cell>
          <cell r="E36">
            <v>787800</v>
          </cell>
          <cell r="F36">
            <v>5976200</v>
          </cell>
        </row>
        <row r="37">
          <cell r="D37">
            <v>4011</v>
          </cell>
          <cell r="E37">
            <v>1313100</v>
          </cell>
          <cell r="F37">
            <v>8131800</v>
          </cell>
        </row>
        <row r="38">
          <cell r="D38">
            <v>1456</v>
          </cell>
          <cell r="E38">
            <v>363000</v>
          </cell>
          <cell r="F38">
            <v>2838200</v>
          </cell>
        </row>
        <row r="39">
          <cell r="D39">
            <v>2285</v>
          </cell>
          <cell r="E39">
            <v>672600</v>
          </cell>
          <cell r="F39">
            <v>4557100</v>
          </cell>
        </row>
        <row r="40">
          <cell r="D40">
            <v>5158</v>
          </cell>
          <cell r="E40">
            <v>1703700</v>
          </cell>
          <cell r="F40">
            <v>10472300</v>
          </cell>
        </row>
        <row r="41">
          <cell r="D41">
            <v>1433</v>
          </cell>
          <cell r="E41">
            <v>673350</v>
          </cell>
          <cell r="F41">
            <v>3109450</v>
          </cell>
        </row>
        <row r="42">
          <cell r="D42">
            <v>1229</v>
          </cell>
          <cell r="E42">
            <v>323000</v>
          </cell>
          <cell r="F42">
            <v>2412300</v>
          </cell>
        </row>
        <row r="43">
          <cell r="D43">
            <v>4162</v>
          </cell>
          <cell r="E43">
            <v>761300</v>
          </cell>
          <cell r="F43">
            <v>7836700</v>
          </cell>
        </row>
        <row r="44">
          <cell r="D44">
            <v>4327</v>
          </cell>
          <cell r="E44">
            <v>1135000</v>
          </cell>
          <cell r="F44">
            <v>8490900</v>
          </cell>
        </row>
        <row r="45">
          <cell r="D45">
            <v>4417</v>
          </cell>
          <cell r="E45">
            <v>991000</v>
          </cell>
          <cell r="F45">
            <v>8499900</v>
          </cell>
        </row>
        <row r="46">
          <cell r="D46">
            <v>2208</v>
          </cell>
          <cell r="E46">
            <v>571150</v>
          </cell>
          <cell r="F46">
            <v>4324750</v>
          </cell>
        </row>
        <row r="47">
          <cell r="D47">
            <v>3750</v>
          </cell>
          <cell r="E47">
            <v>1531200</v>
          </cell>
          <cell r="F47">
            <v>7906200</v>
          </cell>
        </row>
        <row r="48">
          <cell r="D48">
            <v>2406</v>
          </cell>
          <cell r="E48">
            <v>602300</v>
          </cell>
          <cell r="F48">
            <v>4692500</v>
          </cell>
        </row>
        <row r="49">
          <cell r="D49">
            <v>1585</v>
          </cell>
          <cell r="E49">
            <v>285400</v>
          </cell>
          <cell r="F49">
            <v>2979900</v>
          </cell>
        </row>
        <row r="50">
          <cell r="D50">
            <v>3234</v>
          </cell>
          <cell r="E50">
            <v>1095300</v>
          </cell>
          <cell r="F50">
            <v>6593100</v>
          </cell>
        </row>
        <row r="51">
          <cell r="D51">
            <v>3688</v>
          </cell>
          <cell r="E51">
            <v>1532700</v>
          </cell>
          <cell r="F51">
            <v>7802300</v>
          </cell>
        </row>
        <row r="52">
          <cell r="D52">
            <v>1246</v>
          </cell>
          <cell r="E52">
            <v>433850</v>
          </cell>
          <cell r="F52">
            <v>2552050</v>
          </cell>
        </row>
        <row r="53">
          <cell r="D53">
            <v>3248</v>
          </cell>
          <cell r="E53">
            <v>1181150</v>
          </cell>
          <cell r="F53">
            <v>6702750</v>
          </cell>
        </row>
        <row r="54">
          <cell r="D54">
            <v>6309</v>
          </cell>
          <cell r="E54">
            <v>2011600</v>
          </cell>
          <cell r="F54">
            <v>12736900</v>
          </cell>
        </row>
        <row r="55">
          <cell r="D55">
            <v>11601</v>
          </cell>
          <cell r="E55">
            <v>2897500</v>
          </cell>
          <cell r="F55">
            <v>22619200</v>
          </cell>
        </row>
        <row r="56">
          <cell r="D56">
            <v>19696</v>
          </cell>
          <cell r="E56">
            <v>5786900</v>
          </cell>
          <cell r="F56">
            <v>39270100</v>
          </cell>
        </row>
        <row r="57">
          <cell r="D57">
            <v>8643</v>
          </cell>
          <cell r="E57">
            <v>3736800</v>
          </cell>
          <cell r="F57">
            <v>18429900</v>
          </cell>
        </row>
        <row r="58">
          <cell r="D58">
            <v>30616</v>
          </cell>
          <cell r="E58">
            <v>8497050</v>
          </cell>
          <cell r="F58">
            <v>60544250</v>
          </cell>
        </row>
        <row r="59">
          <cell r="D59">
            <v>5034</v>
          </cell>
          <cell r="E59">
            <v>1515000</v>
          </cell>
          <cell r="F59">
            <v>10072800</v>
          </cell>
        </row>
        <row r="60">
          <cell r="D60">
            <v>5963</v>
          </cell>
          <cell r="E60">
            <v>1521100</v>
          </cell>
          <cell r="F60">
            <v>11658200</v>
          </cell>
        </row>
        <row r="61">
          <cell r="D61">
            <v>1202</v>
          </cell>
          <cell r="E61">
            <v>374350</v>
          </cell>
          <cell r="F61">
            <v>2417750</v>
          </cell>
        </row>
        <row r="62">
          <cell r="D62">
            <v>892</v>
          </cell>
          <cell r="E62">
            <v>208100</v>
          </cell>
          <cell r="F62">
            <v>1724500</v>
          </cell>
        </row>
        <row r="63">
          <cell r="D63">
            <v>1353</v>
          </cell>
          <cell r="E63">
            <v>337300</v>
          </cell>
          <cell r="F63">
            <v>2637400</v>
          </cell>
        </row>
        <row r="64">
          <cell r="D64">
            <v>2299</v>
          </cell>
          <cell r="E64">
            <v>502700</v>
          </cell>
          <cell r="F64">
            <v>4411000</v>
          </cell>
        </row>
        <row r="65">
          <cell r="D65">
            <v>2261</v>
          </cell>
          <cell r="E65">
            <v>741200</v>
          </cell>
          <cell r="F65">
            <v>4584900</v>
          </cell>
        </row>
        <row r="66">
          <cell r="D66">
            <v>2707</v>
          </cell>
          <cell r="E66">
            <v>1022100</v>
          </cell>
          <cell r="F66">
            <v>5624000</v>
          </cell>
        </row>
        <row r="67">
          <cell r="D67">
            <v>1449</v>
          </cell>
          <cell r="E67">
            <v>459100</v>
          </cell>
          <cell r="F67">
            <v>2922400</v>
          </cell>
        </row>
        <row r="68">
          <cell r="D68">
            <v>4027</v>
          </cell>
          <cell r="E68">
            <v>991400</v>
          </cell>
          <cell r="F68">
            <v>7837300</v>
          </cell>
        </row>
        <row r="69">
          <cell r="D69">
            <v>3172</v>
          </cell>
          <cell r="E69">
            <v>883200</v>
          </cell>
          <cell r="F69">
            <v>6275600</v>
          </cell>
        </row>
        <row r="70">
          <cell r="D70">
            <v>2584</v>
          </cell>
          <cell r="E70">
            <v>1128700</v>
          </cell>
          <cell r="F70">
            <v>5521500</v>
          </cell>
        </row>
        <row r="71">
          <cell r="D71">
            <v>2509</v>
          </cell>
          <cell r="E71">
            <v>744500</v>
          </cell>
          <cell r="F71">
            <v>5009800</v>
          </cell>
        </row>
        <row r="72">
          <cell r="D72">
            <v>1924</v>
          </cell>
          <cell r="E72">
            <v>518200</v>
          </cell>
          <cell r="F72">
            <v>3789000</v>
          </cell>
        </row>
        <row r="73">
          <cell r="D73">
            <v>689</v>
          </cell>
          <cell r="E73">
            <v>183400</v>
          </cell>
          <cell r="F73">
            <v>1354700</v>
          </cell>
        </row>
        <row r="74">
          <cell r="D74">
            <v>0</v>
          </cell>
          <cell r="E74">
            <v>1154000</v>
          </cell>
          <cell r="F74">
            <v>1154000</v>
          </cell>
          <cell r="M74">
            <v>343117.58799999999</v>
          </cell>
        </row>
        <row r="75">
          <cell r="D75">
            <v>0</v>
          </cell>
          <cell r="E75">
            <v>382000</v>
          </cell>
          <cell r="F75">
            <v>382000</v>
          </cell>
        </row>
        <row r="76">
          <cell r="D76">
            <v>0</v>
          </cell>
          <cell r="E76">
            <v>654000</v>
          </cell>
          <cell r="F76">
            <v>654000</v>
          </cell>
        </row>
        <row r="77">
          <cell r="D77">
            <v>0</v>
          </cell>
          <cell r="E77">
            <v>694000</v>
          </cell>
          <cell r="F77">
            <v>694000</v>
          </cell>
        </row>
        <row r="78">
          <cell r="D78">
            <v>0</v>
          </cell>
          <cell r="E78">
            <v>36000</v>
          </cell>
          <cell r="F78">
            <v>36000</v>
          </cell>
        </row>
        <row r="79">
          <cell r="D79">
            <v>0</v>
          </cell>
          <cell r="E79">
            <v>876000</v>
          </cell>
          <cell r="F79">
            <v>876000</v>
          </cell>
        </row>
        <row r="80">
          <cell r="D80">
            <v>0</v>
          </cell>
          <cell r="E80">
            <v>752000</v>
          </cell>
          <cell r="F80">
            <v>752000</v>
          </cell>
        </row>
        <row r="81">
          <cell r="D81">
            <v>0</v>
          </cell>
          <cell r="E81">
            <v>434000</v>
          </cell>
          <cell r="F81">
            <v>434000</v>
          </cell>
        </row>
        <row r="82">
          <cell r="D82">
            <v>0</v>
          </cell>
          <cell r="E82">
            <v>217000</v>
          </cell>
          <cell r="F82">
            <v>217000</v>
          </cell>
        </row>
        <row r="83">
          <cell r="D83">
            <v>0</v>
          </cell>
          <cell r="E83">
            <v>594000</v>
          </cell>
          <cell r="F83">
            <v>594000</v>
          </cell>
        </row>
        <row r="84">
          <cell r="D84">
            <v>0</v>
          </cell>
          <cell r="E84">
            <v>471000</v>
          </cell>
          <cell r="F84">
            <v>471000</v>
          </cell>
        </row>
        <row r="85">
          <cell r="D85">
            <v>0</v>
          </cell>
          <cell r="E85">
            <v>1159000</v>
          </cell>
          <cell r="F85">
            <v>1159000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10000</v>
          </cell>
          <cell r="F88">
            <v>10000</v>
          </cell>
        </row>
        <row r="89">
          <cell r="D89">
            <v>0</v>
          </cell>
          <cell r="E89">
            <v>15000</v>
          </cell>
          <cell r="F89">
            <v>15000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7000</v>
          </cell>
          <cell r="F91">
            <v>7000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699</v>
          </cell>
          <cell r="E93">
            <v>174000</v>
          </cell>
          <cell r="F93">
            <v>1362300</v>
          </cell>
        </row>
        <row r="94">
          <cell r="D94">
            <v>423</v>
          </cell>
          <cell r="E94">
            <v>1265500</v>
          </cell>
          <cell r="F94">
            <v>1984600</v>
          </cell>
        </row>
        <row r="95">
          <cell r="D95">
            <v>667</v>
          </cell>
          <cell r="E95">
            <v>855650</v>
          </cell>
          <cell r="F95">
            <v>1989550</v>
          </cell>
        </row>
        <row r="96">
          <cell r="D96">
            <v>99</v>
          </cell>
          <cell r="E96">
            <v>1130000</v>
          </cell>
          <cell r="F96">
            <v>1298300</v>
          </cell>
        </row>
        <row r="97">
          <cell r="D97">
            <v>291</v>
          </cell>
          <cell r="E97">
            <v>962350</v>
          </cell>
          <cell r="F97">
            <v>1457050</v>
          </cell>
        </row>
        <row r="98">
          <cell r="D98">
            <v>399</v>
          </cell>
          <cell r="E98">
            <v>725400</v>
          </cell>
          <cell r="F98">
            <v>1403700</v>
          </cell>
        </row>
        <row r="100">
          <cell r="E100">
            <v>26000</v>
          </cell>
          <cell r="F100">
            <v>26000</v>
          </cell>
        </row>
      </sheetData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2472</v>
          </cell>
          <cell r="E11">
            <v>1339500</v>
          </cell>
          <cell r="F11">
            <v>5541900</v>
          </cell>
        </row>
        <row r="12">
          <cell r="D12">
            <v>577</v>
          </cell>
          <cell r="E12">
            <v>263100</v>
          </cell>
          <cell r="F12">
            <v>1244000</v>
          </cell>
        </row>
        <row r="13">
          <cell r="D13">
            <v>84</v>
          </cell>
          <cell r="E13">
            <v>76200</v>
          </cell>
          <cell r="F13">
            <v>219000</v>
          </cell>
        </row>
        <row r="14">
          <cell r="D14">
            <v>13536</v>
          </cell>
          <cell r="E14">
            <v>3432900</v>
          </cell>
          <cell r="F14">
            <v>26444100</v>
          </cell>
        </row>
        <row r="15">
          <cell r="D15">
            <v>6675</v>
          </cell>
          <cell r="E15">
            <v>948000</v>
          </cell>
          <cell r="F15">
            <v>12295500</v>
          </cell>
        </row>
        <row r="16">
          <cell r="D16">
            <v>1902</v>
          </cell>
          <cell r="E16">
            <v>211750</v>
          </cell>
          <cell r="F16">
            <v>3445150</v>
          </cell>
        </row>
        <row r="17">
          <cell r="D17">
            <v>1679</v>
          </cell>
          <cell r="E17">
            <v>194900</v>
          </cell>
          <cell r="F17">
            <v>3049200</v>
          </cell>
        </row>
        <row r="18">
          <cell r="D18">
            <v>4237</v>
          </cell>
          <cell r="E18">
            <v>1188100</v>
          </cell>
          <cell r="F18">
            <v>8391000</v>
          </cell>
        </row>
        <row r="19">
          <cell r="D19">
            <v>1800</v>
          </cell>
          <cell r="E19">
            <v>380100</v>
          </cell>
          <cell r="F19">
            <v>3440100</v>
          </cell>
        </row>
        <row r="20">
          <cell r="D20">
            <v>830</v>
          </cell>
          <cell r="E20">
            <v>154400</v>
          </cell>
          <cell r="F20">
            <v>1565400</v>
          </cell>
        </row>
        <row r="21">
          <cell r="D21">
            <v>3425</v>
          </cell>
          <cell r="E21">
            <v>1463850</v>
          </cell>
          <cell r="F21">
            <v>7286350</v>
          </cell>
        </row>
        <row r="22">
          <cell r="D22">
            <v>540</v>
          </cell>
          <cell r="E22">
            <v>172900</v>
          </cell>
          <cell r="F22">
            <v>1090900</v>
          </cell>
        </row>
        <row r="23">
          <cell r="D23">
            <v>1318</v>
          </cell>
          <cell r="E23">
            <v>402900</v>
          </cell>
          <cell r="F23">
            <v>2643500</v>
          </cell>
        </row>
        <row r="24">
          <cell r="D24">
            <v>1886</v>
          </cell>
          <cell r="E24">
            <v>378000</v>
          </cell>
          <cell r="F24">
            <v>3584200</v>
          </cell>
        </row>
        <row r="25">
          <cell r="D25">
            <v>1630</v>
          </cell>
          <cell r="E25">
            <v>368600</v>
          </cell>
          <cell r="F25">
            <v>3139600</v>
          </cell>
        </row>
        <row r="26">
          <cell r="D26">
            <v>1751</v>
          </cell>
          <cell r="E26">
            <v>305700</v>
          </cell>
          <cell r="F26">
            <v>3282400</v>
          </cell>
        </row>
        <row r="27">
          <cell r="D27">
            <v>337</v>
          </cell>
          <cell r="E27">
            <v>68200</v>
          </cell>
          <cell r="F27">
            <v>641100</v>
          </cell>
        </row>
        <row r="28">
          <cell r="D28">
            <v>815</v>
          </cell>
          <cell r="E28">
            <v>242800</v>
          </cell>
          <cell r="F28">
            <v>1628300</v>
          </cell>
        </row>
        <row r="29">
          <cell r="D29">
            <v>1668</v>
          </cell>
          <cell r="E29">
            <v>369450</v>
          </cell>
          <cell r="F29">
            <v>3205050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1362</v>
          </cell>
          <cell r="E31">
            <v>178450</v>
          </cell>
          <cell r="F31">
            <v>2493850</v>
          </cell>
        </row>
        <row r="32">
          <cell r="D32">
            <v>1670</v>
          </cell>
          <cell r="E32">
            <v>220300</v>
          </cell>
          <cell r="F32">
            <v>3059300</v>
          </cell>
        </row>
        <row r="33">
          <cell r="D33">
            <v>4120</v>
          </cell>
          <cell r="E33">
            <v>833600</v>
          </cell>
          <cell r="F33">
            <v>7837600</v>
          </cell>
        </row>
        <row r="34">
          <cell r="D34">
            <v>540</v>
          </cell>
          <cell r="E34">
            <v>225300</v>
          </cell>
          <cell r="F34">
            <v>1143300</v>
          </cell>
        </row>
        <row r="35">
          <cell r="D35">
            <v>973</v>
          </cell>
          <cell r="E35">
            <v>121900</v>
          </cell>
          <cell r="F35">
            <v>1776000</v>
          </cell>
        </row>
        <row r="36">
          <cell r="D36">
            <v>1552</v>
          </cell>
          <cell r="E36">
            <v>342150</v>
          </cell>
          <cell r="F36">
            <v>2980550</v>
          </cell>
        </row>
        <row r="37">
          <cell r="D37">
            <v>2609</v>
          </cell>
          <cell r="E37">
            <v>713900</v>
          </cell>
          <cell r="F37">
            <v>5149200</v>
          </cell>
        </row>
        <row r="38">
          <cell r="D38">
            <v>730</v>
          </cell>
          <cell r="E38">
            <v>88300</v>
          </cell>
          <cell r="F38">
            <v>1329300</v>
          </cell>
        </row>
        <row r="39">
          <cell r="D39">
            <v>839</v>
          </cell>
          <cell r="E39">
            <v>170700</v>
          </cell>
          <cell r="F39">
            <v>1597000</v>
          </cell>
        </row>
        <row r="40">
          <cell r="D40">
            <v>1568</v>
          </cell>
          <cell r="E40">
            <v>335400</v>
          </cell>
          <cell r="F40">
            <v>3001000</v>
          </cell>
        </row>
        <row r="41">
          <cell r="D41">
            <v>314</v>
          </cell>
          <cell r="E41">
            <v>178500</v>
          </cell>
          <cell r="F41">
            <v>712300</v>
          </cell>
        </row>
        <row r="42">
          <cell r="D42">
            <v>488</v>
          </cell>
          <cell r="E42">
            <v>52100</v>
          </cell>
          <cell r="F42">
            <v>881700</v>
          </cell>
        </row>
        <row r="43">
          <cell r="D43">
            <v>1939</v>
          </cell>
          <cell r="E43">
            <v>278300</v>
          </cell>
          <cell r="F43">
            <v>3574600</v>
          </cell>
        </row>
        <row r="44">
          <cell r="D44">
            <v>2309</v>
          </cell>
          <cell r="E44">
            <v>908500</v>
          </cell>
          <cell r="F44">
            <v>4833800</v>
          </cell>
        </row>
        <row r="45">
          <cell r="D45">
            <v>2204</v>
          </cell>
          <cell r="E45">
            <v>728650</v>
          </cell>
          <cell r="F45">
            <v>4475450</v>
          </cell>
        </row>
        <row r="46">
          <cell r="D46">
            <v>1231</v>
          </cell>
          <cell r="E46">
            <v>443600</v>
          </cell>
          <cell r="F46">
            <v>2536300</v>
          </cell>
        </row>
        <row r="47">
          <cell r="D47">
            <v>3465</v>
          </cell>
          <cell r="E47">
            <v>1230200</v>
          </cell>
          <cell r="F47">
            <v>7120700</v>
          </cell>
        </row>
        <row r="48">
          <cell r="D48">
            <v>1147</v>
          </cell>
          <cell r="E48">
            <v>396700</v>
          </cell>
          <cell r="F48">
            <v>2346600</v>
          </cell>
        </row>
        <row r="49">
          <cell r="D49">
            <v>494</v>
          </cell>
          <cell r="E49">
            <v>108000</v>
          </cell>
          <cell r="F49">
            <v>947800</v>
          </cell>
        </row>
        <row r="50">
          <cell r="D50">
            <v>1514</v>
          </cell>
          <cell r="E50">
            <v>491900</v>
          </cell>
          <cell r="F50">
            <v>3065700</v>
          </cell>
        </row>
        <row r="51">
          <cell r="D51">
            <v>2217</v>
          </cell>
          <cell r="E51">
            <v>627100</v>
          </cell>
          <cell r="F51">
            <v>4396000</v>
          </cell>
        </row>
        <row r="52">
          <cell r="D52">
            <v>587</v>
          </cell>
          <cell r="E52">
            <v>167100</v>
          </cell>
          <cell r="F52">
            <v>1165000</v>
          </cell>
        </row>
        <row r="53">
          <cell r="D53">
            <v>1417</v>
          </cell>
          <cell r="E53">
            <v>548300</v>
          </cell>
          <cell r="F53">
            <v>2957200</v>
          </cell>
        </row>
        <row r="54">
          <cell r="D54">
            <v>2575</v>
          </cell>
          <cell r="E54">
            <v>842700</v>
          </cell>
          <cell r="F54">
            <v>5220200</v>
          </cell>
        </row>
        <row r="55">
          <cell r="D55">
            <v>5725</v>
          </cell>
          <cell r="E55">
            <v>1566600</v>
          </cell>
          <cell r="F55">
            <v>11299100</v>
          </cell>
        </row>
        <row r="56">
          <cell r="D56">
            <v>9528</v>
          </cell>
          <cell r="E56">
            <v>3087550</v>
          </cell>
          <cell r="F56">
            <v>19285150</v>
          </cell>
        </row>
        <row r="57">
          <cell r="D57">
            <v>5568</v>
          </cell>
          <cell r="E57">
            <v>2642150</v>
          </cell>
          <cell r="F57">
            <v>12107750</v>
          </cell>
        </row>
        <row r="58">
          <cell r="D58">
            <v>14428</v>
          </cell>
          <cell r="E58">
            <v>3486250</v>
          </cell>
          <cell r="F58">
            <v>28013850</v>
          </cell>
        </row>
        <row r="59">
          <cell r="D59">
            <v>2226</v>
          </cell>
          <cell r="E59">
            <v>1022800</v>
          </cell>
          <cell r="F59">
            <v>4807000</v>
          </cell>
        </row>
        <row r="60">
          <cell r="D60">
            <v>2893</v>
          </cell>
          <cell r="E60">
            <v>716600</v>
          </cell>
          <cell r="F60">
            <v>5634700</v>
          </cell>
        </row>
        <row r="61">
          <cell r="D61">
            <v>485</v>
          </cell>
          <cell r="E61">
            <v>174700</v>
          </cell>
          <cell r="F61">
            <v>999200</v>
          </cell>
        </row>
        <row r="62">
          <cell r="D62">
            <v>374</v>
          </cell>
          <cell r="E62">
            <v>115500</v>
          </cell>
          <cell r="F62">
            <v>751300</v>
          </cell>
        </row>
        <row r="63">
          <cell r="D63">
            <v>395</v>
          </cell>
          <cell r="E63">
            <v>176800</v>
          </cell>
          <cell r="F63">
            <v>848300</v>
          </cell>
        </row>
        <row r="64">
          <cell r="D64">
            <v>812</v>
          </cell>
          <cell r="E64">
            <v>82300</v>
          </cell>
          <cell r="F64">
            <v>1462700</v>
          </cell>
        </row>
        <row r="65">
          <cell r="D65">
            <v>670</v>
          </cell>
          <cell r="E65">
            <v>170900</v>
          </cell>
          <cell r="F65">
            <v>1309900</v>
          </cell>
        </row>
        <row r="66">
          <cell r="D66">
            <v>1143</v>
          </cell>
          <cell r="E66">
            <v>325000</v>
          </cell>
          <cell r="F66">
            <v>2268100</v>
          </cell>
        </row>
        <row r="67">
          <cell r="D67">
            <v>536</v>
          </cell>
          <cell r="E67">
            <v>139200</v>
          </cell>
          <cell r="F67">
            <v>1050400</v>
          </cell>
        </row>
        <row r="68">
          <cell r="D68">
            <v>1554</v>
          </cell>
          <cell r="E68">
            <v>508900</v>
          </cell>
          <cell r="F68">
            <v>3150700</v>
          </cell>
        </row>
        <row r="69">
          <cell r="D69">
            <v>998</v>
          </cell>
          <cell r="E69">
            <v>288800</v>
          </cell>
          <cell r="F69">
            <v>1985400</v>
          </cell>
        </row>
        <row r="70">
          <cell r="D70">
            <v>1081</v>
          </cell>
          <cell r="E70">
            <v>457750</v>
          </cell>
          <cell r="F70">
            <v>2295450</v>
          </cell>
        </row>
        <row r="71">
          <cell r="D71">
            <v>1393</v>
          </cell>
          <cell r="E71">
            <v>457200</v>
          </cell>
          <cell r="F71">
            <v>2825300</v>
          </cell>
        </row>
        <row r="72">
          <cell r="D72">
            <v>722</v>
          </cell>
          <cell r="E72">
            <v>146900</v>
          </cell>
          <cell r="F72">
            <v>1374300</v>
          </cell>
        </row>
        <row r="73">
          <cell r="D73">
            <v>224</v>
          </cell>
          <cell r="E73">
            <v>39100</v>
          </cell>
          <cell r="F73">
            <v>419900</v>
          </cell>
        </row>
        <row r="74">
          <cell r="D74">
            <v>0</v>
          </cell>
          <cell r="E74">
            <v>305000</v>
          </cell>
          <cell r="F74">
            <v>305000</v>
          </cell>
          <cell r="M74">
            <v>159718.05799999999</v>
          </cell>
        </row>
        <row r="75">
          <cell r="D75">
            <v>0</v>
          </cell>
          <cell r="E75">
            <v>75000</v>
          </cell>
          <cell r="F75">
            <v>75000</v>
          </cell>
        </row>
        <row r="76">
          <cell r="D76">
            <v>0</v>
          </cell>
          <cell r="E76">
            <v>270000</v>
          </cell>
          <cell r="F76">
            <v>270000</v>
          </cell>
        </row>
        <row r="77">
          <cell r="D77">
            <v>0</v>
          </cell>
          <cell r="E77">
            <v>214000</v>
          </cell>
          <cell r="F77">
            <v>214000</v>
          </cell>
        </row>
        <row r="78">
          <cell r="D78">
            <v>0</v>
          </cell>
          <cell r="E78">
            <v>65000</v>
          </cell>
          <cell r="F78">
            <v>65000</v>
          </cell>
        </row>
        <row r="79">
          <cell r="D79">
            <v>0</v>
          </cell>
          <cell r="E79">
            <v>557000</v>
          </cell>
          <cell r="F79">
            <v>557000</v>
          </cell>
        </row>
        <row r="80">
          <cell r="D80">
            <v>0</v>
          </cell>
          <cell r="E80">
            <v>323000</v>
          </cell>
          <cell r="F80">
            <v>323000</v>
          </cell>
        </row>
        <row r="81">
          <cell r="D81">
            <v>0</v>
          </cell>
          <cell r="E81">
            <v>493000</v>
          </cell>
          <cell r="F81">
            <v>493000</v>
          </cell>
        </row>
        <row r="82">
          <cell r="D82">
            <v>0</v>
          </cell>
          <cell r="E82">
            <v>100000</v>
          </cell>
          <cell r="F82">
            <v>100000</v>
          </cell>
        </row>
        <row r="83">
          <cell r="D83">
            <v>0</v>
          </cell>
          <cell r="E83">
            <v>65000</v>
          </cell>
          <cell r="F83">
            <v>65000</v>
          </cell>
        </row>
        <row r="84">
          <cell r="D84">
            <v>0</v>
          </cell>
          <cell r="E84">
            <v>255000</v>
          </cell>
          <cell r="F84">
            <v>255000</v>
          </cell>
        </row>
        <row r="85">
          <cell r="D85">
            <v>0</v>
          </cell>
          <cell r="E85">
            <v>145000</v>
          </cell>
          <cell r="F85">
            <v>145000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3000</v>
          </cell>
          <cell r="F88">
            <v>3000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</row>
        <row r="100">
          <cell r="E100">
            <v>25000</v>
          </cell>
          <cell r="F100">
            <v>25000</v>
          </cell>
        </row>
      </sheetData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5861</v>
          </cell>
          <cell r="E11">
            <v>4206850</v>
          </cell>
          <cell r="F11">
            <v>14170550</v>
          </cell>
        </row>
        <row r="12">
          <cell r="D12">
            <v>2799</v>
          </cell>
          <cell r="E12">
            <v>1421300</v>
          </cell>
          <cell r="F12">
            <v>6179600</v>
          </cell>
        </row>
        <row r="13">
          <cell r="D13">
            <v>2280</v>
          </cell>
          <cell r="E13">
            <v>2031500</v>
          </cell>
          <cell r="F13">
            <v>5907500</v>
          </cell>
        </row>
        <row r="14">
          <cell r="D14">
            <v>52316</v>
          </cell>
          <cell r="E14">
            <v>26576200</v>
          </cell>
          <cell r="F14">
            <v>115513400</v>
          </cell>
        </row>
        <row r="15">
          <cell r="D15">
            <v>28388</v>
          </cell>
          <cell r="E15">
            <v>6738700</v>
          </cell>
          <cell r="F15">
            <v>54998300</v>
          </cell>
        </row>
        <row r="16">
          <cell r="D16">
            <v>6348</v>
          </cell>
          <cell r="E16">
            <v>2347900</v>
          </cell>
          <cell r="F16">
            <v>13139500</v>
          </cell>
        </row>
        <row r="17">
          <cell r="D17">
            <v>5118</v>
          </cell>
          <cell r="E17">
            <v>1657700</v>
          </cell>
          <cell r="F17">
            <v>10358300</v>
          </cell>
        </row>
        <row r="18">
          <cell r="D18">
            <v>11333</v>
          </cell>
          <cell r="E18">
            <v>4973550</v>
          </cell>
          <cell r="F18">
            <v>24239650</v>
          </cell>
        </row>
        <row r="19">
          <cell r="D19">
            <v>6204</v>
          </cell>
          <cell r="E19">
            <v>2272200</v>
          </cell>
          <cell r="F19">
            <v>12819000</v>
          </cell>
        </row>
        <row r="20">
          <cell r="D20">
            <v>3305</v>
          </cell>
          <cell r="E20">
            <v>2388000</v>
          </cell>
          <cell r="F20">
            <v>8006500</v>
          </cell>
        </row>
        <row r="21">
          <cell r="D21">
            <v>15017</v>
          </cell>
          <cell r="E21">
            <v>8094000</v>
          </cell>
          <cell r="F21">
            <v>33622900</v>
          </cell>
        </row>
        <row r="22">
          <cell r="D22">
            <v>4404</v>
          </cell>
          <cell r="E22">
            <v>1756700</v>
          </cell>
          <cell r="F22">
            <v>9243500</v>
          </cell>
        </row>
        <row r="23">
          <cell r="D23">
            <v>5759</v>
          </cell>
          <cell r="E23">
            <v>2542000</v>
          </cell>
          <cell r="F23">
            <v>12332300</v>
          </cell>
        </row>
        <row r="24">
          <cell r="D24">
            <v>9958</v>
          </cell>
          <cell r="E24">
            <v>3276750</v>
          </cell>
          <cell r="F24">
            <v>20205350</v>
          </cell>
        </row>
        <row r="25">
          <cell r="D25">
            <v>7759</v>
          </cell>
          <cell r="E25">
            <v>3125050</v>
          </cell>
          <cell r="F25">
            <v>16315350</v>
          </cell>
        </row>
        <row r="26">
          <cell r="D26">
            <v>7154</v>
          </cell>
          <cell r="E26">
            <v>3898200</v>
          </cell>
          <cell r="F26">
            <v>16060000</v>
          </cell>
        </row>
        <row r="27">
          <cell r="D27">
            <v>2451</v>
          </cell>
          <cell r="E27">
            <v>1562800</v>
          </cell>
          <cell r="F27">
            <v>5729500</v>
          </cell>
        </row>
        <row r="28">
          <cell r="D28">
            <v>5053</v>
          </cell>
          <cell r="E28">
            <v>3494300</v>
          </cell>
          <cell r="F28">
            <v>12084400</v>
          </cell>
        </row>
        <row r="29">
          <cell r="D29">
            <v>6265</v>
          </cell>
          <cell r="E29">
            <v>2689500</v>
          </cell>
          <cell r="F29">
            <v>13340000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7320</v>
          </cell>
          <cell r="E31">
            <v>3101100</v>
          </cell>
          <cell r="F31">
            <v>15545100</v>
          </cell>
        </row>
        <row r="32">
          <cell r="D32">
            <v>3940</v>
          </cell>
          <cell r="E32">
            <v>1798400</v>
          </cell>
          <cell r="F32">
            <v>8496400</v>
          </cell>
        </row>
        <row r="33">
          <cell r="D33">
            <v>8288</v>
          </cell>
          <cell r="E33">
            <v>4990500</v>
          </cell>
          <cell r="F33">
            <v>19080100</v>
          </cell>
        </row>
        <row r="34">
          <cell r="D34">
            <v>3055</v>
          </cell>
          <cell r="E34">
            <v>2319000</v>
          </cell>
          <cell r="F34">
            <v>7512500</v>
          </cell>
        </row>
        <row r="35">
          <cell r="D35">
            <v>10600</v>
          </cell>
          <cell r="E35">
            <v>6483900</v>
          </cell>
          <cell r="F35">
            <v>24503900</v>
          </cell>
        </row>
        <row r="36">
          <cell r="D36">
            <v>5664</v>
          </cell>
          <cell r="E36">
            <v>2734500</v>
          </cell>
          <cell r="F36">
            <v>12363300</v>
          </cell>
        </row>
        <row r="37">
          <cell r="D37">
            <v>7247</v>
          </cell>
          <cell r="E37">
            <v>4374600</v>
          </cell>
          <cell r="F37">
            <v>16694500</v>
          </cell>
        </row>
        <row r="38">
          <cell r="D38">
            <v>2231</v>
          </cell>
          <cell r="E38">
            <v>1267700</v>
          </cell>
          <cell r="F38">
            <v>5060400</v>
          </cell>
        </row>
        <row r="39">
          <cell r="D39">
            <v>6095</v>
          </cell>
          <cell r="E39">
            <v>3104100</v>
          </cell>
          <cell r="F39">
            <v>13465600</v>
          </cell>
        </row>
        <row r="40">
          <cell r="D40">
            <v>8344</v>
          </cell>
          <cell r="E40">
            <v>3292300</v>
          </cell>
          <cell r="F40">
            <v>17477100</v>
          </cell>
        </row>
        <row r="41">
          <cell r="D41">
            <v>3281</v>
          </cell>
          <cell r="E41">
            <v>2423750</v>
          </cell>
          <cell r="F41">
            <v>8001450</v>
          </cell>
        </row>
        <row r="42">
          <cell r="D42">
            <v>2062</v>
          </cell>
          <cell r="E42">
            <v>844200</v>
          </cell>
          <cell r="F42">
            <v>4349600</v>
          </cell>
        </row>
        <row r="43">
          <cell r="D43">
            <v>6682</v>
          </cell>
          <cell r="E43">
            <v>2221300</v>
          </cell>
          <cell r="F43">
            <v>13580700</v>
          </cell>
        </row>
        <row r="44">
          <cell r="D44">
            <v>6505</v>
          </cell>
          <cell r="E44">
            <v>2708950</v>
          </cell>
          <cell r="F44">
            <v>13767450</v>
          </cell>
        </row>
        <row r="45">
          <cell r="D45">
            <v>6978</v>
          </cell>
          <cell r="E45">
            <v>2814650</v>
          </cell>
          <cell r="F45">
            <v>14677250</v>
          </cell>
        </row>
        <row r="46">
          <cell r="D46">
            <v>4712</v>
          </cell>
          <cell r="E46">
            <v>2039700</v>
          </cell>
          <cell r="F46">
            <v>10050100</v>
          </cell>
        </row>
        <row r="47">
          <cell r="D47">
            <v>4362</v>
          </cell>
          <cell r="E47">
            <v>3294550</v>
          </cell>
          <cell r="F47">
            <v>10709950</v>
          </cell>
        </row>
        <row r="48">
          <cell r="D48">
            <v>5409</v>
          </cell>
          <cell r="E48">
            <v>2699550</v>
          </cell>
          <cell r="F48">
            <v>11894850</v>
          </cell>
        </row>
        <row r="49">
          <cell r="D49">
            <v>3331</v>
          </cell>
          <cell r="E49">
            <v>1357000</v>
          </cell>
          <cell r="F49">
            <v>7019700</v>
          </cell>
        </row>
        <row r="50">
          <cell r="D50">
            <v>5126</v>
          </cell>
          <cell r="E50">
            <v>3488500</v>
          </cell>
          <cell r="F50">
            <v>12202700</v>
          </cell>
        </row>
        <row r="51">
          <cell r="D51">
            <v>6736</v>
          </cell>
          <cell r="E51">
            <v>4647800</v>
          </cell>
          <cell r="F51">
            <v>16099000</v>
          </cell>
        </row>
        <row r="52">
          <cell r="D52">
            <v>2620</v>
          </cell>
          <cell r="E52">
            <v>1766500</v>
          </cell>
          <cell r="F52">
            <v>6220500</v>
          </cell>
        </row>
        <row r="53">
          <cell r="D53">
            <v>5840</v>
          </cell>
          <cell r="E53">
            <v>2932100</v>
          </cell>
          <cell r="F53">
            <v>12860100</v>
          </cell>
        </row>
        <row r="54">
          <cell r="D54">
            <v>11080</v>
          </cell>
          <cell r="E54">
            <v>5576600</v>
          </cell>
          <cell r="F54">
            <v>24412600</v>
          </cell>
        </row>
        <row r="55">
          <cell r="D55">
            <v>20322</v>
          </cell>
          <cell r="E55">
            <v>7973800</v>
          </cell>
          <cell r="F55">
            <v>42521200</v>
          </cell>
        </row>
        <row r="56">
          <cell r="D56">
            <v>34774</v>
          </cell>
          <cell r="E56">
            <v>15231700</v>
          </cell>
          <cell r="F56">
            <v>74347500</v>
          </cell>
        </row>
        <row r="57">
          <cell r="D57">
            <v>14841</v>
          </cell>
          <cell r="E57">
            <v>9306800</v>
          </cell>
          <cell r="F57">
            <v>34536500</v>
          </cell>
        </row>
        <row r="58">
          <cell r="D58">
            <v>56555</v>
          </cell>
          <cell r="E58">
            <v>29188200</v>
          </cell>
          <cell r="F58">
            <v>125331700</v>
          </cell>
        </row>
        <row r="59">
          <cell r="D59">
            <v>10430</v>
          </cell>
          <cell r="E59">
            <v>5829850</v>
          </cell>
          <cell r="F59">
            <v>23560850</v>
          </cell>
        </row>
        <row r="60">
          <cell r="D60">
            <v>11608</v>
          </cell>
          <cell r="E60">
            <v>4957200</v>
          </cell>
          <cell r="F60">
            <v>24690800</v>
          </cell>
        </row>
        <row r="61">
          <cell r="D61">
            <v>2457</v>
          </cell>
          <cell r="E61">
            <v>1582000</v>
          </cell>
          <cell r="F61">
            <v>5758900</v>
          </cell>
        </row>
        <row r="62">
          <cell r="D62">
            <v>1376</v>
          </cell>
          <cell r="E62">
            <v>623200</v>
          </cell>
          <cell r="F62">
            <v>2962400</v>
          </cell>
        </row>
        <row r="63">
          <cell r="D63">
            <v>2791</v>
          </cell>
          <cell r="E63">
            <v>1283950</v>
          </cell>
          <cell r="F63">
            <v>6028650</v>
          </cell>
        </row>
        <row r="64">
          <cell r="D64">
            <v>4217</v>
          </cell>
          <cell r="E64">
            <v>1345100</v>
          </cell>
          <cell r="F64">
            <v>8514000</v>
          </cell>
        </row>
        <row r="65">
          <cell r="D65">
            <v>4742</v>
          </cell>
          <cell r="E65">
            <v>2451900</v>
          </cell>
          <cell r="F65">
            <v>10513300</v>
          </cell>
        </row>
        <row r="66">
          <cell r="D66">
            <v>4917</v>
          </cell>
          <cell r="E66">
            <v>2604000</v>
          </cell>
          <cell r="F66">
            <v>10962900</v>
          </cell>
        </row>
        <row r="67">
          <cell r="D67">
            <v>3711</v>
          </cell>
          <cell r="E67">
            <v>1747700</v>
          </cell>
          <cell r="F67">
            <v>8056400</v>
          </cell>
        </row>
        <row r="68">
          <cell r="D68">
            <v>8417</v>
          </cell>
          <cell r="E68">
            <v>4753500</v>
          </cell>
          <cell r="F68">
            <v>19062400</v>
          </cell>
        </row>
        <row r="69">
          <cell r="D69">
            <v>7446</v>
          </cell>
          <cell r="E69">
            <v>3236800</v>
          </cell>
          <cell r="F69">
            <v>15895000</v>
          </cell>
        </row>
        <row r="70">
          <cell r="D70">
            <v>5284</v>
          </cell>
          <cell r="E70">
            <v>2786000</v>
          </cell>
          <cell r="F70">
            <v>11768800</v>
          </cell>
        </row>
        <row r="71">
          <cell r="D71">
            <v>4023</v>
          </cell>
          <cell r="E71">
            <v>2464300</v>
          </cell>
          <cell r="F71">
            <v>9303400</v>
          </cell>
        </row>
        <row r="72">
          <cell r="D72">
            <v>4280</v>
          </cell>
          <cell r="E72">
            <v>2128250</v>
          </cell>
          <cell r="F72">
            <v>9404250</v>
          </cell>
        </row>
        <row r="73">
          <cell r="D73">
            <v>1529</v>
          </cell>
          <cell r="E73">
            <v>971700</v>
          </cell>
          <cell r="F73">
            <v>3571000</v>
          </cell>
        </row>
        <row r="74">
          <cell r="D74">
            <v>0</v>
          </cell>
          <cell r="E74">
            <v>2218000</v>
          </cell>
          <cell r="F74">
            <v>2218000</v>
          </cell>
          <cell r="M74">
            <v>709473.91099999996</v>
          </cell>
        </row>
        <row r="75">
          <cell r="D75">
            <v>0</v>
          </cell>
          <cell r="E75">
            <v>1544000</v>
          </cell>
          <cell r="F75">
            <v>1544000</v>
          </cell>
        </row>
        <row r="76">
          <cell r="D76">
            <v>0</v>
          </cell>
          <cell r="E76">
            <v>1777000</v>
          </cell>
          <cell r="F76">
            <v>1777000</v>
          </cell>
        </row>
        <row r="77">
          <cell r="D77">
            <v>0</v>
          </cell>
          <cell r="E77">
            <v>1639000</v>
          </cell>
          <cell r="F77">
            <v>1639000</v>
          </cell>
        </row>
        <row r="78">
          <cell r="D78">
            <v>0</v>
          </cell>
          <cell r="E78">
            <v>1329000</v>
          </cell>
          <cell r="F78">
            <v>1329000</v>
          </cell>
        </row>
        <row r="79">
          <cell r="D79">
            <v>0</v>
          </cell>
          <cell r="E79">
            <v>2127000</v>
          </cell>
          <cell r="F79">
            <v>2127000</v>
          </cell>
        </row>
        <row r="80">
          <cell r="D80">
            <v>0</v>
          </cell>
          <cell r="E80">
            <v>2108000</v>
          </cell>
          <cell r="F80">
            <v>2108000</v>
          </cell>
        </row>
        <row r="81">
          <cell r="D81">
            <v>0</v>
          </cell>
          <cell r="E81">
            <v>1935000</v>
          </cell>
          <cell r="F81">
            <v>1935000</v>
          </cell>
        </row>
        <row r="82">
          <cell r="D82">
            <v>0</v>
          </cell>
          <cell r="E82">
            <v>1806000</v>
          </cell>
          <cell r="F82">
            <v>1806000</v>
          </cell>
        </row>
        <row r="83">
          <cell r="D83">
            <v>0</v>
          </cell>
          <cell r="E83">
            <v>1360000</v>
          </cell>
          <cell r="F83">
            <v>1360000</v>
          </cell>
        </row>
        <row r="84">
          <cell r="D84">
            <v>0</v>
          </cell>
          <cell r="E84">
            <v>1219000</v>
          </cell>
          <cell r="F84">
            <v>1219000</v>
          </cell>
        </row>
        <row r="85">
          <cell r="D85">
            <v>0</v>
          </cell>
          <cell r="E85">
            <v>2110000</v>
          </cell>
          <cell r="F85">
            <v>2110000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46000</v>
          </cell>
          <cell r="F87">
            <v>46000</v>
          </cell>
        </row>
        <row r="88">
          <cell r="D88">
            <v>0</v>
          </cell>
          <cell r="E88">
            <v>104000</v>
          </cell>
          <cell r="F88">
            <v>104000</v>
          </cell>
        </row>
        <row r="89">
          <cell r="D89">
            <v>0</v>
          </cell>
          <cell r="E89">
            <v>43000</v>
          </cell>
          <cell r="F89">
            <v>43000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254000</v>
          </cell>
          <cell r="F91">
            <v>254000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701</v>
          </cell>
          <cell r="E93">
            <v>1903400</v>
          </cell>
          <cell r="F93">
            <v>3095100</v>
          </cell>
        </row>
        <row r="94">
          <cell r="D94">
            <v>402</v>
          </cell>
          <cell r="E94">
            <v>3763600</v>
          </cell>
          <cell r="F94">
            <v>4447000</v>
          </cell>
        </row>
        <row r="95">
          <cell r="D95">
            <v>660</v>
          </cell>
          <cell r="E95">
            <v>3429150</v>
          </cell>
          <cell r="F95">
            <v>4551150</v>
          </cell>
        </row>
        <row r="96">
          <cell r="D96">
            <v>476</v>
          </cell>
          <cell r="E96">
            <v>5451050</v>
          </cell>
          <cell r="F96">
            <v>6260250</v>
          </cell>
        </row>
        <row r="97">
          <cell r="D97">
            <v>383</v>
          </cell>
          <cell r="E97">
            <v>3316050</v>
          </cell>
          <cell r="F97">
            <v>3967150</v>
          </cell>
        </row>
        <row r="98">
          <cell r="D98">
            <v>398</v>
          </cell>
          <cell r="E98">
            <v>4137000</v>
          </cell>
          <cell r="F98">
            <v>4813600</v>
          </cell>
        </row>
        <row r="100">
          <cell r="E100">
            <v>252000</v>
          </cell>
          <cell r="F100">
            <v>252000</v>
          </cell>
        </row>
      </sheetData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5963</v>
          </cell>
          <cell r="E11">
            <v>3765950</v>
          </cell>
          <cell r="F11">
            <v>13903050</v>
          </cell>
        </row>
        <row r="12">
          <cell r="D12">
            <v>2308</v>
          </cell>
          <cell r="E12">
            <v>1722600</v>
          </cell>
          <cell r="F12">
            <v>5646200</v>
          </cell>
        </row>
        <row r="13">
          <cell r="D13">
            <v>1342</v>
          </cell>
          <cell r="E13">
            <v>1531400</v>
          </cell>
          <cell r="F13">
            <v>3812800</v>
          </cell>
        </row>
        <row r="14">
          <cell r="D14">
            <v>46158</v>
          </cell>
          <cell r="E14">
            <v>25565750</v>
          </cell>
          <cell r="F14">
            <v>104034350</v>
          </cell>
        </row>
        <row r="15">
          <cell r="D15">
            <v>24309</v>
          </cell>
          <cell r="E15">
            <v>5496250</v>
          </cell>
          <cell r="F15">
            <v>46821550</v>
          </cell>
        </row>
        <row r="16">
          <cell r="D16">
            <v>5640</v>
          </cell>
          <cell r="E16">
            <v>2290500</v>
          </cell>
          <cell r="F16">
            <v>11878500</v>
          </cell>
        </row>
        <row r="17">
          <cell r="D17">
            <v>4674</v>
          </cell>
          <cell r="E17">
            <v>2034150</v>
          </cell>
          <cell r="F17">
            <v>9979950</v>
          </cell>
        </row>
        <row r="18">
          <cell r="D18">
            <v>10171</v>
          </cell>
          <cell r="E18">
            <v>3696900</v>
          </cell>
          <cell r="F18">
            <v>20987600</v>
          </cell>
        </row>
        <row r="19">
          <cell r="D19">
            <v>5548</v>
          </cell>
          <cell r="E19">
            <v>2032400</v>
          </cell>
          <cell r="F19">
            <v>11464000</v>
          </cell>
        </row>
        <row r="20">
          <cell r="D20">
            <v>3160</v>
          </cell>
          <cell r="E20">
            <v>2148400</v>
          </cell>
          <cell r="F20">
            <v>7520400</v>
          </cell>
        </row>
        <row r="21">
          <cell r="D21">
            <v>12380</v>
          </cell>
          <cell r="E21">
            <v>7286300</v>
          </cell>
          <cell r="F21">
            <v>28332300</v>
          </cell>
        </row>
        <row r="22">
          <cell r="D22">
            <v>3558</v>
          </cell>
          <cell r="E22">
            <v>1352250</v>
          </cell>
          <cell r="F22">
            <v>7400850</v>
          </cell>
        </row>
        <row r="23">
          <cell r="D23">
            <v>4706</v>
          </cell>
          <cell r="E23">
            <v>1882900</v>
          </cell>
          <cell r="F23">
            <v>9883100</v>
          </cell>
        </row>
        <row r="24">
          <cell r="D24">
            <v>8526</v>
          </cell>
          <cell r="E24">
            <v>2534600</v>
          </cell>
          <cell r="F24">
            <v>17028800</v>
          </cell>
        </row>
        <row r="25">
          <cell r="D25">
            <v>7424</v>
          </cell>
          <cell r="E25">
            <v>2984800</v>
          </cell>
          <cell r="F25">
            <v>15605600</v>
          </cell>
        </row>
        <row r="26">
          <cell r="D26">
            <v>7079</v>
          </cell>
          <cell r="E26">
            <v>3707400</v>
          </cell>
          <cell r="F26">
            <v>15741700</v>
          </cell>
        </row>
        <row r="27">
          <cell r="D27">
            <v>2451</v>
          </cell>
          <cell r="E27">
            <v>1271300</v>
          </cell>
          <cell r="F27">
            <v>5438000</v>
          </cell>
        </row>
        <row r="28">
          <cell r="D28">
            <v>5198</v>
          </cell>
          <cell r="E28">
            <v>3168700</v>
          </cell>
          <cell r="F28">
            <v>12005300</v>
          </cell>
        </row>
        <row r="29">
          <cell r="D29">
            <v>6152</v>
          </cell>
          <cell r="E29">
            <v>3662300</v>
          </cell>
          <cell r="F29">
            <v>14120700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7224</v>
          </cell>
          <cell r="E31">
            <v>3320150</v>
          </cell>
          <cell r="F31">
            <v>15600950</v>
          </cell>
        </row>
        <row r="32">
          <cell r="D32">
            <v>3906</v>
          </cell>
          <cell r="E32">
            <v>1930750</v>
          </cell>
          <cell r="F32">
            <v>8570950</v>
          </cell>
        </row>
        <row r="33">
          <cell r="D33">
            <v>7801</v>
          </cell>
          <cell r="E33">
            <v>3971500</v>
          </cell>
          <cell r="F33">
            <v>17233200</v>
          </cell>
        </row>
        <row r="34">
          <cell r="D34">
            <v>2885</v>
          </cell>
          <cell r="E34">
            <v>1692750</v>
          </cell>
          <cell r="F34">
            <v>6597250</v>
          </cell>
        </row>
        <row r="35">
          <cell r="D35">
            <v>9342</v>
          </cell>
          <cell r="E35">
            <v>4859050</v>
          </cell>
          <cell r="F35">
            <v>20740450</v>
          </cell>
        </row>
        <row r="36">
          <cell r="D36">
            <v>5286</v>
          </cell>
          <cell r="E36">
            <v>2810100</v>
          </cell>
          <cell r="F36">
            <v>11796300</v>
          </cell>
        </row>
        <row r="37">
          <cell r="D37">
            <v>7383</v>
          </cell>
          <cell r="E37">
            <v>4288400</v>
          </cell>
          <cell r="F37">
            <v>16839500</v>
          </cell>
        </row>
        <row r="38">
          <cell r="D38">
            <v>2378</v>
          </cell>
          <cell r="E38">
            <v>1188800</v>
          </cell>
          <cell r="F38">
            <v>5231400</v>
          </cell>
        </row>
        <row r="39">
          <cell r="D39">
            <v>6032</v>
          </cell>
          <cell r="E39">
            <v>2503550</v>
          </cell>
          <cell r="F39">
            <v>12757950</v>
          </cell>
        </row>
        <row r="40">
          <cell r="D40">
            <v>7816</v>
          </cell>
          <cell r="E40">
            <v>3197350</v>
          </cell>
          <cell r="F40">
            <v>16484550</v>
          </cell>
        </row>
        <row r="41">
          <cell r="D41">
            <v>3123</v>
          </cell>
          <cell r="E41">
            <v>2140000</v>
          </cell>
          <cell r="F41">
            <v>7449100</v>
          </cell>
        </row>
        <row r="42">
          <cell r="D42">
            <v>2154</v>
          </cell>
          <cell r="E42">
            <v>1095150</v>
          </cell>
          <cell r="F42">
            <v>4756950</v>
          </cell>
        </row>
        <row r="43">
          <cell r="D43">
            <v>6159</v>
          </cell>
          <cell r="E43">
            <v>2480800</v>
          </cell>
          <cell r="F43">
            <v>12951100</v>
          </cell>
        </row>
        <row r="44">
          <cell r="D44">
            <v>6357</v>
          </cell>
          <cell r="E44">
            <v>1960400</v>
          </cell>
          <cell r="F44">
            <v>12767300</v>
          </cell>
        </row>
        <row r="45">
          <cell r="D45">
            <v>6749</v>
          </cell>
          <cell r="E45">
            <v>2507950</v>
          </cell>
          <cell r="F45">
            <v>13981250</v>
          </cell>
        </row>
        <row r="46">
          <cell r="D46">
            <v>3900</v>
          </cell>
          <cell r="E46">
            <v>1408300</v>
          </cell>
          <cell r="F46">
            <v>8038300</v>
          </cell>
        </row>
        <row r="47">
          <cell r="D47">
            <v>4335</v>
          </cell>
          <cell r="E47">
            <v>3168300</v>
          </cell>
          <cell r="F47">
            <v>10537800</v>
          </cell>
        </row>
        <row r="48">
          <cell r="D48">
            <v>5168</v>
          </cell>
          <cell r="E48">
            <v>2422050</v>
          </cell>
          <cell r="F48">
            <v>11207650</v>
          </cell>
        </row>
        <row r="49">
          <cell r="D49">
            <v>2710</v>
          </cell>
          <cell r="E49">
            <v>1069600</v>
          </cell>
          <cell r="F49">
            <v>5676600</v>
          </cell>
        </row>
        <row r="50">
          <cell r="D50">
            <v>4804</v>
          </cell>
          <cell r="E50">
            <v>2968100</v>
          </cell>
          <cell r="F50">
            <v>11134900</v>
          </cell>
        </row>
        <row r="51">
          <cell r="D51">
            <v>6355</v>
          </cell>
          <cell r="E51">
            <v>3990400</v>
          </cell>
          <cell r="F51">
            <v>14793900</v>
          </cell>
        </row>
        <row r="52">
          <cell r="D52">
            <v>2571</v>
          </cell>
          <cell r="E52">
            <v>1894350</v>
          </cell>
          <cell r="F52">
            <v>6265050</v>
          </cell>
        </row>
        <row r="53">
          <cell r="D53">
            <v>5620</v>
          </cell>
          <cell r="E53">
            <v>2614300</v>
          </cell>
          <cell r="F53">
            <v>12168300</v>
          </cell>
        </row>
        <row r="54">
          <cell r="D54">
            <v>9871</v>
          </cell>
          <cell r="E54">
            <v>4518900</v>
          </cell>
          <cell r="F54">
            <v>21299600</v>
          </cell>
        </row>
        <row r="55">
          <cell r="D55">
            <v>18263</v>
          </cell>
          <cell r="E55">
            <v>6771100</v>
          </cell>
          <cell r="F55">
            <v>37818200</v>
          </cell>
        </row>
        <row r="56">
          <cell r="D56">
            <v>30778</v>
          </cell>
          <cell r="E56">
            <v>15125550</v>
          </cell>
          <cell r="F56">
            <v>67448150</v>
          </cell>
        </row>
        <row r="57">
          <cell r="D57">
            <v>13414</v>
          </cell>
          <cell r="E57">
            <v>8061100</v>
          </cell>
          <cell r="F57">
            <v>30864900</v>
          </cell>
        </row>
        <row r="58">
          <cell r="D58">
            <v>49678</v>
          </cell>
          <cell r="E58">
            <v>25281750</v>
          </cell>
          <cell r="F58">
            <v>109734350</v>
          </cell>
        </row>
        <row r="59">
          <cell r="D59">
            <v>8720</v>
          </cell>
          <cell r="E59">
            <v>4561400</v>
          </cell>
          <cell r="F59">
            <v>19385400</v>
          </cell>
        </row>
        <row r="60">
          <cell r="D60">
            <v>9941</v>
          </cell>
          <cell r="E60">
            <v>4800400</v>
          </cell>
          <cell r="F60">
            <v>21700100</v>
          </cell>
        </row>
        <row r="61">
          <cell r="D61">
            <v>2215</v>
          </cell>
          <cell r="E61">
            <v>1332500</v>
          </cell>
          <cell r="F61">
            <v>5098000</v>
          </cell>
        </row>
        <row r="62">
          <cell r="D62">
            <v>1642</v>
          </cell>
          <cell r="E62">
            <v>628900</v>
          </cell>
          <cell r="F62">
            <v>3420300</v>
          </cell>
        </row>
        <row r="63">
          <cell r="D63">
            <v>2653</v>
          </cell>
          <cell r="E63">
            <v>1112700</v>
          </cell>
          <cell r="F63">
            <v>5622800</v>
          </cell>
        </row>
        <row r="64">
          <cell r="D64">
            <v>3552</v>
          </cell>
          <cell r="E64">
            <v>1311550</v>
          </cell>
          <cell r="F64">
            <v>7349950</v>
          </cell>
        </row>
        <row r="65">
          <cell r="D65">
            <v>4074</v>
          </cell>
          <cell r="E65">
            <v>2046800</v>
          </cell>
          <cell r="F65">
            <v>8972600</v>
          </cell>
        </row>
        <row r="66">
          <cell r="D66">
            <v>4615</v>
          </cell>
          <cell r="E66">
            <v>1886800</v>
          </cell>
          <cell r="F66">
            <v>9732300</v>
          </cell>
        </row>
        <row r="67">
          <cell r="D67">
            <v>2872</v>
          </cell>
          <cell r="E67">
            <v>1166500</v>
          </cell>
          <cell r="F67">
            <v>6048900</v>
          </cell>
        </row>
        <row r="68">
          <cell r="D68">
            <v>7307</v>
          </cell>
          <cell r="E68">
            <v>4195350</v>
          </cell>
          <cell r="F68">
            <v>16617250</v>
          </cell>
        </row>
        <row r="69">
          <cell r="D69">
            <v>6968</v>
          </cell>
          <cell r="E69">
            <v>2262400</v>
          </cell>
          <cell r="F69">
            <v>14108000</v>
          </cell>
        </row>
        <row r="70">
          <cell r="D70">
            <v>4907</v>
          </cell>
          <cell r="E70">
            <v>2143150</v>
          </cell>
          <cell r="F70">
            <v>10485050</v>
          </cell>
        </row>
        <row r="71">
          <cell r="D71">
            <v>4098</v>
          </cell>
          <cell r="E71">
            <v>2814700</v>
          </cell>
          <cell r="F71">
            <v>9781300</v>
          </cell>
        </row>
        <row r="72">
          <cell r="D72">
            <v>4267</v>
          </cell>
          <cell r="E72">
            <v>2632100</v>
          </cell>
          <cell r="F72">
            <v>9886000</v>
          </cell>
        </row>
        <row r="73">
          <cell r="D73">
            <v>1452</v>
          </cell>
          <cell r="E73">
            <v>1016500</v>
          </cell>
          <cell r="F73">
            <v>3484900</v>
          </cell>
        </row>
        <row r="74">
          <cell r="D74">
            <v>0</v>
          </cell>
          <cell r="E74">
            <v>1530000</v>
          </cell>
          <cell r="F74">
            <v>1530000</v>
          </cell>
          <cell r="M74">
            <v>641724.76399999997</v>
          </cell>
        </row>
        <row r="75">
          <cell r="D75">
            <v>0</v>
          </cell>
          <cell r="E75">
            <v>1194000</v>
          </cell>
          <cell r="F75">
            <v>1194000</v>
          </cell>
        </row>
        <row r="76">
          <cell r="D76">
            <v>0</v>
          </cell>
          <cell r="E76">
            <v>1431000</v>
          </cell>
          <cell r="F76">
            <v>1431000</v>
          </cell>
        </row>
        <row r="77">
          <cell r="D77">
            <v>0</v>
          </cell>
          <cell r="E77">
            <v>1318000</v>
          </cell>
          <cell r="F77">
            <v>1318000</v>
          </cell>
        </row>
        <row r="78">
          <cell r="D78">
            <v>0</v>
          </cell>
          <cell r="E78">
            <v>803000</v>
          </cell>
          <cell r="F78">
            <v>803000</v>
          </cell>
        </row>
        <row r="79">
          <cell r="D79">
            <v>0</v>
          </cell>
          <cell r="E79">
            <v>1619000</v>
          </cell>
          <cell r="F79">
            <v>1619000</v>
          </cell>
        </row>
        <row r="80">
          <cell r="D80">
            <v>0</v>
          </cell>
          <cell r="E80">
            <v>1962000</v>
          </cell>
          <cell r="F80">
            <v>1962000</v>
          </cell>
        </row>
        <row r="81">
          <cell r="D81">
            <v>0</v>
          </cell>
          <cell r="E81">
            <v>1633000</v>
          </cell>
          <cell r="F81">
            <v>1633000</v>
          </cell>
        </row>
        <row r="82">
          <cell r="D82">
            <v>0</v>
          </cell>
          <cell r="E82">
            <v>1847000</v>
          </cell>
          <cell r="F82">
            <v>1847000</v>
          </cell>
        </row>
        <row r="83">
          <cell r="D83">
            <v>0</v>
          </cell>
          <cell r="E83">
            <v>1424000</v>
          </cell>
          <cell r="F83">
            <v>1424000</v>
          </cell>
        </row>
        <row r="84">
          <cell r="D84">
            <v>0</v>
          </cell>
          <cell r="E84">
            <v>858000</v>
          </cell>
          <cell r="F84">
            <v>858000</v>
          </cell>
        </row>
        <row r="85">
          <cell r="D85">
            <v>0</v>
          </cell>
          <cell r="E85">
            <v>2086000</v>
          </cell>
          <cell r="F85">
            <v>2086000</v>
          </cell>
        </row>
        <row r="86">
          <cell r="D86">
            <v>0</v>
          </cell>
          <cell r="E86">
            <v>3000</v>
          </cell>
          <cell r="F86">
            <v>3000</v>
          </cell>
        </row>
        <row r="87">
          <cell r="D87">
            <v>0</v>
          </cell>
          <cell r="E87">
            <v>9000</v>
          </cell>
          <cell r="F87">
            <v>9000</v>
          </cell>
        </row>
        <row r="88">
          <cell r="D88">
            <v>0</v>
          </cell>
          <cell r="E88">
            <v>0</v>
          </cell>
          <cell r="F88">
            <v>0</v>
          </cell>
        </row>
        <row r="89">
          <cell r="D89">
            <v>0</v>
          </cell>
          <cell r="E89">
            <v>22000</v>
          </cell>
          <cell r="F89">
            <v>22000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70000</v>
          </cell>
          <cell r="F91">
            <v>70000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546</v>
          </cell>
          <cell r="E93">
            <v>2871800</v>
          </cell>
          <cell r="F93">
            <v>3800000</v>
          </cell>
        </row>
        <row r="94">
          <cell r="D94">
            <v>668</v>
          </cell>
          <cell r="E94">
            <v>3814300</v>
          </cell>
          <cell r="F94">
            <v>4949900</v>
          </cell>
        </row>
        <row r="95">
          <cell r="D95">
            <v>722</v>
          </cell>
          <cell r="E95">
            <v>3008000</v>
          </cell>
          <cell r="F95">
            <v>4235400</v>
          </cell>
        </row>
        <row r="96">
          <cell r="D96">
            <v>237</v>
          </cell>
          <cell r="E96">
            <v>6465700</v>
          </cell>
          <cell r="F96">
            <v>6868600</v>
          </cell>
        </row>
        <row r="97">
          <cell r="D97">
            <v>335</v>
          </cell>
          <cell r="E97">
            <v>3924200</v>
          </cell>
          <cell r="F97">
            <v>4493700</v>
          </cell>
        </row>
        <row r="98">
          <cell r="D98">
            <v>654</v>
          </cell>
          <cell r="E98">
            <v>3544200</v>
          </cell>
          <cell r="F98">
            <v>4656000</v>
          </cell>
        </row>
        <row r="100">
          <cell r="E100">
            <v>76000</v>
          </cell>
          <cell r="F100">
            <v>76000</v>
          </cell>
        </row>
      </sheetData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5597</v>
          </cell>
          <cell r="E11">
            <v>2802400</v>
          </cell>
          <cell r="F11">
            <v>12317300</v>
          </cell>
        </row>
        <row r="12">
          <cell r="D12">
            <v>2520</v>
          </cell>
          <cell r="E12">
            <v>1382700</v>
          </cell>
          <cell r="F12">
            <v>5666700</v>
          </cell>
        </row>
        <row r="13">
          <cell r="D13">
            <v>1241</v>
          </cell>
          <cell r="E13">
            <v>1110500</v>
          </cell>
          <cell r="F13">
            <v>3220200</v>
          </cell>
        </row>
        <row r="14">
          <cell r="D14">
            <v>44029</v>
          </cell>
          <cell r="E14">
            <v>19985700</v>
          </cell>
          <cell r="F14">
            <v>94835000</v>
          </cell>
        </row>
        <row r="15">
          <cell r="D15">
            <v>23422</v>
          </cell>
          <cell r="E15">
            <v>4300200</v>
          </cell>
          <cell r="F15">
            <v>44117600</v>
          </cell>
        </row>
        <row r="16">
          <cell r="D16">
            <v>5228</v>
          </cell>
          <cell r="E16">
            <v>1431200</v>
          </cell>
          <cell r="F16">
            <v>10318800</v>
          </cell>
        </row>
        <row r="17">
          <cell r="D17">
            <v>4530</v>
          </cell>
          <cell r="E17">
            <v>1862700</v>
          </cell>
          <cell r="F17">
            <v>9563700</v>
          </cell>
        </row>
        <row r="18">
          <cell r="D18">
            <v>9751</v>
          </cell>
          <cell r="E18">
            <v>3395900</v>
          </cell>
          <cell r="F18">
            <v>19972600</v>
          </cell>
        </row>
        <row r="19">
          <cell r="D19">
            <v>5360</v>
          </cell>
          <cell r="E19">
            <v>2106800</v>
          </cell>
          <cell r="F19">
            <v>11218800</v>
          </cell>
        </row>
        <row r="20">
          <cell r="D20">
            <v>2534</v>
          </cell>
          <cell r="E20">
            <v>1286900</v>
          </cell>
          <cell r="F20">
            <v>5594700</v>
          </cell>
        </row>
        <row r="21">
          <cell r="D21">
            <v>11271</v>
          </cell>
          <cell r="E21">
            <v>5592300</v>
          </cell>
          <cell r="F21">
            <v>24753000</v>
          </cell>
        </row>
        <row r="22">
          <cell r="D22">
            <v>2867</v>
          </cell>
          <cell r="E22">
            <v>1019400</v>
          </cell>
          <cell r="F22">
            <v>5893300</v>
          </cell>
        </row>
        <row r="23">
          <cell r="D23">
            <v>4566</v>
          </cell>
          <cell r="E23">
            <v>1267900</v>
          </cell>
          <cell r="F23">
            <v>9030100</v>
          </cell>
        </row>
        <row r="24">
          <cell r="D24">
            <v>7665</v>
          </cell>
          <cell r="E24">
            <v>2069250</v>
          </cell>
          <cell r="F24">
            <v>15099750</v>
          </cell>
        </row>
        <row r="25">
          <cell r="D25">
            <v>7193</v>
          </cell>
          <cell r="E25">
            <v>2760350</v>
          </cell>
          <cell r="F25">
            <v>14988450</v>
          </cell>
        </row>
        <row r="26">
          <cell r="D26">
            <v>6790</v>
          </cell>
          <cell r="E26">
            <v>2483200</v>
          </cell>
          <cell r="F26">
            <v>14026200</v>
          </cell>
        </row>
        <row r="27">
          <cell r="D27">
            <v>2059</v>
          </cell>
          <cell r="E27">
            <v>979500</v>
          </cell>
          <cell r="F27">
            <v>4479800</v>
          </cell>
        </row>
        <row r="28">
          <cell r="D28">
            <v>4951</v>
          </cell>
          <cell r="E28">
            <v>2851900</v>
          </cell>
          <cell r="F28">
            <v>11268600</v>
          </cell>
        </row>
        <row r="29">
          <cell r="D29">
            <v>6056</v>
          </cell>
          <cell r="E29">
            <v>2297350</v>
          </cell>
          <cell r="F29">
            <v>12592550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6604</v>
          </cell>
          <cell r="E31">
            <v>2676500</v>
          </cell>
          <cell r="F31">
            <v>13903300</v>
          </cell>
        </row>
        <row r="32">
          <cell r="D32">
            <v>3449</v>
          </cell>
          <cell r="E32">
            <v>1969750</v>
          </cell>
          <cell r="F32">
            <v>7833050</v>
          </cell>
        </row>
        <row r="33">
          <cell r="D33">
            <v>6917</v>
          </cell>
          <cell r="E33">
            <v>2704900</v>
          </cell>
          <cell r="F33">
            <v>14463800</v>
          </cell>
        </row>
        <row r="34">
          <cell r="D34">
            <v>2620</v>
          </cell>
          <cell r="E34">
            <v>1330800</v>
          </cell>
          <cell r="F34">
            <v>5784800</v>
          </cell>
        </row>
        <row r="35">
          <cell r="D35">
            <v>8707</v>
          </cell>
          <cell r="E35">
            <v>3996150</v>
          </cell>
          <cell r="F35">
            <v>18798050</v>
          </cell>
        </row>
        <row r="36">
          <cell r="D36">
            <v>4982</v>
          </cell>
          <cell r="E36">
            <v>2258200</v>
          </cell>
          <cell r="F36">
            <v>10727600</v>
          </cell>
        </row>
        <row r="37">
          <cell r="D37">
            <v>7525</v>
          </cell>
          <cell r="E37">
            <v>2948400</v>
          </cell>
          <cell r="F37">
            <v>15740900</v>
          </cell>
        </row>
        <row r="38">
          <cell r="D38">
            <v>2244</v>
          </cell>
          <cell r="E38">
            <v>783000</v>
          </cell>
          <cell r="F38">
            <v>4597800</v>
          </cell>
        </row>
        <row r="39">
          <cell r="D39">
            <v>5386</v>
          </cell>
          <cell r="E39">
            <v>1863600</v>
          </cell>
          <cell r="F39">
            <v>11019800</v>
          </cell>
        </row>
        <row r="40">
          <cell r="D40">
            <v>7468</v>
          </cell>
          <cell r="E40">
            <v>2997000</v>
          </cell>
          <cell r="F40">
            <v>15692600</v>
          </cell>
        </row>
        <row r="41">
          <cell r="D41">
            <v>2862</v>
          </cell>
          <cell r="E41">
            <v>1534650</v>
          </cell>
          <cell r="F41">
            <v>6400050</v>
          </cell>
        </row>
        <row r="42">
          <cell r="D42">
            <v>2258</v>
          </cell>
          <cell r="E42">
            <v>799400</v>
          </cell>
          <cell r="F42">
            <v>4638000</v>
          </cell>
        </row>
        <row r="43">
          <cell r="D43">
            <v>5951</v>
          </cell>
          <cell r="E43">
            <v>2063800</v>
          </cell>
          <cell r="F43">
            <v>12180500</v>
          </cell>
        </row>
        <row r="44">
          <cell r="D44">
            <v>5679</v>
          </cell>
          <cell r="E44">
            <v>2024950</v>
          </cell>
          <cell r="F44">
            <v>11679250</v>
          </cell>
        </row>
        <row r="45">
          <cell r="D45">
            <v>6351</v>
          </cell>
          <cell r="E45">
            <v>1913200</v>
          </cell>
          <cell r="F45">
            <v>12709900</v>
          </cell>
        </row>
        <row r="46">
          <cell r="D46">
            <v>3767</v>
          </cell>
          <cell r="E46">
            <v>1293200</v>
          </cell>
          <cell r="F46">
            <v>7697100</v>
          </cell>
        </row>
        <row r="47">
          <cell r="D47">
            <v>4091</v>
          </cell>
          <cell r="E47">
            <v>2632800</v>
          </cell>
          <cell r="F47">
            <v>9587500</v>
          </cell>
        </row>
        <row r="48">
          <cell r="D48">
            <v>4730</v>
          </cell>
          <cell r="E48">
            <v>1548450</v>
          </cell>
          <cell r="F48">
            <v>9589450</v>
          </cell>
        </row>
        <row r="49">
          <cell r="D49">
            <v>2541</v>
          </cell>
          <cell r="E49">
            <v>1340100</v>
          </cell>
          <cell r="F49">
            <v>5659800</v>
          </cell>
        </row>
        <row r="50">
          <cell r="D50">
            <v>4651</v>
          </cell>
          <cell r="E50">
            <v>2126100</v>
          </cell>
          <cell r="F50">
            <v>10032800</v>
          </cell>
        </row>
        <row r="51">
          <cell r="D51">
            <v>5976</v>
          </cell>
          <cell r="E51">
            <v>3015300</v>
          </cell>
          <cell r="F51">
            <v>13174500</v>
          </cell>
        </row>
        <row r="52">
          <cell r="D52">
            <v>2281</v>
          </cell>
          <cell r="E52">
            <v>1514600</v>
          </cell>
          <cell r="F52">
            <v>5392300</v>
          </cell>
        </row>
        <row r="53">
          <cell r="D53">
            <v>4992</v>
          </cell>
          <cell r="E53">
            <v>2275600</v>
          </cell>
          <cell r="F53">
            <v>10762000</v>
          </cell>
        </row>
        <row r="54">
          <cell r="D54">
            <v>9676</v>
          </cell>
          <cell r="E54">
            <v>3822300</v>
          </cell>
          <cell r="F54">
            <v>20271500</v>
          </cell>
        </row>
        <row r="55">
          <cell r="D55">
            <v>16960</v>
          </cell>
          <cell r="E55">
            <v>5768200</v>
          </cell>
          <cell r="F55">
            <v>34600200</v>
          </cell>
        </row>
        <row r="56">
          <cell r="D56">
            <v>28658</v>
          </cell>
          <cell r="E56">
            <v>12117050</v>
          </cell>
          <cell r="F56">
            <v>60835650</v>
          </cell>
        </row>
        <row r="57">
          <cell r="D57">
            <v>12052</v>
          </cell>
          <cell r="E57">
            <v>7565850</v>
          </cell>
          <cell r="F57">
            <v>28054250</v>
          </cell>
        </row>
        <row r="58">
          <cell r="D58">
            <v>46745</v>
          </cell>
          <cell r="E58">
            <v>19646200</v>
          </cell>
          <cell r="F58">
            <v>99112700</v>
          </cell>
        </row>
        <row r="59">
          <cell r="D59">
            <v>8155</v>
          </cell>
          <cell r="E59">
            <v>4380050</v>
          </cell>
          <cell r="F59">
            <v>18243550</v>
          </cell>
        </row>
        <row r="60">
          <cell r="D60">
            <v>9327</v>
          </cell>
          <cell r="E60">
            <v>3505000</v>
          </cell>
          <cell r="F60">
            <v>19360900</v>
          </cell>
        </row>
        <row r="61">
          <cell r="D61">
            <v>2163</v>
          </cell>
          <cell r="E61">
            <v>1430900</v>
          </cell>
          <cell r="F61">
            <v>5108000</v>
          </cell>
        </row>
        <row r="62">
          <cell r="D62">
            <v>1454</v>
          </cell>
          <cell r="E62">
            <v>310700</v>
          </cell>
          <cell r="F62">
            <v>2782500</v>
          </cell>
        </row>
        <row r="63">
          <cell r="D63">
            <v>2569</v>
          </cell>
          <cell r="E63">
            <v>924000</v>
          </cell>
          <cell r="F63">
            <v>5291300</v>
          </cell>
        </row>
        <row r="64">
          <cell r="D64">
            <v>3498</v>
          </cell>
          <cell r="E64">
            <v>1222600</v>
          </cell>
          <cell r="F64">
            <v>7169200</v>
          </cell>
        </row>
        <row r="65">
          <cell r="D65">
            <v>3667</v>
          </cell>
          <cell r="E65">
            <v>1326000</v>
          </cell>
          <cell r="F65">
            <v>7559900</v>
          </cell>
        </row>
        <row r="66">
          <cell r="D66">
            <v>4309</v>
          </cell>
          <cell r="E66">
            <v>1797100</v>
          </cell>
          <cell r="F66">
            <v>9122400</v>
          </cell>
        </row>
        <row r="67">
          <cell r="D67">
            <v>2765</v>
          </cell>
          <cell r="E67">
            <v>975750</v>
          </cell>
          <cell r="F67">
            <v>5676250</v>
          </cell>
        </row>
        <row r="68">
          <cell r="D68">
            <v>7014</v>
          </cell>
          <cell r="E68">
            <v>3493000</v>
          </cell>
          <cell r="F68">
            <v>15416800</v>
          </cell>
        </row>
        <row r="69">
          <cell r="D69">
            <v>6020</v>
          </cell>
          <cell r="E69">
            <v>1937000</v>
          </cell>
          <cell r="F69">
            <v>12171000</v>
          </cell>
        </row>
        <row r="70">
          <cell r="D70">
            <v>4513</v>
          </cell>
          <cell r="E70">
            <v>1971100</v>
          </cell>
          <cell r="F70">
            <v>9643200</v>
          </cell>
        </row>
        <row r="71">
          <cell r="D71">
            <v>4126</v>
          </cell>
          <cell r="E71">
            <v>2203100</v>
          </cell>
          <cell r="F71">
            <v>9217300</v>
          </cell>
        </row>
        <row r="72">
          <cell r="D72">
            <v>4089</v>
          </cell>
          <cell r="E72">
            <v>1906100</v>
          </cell>
          <cell r="F72">
            <v>8857400</v>
          </cell>
        </row>
        <row r="73">
          <cell r="D73">
            <v>1510</v>
          </cell>
          <cell r="E73">
            <v>482500</v>
          </cell>
          <cell r="F73">
            <v>3049500</v>
          </cell>
        </row>
        <row r="74">
          <cell r="D74">
            <v>0</v>
          </cell>
          <cell r="E74">
            <v>1442000</v>
          </cell>
          <cell r="F74">
            <v>1442000</v>
          </cell>
          <cell r="M74">
            <v>582436.08799999999</v>
          </cell>
        </row>
        <row r="75">
          <cell r="D75">
            <v>0</v>
          </cell>
          <cell r="E75">
            <v>1298000</v>
          </cell>
          <cell r="F75">
            <v>1298000</v>
          </cell>
        </row>
        <row r="76">
          <cell r="D76">
            <v>0</v>
          </cell>
          <cell r="E76">
            <v>1480000</v>
          </cell>
          <cell r="F76">
            <v>1480000</v>
          </cell>
        </row>
        <row r="77">
          <cell r="D77">
            <v>0</v>
          </cell>
          <cell r="E77">
            <v>1305000</v>
          </cell>
          <cell r="F77">
            <v>1305000</v>
          </cell>
        </row>
        <row r="78">
          <cell r="D78">
            <v>0</v>
          </cell>
          <cell r="E78">
            <v>1027000</v>
          </cell>
          <cell r="F78">
            <v>1027000</v>
          </cell>
        </row>
        <row r="79">
          <cell r="D79">
            <v>0</v>
          </cell>
          <cell r="E79">
            <v>1560000</v>
          </cell>
          <cell r="F79">
            <v>1560000</v>
          </cell>
        </row>
        <row r="80">
          <cell r="D80">
            <v>0</v>
          </cell>
          <cell r="E80">
            <v>1768000</v>
          </cell>
          <cell r="F80">
            <v>1768000</v>
          </cell>
        </row>
        <row r="81">
          <cell r="D81">
            <v>0</v>
          </cell>
          <cell r="E81">
            <v>1395000</v>
          </cell>
          <cell r="F81">
            <v>1395000</v>
          </cell>
        </row>
        <row r="82">
          <cell r="D82">
            <v>0</v>
          </cell>
          <cell r="E82">
            <v>1786000</v>
          </cell>
          <cell r="F82">
            <v>1786000</v>
          </cell>
        </row>
        <row r="83">
          <cell r="D83">
            <v>0</v>
          </cell>
          <cell r="E83">
            <v>827000</v>
          </cell>
          <cell r="F83">
            <v>827000</v>
          </cell>
        </row>
        <row r="84">
          <cell r="D84">
            <v>0</v>
          </cell>
          <cell r="E84">
            <v>981000</v>
          </cell>
          <cell r="F84">
            <v>981000</v>
          </cell>
        </row>
        <row r="85">
          <cell r="D85">
            <v>0</v>
          </cell>
          <cell r="E85">
            <v>1707000</v>
          </cell>
          <cell r="F85">
            <v>1707000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7000</v>
          </cell>
          <cell r="F87">
            <v>7000</v>
          </cell>
        </row>
        <row r="88">
          <cell r="D88">
            <v>0</v>
          </cell>
          <cell r="E88">
            <v>1000</v>
          </cell>
          <cell r="F88">
            <v>1000</v>
          </cell>
        </row>
        <row r="89">
          <cell r="D89">
            <v>0</v>
          </cell>
          <cell r="E89">
            <v>12000</v>
          </cell>
          <cell r="F89">
            <v>12000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101000</v>
          </cell>
          <cell r="F91">
            <v>101000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390</v>
          </cell>
          <cell r="E93">
            <v>2352900</v>
          </cell>
          <cell r="F93">
            <v>3015900</v>
          </cell>
        </row>
        <row r="94">
          <cell r="D94">
            <v>511</v>
          </cell>
          <cell r="E94">
            <v>4106850</v>
          </cell>
          <cell r="F94">
            <v>4975550</v>
          </cell>
        </row>
        <row r="95">
          <cell r="D95">
            <v>690</v>
          </cell>
          <cell r="E95">
            <v>2514900</v>
          </cell>
          <cell r="F95">
            <v>3687900</v>
          </cell>
        </row>
        <row r="96">
          <cell r="D96">
            <v>280</v>
          </cell>
          <cell r="E96">
            <v>5239900</v>
          </cell>
          <cell r="F96">
            <v>5715900</v>
          </cell>
        </row>
        <row r="97">
          <cell r="D97">
            <v>244</v>
          </cell>
          <cell r="E97">
            <v>2170000</v>
          </cell>
          <cell r="F97">
            <v>2584800</v>
          </cell>
        </row>
        <row r="98">
          <cell r="D98">
            <v>732</v>
          </cell>
          <cell r="E98">
            <v>3543400</v>
          </cell>
          <cell r="F98">
            <v>4787800</v>
          </cell>
        </row>
        <row r="100">
          <cell r="E100">
            <v>111000</v>
          </cell>
          <cell r="F100">
            <v>111000</v>
          </cell>
        </row>
      </sheetData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5410</v>
          </cell>
          <cell r="E11">
            <v>2811000</v>
          </cell>
          <cell r="F11">
            <v>12008000</v>
          </cell>
        </row>
        <row r="12">
          <cell r="D12">
            <v>2060</v>
          </cell>
          <cell r="E12">
            <v>1319000</v>
          </cell>
          <cell r="F12">
            <v>4821000</v>
          </cell>
        </row>
        <row r="13">
          <cell r="D13">
            <v>1108</v>
          </cell>
          <cell r="E13">
            <v>979800</v>
          </cell>
          <cell r="F13">
            <v>2863400</v>
          </cell>
        </row>
        <row r="14">
          <cell r="D14">
            <v>38981</v>
          </cell>
          <cell r="E14">
            <v>15031750</v>
          </cell>
          <cell r="F14">
            <v>81299450</v>
          </cell>
        </row>
        <row r="15">
          <cell r="D15">
            <v>21560</v>
          </cell>
          <cell r="E15">
            <v>4018700</v>
          </cell>
          <cell r="F15">
            <v>40670700</v>
          </cell>
        </row>
        <row r="16">
          <cell r="D16">
            <v>4893</v>
          </cell>
          <cell r="E16">
            <v>1625500</v>
          </cell>
          <cell r="F16">
            <v>9943600</v>
          </cell>
        </row>
        <row r="17">
          <cell r="D17">
            <v>4093</v>
          </cell>
          <cell r="E17">
            <v>1007600</v>
          </cell>
          <cell r="F17">
            <v>7965700</v>
          </cell>
        </row>
        <row r="18">
          <cell r="D18">
            <v>7898</v>
          </cell>
          <cell r="E18">
            <v>2468100</v>
          </cell>
          <cell r="F18">
            <v>15894700</v>
          </cell>
        </row>
        <row r="19">
          <cell r="D19">
            <v>4614</v>
          </cell>
          <cell r="E19">
            <v>1325400</v>
          </cell>
          <cell r="F19">
            <v>9169200</v>
          </cell>
        </row>
        <row r="20">
          <cell r="D20">
            <v>2611</v>
          </cell>
          <cell r="E20">
            <v>1304050</v>
          </cell>
          <cell r="F20">
            <v>5742750</v>
          </cell>
        </row>
        <row r="21">
          <cell r="D21">
            <v>10176</v>
          </cell>
          <cell r="E21">
            <v>5036650</v>
          </cell>
          <cell r="F21">
            <v>22335850</v>
          </cell>
        </row>
        <row r="22">
          <cell r="D22">
            <v>2799</v>
          </cell>
          <cell r="E22">
            <v>976800</v>
          </cell>
          <cell r="F22">
            <v>5735100</v>
          </cell>
        </row>
        <row r="23">
          <cell r="D23">
            <v>4239</v>
          </cell>
          <cell r="E23">
            <v>1397450</v>
          </cell>
          <cell r="F23">
            <v>8603750</v>
          </cell>
        </row>
        <row r="24">
          <cell r="D24">
            <v>6833</v>
          </cell>
          <cell r="E24">
            <v>1809650</v>
          </cell>
          <cell r="F24">
            <v>13425750</v>
          </cell>
        </row>
        <row r="25">
          <cell r="D25">
            <v>6434</v>
          </cell>
          <cell r="E25">
            <v>1868600</v>
          </cell>
          <cell r="F25">
            <v>12806400</v>
          </cell>
        </row>
        <row r="26">
          <cell r="D26">
            <v>6303</v>
          </cell>
          <cell r="E26">
            <v>2211600</v>
          </cell>
          <cell r="F26">
            <v>12926700</v>
          </cell>
        </row>
        <row r="27">
          <cell r="D27">
            <v>1663</v>
          </cell>
          <cell r="E27">
            <v>1074300</v>
          </cell>
          <cell r="F27">
            <v>3901400</v>
          </cell>
        </row>
        <row r="28">
          <cell r="D28">
            <v>4358</v>
          </cell>
          <cell r="E28">
            <v>1924100</v>
          </cell>
          <cell r="F28">
            <v>9332700</v>
          </cell>
        </row>
        <row r="29">
          <cell r="D29">
            <v>5555</v>
          </cell>
          <cell r="E29">
            <v>2073000</v>
          </cell>
          <cell r="F29">
            <v>11516500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6035</v>
          </cell>
          <cell r="E31">
            <v>2197100</v>
          </cell>
          <cell r="F31">
            <v>12456600</v>
          </cell>
        </row>
        <row r="32">
          <cell r="D32">
            <v>3412</v>
          </cell>
          <cell r="E32">
            <v>1039300</v>
          </cell>
          <cell r="F32">
            <v>6839700</v>
          </cell>
        </row>
        <row r="33">
          <cell r="D33">
            <v>6684</v>
          </cell>
          <cell r="E33">
            <v>2730100</v>
          </cell>
          <cell r="F33">
            <v>14092900</v>
          </cell>
        </row>
        <row r="34">
          <cell r="D34">
            <v>2482</v>
          </cell>
          <cell r="E34">
            <v>1233200</v>
          </cell>
          <cell r="F34">
            <v>5452600</v>
          </cell>
        </row>
        <row r="35">
          <cell r="D35">
            <v>8554</v>
          </cell>
          <cell r="E35">
            <v>3440400</v>
          </cell>
          <cell r="F35">
            <v>17982200</v>
          </cell>
        </row>
        <row r="36">
          <cell r="D36">
            <v>4703</v>
          </cell>
          <cell r="E36">
            <v>1556850</v>
          </cell>
          <cell r="F36">
            <v>9551950</v>
          </cell>
        </row>
        <row r="37">
          <cell r="D37">
            <v>6372</v>
          </cell>
          <cell r="E37">
            <v>2888150</v>
          </cell>
          <cell r="F37">
            <v>13720550</v>
          </cell>
        </row>
        <row r="38">
          <cell r="D38">
            <v>2232</v>
          </cell>
          <cell r="E38">
            <v>736800</v>
          </cell>
          <cell r="F38">
            <v>4531200</v>
          </cell>
        </row>
        <row r="39">
          <cell r="D39">
            <v>5067</v>
          </cell>
          <cell r="E39">
            <v>1617000</v>
          </cell>
          <cell r="F39">
            <v>10230900</v>
          </cell>
        </row>
        <row r="40">
          <cell r="D40">
            <v>7072</v>
          </cell>
          <cell r="E40">
            <v>2314100</v>
          </cell>
          <cell r="F40">
            <v>14336500</v>
          </cell>
        </row>
        <row r="41">
          <cell r="D41">
            <v>2452</v>
          </cell>
          <cell r="E41">
            <v>1169000</v>
          </cell>
          <cell r="F41">
            <v>5337400</v>
          </cell>
        </row>
        <row r="42">
          <cell r="D42">
            <v>1888</v>
          </cell>
          <cell r="E42">
            <v>540600</v>
          </cell>
          <cell r="F42">
            <v>3750200</v>
          </cell>
        </row>
        <row r="43">
          <cell r="D43">
            <v>5165</v>
          </cell>
          <cell r="E43">
            <v>1544400</v>
          </cell>
          <cell r="F43">
            <v>10324900</v>
          </cell>
        </row>
        <row r="44">
          <cell r="D44">
            <v>5537</v>
          </cell>
          <cell r="E44">
            <v>1157350</v>
          </cell>
          <cell r="F44">
            <v>10570250</v>
          </cell>
        </row>
        <row r="45">
          <cell r="D45">
            <v>5670</v>
          </cell>
          <cell r="E45">
            <v>1659100</v>
          </cell>
          <cell r="F45">
            <v>11298100</v>
          </cell>
        </row>
        <row r="46">
          <cell r="D46">
            <v>3300</v>
          </cell>
          <cell r="E46">
            <v>1195500</v>
          </cell>
          <cell r="F46">
            <v>6805500</v>
          </cell>
        </row>
        <row r="47">
          <cell r="D47">
            <v>3791</v>
          </cell>
          <cell r="E47">
            <v>2361400</v>
          </cell>
          <cell r="F47">
            <v>8806100</v>
          </cell>
        </row>
        <row r="48">
          <cell r="D48">
            <v>3953</v>
          </cell>
          <cell r="E48">
            <v>1607700</v>
          </cell>
          <cell r="F48">
            <v>8327800</v>
          </cell>
        </row>
        <row r="49">
          <cell r="D49">
            <v>2240</v>
          </cell>
          <cell r="E49">
            <v>581100</v>
          </cell>
          <cell r="F49">
            <v>4389100</v>
          </cell>
        </row>
        <row r="50">
          <cell r="D50">
            <v>4723</v>
          </cell>
          <cell r="E50">
            <v>1775100</v>
          </cell>
          <cell r="F50">
            <v>9804200</v>
          </cell>
        </row>
        <row r="51">
          <cell r="D51">
            <v>5286</v>
          </cell>
          <cell r="E51">
            <v>3057100</v>
          </cell>
          <cell r="F51">
            <v>12043300</v>
          </cell>
        </row>
        <row r="52">
          <cell r="D52">
            <v>2130</v>
          </cell>
          <cell r="E52">
            <v>1087500</v>
          </cell>
          <cell r="F52">
            <v>4708500</v>
          </cell>
        </row>
        <row r="53">
          <cell r="D53">
            <v>4685</v>
          </cell>
          <cell r="E53">
            <v>1672500</v>
          </cell>
          <cell r="F53">
            <v>9637000</v>
          </cell>
        </row>
        <row r="54">
          <cell r="D54">
            <v>9116</v>
          </cell>
          <cell r="E54">
            <v>2671300</v>
          </cell>
          <cell r="F54">
            <v>18168500</v>
          </cell>
        </row>
        <row r="55">
          <cell r="D55">
            <v>16204</v>
          </cell>
          <cell r="E55">
            <v>3877500</v>
          </cell>
          <cell r="F55">
            <v>31424300</v>
          </cell>
        </row>
        <row r="56">
          <cell r="D56">
            <v>26003</v>
          </cell>
          <cell r="E56">
            <v>9440650</v>
          </cell>
          <cell r="F56">
            <v>53645750</v>
          </cell>
        </row>
        <row r="57">
          <cell r="D57">
            <v>10922</v>
          </cell>
          <cell r="E57">
            <v>4608700</v>
          </cell>
          <cell r="F57">
            <v>23176100</v>
          </cell>
        </row>
        <row r="58">
          <cell r="D58">
            <v>41918</v>
          </cell>
          <cell r="E58">
            <v>15361750</v>
          </cell>
          <cell r="F58">
            <v>86622350</v>
          </cell>
        </row>
        <row r="59">
          <cell r="D59">
            <v>7649</v>
          </cell>
          <cell r="E59">
            <v>2735350</v>
          </cell>
          <cell r="F59">
            <v>15738650</v>
          </cell>
        </row>
        <row r="60">
          <cell r="D60">
            <v>8757</v>
          </cell>
          <cell r="E60">
            <v>2730400</v>
          </cell>
          <cell r="F60">
            <v>17617300</v>
          </cell>
        </row>
        <row r="61">
          <cell r="D61">
            <v>1711</v>
          </cell>
          <cell r="E61">
            <v>1003600</v>
          </cell>
          <cell r="F61">
            <v>3912300</v>
          </cell>
        </row>
        <row r="62">
          <cell r="D62">
            <v>1303</v>
          </cell>
          <cell r="E62">
            <v>503400</v>
          </cell>
          <cell r="F62">
            <v>2718500</v>
          </cell>
        </row>
        <row r="63">
          <cell r="D63">
            <v>2415</v>
          </cell>
          <cell r="E63">
            <v>527800</v>
          </cell>
          <cell r="F63">
            <v>4633300</v>
          </cell>
        </row>
        <row r="64">
          <cell r="D64">
            <v>3272</v>
          </cell>
          <cell r="E64">
            <v>746700</v>
          </cell>
          <cell r="F64">
            <v>6309100</v>
          </cell>
        </row>
        <row r="65">
          <cell r="D65">
            <v>3597</v>
          </cell>
          <cell r="E65">
            <v>1140800</v>
          </cell>
          <cell r="F65">
            <v>7255700</v>
          </cell>
        </row>
        <row r="66">
          <cell r="D66">
            <v>3781</v>
          </cell>
          <cell r="E66">
            <v>1252800</v>
          </cell>
          <cell r="F66">
            <v>7680500</v>
          </cell>
        </row>
        <row r="67">
          <cell r="D67">
            <v>2431</v>
          </cell>
          <cell r="E67">
            <v>852700</v>
          </cell>
          <cell r="F67">
            <v>4985400</v>
          </cell>
        </row>
        <row r="68">
          <cell r="D68">
            <v>6298</v>
          </cell>
          <cell r="E68">
            <v>2367150</v>
          </cell>
          <cell r="F68">
            <v>13073750</v>
          </cell>
        </row>
        <row r="69">
          <cell r="D69">
            <v>5697</v>
          </cell>
          <cell r="E69">
            <v>1732300</v>
          </cell>
          <cell r="F69">
            <v>11417200</v>
          </cell>
        </row>
        <row r="70">
          <cell r="D70">
            <v>4193</v>
          </cell>
          <cell r="E70">
            <v>1526600</v>
          </cell>
          <cell r="F70">
            <v>8654700</v>
          </cell>
        </row>
        <row r="71">
          <cell r="D71">
            <v>3472</v>
          </cell>
          <cell r="E71">
            <v>1891150</v>
          </cell>
          <cell r="F71">
            <v>7793550</v>
          </cell>
        </row>
        <row r="72">
          <cell r="D72">
            <v>3609</v>
          </cell>
          <cell r="E72">
            <v>1733500</v>
          </cell>
          <cell r="F72">
            <v>7868800</v>
          </cell>
        </row>
        <row r="73">
          <cell r="D73">
            <v>1175</v>
          </cell>
          <cell r="E73">
            <v>717500</v>
          </cell>
          <cell r="F73">
            <v>2715000</v>
          </cell>
        </row>
        <row r="74">
          <cell r="D74">
            <v>0</v>
          </cell>
          <cell r="E74">
            <v>1286000</v>
          </cell>
          <cell r="F74">
            <v>1286000</v>
          </cell>
          <cell r="M74">
            <v>513240.35200000001</v>
          </cell>
        </row>
        <row r="75">
          <cell r="D75">
            <v>0</v>
          </cell>
          <cell r="E75">
            <v>876000</v>
          </cell>
          <cell r="F75">
            <v>876000</v>
          </cell>
        </row>
        <row r="76">
          <cell r="D76">
            <v>0</v>
          </cell>
          <cell r="E76">
            <v>1012000</v>
          </cell>
          <cell r="F76">
            <v>1012000</v>
          </cell>
        </row>
        <row r="77">
          <cell r="D77">
            <v>0</v>
          </cell>
          <cell r="E77">
            <v>1000000</v>
          </cell>
          <cell r="F77">
            <v>1000000</v>
          </cell>
        </row>
        <row r="78">
          <cell r="D78">
            <v>0</v>
          </cell>
          <cell r="E78">
            <v>671000</v>
          </cell>
          <cell r="F78">
            <v>671000</v>
          </cell>
        </row>
        <row r="79">
          <cell r="D79">
            <v>0</v>
          </cell>
          <cell r="E79">
            <v>388000</v>
          </cell>
          <cell r="F79">
            <v>388000</v>
          </cell>
        </row>
        <row r="80">
          <cell r="D80">
            <v>0</v>
          </cell>
          <cell r="E80">
            <v>1337000</v>
          </cell>
          <cell r="F80">
            <v>1337000</v>
          </cell>
        </row>
        <row r="81">
          <cell r="D81">
            <v>0</v>
          </cell>
          <cell r="E81">
            <v>1285000</v>
          </cell>
          <cell r="F81">
            <v>1285000</v>
          </cell>
        </row>
        <row r="82">
          <cell r="D82">
            <v>0</v>
          </cell>
          <cell r="E82">
            <v>1422000</v>
          </cell>
          <cell r="F82">
            <v>1422000</v>
          </cell>
        </row>
        <row r="83">
          <cell r="D83">
            <v>0</v>
          </cell>
          <cell r="E83">
            <v>683000</v>
          </cell>
          <cell r="F83">
            <v>683000</v>
          </cell>
        </row>
        <row r="84">
          <cell r="D84">
            <v>0</v>
          </cell>
          <cell r="E84">
            <v>700000</v>
          </cell>
          <cell r="F84">
            <v>700000</v>
          </cell>
        </row>
        <row r="85">
          <cell r="D85">
            <v>0</v>
          </cell>
          <cell r="E85">
            <v>1227000</v>
          </cell>
          <cell r="F85">
            <v>1227000</v>
          </cell>
        </row>
        <row r="86">
          <cell r="D86">
            <v>0</v>
          </cell>
          <cell r="E86">
            <v>4000</v>
          </cell>
          <cell r="F86">
            <v>4000</v>
          </cell>
        </row>
        <row r="87">
          <cell r="D87">
            <v>0</v>
          </cell>
          <cell r="E87">
            <v>9000</v>
          </cell>
          <cell r="F87">
            <v>9000</v>
          </cell>
        </row>
        <row r="88">
          <cell r="D88">
            <v>0</v>
          </cell>
          <cell r="E88">
            <v>100000</v>
          </cell>
          <cell r="F88">
            <v>100000</v>
          </cell>
        </row>
        <row r="89">
          <cell r="D89">
            <v>0</v>
          </cell>
          <cell r="E89">
            <v>20000</v>
          </cell>
          <cell r="F89">
            <v>20000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118000</v>
          </cell>
          <cell r="F91">
            <v>118000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324</v>
          </cell>
          <cell r="E93">
            <v>1653300</v>
          </cell>
          <cell r="F93">
            <v>2204100</v>
          </cell>
        </row>
        <row r="94">
          <cell r="D94">
            <v>549</v>
          </cell>
          <cell r="E94">
            <v>2411000</v>
          </cell>
          <cell r="F94">
            <v>3344300</v>
          </cell>
        </row>
        <row r="95">
          <cell r="D95">
            <v>518</v>
          </cell>
          <cell r="E95">
            <v>1695400</v>
          </cell>
          <cell r="F95">
            <v>2576000</v>
          </cell>
        </row>
        <row r="96">
          <cell r="D96">
            <v>251</v>
          </cell>
          <cell r="E96">
            <v>4374750</v>
          </cell>
          <cell r="F96">
            <v>4801450</v>
          </cell>
        </row>
        <row r="97">
          <cell r="D97">
            <v>350</v>
          </cell>
          <cell r="E97">
            <v>1833800</v>
          </cell>
          <cell r="F97">
            <v>2428800</v>
          </cell>
        </row>
        <row r="98">
          <cell r="D98">
            <v>768</v>
          </cell>
          <cell r="E98">
            <v>2274500</v>
          </cell>
          <cell r="F98">
            <v>3580100</v>
          </cell>
        </row>
        <row r="100">
          <cell r="E100">
            <v>65000</v>
          </cell>
          <cell r="F100">
            <v>65000</v>
          </cell>
        </row>
      </sheetData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5115</v>
          </cell>
          <cell r="E11">
            <v>1863800</v>
          </cell>
          <cell r="F11">
            <v>10559300</v>
          </cell>
        </row>
        <row r="12">
          <cell r="D12">
            <v>1750</v>
          </cell>
          <cell r="E12">
            <v>891600</v>
          </cell>
          <cell r="F12">
            <v>3866600</v>
          </cell>
        </row>
        <row r="13">
          <cell r="D13">
            <v>996</v>
          </cell>
          <cell r="E13">
            <v>538200</v>
          </cell>
          <cell r="F13">
            <v>2231400</v>
          </cell>
        </row>
        <row r="14">
          <cell r="D14">
            <v>36482</v>
          </cell>
          <cell r="E14">
            <v>10979600</v>
          </cell>
          <cell r="F14">
            <v>72999000</v>
          </cell>
        </row>
        <row r="15">
          <cell r="D15">
            <v>19696</v>
          </cell>
          <cell r="E15">
            <v>4349850</v>
          </cell>
          <cell r="F15">
            <v>37833050</v>
          </cell>
        </row>
        <row r="16">
          <cell r="D16">
            <v>4708</v>
          </cell>
          <cell r="E16">
            <v>878100</v>
          </cell>
          <cell r="F16">
            <v>8881700</v>
          </cell>
        </row>
        <row r="17">
          <cell r="D17">
            <v>3776</v>
          </cell>
          <cell r="E17">
            <v>684300</v>
          </cell>
          <cell r="F17">
            <v>7103500</v>
          </cell>
        </row>
        <row r="18">
          <cell r="D18">
            <v>7596</v>
          </cell>
          <cell r="E18">
            <v>2086900</v>
          </cell>
          <cell r="F18">
            <v>15000100</v>
          </cell>
        </row>
        <row r="19">
          <cell r="D19">
            <v>4195</v>
          </cell>
          <cell r="E19">
            <v>927100</v>
          </cell>
          <cell r="F19">
            <v>8058600</v>
          </cell>
        </row>
        <row r="20">
          <cell r="D20">
            <v>2367</v>
          </cell>
          <cell r="E20">
            <v>991300</v>
          </cell>
          <cell r="F20">
            <v>5015200</v>
          </cell>
        </row>
        <row r="21">
          <cell r="D21">
            <v>9584</v>
          </cell>
          <cell r="E21">
            <v>3878600</v>
          </cell>
          <cell r="F21">
            <v>20171400</v>
          </cell>
        </row>
        <row r="22">
          <cell r="D22">
            <v>2841</v>
          </cell>
          <cell r="E22">
            <v>655600</v>
          </cell>
          <cell r="F22">
            <v>5485300</v>
          </cell>
        </row>
        <row r="23">
          <cell r="D23">
            <v>4050</v>
          </cell>
          <cell r="E23">
            <v>950650</v>
          </cell>
          <cell r="F23">
            <v>7835650</v>
          </cell>
        </row>
        <row r="24">
          <cell r="D24">
            <v>6665</v>
          </cell>
          <cell r="E24">
            <v>1375950</v>
          </cell>
          <cell r="F24">
            <v>12706450</v>
          </cell>
        </row>
        <row r="25">
          <cell r="D25">
            <v>6506</v>
          </cell>
          <cell r="E25">
            <v>1662700</v>
          </cell>
          <cell r="F25">
            <v>12722900</v>
          </cell>
        </row>
        <row r="26">
          <cell r="D26">
            <v>6117</v>
          </cell>
          <cell r="E26">
            <v>1771200</v>
          </cell>
          <cell r="F26">
            <v>12170100</v>
          </cell>
        </row>
        <row r="27">
          <cell r="D27">
            <v>1555</v>
          </cell>
          <cell r="E27">
            <v>677050</v>
          </cell>
          <cell r="F27">
            <v>3320550</v>
          </cell>
        </row>
        <row r="28">
          <cell r="D28">
            <v>3973</v>
          </cell>
          <cell r="E28">
            <v>1047250</v>
          </cell>
          <cell r="F28">
            <v>7801350</v>
          </cell>
        </row>
        <row r="29">
          <cell r="D29">
            <v>5161</v>
          </cell>
          <cell r="E29">
            <v>1452800</v>
          </cell>
          <cell r="F29">
            <v>10226500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5505</v>
          </cell>
          <cell r="E31">
            <v>1806300</v>
          </cell>
          <cell r="F31">
            <v>11164800</v>
          </cell>
        </row>
        <row r="32">
          <cell r="D32">
            <v>3014</v>
          </cell>
          <cell r="E32">
            <v>879850</v>
          </cell>
          <cell r="F32">
            <v>6003650</v>
          </cell>
        </row>
        <row r="33">
          <cell r="D33">
            <v>6401</v>
          </cell>
          <cell r="E33">
            <v>1699100</v>
          </cell>
          <cell r="F33">
            <v>12580800</v>
          </cell>
        </row>
        <row r="34">
          <cell r="D34">
            <v>2375</v>
          </cell>
          <cell r="E34">
            <v>1265000</v>
          </cell>
          <cell r="F34">
            <v>5302500</v>
          </cell>
        </row>
        <row r="35">
          <cell r="D35">
            <v>8584</v>
          </cell>
          <cell r="E35">
            <v>3121750</v>
          </cell>
          <cell r="F35">
            <v>17714550</v>
          </cell>
        </row>
        <row r="36">
          <cell r="D36">
            <v>4266</v>
          </cell>
          <cell r="E36">
            <v>1215250</v>
          </cell>
          <cell r="F36">
            <v>8467450</v>
          </cell>
        </row>
        <row r="37">
          <cell r="D37">
            <v>6361</v>
          </cell>
          <cell r="E37">
            <v>2522800</v>
          </cell>
          <cell r="F37">
            <v>13336500</v>
          </cell>
        </row>
        <row r="38">
          <cell r="D38">
            <v>1941</v>
          </cell>
          <cell r="E38">
            <v>703300</v>
          </cell>
          <cell r="F38">
            <v>4003000</v>
          </cell>
        </row>
        <row r="39">
          <cell r="D39">
            <v>4734</v>
          </cell>
          <cell r="E39">
            <v>1404150</v>
          </cell>
          <cell r="F39">
            <v>9451950</v>
          </cell>
        </row>
        <row r="40">
          <cell r="D40">
            <v>7029</v>
          </cell>
          <cell r="E40">
            <v>1846200</v>
          </cell>
          <cell r="F40">
            <v>13795500</v>
          </cell>
        </row>
        <row r="41">
          <cell r="D41">
            <v>2270</v>
          </cell>
          <cell r="E41">
            <v>859950</v>
          </cell>
          <cell r="F41">
            <v>4718950</v>
          </cell>
        </row>
        <row r="42">
          <cell r="D42">
            <v>1814</v>
          </cell>
          <cell r="E42">
            <v>505850</v>
          </cell>
          <cell r="F42">
            <v>3589650</v>
          </cell>
        </row>
        <row r="43">
          <cell r="D43">
            <v>5144</v>
          </cell>
          <cell r="E43">
            <v>1065500</v>
          </cell>
          <cell r="F43">
            <v>9810300</v>
          </cell>
        </row>
        <row r="44">
          <cell r="D44">
            <v>4939</v>
          </cell>
          <cell r="E44">
            <v>1235500</v>
          </cell>
          <cell r="F44">
            <v>9631800</v>
          </cell>
        </row>
        <row r="45">
          <cell r="D45">
            <v>5457</v>
          </cell>
          <cell r="E45">
            <v>1341400</v>
          </cell>
          <cell r="F45">
            <v>10618300</v>
          </cell>
        </row>
        <row r="46">
          <cell r="D46">
            <v>2847</v>
          </cell>
          <cell r="E46">
            <v>873000</v>
          </cell>
          <cell r="F46">
            <v>5712900</v>
          </cell>
        </row>
        <row r="47">
          <cell r="D47">
            <v>3700</v>
          </cell>
          <cell r="E47">
            <v>1650400</v>
          </cell>
          <cell r="F47">
            <v>7940400</v>
          </cell>
        </row>
        <row r="48">
          <cell r="D48">
            <v>3691</v>
          </cell>
          <cell r="E48">
            <v>1264600</v>
          </cell>
          <cell r="F48">
            <v>7539300</v>
          </cell>
        </row>
        <row r="49">
          <cell r="D49">
            <v>2029</v>
          </cell>
          <cell r="E49">
            <v>678600</v>
          </cell>
          <cell r="F49">
            <v>4127900</v>
          </cell>
        </row>
        <row r="50">
          <cell r="D50">
            <v>4056</v>
          </cell>
          <cell r="E50">
            <v>1703650</v>
          </cell>
          <cell r="F50">
            <v>8598850</v>
          </cell>
        </row>
        <row r="51">
          <cell r="D51">
            <v>4954</v>
          </cell>
          <cell r="E51">
            <v>1872600</v>
          </cell>
          <cell r="F51">
            <v>10294400</v>
          </cell>
        </row>
        <row r="52">
          <cell r="D52">
            <v>2002</v>
          </cell>
          <cell r="E52">
            <v>854400</v>
          </cell>
          <cell r="F52">
            <v>4257800</v>
          </cell>
        </row>
        <row r="53">
          <cell r="D53">
            <v>4182</v>
          </cell>
          <cell r="E53">
            <v>984400</v>
          </cell>
          <cell r="F53">
            <v>8093800</v>
          </cell>
        </row>
        <row r="54">
          <cell r="D54">
            <v>8468</v>
          </cell>
          <cell r="E54">
            <v>2446100</v>
          </cell>
          <cell r="F54">
            <v>16841700</v>
          </cell>
        </row>
        <row r="55">
          <cell r="D55">
            <v>15287</v>
          </cell>
          <cell r="E55">
            <v>3374950</v>
          </cell>
          <cell r="F55">
            <v>29362850</v>
          </cell>
        </row>
        <row r="56">
          <cell r="D56">
            <v>24708</v>
          </cell>
          <cell r="E56">
            <v>6860450</v>
          </cell>
          <cell r="F56">
            <v>48864050</v>
          </cell>
        </row>
        <row r="57">
          <cell r="D57">
            <v>10321</v>
          </cell>
          <cell r="E57">
            <v>4193000</v>
          </cell>
          <cell r="F57">
            <v>21738700</v>
          </cell>
        </row>
        <row r="58">
          <cell r="D58">
            <v>40406</v>
          </cell>
          <cell r="E58">
            <v>11347250</v>
          </cell>
          <cell r="F58">
            <v>80037450</v>
          </cell>
        </row>
        <row r="59">
          <cell r="D59">
            <v>6953</v>
          </cell>
          <cell r="E59">
            <v>2102800</v>
          </cell>
          <cell r="F59">
            <v>13922900</v>
          </cell>
        </row>
        <row r="60">
          <cell r="D60">
            <v>7970</v>
          </cell>
          <cell r="E60">
            <v>2106900</v>
          </cell>
          <cell r="F60">
            <v>15655900</v>
          </cell>
        </row>
        <row r="61">
          <cell r="D61">
            <v>1768</v>
          </cell>
          <cell r="E61">
            <v>589700</v>
          </cell>
          <cell r="F61">
            <v>3595300</v>
          </cell>
        </row>
        <row r="62">
          <cell r="D62">
            <v>1241</v>
          </cell>
          <cell r="E62">
            <v>298700</v>
          </cell>
          <cell r="F62">
            <v>2408400</v>
          </cell>
        </row>
        <row r="63">
          <cell r="D63">
            <v>2247</v>
          </cell>
          <cell r="E63">
            <v>364500</v>
          </cell>
          <cell r="F63">
            <v>4184400</v>
          </cell>
        </row>
        <row r="64">
          <cell r="D64">
            <v>2967</v>
          </cell>
          <cell r="E64">
            <v>584000</v>
          </cell>
          <cell r="F64">
            <v>5627900</v>
          </cell>
        </row>
        <row r="65">
          <cell r="D65">
            <v>3483</v>
          </cell>
          <cell r="E65">
            <v>860600</v>
          </cell>
          <cell r="F65">
            <v>6781700</v>
          </cell>
        </row>
        <row r="66">
          <cell r="D66">
            <v>3771</v>
          </cell>
          <cell r="E66">
            <v>1257600</v>
          </cell>
          <cell r="F66">
            <v>7668300</v>
          </cell>
        </row>
        <row r="67">
          <cell r="D67">
            <v>2247</v>
          </cell>
          <cell r="E67">
            <v>659200</v>
          </cell>
          <cell r="F67">
            <v>4479100</v>
          </cell>
        </row>
        <row r="68">
          <cell r="D68">
            <v>5861</v>
          </cell>
          <cell r="E68">
            <v>2098500</v>
          </cell>
          <cell r="F68">
            <v>12062200</v>
          </cell>
        </row>
        <row r="69">
          <cell r="D69">
            <v>5399</v>
          </cell>
          <cell r="E69">
            <v>1645000</v>
          </cell>
          <cell r="F69">
            <v>10823300</v>
          </cell>
        </row>
        <row r="70">
          <cell r="D70">
            <v>3953</v>
          </cell>
          <cell r="E70">
            <v>1128150</v>
          </cell>
          <cell r="F70">
            <v>7848250</v>
          </cell>
        </row>
        <row r="71">
          <cell r="D71">
            <v>3341</v>
          </cell>
          <cell r="E71">
            <v>1190800</v>
          </cell>
          <cell r="F71">
            <v>6870500</v>
          </cell>
        </row>
        <row r="72">
          <cell r="D72">
            <v>3430</v>
          </cell>
          <cell r="E72">
            <v>1177700</v>
          </cell>
          <cell r="F72">
            <v>7008700</v>
          </cell>
        </row>
        <row r="73">
          <cell r="D73">
            <v>1108</v>
          </cell>
          <cell r="E73">
            <v>388250</v>
          </cell>
          <cell r="F73">
            <v>2271850</v>
          </cell>
        </row>
        <row r="74">
          <cell r="D74">
            <v>0</v>
          </cell>
          <cell r="E74">
            <v>344000</v>
          </cell>
          <cell r="F74">
            <v>344000</v>
          </cell>
          <cell r="M74">
            <v>467249.70500000002</v>
          </cell>
        </row>
        <row r="75">
          <cell r="D75">
            <v>0</v>
          </cell>
          <cell r="E75">
            <v>732000</v>
          </cell>
          <cell r="F75">
            <v>732000</v>
          </cell>
        </row>
        <row r="76">
          <cell r="D76">
            <v>0</v>
          </cell>
          <cell r="E76">
            <v>875000</v>
          </cell>
          <cell r="F76">
            <v>875000</v>
          </cell>
        </row>
        <row r="77">
          <cell r="D77">
            <v>0</v>
          </cell>
          <cell r="E77">
            <v>976000</v>
          </cell>
          <cell r="F77">
            <v>976000</v>
          </cell>
        </row>
        <row r="78">
          <cell r="D78">
            <v>0</v>
          </cell>
          <cell r="E78">
            <v>491000</v>
          </cell>
          <cell r="F78">
            <v>491000</v>
          </cell>
        </row>
        <row r="79">
          <cell r="D79">
            <v>0</v>
          </cell>
          <cell r="E79">
            <v>1152000</v>
          </cell>
          <cell r="F79">
            <v>1152000</v>
          </cell>
        </row>
        <row r="80">
          <cell r="D80">
            <v>0</v>
          </cell>
          <cell r="E80">
            <v>1129000</v>
          </cell>
          <cell r="F80">
            <v>1129000</v>
          </cell>
        </row>
        <row r="81">
          <cell r="D81">
            <v>0</v>
          </cell>
          <cell r="E81">
            <v>1005000</v>
          </cell>
          <cell r="F81">
            <v>1005000</v>
          </cell>
        </row>
        <row r="82">
          <cell r="D82">
            <v>0</v>
          </cell>
          <cell r="E82">
            <v>1333000</v>
          </cell>
          <cell r="F82">
            <v>1333000</v>
          </cell>
        </row>
        <row r="83">
          <cell r="D83">
            <v>0</v>
          </cell>
          <cell r="E83">
            <v>761000</v>
          </cell>
          <cell r="F83">
            <v>761000</v>
          </cell>
        </row>
        <row r="84">
          <cell r="D84">
            <v>0</v>
          </cell>
          <cell r="E84">
            <v>633000</v>
          </cell>
          <cell r="F84">
            <v>633000</v>
          </cell>
        </row>
        <row r="85">
          <cell r="D85">
            <v>0</v>
          </cell>
          <cell r="E85">
            <v>1243000</v>
          </cell>
          <cell r="F85">
            <v>1243000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12000</v>
          </cell>
          <cell r="F87">
            <v>12000</v>
          </cell>
        </row>
        <row r="88">
          <cell r="D88">
            <v>0</v>
          </cell>
          <cell r="E88">
            <v>101000</v>
          </cell>
          <cell r="F88">
            <v>101000</v>
          </cell>
        </row>
        <row r="89">
          <cell r="D89">
            <v>0</v>
          </cell>
          <cell r="E89">
            <v>1000</v>
          </cell>
          <cell r="F89">
            <v>1000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55000</v>
          </cell>
          <cell r="F91">
            <v>55000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718</v>
          </cell>
          <cell r="E93">
            <v>376900</v>
          </cell>
          <cell r="F93">
            <v>1597500</v>
          </cell>
        </row>
        <row r="94">
          <cell r="D94">
            <v>371</v>
          </cell>
          <cell r="E94">
            <v>1515700</v>
          </cell>
          <cell r="F94">
            <v>2146400</v>
          </cell>
        </row>
        <row r="95">
          <cell r="D95">
            <v>487</v>
          </cell>
          <cell r="E95">
            <v>1488200</v>
          </cell>
          <cell r="F95">
            <v>2316100</v>
          </cell>
        </row>
        <row r="96">
          <cell r="D96">
            <v>256</v>
          </cell>
          <cell r="E96">
            <v>3040000</v>
          </cell>
          <cell r="F96">
            <v>3475200</v>
          </cell>
        </row>
        <row r="97">
          <cell r="D97">
            <v>344</v>
          </cell>
          <cell r="E97">
            <v>1594650</v>
          </cell>
          <cell r="F97">
            <v>2179450</v>
          </cell>
        </row>
        <row r="98">
          <cell r="D98">
            <v>474</v>
          </cell>
          <cell r="E98">
            <v>2113900</v>
          </cell>
          <cell r="F98">
            <v>2919700</v>
          </cell>
        </row>
        <row r="100">
          <cell r="E100">
            <v>50000</v>
          </cell>
          <cell r="F100">
            <v>50000</v>
          </cell>
        </row>
      </sheetData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4155</v>
          </cell>
          <cell r="E11">
            <v>1274600</v>
          </cell>
          <cell r="F11">
            <v>8338100</v>
          </cell>
        </row>
        <row r="12">
          <cell r="D12">
            <v>1593</v>
          </cell>
          <cell r="E12">
            <v>594100</v>
          </cell>
          <cell r="F12">
            <v>3302200</v>
          </cell>
        </row>
        <row r="13">
          <cell r="D13">
            <v>463</v>
          </cell>
          <cell r="E13">
            <v>211800</v>
          </cell>
          <cell r="F13">
            <v>998900</v>
          </cell>
        </row>
        <row r="14">
          <cell r="D14">
            <v>28500</v>
          </cell>
          <cell r="E14">
            <v>6829000</v>
          </cell>
          <cell r="F14">
            <v>55279000</v>
          </cell>
        </row>
        <row r="15">
          <cell r="D15">
            <v>16629</v>
          </cell>
          <cell r="E15">
            <v>2130100</v>
          </cell>
          <cell r="F15">
            <v>30399400</v>
          </cell>
        </row>
        <row r="16">
          <cell r="D16">
            <v>3853</v>
          </cell>
          <cell r="E16">
            <v>711600</v>
          </cell>
          <cell r="F16">
            <v>7261700</v>
          </cell>
        </row>
        <row r="17">
          <cell r="D17">
            <v>3171</v>
          </cell>
          <cell r="E17">
            <v>877000</v>
          </cell>
          <cell r="F17">
            <v>6267700</v>
          </cell>
        </row>
        <row r="18">
          <cell r="D18">
            <v>6053</v>
          </cell>
          <cell r="E18">
            <v>1300800</v>
          </cell>
          <cell r="F18">
            <v>11590900</v>
          </cell>
        </row>
        <row r="19">
          <cell r="D19">
            <v>3313</v>
          </cell>
          <cell r="E19">
            <v>595800</v>
          </cell>
          <cell r="F19">
            <v>6227900</v>
          </cell>
        </row>
        <row r="20">
          <cell r="D20">
            <v>1810</v>
          </cell>
          <cell r="E20">
            <v>514500</v>
          </cell>
          <cell r="F20">
            <v>3591500</v>
          </cell>
        </row>
        <row r="21">
          <cell r="D21">
            <v>6550</v>
          </cell>
          <cell r="E21">
            <v>2012800</v>
          </cell>
          <cell r="F21">
            <v>13147800</v>
          </cell>
        </row>
        <row r="22">
          <cell r="D22">
            <v>1722</v>
          </cell>
          <cell r="E22">
            <v>489100</v>
          </cell>
          <cell r="F22">
            <v>3416500</v>
          </cell>
        </row>
        <row r="23">
          <cell r="D23">
            <v>2993</v>
          </cell>
          <cell r="E23">
            <v>601300</v>
          </cell>
          <cell r="F23">
            <v>5689400</v>
          </cell>
        </row>
        <row r="24">
          <cell r="D24">
            <v>5016</v>
          </cell>
          <cell r="E24">
            <v>860650</v>
          </cell>
          <cell r="F24">
            <v>9387850</v>
          </cell>
        </row>
        <row r="25">
          <cell r="D25">
            <v>4304</v>
          </cell>
          <cell r="E25">
            <v>1158900</v>
          </cell>
          <cell r="F25">
            <v>8475700</v>
          </cell>
        </row>
        <row r="26">
          <cell r="D26">
            <v>4494</v>
          </cell>
          <cell r="E26">
            <v>1235900</v>
          </cell>
          <cell r="F26">
            <v>8875700</v>
          </cell>
        </row>
        <row r="27">
          <cell r="D27">
            <v>1059</v>
          </cell>
          <cell r="E27">
            <v>321100</v>
          </cell>
          <cell r="F27">
            <v>2121400</v>
          </cell>
        </row>
        <row r="28">
          <cell r="D28">
            <v>2820</v>
          </cell>
          <cell r="E28">
            <v>1166350</v>
          </cell>
          <cell r="F28">
            <v>5960350</v>
          </cell>
        </row>
        <row r="29">
          <cell r="D29">
            <v>4506</v>
          </cell>
          <cell r="E29">
            <v>1416200</v>
          </cell>
          <cell r="F29">
            <v>9076400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4127</v>
          </cell>
          <cell r="E31">
            <v>1214800</v>
          </cell>
          <cell r="F31">
            <v>8230700</v>
          </cell>
        </row>
        <row r="32">
          <cell r="D32">
            <v>2972</v>
          </cell>
          <cell r="E32">
            <v>689400</v>
          </cell>
          <cell r="F32">
            <v>5741800</v>
          </cell>
        </row>
        <row r="33">
          <cell r="D33">
            <v>6101</v>
          </cell>
          <cell r="E33">
            <v>1742900</v>
          </cell>
          <cell r="F33">
            <v>12114600</v>
          </cell>
        </row>
        <row r="34">
          <cell r="D34">
            <v>1711</v>
          </cell>
          <cell r="E34">
            <v>548900</v>
          </cell>
          <cell r="F34">
            <v>3457600</v>
          </cell>
        </row>
        <row r="35">
          <cell r="D35">
            <v>4286</v>
          </cell>
          <cell r="E35">
            <v>1397300</v>
          </cell>
          <cell r="F35">
            <v>8683500</v>
          </cell>
        </row>
        <row r="36">
          <cell r="D36">
            <v>3146</v>
          </cell>
          <cell r="E36">
            <v>796200</v>
          </cell>
          <cell r="F36">
            <v>6144400</v>
          </cell>
        </row>
        <row r="37">
          <cell r="D37">
            <v>4211</v>
          </cell>
          <cell r="E37">
            <v>922250</v>
          </cell>
          <cell r="F37">
            <v>8080950</v>
          </cell>
        </row>
        <row r="38">
          <cell r="D38">
            <v>1475</v>
          </cell>
          <cell r="E38">
            <v>301000</v>
          </cell>
          <cell r="F38">
            <v>2808500</v>
          </cell>
        </row>
        <row r="39">
          <cell r="D39">
            <v>2325</v>
          </cell>
          <cell r="E39">
            <v>836850</v>
          </cell>
          <cell r="F39">
            <v>4789350</v>
          </cell>
        </row>
        <row r="40">
          <cell r="D40">
            <v>5283</v>
          </cell>
          <cell r="E40">
            <v>1799700</v>
          </cell>
          <cell r="F40">
            <v>10780800</v>
          </cell>
        </row>
        <row r="41">
          <cell r="D41">
            <v>1527</v>
          </cell>
          <cell r="E41">
            <v>627900</v>
          </cell>
          <cell r="F41">
            <v>3223800</v>
          </cell>
        </row>
        <row r="42">
          <cell r="D42">
            <v>1445</v>
          </cell>
          <cell r="E42">
            <v>348300</v>
          </cell>
          <cell r="F42">
            <v>2804800</v>
          </cell>
        </row>
        <row r="43">
          <cell r="D43">
            <v>4273</v>
          </cell>
          <cell r="E43">
            <v>1131800</v>
          </cell>
          <cell r="F43">
            <v>8395900</v>
          </cell>
        </row>
        <row r="44">
          <cell r="D44">
            <v>4553</v>
          </cell>
          <cell r="E44">
            <v>1119650</v>
          </cell>
          <cell r="F44">
            <v>8859750</v>
          </cell>
        </row>
        <row r="45">
          <cell r="D45">
            <v>4388</v>
          </cell>
          <cell r="E45">
            <v>1133800</v>
          </cell>
          <cell r="F45">
            <v>8593400</v>
          </cell>
        </row>
        <row r="46">
          <cell r="D46">
            <v>2456</v>
          </cell>
          <cell r="E46">
            <v>752200</v>
          </cell>
          <cell r="F46">
            <v>4927400</v>
          </cell>
        </row>
        <row r="47">
          <cell r="D47">
            <v>3921</v>
          </cell>
          <cell r="E47">
            <v>1269650</v>
          </cell>
          <cell r="F47">
            <v>7935350</v>
          </cell>
        </row>
        <row r="48">
          <cell r="D48">
            <v>2460</v>
          </cell>
          <cell r="E48">
            <v>538800</v>
          </cell>
          <cell r="F48">
            <v>4720800</v>
          </cell>
        </row>
        <row r="49">
          <cell r="D49">
            <v>1405</v>
          </cell>
          <cell r="E49">
            <v>286500</v>
          </cell>
          <cell r="F49">
            <v>2675000</v>
          </cell>
        </row>
        <row r="50">
          <cell r="D50">
            <v>3168</v>
          </cell>
          <cell r="E50">
            <v>1081150</v>
          </cell>
          <cell r="F50">
            <v>6466750</v>
          </cell>
        </row>
        <row r="51">
          <cell r="D51">
            <v>4251</v>
          </cell>
          <cell r="E51">
            <v>1378200</v>
          </cell>
          <cell r="F51">
            <v>8604900</v>
          </cell>
        </row>
        <row r="52">
          <cell r="D52">
            <v>1390</v>
          </cell>
          <cell r="E52">
            <v>576900</v>
          </cell>
          <cell r="F52">
            <v>2939900</v>
          </cell>
        </row>
        <row r="53">
          <cell r="D53">
            <v>3460</v>
          </cell>
          <cell r="E53">
            <v>787400</v>
          </cell>
          <cell r="F53">
            <v>6669400</v>
          </cell>
        </row>
        <row r="54">
          <cell r="D54">
            <v>7042</v>
          </cell>
          <cell r="E54">
            <v>1728000</v>
          </cell>
          <cell r="F54">
            <v>13699400</v>
          </cell>
        </row>
        <row r="55">
          <cell r="D55">
            <v>12544</v>
          </cell>
          <cell r="E55">
            <v>2941400</v>
          </cell>
          <cell r="F55">
            <v>24266200</v>
          </cell>
        </row>
        <row r="56">
          <cell r="D56">
            <v>19881</v>
          </cell>
          <cell r="E56">
            <v>4791350</v>
          </cell>
          <cell r="F56">
            <v>38589050</v>
          </cell>
        </row>
        <row r="57">
          <cell r="D57">
            <v>9334</v>
          </cell>
          <cell r="E57">
            <v>3382200</v>
          </cell>
          <cell r="F57">
            <v>19250000</v>
          </cell>
        </row>
        <row r="58">
          <cell r="D58">
            <v>31326</v>
          </cell>
          <cell r="E58">
            <v>7760350</v>
          </cell>
          <cell r="F58">
            <v>61014550</v>
          </cell>
        </row>
        <row r="59">
          <cell r="D59">
            <v>5365</v>
          </cell>
          <cell r="E59">
            <v>1989900</v>
          </cell>
          <cell r="F59">
            <v>11110400</v>
          </cell>
        </row>
        <row r="60">
          <cell r="D60">
            <v>6332</v>
          </cell>
          <cell r="E60">
            <v>1260600</v>
          </cell>
          <cell r="F60">
            <v>12025000</v>
          </cell>
        </row>
        <row r="61">
          <cell r="D61">
            <v>1244</v>
          </cell>
          <cell r="E61">
            <v>355700</v>
          </cell>
          <cell r="F61">
            <v>2470500</v>
          </cell>
        </row>
        <row r="62">
          <cell r="D62">
            <v>836</v>
          </cell>
          <cell r="E62">
            <v>327100</v>
          </cell>
          <cell r="F62">
            <v>1748300</v>
          </cell>
        </row>
        <row r="63">
          <cell r="D63">
            <v>1333</v>
          </cell>
          <cell r="E63">
            <v>589000</v>
          </cell>
          <cell r="F63">
            <v>2855100</v>
          </cell>
        </row>
        <row r="64">
          <cell r="D64">
            <v>2230</v>
          </cell>
          <cell r="E64">
            <v>294900</v>
          </cell>
          <cell r="F64">
            <v>4085900</v>
          </cell>
        </row>
        <row r="65">
          <cell r="D65">
            <v>2512</v>
          </cell>
          <cell r="E65">
            <v>732200</v>
          </cell>
          <cell r="F65">
            <v>5002600</v>
          </cell>
        </row>
        <row r="66">
          <cell r="D66">
            <v>2925</v>
          </cell>
          <cell r="E66">
            <v>880400</v>
          </cell>
          <cell r="F66">
            <v>5852900</v>
          </cell>
        </row>
        <row r="67">
          <cell r="D67">
            <v>1425</v>
          </cell>
          <cell r="E67">
            <v>518700</v>
          </cell>
          <cell r="F67">
            <v>2941200</v>
          </cell>
        </row>
        <row r="68">
          <cell r="D68">
            <v>3664</v>
          </cell>
          <cell r="E68">
            <v>1307200</v>
          </cell>
          <cell r="F68">
            <v>7536000</v>
          </cell>
        </row>
        <row r="69">
          <cell r="D69">
            <v>3148</v>
          </cell>
          <cell r="E69">
            <v>799200</v>
          </cell>
          <cell r="F69">
            <v>6150800</v>
          </cell>
        </row>
        <row r="70">
          <cell r="D70">
            <v>2636</v>
          </cell>
          <cell r="E70">
            <v>667000</v>
          </cell>
          <cell r="F70">
            <v>5148200</v>
          </cell>
        </row>
        <row r="71">
          <cell r="D71">
            <v>2375</v>
          </cell>
          <cell r="E71">
            <v>955400</v>
          </cell>
          <cell r="F71">
            <v>4992900</v>
          </cell>
        </row>
        <row r="72">
          <cell r="D72">
            <v>2244</v>
          </cell>
          <cell r="E72">
            <v>557700</v>
          </cell>
          <cell r="F72">
            <v>4372500</v>
          </cell>
        </row>
        <row r="73">
          <cell r="D73">
            <v>744</v>
          </cell>
          <cell r="E73">
            <v>144400</v>
          </cell>
          <cell r="F73">
            <v>1409200</v>
          </cell>
        </row>
        <row r="74">
          <cell r="D74">
            <v>0</v>
          </cell>
          <cell r="E74">
            <v>1325000</v>
          </cell>
          <cell r="F74">
            <v>1325000</v>
          </cell>
          <cell r="M74">
            <v>352450.47</v>
          </cell>
        </row>
        <row r="75">
          <cell r="D75">
            <v>0</v>
          </cell>
          <cell r="E75">
            <v>455000</v>
          </cell>
          <cell r="F75">
            <v>455000</v>
          </cell>
        </row>
        <row r="76">
          <cell r="D76">
            <v>0</v>
          </cell>
          <cell r="E76">
            <v>585000</v>
          </cell>
          <cell r="F76">
            <v>585000</v>
          </cell>
        </row>
        <row r="77">
          <cell r="D77">
            <v>0</v>
          </cell>
          <cell r="E77">
            <v>687000</v>
          </cell>
          <cell r="F77">
            <v>687000</v>
          </cell>
        </row>
        <row r="78">
          <cell r="D78">
            <v>0</v>
          </cell>
          <cell r="E78">
            <v>344000</v>
          </cell>
          <cell r="F78">
            <v>344000</v>
          </cell>
        </row>
        <row r="79">
          <cell r="D79">
            <v>0</v>
          </cell>
          <cell r="E79">
            <v>798000</v>
          </cell>
          <cell r="F79">
            <v>798000</v>
          </cell>
        </row>
        <row r="80">
          <cell r="D80">
            <v>0</v>
          </cell>
          <cell r="E80">
            <v>725000</v>
          </cell>
          <cell r="F80">
            <v>725000</v>
          </cell>
        </row>
        <row r="81">
          <cell r="D81">
            <v>0</v>
          </cell>
          <cell r="E81">
            <v>915000</v>
          </cell>
          <cell r="F81">
            <v>915000</v>
          </cell>
        </row>
        <row r="82">
          <cell r="D82">
            <v>0</v>
          </cell>
          <cell r="E82">
            <v>559000</v>
          </cell>
          <cell r="F82">
            <v>559000</v>
          </cell>
        </row>
        <row r="83">
          <cell r="D83">
            <v>0</v>
          </cell>
          <cell r="E83">
            <v>575000</v>
          </cell>
          <cell r="F83">
            <v>575000</v>
          </cell>
        </row>
        <row r="84">
          <cell r="D84">
            <v>0</v>
          </cell>
          <cell r="E84">
            <v>598000</v>
          </cell>
          <cell r="F84">
            <v>598000</v>
          </cell>
        </row>
        <row r="85">
          <cell r="D85">
            <v>0</v>
          </cell>
          <cell r="E85">
            <v>481000</v>
          </cell>
          <cell r="F85">
            <v>481000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1000</v>
          </cell>
          <cell r="F88">
            <v>1000</v>
          </cell>
        </row>
        <row r="89">
          <cell r="D89">
            <v>0</v>
          </cell>
          <cell r="E89">
            <v>15000</v>
          </cell>
          <cell r="F89">
            <v>15000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3000</v>
          </cell>
          <cell r="F91">
            <v>3000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557</v>
          </cell>
          <cell r="E93">
            <v>229900</v>
          </cell>
          <cell r="F93">
            <v>1176800</v>
          </cell>
        </row>
        <row r="94">
          <cell r="D94">
            <v>493</v>
          </cell>
          <cell r="E94">
            <v>934800</v>
          </cell>
          <cell r="F94">
            <v>1772900</v>
          </cell>
        </row>
        <row r="95">
          <cell r="D95">
            <v>543</v>
          </cell>
          <cell r="E95">
            <v>1052750</v>
          </cell>
          <cell r="F95">
            <v>1975850</v>
          </cell>
        </row>
        <row r="96">
          <cell r="D96">
            <v>123</v>
          </cell>
          <cell r="E96">
            <v>1494600</v>
          </cell>
          <cell r="F96">
            <v>1703700</v>
          </cell>
        </row>
        <row r="97">
          <cell r="D97">
            <v>372</v>
          </cell>
          <cell r="E97">
            <v>638100</v>
          </cell>
          <cell r="F97">
            <v>1270500</v>
          </cell>
        </row>
        <row r="98">
          <cell r="D98">
            <v>327</v>
          </cell>
          <cell r="E98">
            <v>1032700</v>
          </cell>
          <cell r="F98">
            <v>1588600</v>
          </cell>
        </row>
        <row r="100">
          <cell r="E100">
            <v>33000</v>
          </cell>
          <cell r="F100">
            <v>33000</v>
          </cell>
        </row>
      </sheetData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>
        <row r="11">
          <cell r="D11">
            <v>2587</v>
          </cell>
          <cell r="E11">
            <v>1202900</v>
          </cell>
          <cell r="F11">
            <v>5600800</v>
          </cell>
        </row>
        <row r="12">
          <cell r="D12">
            <v>562</v>
          </cell>
          <cell r="E12">
            <v>223100</v>
          </cell>
          <cell r="F12">
            <v>1178500</v>
          </cell>
        </row>
        <row r="13">
          <cell r="D13">
            <v>101</v>
          </cell>
          <cell r="E13">
            <v>73000</v>
          </cell>
          <cell r="F13">
            <v>244700</v>
          </cell>
        </row>
        <row r="14">
          <cell r="D14">
            <v>14452</v>
          </cell>
          <cell r="E14">
            <v>3470300</v>
          </cell>
          <cell r="F14">
            <v>28038700</v>
          </cell>
        </row>
        <row r="15">
          <cell r="D15">
            <v>6873</v>
          </cell>
          <cell r="E15">
            <v>1268700</v>
          </cell>
          <cell r="F15">
            <v>12952800</v>
          </cell>
        </row>
        <row r="16">
          <cell r="D16">
            <v>1839</v>
          </cell>
          <cell r="E16">
            <v>211000</v>
          </cell>
          <cell r="F16">
            <v>3337300</v>
          </cell>
        </row>
        <row r="17">
          <cell r="D17">
            <v>1635</v>
          </cell>
          <cell r="E17">
            <v>500300</v>
          </cell>
          <cell r="F17">
            <v>3279800</v>
          </cell>
        </row>
        <row r="18">
          <cell r="D18">
            <v>4175</v>
          </cell>
          <cell r="E18">
            <v>1033800</v>
          </cell>
          <cell r="F18">
            <v>8131300</v>
          </cell>
        </row>
        <row r="19">
          <cell r="D19">
            <v>1822</v>
          </cell>
          <cell r="E19">
            <v>361600</v>
          </cell>
          <cell r="F19">
            <v>3459000</v>
          </cell>
        </row>
        <row r="20">
          <cell r="D20">
            <v>706</v>
          </cell>
          <cell r="E20">
            <v>218800</v>
          </cell>
          <cell r="F20">
            <v>1419000</v>
          </cell>
        </row>
        <row r="21">
          <cell r="D21">
            <v>3424</v>
          </cell>
          <cell r="E21">
            <v>1149300</v>
          </cell>
          <cell r="F21">
            <v>6970100</v>
          </cell>
        </row>
        <row r="22">
          <cell r="D22">
            <v>618</v>
          </cell>
          <cell r="E22">
            <v>259500</v>
          </cell>
          <cell r="F22">
            <v>1310100</v>
          </cell>
        </row>
        <row r="23">
          <cell r="D23">
            <v>1359</v>
          </cell>
          <cell r="E23">
            <v>179900</v>
          </cell>
          <cell r="F23">
            <v>2490200</v>
          </cell>
        </row>
        <row r="24">
          <cell r="D24">
            <v>1952</v>
          </cell>
          <cell r="E24">
            <v>324900</v>
          </cell>
          <cell r="F24">
            <v>3643300</v>
          </cell>
        </row>
        <row r="25">
          <cell r="D25">
            <v>1510</v>
          </cell>
          <cell r="E25">
            <v>354400</v>
          </cell>
          <cell r="F25">
            <v>2921400</v>
          </cell>
        </row>
        <row r="26">
          <cell r="D26">
            <v>1851</v>
          </cell>
          <cell r="E26">
            <v>236800</v>
          </cell>
          <cell r="F26">
            <v>3383500</v>
          </cell>
        </row>
        <row r="27">
          <cell r="D27">
            <v>384</v>
          </cell>
          <cell r="E27">
            <v>86400</v>
          </cell>
          <cell r="F27">
            <v>739200</v>
          </cell>
        </row>
        <row r="28">
          <cell r="D28">
            <v>768</v>
          </cell>
          <cell r="E28">
            <v>109600</v>
          </cell>
          <cell r="F28">
            <v>1415200</v>
          </cell>
        </row>
        <row r="29">
          <cell r="D29">
            <v>1765</v>
          </cell>
          <cell r="E29">
            <v>311000</v>
          </cell>
          <cell r="F29">
            <v>3311500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D31">
            <v>1365</v>
          </cell>
          <cell r="E31">
            <v>193900</v>
          </cell>
          <cell r="F31">
            <v>2514400</v>
          </cell>
        </row>
        <row r="32">
          <cell r="D32">
            <v>981</v>
          </cell>
          <cell r="E32">
            <v>271700</v>
          </cell>
          <cell r="F32">
            <v>1939400</v>
          </cell>
        </row>
        <row r="33">
          <cell r="D33">
            <v>2903</v>
          </cell>
          <cell r="E33">
            <v>651350</v>
          </cell>
          <cell r="F33">
            <v>5586450</v>
          </cell>
        </row>
        <row r="34">
          <cell r="D34">
            <v>452</v>
          </cell>
          <cell r="E34">
            <v>124500</v>
          </cell>
          <cell r="F34">
            <v>892900</v>
          </cell>
        </row>
        <row r="35">
          <cell r="D35">
            <v>855</v>
          </cell>
          <cell r="E35">
            <v>191200</v>
          </cell>
          <cell r="F35">
            <v>1644700</v>
          </cell>
        </row>
        <row r="36">
          <cell r="D36">
            <v>1270</v>
          </cell>
          <cell r="E36">
            <v>218100</v>
          </cell>
          <cell r="F36">
            <v>2377100</v>
          </cell>
        </row>
        <row r="37">
          <cell r="D37">
            <v>2543</v>
          </cell>
          <cell r="E37">
            <v>707400</v>
          </cell>
          <cell r="F37">
            <v>5030500</v>
          </cell>
        </row>
        <row r="38">
          <cell r="D38">
            <v>699</v>
          </cell>
          <cell r="E38">
            <v>53500</v>
          </cell>
          <cell r="F38">
            <v>1241800</v>
          </cell>
        </row>
        <row r="39">
          <cell r="D39">
            <v>777</v>
          </cell>
          <cell r="E39">
            <v>112900</v>
          </cell>
          <cell r="F39">
            <v>1433800</v>
          </cell>
        </row>
        <row r="40">
          <cell r="D40">
            <v>1478</v>
          </cell>
          <cell r="E40">
            <v>388700</v>
          </cell>
          <cell r="F40">
            <v>2901300</v>
          </cell>
        </row>
        <row r="41">
          <cell r="D41">
            <v>320</v>
          </cell>
          <cell r="E41">
            <v>58100</v>
          </cell>
          <cell r="F41">
            <v>602100</v>
          </cell>
        </row>
        <row r="42">
          <cell r="D42">
            <v>487</v>
          </cell>
          <cell r="E42">
            <v>73100</v>
          </cell>
          <cell r="F42">
            <v>901000</v>
          </cell>
        </row>
        <row r="43">
          <cell r="D43">
            <v>1790</v>
          </cell>
          <cell r="E43">
            <v>415100</v>
          </cell>
          <cell r="F43">
            <v>3458100</v>
          </cell>
        </row>
        <row r="44">
          <cell r="D44">
            <v>2189</v>
          </cell>
          <cell r="E44">
            <v>640100</v>
          </cell>
          <cell r="F44">
            <v>4361400</v>
          </cell>
        </row>
        <row r="45">
          <cell r="D45">
            <v>1775</v>
          </cell>
          <cell r="E45">
            <v>412100</v>
          </cell>
          <cell r="F45">
            <v>3429600</v>
          </cell>
        </row>
        <row r="46">
          <cell r="D46">
            <v>935</v>
          </cell>
          <cell r="E46">
            <v>201350</v>
          </cell>
          <cell r="F46">
            <v>1790850</v>
          </cell>
        </row>
        <row r="47">
          <cell r="D47">
            <v>2877</v>
          </cell>
          <cell r="E47">
            <v>960900</v>
          </cell>
          <cell r="F47">
            <v>5851800</v>
          </cell>
        </row>
        <row r="48">
          <cell r="D48">
            <v>1184</v>
          </cell>
          <cell r="E48">
            <v>170600</v>
          </cell>
          <cell r="F48">
            <v>2183400</v>
          </cell>
        </row>
        <row r="49">
          <cell r="D49">
            <v>529</v>
          </cell>
          <cell r="E49">
            <v>111500</v>
          </cell>
          <cell r="F49">
            <v>1010800</v>
          </cell>
        </row>
        <row r="50">
          <cell r="D50">
            <v>1466</v>
          </cell>
          <cell r="E50">
            <v>504100</v>
          </cell>
          <cell r="F50">
            <v>2996300</v>
          </cell>
        </row>
        <row r="51">
          <cell r="D51">
            <v>1903</v>
          </cell>
          <cell r="E51">
            <v>477400</v>
          </cell>
          <cell r="F51">
            <v>3712500</v>
          </cell>
        </row>
        <row r="52">
          <cell r="D52">
            <v>507</v>
          </cell>
          <cell r="E52">
            <v>98500</v>
          </cell>
          <cell r="F52">
            <v>960400</v>
          </cell>
        </row>
        <row r="53">
          <cell r="D53">
            <v>1360</v>
          </cell>
          <cell r="E53">
            <v>372700</v>
          </cell>
          <cell r="F53">
            <v>2684700</v>
          </cell>
        </row>
        <row r="54">
          <cell r="D54">
            <v>2650</v>
          </cell>
          <cell r="E54">
            <v>700400</v>
          </cell>
          <cell r="F54">
            <v>5205400</v>
          </cell>
        </row>
        <row r="55">
          <cell r="D55">
            <v>6319</v>
          </cell>
          <cell r="E55">
            <v>1355400</v>
          </cell>
          <cell r="F55">
            <v>12097700</v>
          </cell>
        </row>
        <row r="56">
          <cell r="D56">
            <v>9788</v>
          </cell>
          <cell r="E56">
            <v>2286050</v>
          </cell>
          <cell r="F56">
            <v>18925650</v>
          </cell>
        </row>
        <row r="57">
          <cell r="D57">
            <v>5302</v>
          </cell>
          <cell r="E57">
            <v>2058700</v>
          </cell>
          <cell r="F57">
            <v>11072100</v>
          </cell>
        </row>
        <row r="58">
          <cell r="D58">
            <v>14699</v>
          </cell>
          <cell r="E58">
            <v>3507450</v>
          </cell>
          <cell r="F58">
            <v>28495750</v>
          </cell>
        </row>
        <row r="59">
          <cell r="D59">
            <v>2309</v>
          </cell>
          <cell r="E59">
            <v>727100</v>
          </cell>
          <cell r="F59">
            <v>4652400</v>
          </cell>
        </row>
        <row r="60">
          <cell r="D60">
            <v>2769</v>
          </cell>
          <cell r="E60">
            <v>370600</v>
          </cell>
          <cell r="F60">
            <v>5077900</v>
          </cell>
        </row>
        <row r="61">
          <cell r="D61">
            <v>510</v>
          </cell>
          <cell r="E61">
            <v>185400</v>
          </cell>
          <cell r="F61">
            <v>1052400</v>
          </cell>
        </row>
        <row r="62">
          <cell r="D62">
            <v>282</v>
          </cell>
          <cell r="E62">
            <v>80400</v>
          </cell>
          <cell r="F62">
            <v>559800</v>
          </cell>
        </row>
        <row r="63">
          <cell r="D63">
            <v>422</v>
          </cell>
          <cell r="E63">
            <v>86500</v>
          </cell>
          <cell r="F63">
            <v>803900</v>
          </cell>
        </row>
        <row r="64">
          <cell r="D64">
            <v>867</v>
          </cell>
          <cell r="E64">
            <v>154300</v>
          </cell>
          <cell r="F64">
            <v>1628200</v>
          </cell>
        </row>
        <row r="65">
          <cell r="D65">
            <v>647</v>
          </cell>
          <cell r="E65">
            <v>159700</v>
          </cell>
          <cell r="F65">
            <v>1259600</v>
          </cell>
        </row>
        <row r="66">
          <cell r="D66">
            <v>1046</v>
          </cell>
          <cell r="E66">
            <v>201200</v>
          </cell>
          <cell r="F66">
            <v>1979400</v>
          </cell>
        </row>
        <row r="67">
          <cell r="D67">
            <v>485</v>
          </cell>
          <cell r="E67">
            <v>177100</v>
          </cell>
          <cell r="F67">
            <v>1001600</v>
          </cell>
        </row>
        <row r="68">
          <cell r="D68">
            <v>1375</v>
          </cell>
          <cell r="E68">
            <v>441200</v>
          </cell>
          <cell r="F68">
            <v>2778700</v>
          </cell>
        </row>
        <row r="69">
          <cell r="D69">
            <v>1194</v>
          </cell>
          <cell r="E69">
            <v>412050</v>
          </cell>
          <cell r="F69">
            <v>2441850</v>
          </cell>
        </row>
        <row r="70">
          <cell r="D70">
            <v>1091</v>
          </cell>
          <cell r="E70">
            <v>222400</v>
          </cell>
          <cell r="F70">
            <v>2077100</v>
          </cell>
        </row>
        <row r="71">
          <cell r="D71">
            <v>1515</v>
          </cell>
          <cell r="E71">
            <v>570600</v>
          </cell>
          <cell r="F71">
            <v>3146100</v>
          </cell>
        </row>
        <row r="72">
          <cell r="D72">
            <v>811</v>
          </cell>
          <cell r="E72">
            <v>157100</v>
          </cell>
          <cell r="F72">
            <v>1535800</v>
          </cell>
        </row>
        <row r="73">
          <cell r="D73">
            <v>292</v>
          </cell>
          <cell r="E73">
            <v>120100</v>
          </cell>
          <cell r="F73">
            <v>616500</v>
          </cell>
        </row>
        <row r="74">
          <cell r="D74">
            <v>0</v>
          </cell>
          <cell r="E74">
            <v>43000</v>
          </cell>
          <cell r="F74">
            <v>43000</v>
          </cell>
          <cell r="M74">
            <v>154415.02900000001</v>
          </cell>
        </row>
        <row r="75">
          <cell r="D75">
            <v>0</v>
          </cell>
          <cell r="E75">
            <v>77000</v>
          </cell>
          <cell r="F75">
            <v>77000</v>
          </cell>
        </row>
        <row r="76">
          <cell r="D76">
            <v>0</v>
          </cell>
          <cell r="E76">
            <v>298000</v>
          </cell>
          <cell r="F76">
            <v>298000</v>
          </cell>
        </row>
        <row r="77">
          <cell r="D77">
            <v>0</v>
          </cell>
          <cell r="E77">
            <v>283000</v>
          </cell>
          <cell r="F77">
            <v>283000</v>
          </cell>
        </row>
        <row r="78">
          <cell r="D78">
            <v>0</v>
          </cell>
          <cell r="E78">
            <v>105000</v>
          </cell>
          <cell r="F78">
            <v>105000</v>
          </cell>
        </row>
        <row r="79">
          <cell r="D79">
            <v>0</v>
          </cell>
          <cell r="E79">
            <v>386000</v>
          </cell>
          <cell r="F79">
            <v>386000</v>
          </cell>
        </row>
        <row r="80">
          <cell r="D80">
            <v>0</v>
          </cell>
          <cell r="E80">
            <v>240000</v>
          </cell>
          <cell r="F80">
            <v>240000</v>
          </cell>
        </row>
        <row r="81">
          <cell r="D81">
            <v>0</v>
          </cell>
          <cell r="E81">
            <v>476000</v>
          </cell>
          <cell r="F81">
            <v>476000</v>
          </cell>
        </row>
        <row r="82">
          <cell r="D82">
            <v>0</v>
          </cell>
          <cell r="E82">
            <v>74000</v>
          </cell>
          <cell r="F82">
            <v>74000</v>
          </cell>
        </row>
        <row r="83">
          <cell r="D83">
            <v>0</v>
          </cell>
          <cell r="E83">
            <v>153000</v>
          </cell>
          <cell r="F83">
            <v>153000</v>
          </cell>
        </row>
        <row r="84">
          <cell r="D84">
            <v>0</v>
          </cell>
          <cell r="E84">
            <v>323000</v>
          </cell>
          <cell r="F84">
            <v>323000</v>
          </cell>
        </row>
        <row r="85">
          <cell r="D85">
            <v>0</v>
          </cell>
          <cell r="E85">
            <v>301000</v>
          </cell>
          <cell r="F85">
            <v>301000</v>
          </cell>
        </row>
        <row r="86">
          <cell r="D86">
            <v>0</v>
          </cell>
          <cell r="E86">
            <v>0</v>
          </cell>
          <cell r="F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</row>
        <row r="88">
          <cell r="D88">
            <v>0</v>
          </cell>
          <cell r="E88">
            <v>2000</v>
          </cell>
          <cell r="F88">
            <v>2000</v>
          </cell>
        </row>
        <row r="89">
          <cell r="D89">
            <v>0</v>
          </cell>
          <cell r="E89">
            <v>0</v>
          </cell>
          <cell r="F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</row>
        <row r="91">
          <cell r="D91">
            <v>0</v>
          </cell>
          <cell r="E91">
            <v>5000</v>
          </cell>
          <cell r="F91">
            <v>5000</v>
          </cell>
        </row>
        <row r="92">
          <cell r="D92">
            <v>0</v>
          </cell>
          <cell r="E92">
            <v>0</v>
          </cell>
          <cell r="F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</row>
        <row r="100">
          <cell r="F100">
            <v>0</v>
          </cell>
        </row>
      </sheetData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1038210950</v>
          </cell>
        </row>
        <row r="36">
          <cell r="E36">
            <v>49950</v>
          </cell>
        </row>
        <row r="42">
          <cell r="B42">
            <v>262111000</v>
          </cell>
        </row>
        <row r="44">
          <cell r="B44">
            <v>1038161000</v>
          </cell>
        </row>
        <row r="47">
          <cell r="D47">
            <v>610682.94099999999</v>
          </cell>
        </row>
      </sheetData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945475950</v>
          </cell>
        </row>
        <row r="36">
          <cell r="E36">
            <v>49650</v>
          </cell>
        </row>
        <row r="42">
          <cell r="B42">
            <v>212785800</v>
          </cell>
        </row>
        <row r="44">
          <cell r="B44">
            <v>945426300</v>
          </cell>
        </row>
        <row r="47">
          <cell r="D47">
            <v>556133.11699999997</v>
          </cell>
        </row>
      </sheetData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751748450</v>
          </cell>
        </row>
        <row r="36">
          <cell r="E36">
            <v>53450</v>
          </cell>
        </row>
        <row r="42">
          <cell r="B42">
            <v>145031300</v>
          </cell>
        </row>
        <row r="44">
          <cell r="B44">
            <v>751695000</v>
          </cell>
        </row>
        <row r="47">
          <cell r="D47">
            <v>442173.52899999998</v>
          </cell>
        </row>
      </sheetData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739006400</v>
          </cell>
        </row>
        <row r="36">
          <cell r="E36">
            <v>57710</v>
          </cell>
        </row>
        <row r="42">
          <cell r="B42">
            <v>124026390</v>
          </cell>
        </row>
        <row r="44">
          <cell r="B44">
            <v>738948690</v>
          </cell>
        </row>
        <row r="47">
          <cell r="D47">
            <v>434675.7</v>
          </cell>
        </row>
      </sheetData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553072100</v>
          </cell>
        </row>
        <row r="36">
          <cell r="E36">
            <v>43400</v>
          </cell>
        </row>
        <row r="42">
          <cell r="B42">
            <v>86815600</v>
          </cell>
        </row>
        <row r="44">
          <cell r="B44">
            <v>553028700</v>
          </cell>
        </row>
        <row r="47">
          <cell r="D47">
            <v>325311</v>
          </cell>
        </row>
      </sheetData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265596650</v>
          </cell>
        </row>
        <row r="36">
          <cell r="E36">
            <v>45150</v>
          </cell>
        </row>
        <row r="42">
          <cell r="B42">
            <v>38791900</v>
          </cell>
        </row>
        <row r="44">
          <cell r="B44">
            <v>265551500</v>
          </cell>
        </row>
        <row r="47">
          <cell r="D47">
            <v>156206.764</v>
          </cell>
        </row>
      </sheetData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1065385900</v>
          </cell>
        </row>
        <row r="36">
          <cell r="E36">
            <v>103050</v>
          </cell>
        </row>
        <row r="42">
          <cell r="B42">
            <v>234443550</v>
          </cell>
        </row>
        <row r="44">
          <cell r="B44">
            <v>1065282850</v>
          </cell>
        </row>
        <row r="47">
          <cell r="D47">
            <v>626636.97</v>
          </cell>
        </row>
      </sheetData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836509450</v>
          </cell>
        </row>
        <row r="36">
          <cell r="E36">
            <v>35250</v>
          </cell>
        </row>
        <row r="42">
          <cell r="B42">
            <v>152496200</v>
          </cell>
        </row>
        <row r="44">
          <cell r="B44">
            <v>836474200</v>
          </cell>
        </row>
        <row r="47">
          <cell r="D47">
            <v>492043.647</v>
          </cell>
        </row>
      </sheetData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780113500</v>
          </cell>
        </row>
        <row r="36">
          <cell r="E36">
            <v>35350</v>
          </cell>
        </row>
        <row r="42">
          <cell r="B42">
            <v>131543450</v>
          </cell>
        </row>
        <row r="44">
          <cell r="B44">
            <v>780078150</v>
          </cell>
        </row>
        <row r="47">
          <cell r="D47">
            <v>458869.5</v>
          </cell>
        </row>
      </sheetData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773447301</v>
          </cell>
        </row>
        <row r="36">
          <cell r="E36">
            <v>61750</v>
          </cell>
        </row>
        <row r="42">
          <cell r="B42">
            <v>131781751</v>
          </cell>
        </row>
        <row r="44">
          <cell r="B44">
            <v>773385551</v>
          </cell>
        </row>
        <row r="47">
          <cell r="D47">
            <v>454932.67700000003</v>
          </cell>
        </row>
      </sheetData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737685850</v>
          </cell>
        </row>
        <row r="36">
          <cell r="E36">
            <v>76400</v>
          </cell>
        </row>
        <row r="42">
          <cell r="B42">
            <v>118226350</v>
          </cell>
        </row>
        <row r="44">
          <cell r="B44">
            <v>737609450</v>
          </cell>
        </row>
        <row r="47">
          <cell r="D47">
            <v>433887.91100000002</v>
          </cell>
        </row>
      </sheetData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547317700</v>
          </cell>
        </row>
        <row r="36">
          <cell r="E36">
            <v>29950</v>
          </cell>
        </row>
        <row r="42">
          <cell r="B42">
            <v>80800950</v>
          </cell>
        </row>
        <row r="44">
          <cell r="B44">
            <v>547287750</v>
          </cell>
        </row>
        <row r="47">
          <cell r="D47">
            <v>321933.96999999997</v>
          </cell>
        </row>
      </sheetData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246729750</v>
          </cell>
        </row>
        <row r="36">
          <cell r="E36">
            <v>31800</v>
          </cell>
        </row>
        <row r="42">
          <cell r="B42">
            <v>32441850</v>
          </cell>
        </row>
        <row r="44">
          <cell r="B44">
            <v>246697950</v>
          </cell>
        </row>
        <row r="47">
          <cell r="D47">
            <v>145116.44099999999</v>
          </cell>
        </row>
      </sheetData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978098350</v>
          </cell>
        </row>
        <row r="36">
          <cell r="E36">
            <v>104000</v>
          </cell>
        </row>
        <row r="42">
          <cell r="B42">
            <v>196310550</v>
          </cell>
        </row>
        <row r="44">
          <cell r="B44">
            <v>977994350</v>
          </cell>
        </row>
        <row r="47">
          <cell r="D47">
            <v>575290.79399999999</v>
          </cell>
        </row>
      </sheetData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824639600</v>
          </cell>
        </row>
        <row r="36">
          <cell r="E36">
            <v>20799</v>
          </cell>
        </row>
        <row r="42">
          <cell r="B42">
            <v>179652401</v>
          </cell>
        </row>
        <row r="44">
          <cell r="B44">
            <v>824618801</v>
          </cell>
        </row>
        <row r="47">
          <cell r="D47">
            <v>485069.88199999998</v>
          </cell>
        </row>
      </sheetData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894848250</v>
          </cell>
        </row>
        <row r="36">
          <cell r="E36">
            <v>78700</v>
          </cell>
        </row>
        <row r="42">
          <cell r="B42">
            <v>212600350</v>
          </cell>
        </row>
        <row r="44">
          <cell r="B44">
            <v>894769550</v>
          </cell>
        </row>
        <row r="47">
          <cell r="D47">
            <v>526335.02899999998</v>
          </cell>
        </row>
      </sheetData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847416880</v>
          </cell>
        </row>
        <row r="36">
          <cell r="E36">
            <v>27150</v>
          </cell>
        </row>
        <row r="42">
          <cell r="B42">
            <v>191086030</v>
          </cell>
        </row>
        <row r="44">
          <cell r="B44">
            <v>847389730</v>
          </cell>
        </row>
        <row r="47">
          <cell r="D47">
            <v>498464.54700000002</v>
          </cell>
        </row>
      </sheetData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778486350</v>
          </cell>
        </row>
        <row r="36">
          <cell r="E36">
            <v>35099</v>
          </cell>
        </row>
        <row r="42">
          <cell r="B42">
            <v>139125451</v>
          </cell>
        </row>
        <row r="44">
          <cell r="B44">
            <v>778451251</v>
          </cell>
        </row>
        <row r="47">
          <cell r="D47">
            <v>457912.5</v>
          </cell>
        </row>
      </sheetData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566287100</v>
          </cell>
        </row>
        <row r="36">
          <cell r="E36">
            <v>23250</v>
          </cell>
        </row>
        <row r="42">
          <cell r="B42">
            <v>86850250</v>
          </cell>
        </row>
        <row r="44">
          <cell r="B44">
            <v>566263850</v>
          </cell>
        </row>
        <row r="47">
          <cell r="D47">
            <v>333096.38199999998</v>
          </cell>
        </row>
      </sheetData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252365500</v>
          </cell>
        </row>
        <row r="36">
          <cell r="E36">
            <v>16450</v>
          </cell>
        </row>
        <row r="42">
          <cell r="B42">
            <v>35493650</v>
          </cell>
        </row>
        <row r="44">
          <cell r="B44">
            <v>252349050</v>
          </cell>
        </row>
        <row r="47">
          <cell r="D47">
            <v>148440.617</v>
          </cell>
        </row>
      </sheetData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1063339750</v>
          </cell>
        </row>
        <row r="36">
          <cell r="E36">
            <v>56900</v>
          </cell>
        </row>
        <row r="42">
          <cell r="B42">
            <v>227940250</v>
          </cell>
        </row>
        <row r="44">
          <cell r="B44">
            <v>1063282850</v>
          </cell>
        </row>
        <row r="47">
          <cell r="D47">
            <v>625460.5</v>
          </cell>
        </row>
      </sheetData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829532450</v>
          </cell>
        </row>
        <row r="36">
          <cell r="E36">
            <v>41300</v>
          </cell>
        </row>
        <row r="42">
          <cell r="B42">
            <v>148347050</v>
          </cell>
        </row>
        <row r="44">
          <cell r="B44">
            <v>829491150</v>
          </cell>
        </row>
        <row r="47">
          <cell r="D47">
            <v>487935.97</v>
          </cell>
        </row>
      </sheetData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780678500</v>
          </cell>
        </row>
        <row r="36">
          <cell r="E36">
            <v>48450</v>
          </cell>
        </row>
        <row r="42">
          <cell r="B42">
            <v>133727350</v>
          </cell>
        </row>
        <row r="44">
          <cell r="B44">
            <v>780630050</v>
          </cell>
        </row>
        <row r="47">
          <cell r="D47">
            <v>459194.147</v>
          </cell>
        </row>
      </sheetData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756279850</v>
          </cell>
        </row>
        <row r="36">
          <cell r="E36">
            <v>85950</v>
          </cell>
        </row>
        <row r="42">
          <cell r="B42">
            <v>126510500</v>
          </cell>
        </row>
        <row r="44">
          <cell r="B44">
            <v>756193900</v>
          </cell>
        </row>
        <row r="47">
          <cell r="D47">
            <v>444819.94099999999</v>
          </cell>
        </row>
      </sheetData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758710900</v>
          </cell>
        </row>
        <row r="36">
          <cell r="E36">
            <v>34900</v>
          </cell>
        </row>
        <row r="42">
          <cell r="B42">
            <v>127345300</v>
          </cell>
        </row>
        <row r="44">
          <cell r="B44">
            <v>758676000</v>
          </cell>
        </row>
        <row r="47">
          <cell r="D47">
            <v>446280</v>
          </cell>
        </row>
      </sheetData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583339150</v>
          </cell>
        </row>
        <row r="36">
          <cell r="E36">
            <v>39250</v>
          </cell>
        </row>
        <row r="42">
          <cell r="B42">
            <v>95996600</v>
          </cell>
        </row>
        <row r="44">
          <cell r="B44">
            <v>583299900</v>
          </cell>
        </row>
        <row r="47">
          <cell r="D47">
            <v>343117.58799999999</v>
          </cell>
        </row>
      </sheetData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271538850</v>
          </cell>
        </row>
        <row r="36">
          <cell r="E36">
            <v>18150</v>
          </cell>
        </row>
        <row r="42">
          <cell r="B42">
            <v>40693000</v>
          </cell>
        </row>
        <row r="44">
          <cell r="B44">
            <v>271520700</v>
          </cell>
        </row>
        <row r="47">
          <cell r="D47">
            <v>159718.05799999999</v>
          </cell>
        </row>
      </sheetData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1206192500</v>
          </cell>
        </row>
        <row r="36">
          <cell r="E36">
            <v>86850</v>
          </cell>
        </row>
        <row r="42">
          <cell r="B42">
            <v>301671650</v>
          </cell>
        </row>
        <row r="44">
          <cell r="B44">
            <v>1206105650</v>
          </cell>
        </row>
        <row r="47">
          <cell r="D47">
            <v>709473.91099999996</v>
          </cell>
        </row>
      </sheetData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1091121850</v>
          </cell>
        </row>
        <row r="36">
          <cell r="E36">
            <v>189750</v>
          </cell>
        </row>
        <row r="42">
          <cell r="B42">
            <v>272800300</v>
          </cell>
        </row>
        <row r="44">
          <cell r="B44">
            <v>1090932100</v>
          </cell>
        </row>
        <row r="47">
          <cell r="D47">
            <v>641724.76399999997</v>
          </cell>
        </row>
      </sheetData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990194050</v>
          </cell>
        </row>
        <row r="36">
          <cell r="E36">
            <v>52700</v>
          </cell>
        </row>
        <row r="42">
          <cell r="B42">
            <v>222117050</v>
          </cell>
        </row>
        <row r="44">
          <cell r="B44">
            <v>990141350</v>
          </cell>
        </row>
        <row r="47">
          <cell r="D47">
            <v>582436.08799999999</v>
          </cell>
        </row>
      </sheetData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872553100</v>
          </cell>
        </row>
        <row r="36">
          <cell r="E36">
            <v>44500</v>
          </cell>
        </row>
        <row r="42">
          <cell r="B42">
            <v>173291800</v>
          </cell>
        </row>
        <row r="44">
          <cell r="B44">
            <v>872508600</v>
          </cell>
        </row>
        <row r="47">
          <cell r="D47">
            <v>513240.35200000001</v>
          </cell>
        </row>
      </sheetData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794370150</v>
          </cell>
        </row>
        <row r="36">
          <cell r="E36">
            <v>45650</v>
          </cell>
        </row>
        <row r="42">
          <cell r="B42">
            <v>134712600</v>
          </cell>
        </row>
        <row r="44">
          <cell r="B44">
            <v>794324500</v>
          </cell>
        </row>
        <row r="47">
          <cell r="D47">
            <v>467249.70500000002</v>
          </cell>
        </row>
      </sheetData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599213850</v>
          </cell>
        </row>
        <row r="36">
          <cell r="E36">
            <v>48050</v>
          </cell>
        </row>
        <row r="42">
          <cell r="B42">
            <v>91047700</v>
          </cell>
        </row>
        <row r="44">
          <cell r="B44">
            <v>599165800</v>
          </cell>
        </row>
        <row r="47">
          <cell r="D47">
            <v>352450.47</v>
          </cell>
        </row>
      </sheetData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ILIACION"/>
    </sheetNames>
    <sheetDataSet>
      <sheetData sheetId="0">
        <row r="34">
          <cell r="E34">
            <v>262518150</v>
          </cell>
        </row>
        <row r="36">
          <cell r="E36">
            <v>12600</v>
          </cell>
        </row>
        <row r="42">
          <cell r="B42">
            <v>35723850</v>
          </cell>
        </row>
        <row r="44">
          <cell r="B44">
            <v>262505550</v>
          </cell>
        </row>
        <row r="47">
          <cell r="D47">
            <v>154415.02900000001</v>
          </cell>
        </row>
      </sheetData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TOTALES"/>
    </sheetNames>
    <sheetDataSet>
      <sheetData sheetId="0" refreshError="1">
        <row r="151">
          <cell r="C151" t="str">
            <v>CATI Calle 100 - E1</v>
          </cell>
        </row>
        <row r="152">
          <cell r="C152" t="str">
            <v>CATI Calle 85 - E1</v>
          </cell>
        </row>
        <row r="153">
          <cell r="C153" t="str">
            <v>CATI Heroes - E1</v>
          </cell>
        </row>
        <row r="154">
          <cell r="C154" t="str">
            <v>CATI Museo del Oro - E1</v>
          </cell>
        </row>
        <row r="155">
          <cell r="C155" t="str">
            <v>CATI Movil - E1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17.bin"/><Relationship Id="rId7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11" Type="http://schemas.openxmlformats.org/officeDocument/2006/relationships/image" Target="../media/image1.png"/><Relationship Id="rId5" Type="http://schemas.openxmlformats.org/officeDocument/2006/relationships/printerSettings" Target="../printerSettings/printerSettings19.bin"/><Relationship Id="rId10" Type="http://schemas.openxmlformats.org/officeDocument/2006/relationships/oleObject" Target="../embeddings/oleObject1.bin"/><Relationship Id="rId4" Type="http://schemas.openxmlformats.org/officeDocument/2006/relationships/printerSettings" Target="../printerSettings/printerSettings18.bin"/><Relationship Id="rId9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K289"/>
  <sheetViews>
    <sheetView zoomScale="85" zoomScaleNormal="85" workbookViewId="0">
      <pane xSplit="2" ySplit="2" topLeftCell="Y165" activePane="bottomRight" state="frozen"/>
      <selection pane="topRight" activeCell="C1" sqref="C1"/>
      <selection pane="bottomLeft" activeCell="A3" sqref="A3"/>
      <selection pane="bottomRight" activeCell="AK174" sqref="AK174"/>
    </sheetView>
  </sheetViews>
  <sheetFormatPr baseColWidth="10" defaultRowHeight="12.75" x14ac:dyDescent="0.2"/>
  <cols>
    <col min="1" max="1" width="26.140625" customWidth="1"/>
    <col min="2" max="2" width="31.140625" bestFit="1" customWidth="1"/>
    <col min="3" max="25" width="16.7109375" bestFit="1" customWidth="1"/>
    <col min="26" max="26" width="16.7109375" customWidth="1"/>
    <col min="27" max="36" width="16.7109375" bestFit="1" customWidth="1"/>
    <col min="37" max="37" width="14.5703125" bestFit="1" customWidth="1"/>
  </cols>
  <sheetData>
    <row r="1" spans="1:36" ht="16.5" thickBot="1" x14ac:dyDescent="0.3">
      <c r="A1" s="396" t="s">
        <v>284</v>
      </c>
      <c r="B1" s="396"/>
      <c r="C1" s="58" t="s">
        <v>494</v>
      </c>
      <c r="D1" s="58" t="s">
        <v>489</v>
      </c>
      <c r="E1" s="58" t="s">
        <v>490</v>
      </c>
      <c r="F1" s="58" t="s">
        <v>491</v>
      </c>
      <c r="G1" s="58" t="s">
        <v>492</v>
      </c>
      <c r="H1" s="58" t="s">
        <v>493</v>
      </c>
      <c r="I1" s="58" t="s">
        <v>480</v>
      </c>
      <c r="J1" s="58" t="s">
        <v>494</v>
      </c>
      <c r="K1" s="58" t="s">
        <v>489</v>
      </c>
      <c r="L1" s="58" t="s">
        <v>490</v>
      </c>
      <c r="M1" s="58" t="s">
        <v>491</v>
      </c>
      <c r="N1" s="58" t="s">
        <v>492</v>
      </c>
      <c r="O1" s="58" t="s">
        <v>493</v>
      </c>
      <c r="P1" s="58" t="s">
        <v>480</v>
      </c>
      <c r="Q1" s="58" t="s">
        <v>494</v>
      </c>
      <c r="R1" s="58" t="s">
        <v>489</v>
      </c>
      <c r="S1" s="58" t="s">
        <v>490</v>
      </c>
      <c r="T1" s="58" t="s">
        <v>491</v>
      </c>
      <c r="U1" s="58" t="s">
        <v>492</v>
      </c>
      <c r="V1" s="58" t="s">
        <v>493</v>
      </c>
      <c r="W1" s="58" t="s">
        <v>480</v>
      </c>
      <c r="X1" s="58" t="s">
        <v>494</v>
      </c>
      <c r="Y1" s="58" t="s">
        <v>489</v>
      </c>
      <c r="Z1" s="58" t="s">
        <v>490</v>
      </c>
      <c r="AA1" s="58" t="s">
        <v>491</v>
      </c>
      <c r="AB1" s="58" t="s">
        <v>492</v>
      </c>
      <c r="AC1" s="58" t="s">
        <v>493</v>
      </c>
      <c r="AD1" s="58" t="s">
        <v>480</v>
      </c>
      <c r="AE1" s="58" t="s">
        <v>494</v>
      </c>
      <c r="AF1" s="58" t="s">
        <v>489</v>
      </c>
      <c r="AG1" s="58" t="s">
        <v>490</v>
      </c>
      <c r="AH1" s="58" t="s">
        <v>491</v>
      </c>
      <c r="AI1" s="58" t="s">
        <v>492</v>
      </c>
      <c r="AJ1" s="58" t="s">
        <v>493</v>
      </c>
    </row>
    <row r="2" spans="1:36" ht="15.75" thickBot="1" x14ac:dyDescent="0.25">
      <c r="A2" s="421" t="s">
        <v>0</v>
      </c>
      <c r="B2" s="422"/>
      <c r="C2" s="59">
        <v>40575</v>
      </c>
      <c r="D2" s="59">
        <v>40576</v>
      </c>
      <c r="E2" s="59">
        <v>40577</v>
      </c>
      <c r="F2" s="59">
        <v>40578</v>
      </c>
      <c r="G2" s="59">
        <v>40579</v>
      </c>
      <c r="H2" s="59">
        <v>40580</v>
      </c>
      <c r="I2" s="59">
        <v>40581</v>
      </c>
      <c r="J2" s="59">
        <v>40582</v>
      </c>
      <c r="K2" s="59">
        <v>40583</v>
      </c>
      <c r="L2" s="59">
        <v>40584</v>
      </c>
      <c r="M2" s="59">
        <v>40585</v>
      </c>
      <c r="N2" s="59">
        <v>40586</v>
      </c>
      <c r="O2" s="59">
        <v>40587</v>
      </c>
      <c r="P2" s="59">
        <v>40588</v>
      </c>
      <c r="Q2" s="59">
        <v>40589</v>
      </c>
      <c r="R2" s="59">
        <v>40590</v>
      </c>
      <c r="S2" s="59">
        <v>40591</v>
      </c>
      <c r="T2" s="59">
        <v>40592</v>
      </c>
      <c r="U2" s="59">
        <v>40593</v>
      </c>
      <c r="V2" s="59">
        <v>40594</v>
      </c>
      <c r="W2" s="59">
        <v>40595</v>
      </c>
      <c r="X2" s="59">
        <v>40596</v>
      </c>
      <c r="Y2" s="59">
        <v>40597</v>
      </c>
      <c r="Z2" s="59">
        <v>40598</v>
      </c>
      <c r="AA2" s="59">
        <v>40599</v>
      </c>
      <c r="AB2" s="59">
        <v>40600</v>
      </c>
      <c r="AC2" s="59">
        <v>40601</v>
      </c>
      <c r="AD2" s="59">
        <v>40602</v>
      </c>
      <c r="AE2" s="59">
        <v>40603</v>
      </c>
      <c r="AF2" s="59">
        <v>40604</v>
      </c>
      <c r="AG2" s="59">
        <v>40605</v>
      </c>
      <c r="AH2" s="59">
        <v>40606</v>
      </c>
      <c r="AI2" s="59">
        <v>40607</v>
      </c>
      <c r="AJ2" s="59">
        <v>40608</v>
      </c>
    </row>
    <row r="3" spans="1:36" x14ac:dyDescent="0.2">
      <c r="A3" s="423" t="s">
        <v>181</v>
      </c>
      <c r="B3" s="64" t="s">
        <v>1</v>
      </c>
      <c r="C3" s="55">
        <f>[1]entradas!$H$11</f>
        <v>79458</v>
      </c>
      <c r="D3" s="55">
        <f>[2]entradas!$H$11</f>
        <v>79318</v>
      </c>
      <c r="E3" s="55">
        <f>[3]entradas!$H$11</f>
        <v>80967</v>
      </c>
      <c r="F3" s="55">
        <f>[4]entradas!$H$11</f>
        <v>81340</v>
      </c>
      <c r="G3" s="55">
        <f>[5]entradas!$H$11</f>
        <v>57434</v>
      </c>
      <c r="H3" s="55">
        <f>[6]entradas!$H$11</f>
        <v>25839</v>
      </c>
      <c r="I3" s="55">
        <f>[7]entradas!$H$11</f>
        <v>80094</v>
      </c>
      <c r="J3" s="55">
        <f>[8]entradas!$H$11</f>
        <v>81614</v>
      </c>
      <c r="K3" s="55">
        <f>[9]entradas!$H$11</f>
        <v>80438</v>
      </c>
      <c r="L3" s="55">
        <f>[10]entradas!$H$11</f>
        <v>80980</v>
      </c>
      <c r="M3" s="55">
        <f>[11]entradas!$H$11</f>
        <v>82260</v>
      </c>
      <c r="N3" s="55">
        <f>[12]entradas!$H$11</f>
        <v>57046</v>
      </c>
      <c r="O3" s="55">
        <f>[13]entradas!$H$11</f>
        <v>25128</v>
      </c>
      <c r="P3" s="55">
        <f>[14]entradas!$H$11</f>
        <v>84823</v>
      </c>
      <c r="Q3" s="55">
        <f>[15]entradas!$H$11</f>
        <v>84223</v>
      </c>
      <c r="R3" s="55">
        <f>[16]entradas!$H$11</f>
        <v>84854</v>
      </c>
      <c r="S3" s="55">
        <f>[17]entradas!$H$11</f>
        <v>84584</v>
      </c>
      <c r="T3" s="55">
        <f>[18]entradas!$H$11</f>
        <v>85208</v>
      </c>
      <c r="U3" s="55">
        <f>[19]entradas!$H$11</f>
        <v>58867</v>
      </c>
      <c r="V3" s="55">
        <f>[20]entradas!$H$11</f>
        <v>26485</v>
      </c>
      <c r="W3" s="55">
        <f>[21]entradas!$H$11</f>
        <v>82135</v>
      </c>
      <c r="X3" s="55">
        <f>[22]entradas!$H$11</f>
        <v>82152</v>
      </c>
      <c r="Y3" s="55">
        <f>[23]entradas!$H$11</f>
        <v>82167</v>
      </c>
      <c r="Z3" s="55">
        <f>[24]entradas!$H$11</f>
        <v>81360</v>
      </c>
      <c r="AA3" s="55">
        <f>[25]entradas!$H$11</f>
        <v>83908</v>
      </c>
      <c r="AB3" s="55">
        <f>[26]entradas!$H$11</f>
        <v>59580</v>
      </c>
      <c r="AC3" s="55">
        <f>[27]entradas!$H$11</f>
        <v>26264</v>
      </c>
      <c r="AD3" s="55">
        <f>[28]entradas!$H$11</f>
        <v>82997</v>
      </c>
      <c r="AE3" s="55">
        <f>[29]entradas!$H$11</f>
        <v>84338</v>
      </c>
      <c r="AF3" s="55">
        <f>[30]entradas!$H$11</f>
        <v>83777</v>
      </c>
      <c r="AG3" s="55">
        <f>[31]entradas!$H$11</f>
        <v>83486</v>
      </c>
      <c r="AH3" s="55">
        <f>[32]entradas!$H$11</f>
        <v>86451</v>
      </c>
      <c r="AI3" s="55">
        <f>[33]entradas!$H$11</f>
        <v>61055</v>
      </c>
      <c r="AJ3" s="55">
        <f>[34]entradas!$H$11</f>
        <v>26768</v>
      </c>
    </row>
    <row r="4" spans="1:36" x14ac:dyDescent="0.2">
      <c r="A4" s="424"/>
      <c r="B4" s="39" t="s">
        <v>2</v>
      </c>
      <c r="C4" s="13">
        <f>[1]entradas!$H20</f>
        <v>5244</v>
      </c>
      <c r="D4" s="13">
        <f>[2]entradas!$H20</f>
        <v>5243</v>
      </c>
      <c r="E4" s="13">
        <f>[3]entradas!$H20</f>
        <v>4938</v>
      </c>
      <c r="F4" s="13">
        <f>[4]entradas!$H20</f>
        <v>5347</v>
      </c>
      <c r="G4" s="13">
        <f>[5]entradas!$H20</f>
        <v>4136</v>
      </c>
      <c r="H4" s="13">
        <f>[6]entradas!$H20</f>
        <v>2114</v>
      </c>
      <c r="I4" s="13">
        <f>[7]entradas!$H20</f>
        <v>5077</v>
      </c>
      <c r="J4" s="13">
        <f>[8]entradas!$H20</f>
        <v>5244</v>
      </c>
      <c r="K4" s="13">
        <f>[9]entradas!$H20</f>
        <v>5333</v>
      </c>
      <c r="L4" s="13">
        <f>[10]entradas!$H20</f>
        <v>5176</v>
      </c>
      <c r="M4" s="13">
        <f>[11]entradas!$H20</f>
        <v>5295</v>
      </c>
      <c r="N4" s="13">
        <f>[12]entradas!$H20</f>
        <v>4158</v>
      </c>
      <c r="O4" s="13">
        <f>[13]entradas!$H20</f>
        <v>1915</v>
      </c>
      <c r="P4" s="13">
        <f>[14]entradas!$H20</f>
        <v>5573</v>
      </c>
      <c r="Q4" s="13">
        <f>[15]entradas!$H20</f>
        <v>5574</v>
      </c>
      <c r="R4" s="13">
        <f>[16]entradas!$H20</f>
        <v>5321</v>
      </c>
      <c r="S4" s="13">
        <f>[17]entradas!$H20</f>
        <v>5431</v>
      </c>
      <c r="T4" s="13">
        <f>[18]entradas!$H20</f>
        <v>5619</v>
      </c>
      <c r="U4" s="13">
        <f>[19]entradas!$H20</f>
        <v>4244</v>
      </c>
      <c r="V4" s="13">
        <f>[20]entradas!$H20</f>
        <v>2002</v>
      </c>
      <c r="W4" s="13">
        <f>[21]entradas!$H20</f>
        <v>5274</v>
      </c>
      <c r="X4" s="13">
        <f>[22]entradas!$H20</f>
        <v>5322</v>
      </c>
      <c r="Y4" s="13">
        <f>[23]entradas!$H20</f>
        <v>5435</v>
      </c>
      <c r="Z4" s="13">
        <f>[24]entradas!$H20</f>
        <v>5173</v>
      </c>
      <c r="AA4" s="13">
        <f>[25]entradas!$H20</f>
        <v>5495</v>
      </c>
      <c r="AB4" s="13">
        <f>[26]entradas!$H20</f>
        <v>4182</v>
      </c>
      <c r="AC4" s="13">
        <f>[27]entradas!$H20</f>
        <v>2071</v>
      </c>
      <c r="AD4" s="13">
        <f>[28]entradas!$H20</f>
        <v>5411</v>
      </c>
      <c r="AE4" s="13">
        <f>[29]entradas!$H20</f>
        <v>5685</v>
      </c>
      <c r="AF4" s="13">
        <f>[30]entradas!$H20</f>
        <v>5645</v>
      </c>
      <c r="AG4" s="13">
        <f>[31]entradas!$H20</f>
        <v>5592</v>
      </c>
      <c r="AH4" s="13">
        <f>[32]entradas!$H20</f>
        <v>5589</v>
      </c>
      <c r="AI4" s="13">
        <f>[33]entradas!$H20</f>
        <v>4315</v>
      </c>
      <c r="AJ4" s="13">
        <f>[34]entradas!$H20</f>
        <v>2071</v>
      </c>
    </row>
    <row r="5" spans="1:36" x14ac:dyDescent="0.2">
      <c r="A5" s="424"/>
      <c r="B5" s="39" t="s">
        <v>3</v>
      </c>
      <c r="C5" s="13">
        <f>[1]entradas!$H21</f>
        <v>5964</v>
      </c>
      <c r="D5" s="13">
        <f>[2]entradas!$H21</f>
        <v>5794</v>
      </c>
      <c r="E5" s="13">
        <f>[3]entradas!$H21</f>
        <v>5829</v>
      </c>
      <c r="F5" s="13">
        <f>[4]entradas!$H21</f>
        <v>5958</v>
      </c>
      <c r="G5" s="13">
        <f>[5]entradas!$H21</f>
        <v>3957</v>
      </c>
      <c r="H5" s="13">
        <f>[6]entradas!$H21</f>
        <v>1333</v>
      </c>
      <c r="I5" s="13">
        <f>[7]entradas!$H21</f>
        <v>5864</v>
      </c>
      <c r="J5" s="13">
        <f>[8]entradas!$H21</f>
        <v>5842</v>
      </c>
      <c r="K5" s="13">
        <f>[9]entradas!$H21</f>
        <v>5903</v>
      </c>
      <c r="L5" s="13">
        <f>[10]entradas!$H21</f>
        <v>5976</v>
      </c>
      <c r="M5" s="13">
        <f>[11]entradas!$H21</f>
        <v>5962</v>
      </c>
      <c r="N5" s="13">
        <f>[12]entradas!$H21</f>
        <v>4144</v>
      </c>
      <c r="O5" s="13">
        <f>[13]entradas!$H21</f>
        <v>1319</v>
      </c>
      <c r="P5" s="13">
        <f>[14]entradas!$H21</f>
        <v>6029</v>
      </c>
      <c r="Q5" s="13">
        <f>[15]entradas!$H21</f>
        <v>6235</v>
      </c>
      <c r="R5" s="13">
        <f>[16]entradas!$H21</f>
        <v>6125</v>
      </c>
      <c r="S5" s="13">
        <f>[17]entradas!$H21</f>
        <v>6178</v>
      </c>
      <c r="T5" s="13">
        <f>[18]entradas!$H21</f>
        <v>6218</v>
      </c>
      <c r="U5" s="13">
        <f>[19]entradas!$H21</f>
        <v>4238</v>
      </c>
      <c r="V5" s="13">
        <f>[20]entradas!$H21</f>
        <v>1404</v>
      </c>
      <c r="W5" s="13">
        <f>[21]entradas!$H21</f>
        <v>6151</v>
      </c>
      <c r="X5" s="13">
        <f>[22]entradas!$H21</f>
        <v>6182</v>
      </c>
      <c r="Y5" s="13">
        <f>[23]entradas!$H21</f>
        <v>5932</v>
      </c>
      <c r="Z5" s="13">
        <f>[24]entradas!$H21</f>
        <v>5923</v>
      </c>
      <c r="AA5" s="13">
        <f>[25]entradas!$H21</f>
        <v>6070</v>
      </c>
      <c r="AB5" s="13">
        <f>[26]entradas!$H21</f>
        <v>4256</v>
      </c>
      <c r="AC5" s="13">
        <f>[27]entradas!$H21</f>
        <v>1439</v>
      </c>
      <c r="AD5" s="13">
        <f>[28]entradas!$H21</f>
        <v>6234</v>
      </c>
      <c r="AE5" s="13">
        <f>[29]entradas!$H21</f>
        <v>6218</v>
      </c>
      <c r="AF5" s="13">
        <f>[30]entradas!$H21</f>
        <v>6078</v>
      </c>
      <c r="AG5" s="13">
        <f>[31]entradas!$H21</f>
        <v>6258</v>
      </c>
      <c r="AH5" s="13">
        <f>[32]entradas!$H21</f>
        <v>6218</v>
      </c>
      <c r="AI5" s="13">
        <f>[33]entradas!$H21</f>
        <v>4268</v>
      </c>
      <c r="AJ5" s="13">
        <f>[34]entradas!$H21</f>
        <v>1394</v>
      </c>
    </row>
    <row r="6" spans="1:36" x14ac:dyDescent="0.2">
      <c r="A6" s="424"/>
      <c r="B6" s="42" t="s">
        <v>103</v>
      </c>
      <c r="C6" s="14">
        <f>[1]entradas!$H22</f>
        <v>9969</v>
      </c>
      <c r="D6" s="14">
        <f>[2]entradas!$H22</f>
        <v>10167</v>
      </c>
      <c r="E6" s="14">
        <f>[3]entradas!$H22</f>
        <v>9882</v>
      </c>
      <c r="F6" s="14">
        <f>[4]entradas!$H22</f>
        <v>10288</v>
      </c>
      <c r="G6" s="14">
        <f>[5]entradas!$H22</f>
        <v>7221</v>
      </c>
      <c r="H6" s="14">
        <f>[6]entradas!$H22</f>
        <v>3179</v>
      </c>
      <c r="I6" s="14">
        <f>[7]entradas!$H22</f>
        <v>10294</v>
      </c>
      <c r="J6" s="14">
        <f>[8]entradas!$H22</f>
        <v>10515</v>
      </c>
      <c r="K6" s="14">
        <f>[9]entradas!$H22</f>
        <v>10678</v>
      </c>
      <c r="L6" s="14">
        <f>[10]entradas!$H22</f>
        <v>10639</v>
      </c>
      <c r="M6" s="14">
        <f>[11]entradas!$H22</f>
        <v>10700</v>
      </c>
      <c r="N6" s="14">
        <f>[12]entradas!$H22</f>
        <v>7273</v>
      </c>
      <c r="O6" s="14">
        <f>[13]entradas!$H22</f>
        <v>2954</v>
      </c>
      <c r="P6" s="14">
        <f>[14]entradas!$H22</f>
        <v>10824</v>
      </c>
      <c r="Q6" s="14">
        <f>[15]entradas!$H22</f>
        <v>10744</v>
      </c>
      <c r="R6" s="14">
        <f>[16]entradas!$H22</f>
        <v>10918</v>
      </c>
      <c r="S6" s="14">
        <f>[17]entradas!$H22</f>
        <v>10714</v>
      </c>
      <c r="T6" s="14">
        <f>[18]entradas!$H22</f>
        <v>10898</v>
      </c>
      <c r="U6" s="14">
        <f>[19]entradas!$H22</f>
        <v>7565</v>
      </c>
      <c r="V6" s="14">
        <f>[20]entradas!$H22</f>
        <v>3064</v>
      </c>
      <c r="W6" s="14">
        <f>[21]entradas!$H22</f>
        <v>10506</v>
      </c>
      <c r="X6" s="14">
        <f>[22]entradas!$H22</f>
        <v>10613</v>
      </c>
      <c r="Y6" s="14">
        <f>[23]entradas!$H22</f>
        <v>10714</v>
      </c>
      <c r="Z6" s="14">
        <f>[24]entradas!$H22</f>
        <v>10528</v>
      </c>
      <c r="AA6" s="14">
        <f>[25]entradas!$H22</f>
        <v>10815</v>
      </c>
      <c r="AB6" s="14">
        <f>[26]entradas!$H22</f>
        <v>7462</v>
      </c>
      <c r="AC6" s="14">
        <f>[27]entradas!$H22</f>
        <v>3007</v>
      </c>
      <c r="AD6" s="14">
        <f>[28]entradas!$H22</f>
        <v>10451</v>
      </c>
      <c r="AE6" s="14">
        <f>[29]entradas!$H22</f>
        <v>11033</v>
      </c>
      <c r="AF6" s="14">
        <f>[30]entradas!$H22</f>
        <v>10811</v>
      </c>
      <c r="AG6" s="14">
        <f>[31]entradas!$H22</f>
        <v>10740</v>
      </c>
      <c r="AH6" s="14">
        <f>[32]entradas!$H22</f>
        <v>11145</v>
      </c>
      <c r="AI6" s="14">
        <f>[33]entradas!$H22</f>
        <v>7850</v>
      </c>
      <c r="AJ6" s="14">
        <f>[34]entradas!$H22</f>
        <v>3022</v>
      </c>
    </row>
    <row r="7" spans="1:36" x14ac:dyDescent="0.2">
      <c r="A7" s="424"/>
      <c r="B7" s="65" t="s">
        <v>102</v>
      </c>
      <c r="C7" s="55">
        <f>[1]entradas!$H23</f>
        <v>3205</v>
      </c>
      <c r="D7" s="55">
        <f>[2]entradas!$H23</f>
        <v>3135</v>
      </c>
      <c r="E7" s="55">
        <f>[3]entradas!$H23</f>
        <v>3334</v>
      </c>
      <c r="F7" s="55">
        <f>[4]entradas!$H23</f>
        <v>3371</v>
      </c>
      <c r="G7" s="55">
        <f>[5]entradas!$H23</f>
        <v>2337</v>
      </c>
      <c r="H7" s="55">
        <f>[6]entradas!$H23</f>
        <v>903</v>
      </c>
      <c r="I7" s="55">
        <f>[7]entradas!$H23</f>
        <v>3616</v>
      </c>
      <c r="J7" s="55">
        <f>[8]entradas!$H23</f>
        <v>3705</v>
      </c>
      <c r="K7" s="55">
        <f>[9]entradas!$H23</f>
        <v>3170</v>
      </c>
      <c r="L7" s="55">
        <f>[10]entradas!$H23</f>
        <v>3580</v>
      </c>
      <c r="M7" s="55">
        <f>[11]entradas!$H23</f>
        <v>3514</v>
      </c>
      <c r="N7" s="55">
        <f>[12]entradas!$H23</f>
        <v>2270</v>
      </c>
      <c r="O7" s="55">
        <f>[13]entradas!$H23</f>
        <v>950</v>
      </c>
      <c r="P7" s="55">
        <f>[14]entradas!$H23</f>
        <v>3404</v>
      </c>
      <c r="Q7" s="55">
        <f>[15]entradas!$H23</f>
        <v>3518</v>
      </c>
      <c r="R7" s="55">
        <f>[16]entradas!$H23</f>
        <v>3674</v>
      </c>
      <c r="S7" s="55">
        <f>[17]entradas!$H23</f>
        <v>3352</v>
      </c>
      <c r="T7" s="55">
        <f>[18]entradas!$H23</f>
        <v>3545</v>
      </c>
      <c r="U7" s="55">
        <f>[19]entradas!$H23</f>
        <v>2349</v>
      </c>
      <c r="V7" s="55">
        <f>[20]entradas!$H23</f>
        <v>980</v>
      </c>
      <c r="W7" s="55">
        <f>[21]entradas!$H23</f>
        <v>3027</v>
      </c>
      <c r="X7" s="55">
        <f>[22]entradas!$H23</f>
        <v>3575</v>
      </c>
      <c r="Y7" s="55">
        <f>[23]entradas!$H23</f>
        <v>3687</v>
      </c>
      <c r="Z7" s="55">
        <f>[24]entradas!$H23</f>
        <v>3453</v>
      </c>
      <c r="AA7" s="55">
        <f>[25]entradas!$H23</f>
        <v>3638</v>
      </c>
      <c r="AB7" s="55">
        <f>[26]entradas!$H23</f>
        <v>2357</v>
      </c>
      <c r="AC7" s="55">
        <f>[27]entradas!$H23</f>
        <v>897</v>
      </c>
      <c r="AD7" s="55">
        <f>[28]entradas!$H23</f>
        <v>3312</v>
      </c>
      <c r="AE7" s="55">
        <f>[29]entradas!$H23</f>
        <v>3094</v>
      </c>
      <c r="AF7" s="55">
        <f>[30]entradas!$H23</f>
        <v>3298</v>
      </c>
      <c r="AG7" s="55">
        <f>[31]entradas!$H23</f>
        <v>3320</v>
      </c>
      <c r="AH7" s="55">
        <f>[32]entradas!$H23</f>
        <v>3311</v>
      </c>
      <c r="AI7" s="55">
        <f>[33]entradas!$H23</f>
        <v>2392</v>
      </c>
      <c r="AJ7" s="55">
        <f>[34]entradas!$H23</f>
        <v>952</v>
      </c>
    </row>
    <row r="8" spans="1:36" x14ac:dyDescent="0.2">
      <c r="A8" s="424"/>
      <c r="B8" s="39" t="s">
        <v>5</v>
      </c>
      <c r="C8" s="13">
        <f>[1]entradas!$H24</f>
        <v>4342</v>
      </c>
      <c r="D8" s="13">
        <f>[2]entradas!$H24</f>
        <v>4295</v>
      </c>
      <c r="E8" s="13">
        <f>[3]entradas!$H24</f>
        <v>4275</v>
      </c>
      <c r="F8" s="13">
        <f>[4]entradas!$H24</f>
        <v>4263</v>
      </c>
      <c r="G8" s="13">
        <f>[5]entradas!$H24</f>
        <v>3052</v>
      </c>
      <c r="H8" s="13">
        <f>[6]entradas!$H24</f>
        <v>1321</v>
      </c>
      <c r="I8" s="13">
        <f>[7]entradas!$H24</f>
        <v>4227</v>
      </c>
      <c r="J8" s="13">
        <f>[8]entradas!$H24</f>
        <v>4287</v>
      </c>
      <c r="K8" s="13">
        <f>[9]entradas!$H24</f>
        <v>4243</v>
      </c>
      <c r="L8" s="13">
        <f>[10]entradas!$H24</f>
        <v>4368</v>
      </c>
      <c r="M8" s="13">
        <f>[11]entradas!$H24</f>
        <v>4256</v>
      </c>
      <c r="N8" s="13">
        <f>[12]entradas!$H24</f>
        <v>3155</v>
      </c>
      <c r="O8" s="13">
        <f>[13]entradas!$H24</f>
        <v>1280</v>
      </c>
      <c r="P8" s="13">
        <f>[14]entradas!$H24</f>
        <v>4392</v>
      </c>
      <c r="Q8" s="13">
        <f>[15]entradas!$H24</f>
        <v>4364</v>
      </c>
      <c r="R8" s="13">
        <f>[16]entradas!$H24</f>
        <v>4528</v>
      </c>
      <c r="S8" s="13">
        <f>[17]entradas!$H24</f>
        <v>4427</v>
      </c>
      <c r="T8" s="13">
        <f>[18]entradas!$H24</f>
        <v>4462</v>
      </c>
      <c r="U8" s="13">
        <f>[19]entradas!$H24</f>
        <v>3218</v>
      </c>
      <c r="V8" s="13">
        <f>[20]entradas!$H24</f>
        <v>1295</v>
      </c>
      <c r="W8" s="13">
        <f>[21]entradas!$H24</f>
        <v>4304</v>
      </c>
      <c r="X8" s="13">
        <f>[22]entradas!$H24</f>
        <v>4372</v>
      </c>
      <c r="Y8" s="13">
        <f>[23]entradas!$H24</f>
        <v>4271</v>
      </c>
      <c r="Z8" s="13">
        <f>[24]entradas!$H24</f>
        <v>4349</v>
      </c>
      <c r="AA8" s="13">
        <f>[25]entradas!$H24</f>
        <v>4404</v>
      </c>
      <c r="AB8" s="13">
        <f>[26]entradas!$H24</f>
        <v>3224</v>
      </c>
      <c r="AC8" s="13">
        <f>[27]entradas!$H24</f>
        <v>1374</v>
      </c>
      <c r="AD8" s="13">
        <f>[28]entradas!$H24</f>
        <v>4404</v>
      </c>
      <c r="AE8" s="13">
        <f>[29]entradas!$H24</f>
        <v>4422</v>
      </c>
      <c r="AF8" s="13">
        <f>[30]entradas!$H24</f>
        <v>4435</v>
      </c>
      <c r="AG8" s="13">
        <f>[31]entradas!$H24</f>
        <v>4449</v>
      </c>
      <c r="AH8" s="13">
        <f>[32]entradas!$H24</f>
        <v>4435</v>
      </c>
      <c r="AI8" s="13">
        <f>[33]entradas!$H24</f>
        <v>3297</v>
      </c>
      <c r="AJ8" s="13">
        <f>[34]entradas!$H24</f>
        <v>1345</v>
      </c>
    </row>
    <row r="9" spans="1:36" x14ac:dyDescent="0.2">
      <c r="A9" s="424"/>
      <c r="B9" s="66" t="s">
        <v>216</v>
      </c>
      <c r="C9" s="13">
        <f>[1]entradas!$H25</f>
        <v>13508</v>
      </c>
      <c r="D9" s="13">
        <f>[2]entradas!$H25</f>
        <v>13429</v>
      </c>
      <c r="E9" s="13">
        <f>[3]entradas!$H25</f>
        <v>13377</v>
      </c>
      <c r="F9" s="13">
        <f>[4]entradas!$H25</f>
        <v>14010</v>
      </c>
      <c r="G9" s="13">
        <f>[5]entradas!$H25</f>
        <v>10024</v>
      </c>
      <c r="H9" s="13">
        <f>[6]entradas!$H25</f>
        <v>4836</v>
      </c>
      <c r="I9" s="13">
        <f>[7]entradas!$H25</f>
        <v>13012</v>
      </c>
      <c r="J9" s="13">
        <f>[8]entradas!$H25</f>
        <v>13472</v>
      </c>
      <c r="K9" s="13">
        <f>[9]entradas!$H25</f>
        <v>13126</v>
      </c>
      <c r="L9" s="13">
        <f>[10]entradas!$H25</f>
        <v>12884</v>
      </c>
      <c r="M9" s="13">
        <f>[11]entradas!$H25</f>
        <v>13130</v>
      </c>
      <c r="N9" s="13">
        <f>[12]entradas!$H25</f>
        <v>10015</v>
      </c>
      <c r="O9" s="13">
        <f>[13]entradas!$H25</f>
        <v>4699</v>
      </c>
      <c r="P9" s="13">
        <f>[14]entradas!$H25</f>
        <v>13906</v>
      </c>
      <c r="Q9" s="13">
        <f>[15]entradas!$H25</f>
        <v>13822</v>
      </c>
      <c r="R9" s="13">
        <f>[16]entradas!$H25</f>
        <v>13336</v>
      </c>
      <c r="S9" s="13">
        <f>[17]entradas!$H25</f>
        <v>13639</v>
      </c>
      <c r="T9" s="13">
        <f>[18]entradas!$H25</f>
        <v>13577</v>
      </c>
      <c r="U9" s="13">
        <f>[19]entradas!$H25</f>
        <v>10384</v>
      </c>
      <c r="V9" s="13">
        <f>[20]entradas!$H25</f>
        <v>5139</v>
      </c>
      <c r="W9" s="13">
        <f>[21]entradas!$H25</f>
        <v>13322</v>
      </c>
      <c r="X9" s="13">
        <f>[22]entradas!$H25</f>
        <v>13359</v>
      </c>
      <c r="Y9" s="13">
        <f>[23]entradas!$H25</f>
        <v>13096</v>
      </c>
      <c r="Z9" s="13">
        <f>[24]entradas!$H25</f>
        <v>13354</v>
      </c>
      <c r="AA9" s="13">
        <f>[25]entradas!$H25</f>
        <v>13403</v>
      </c>
      <c r="AB9" s="13">
        <f>[26]entradas!$H25</f>
        <v>10234</v>
      </c>
      <c r="AC9" s="13">
        <f>[27]entradas!$H25</f>
        <v>4929</v>
      </c>
      <c r="AD9" s="13">
        <f>[28]entradas!$H25</f>
        <v>13462</v>
      </c>
      <c r="AE9" s="13">
        <f>[29]entradas!$H25</f>
        <v>13572</v>
      </c>
      <c r="AF9" s="13">
        <f>[30]entradas!$H25</f>
        <v>13577</v>
      </c>
      <c r="AG9" s="13">
        <f>[31]entradas!$H25</f>
        <v>13779</v>
      </c>
      <c r="AH9" s="13">
        <f>[32]entradas!$H25</f>
        <v>13652</v>
      </c>
      <c r="AI9" s="13">
        <f>[33]entradas!$H25</f>
        <v>10745</v>
      </c>
      <c r="AJ9" s="13">
        <f>[34]entradas!$H25</f>
        <v>4954</v>
      </c>
    </row>
    <row r="10" spans="1:36" x14ac:dyDescent="0.2">
      <c r="A10" s="424"/>
      <c r="B10" s="67" t="s">
        <v>214</v>
      </c>
      <c r="C10" s="55">
        <f>[1]entradas!$H26</f>
        <v>5044</v>
      </c>
      <c r="D10" s="55">
        <f>[2]entradas!$H26</f>
        <v>5129</v>
      </c>
      <c r="E10" s="55">
        <f>[3]entradas!$H26</f>
        <v>5485</v>
      </c>
      <c r="F10" s="55">
        <f>[4]entradas!$H26</f>
        <v>5657</v>
      </c>
      <c r="G10" s="55">
        <f>[5]entradas!$H26</f>
        <v>3546</v>
      </c>
      <c r="H10" s="55">
        <f>[6]entradas!$H26</f>
        <v>1942</v>
      </c>
      <c r="I10" s="55">
        <f>[7]entradas!$H26</f>
        <v>4443</v>
      </c>
      <c r="J10" s="55">
        <f>[8]entradas!$H26</f>
        <v>4514</v>
      </c>
      <c r="K10" s="55">
        <f>[9]entradas!$H26</f>
        <v>4062</v>
      </c>
      <c r="L10" s="55">
        <f>[10]entradas!$H26</f>
        <v>4605</v>
      </c>
      <c r="M10" s="55">
        <f>[11]entradas!$H26</f>
        <v>4351</v>
      </c>
      <c r="N10" s="55">
        <f>[12]entradas!$H26</f>
        <v>3665</v>
      </c>
      <c r="O10" s="55">
        <f>[13]entradas!$H26</f>
        <v>1868</v>
      </c>
      <c r="P10" s="55">
        <f>[14]entradas!$H26</f>
        <v>4862</v>
      </c>
      <c r="Q10" s="55">
        <f>[15]entradas!$H26</f>
        <v>3949</v>
      </c>
      <c r="R10" s="55">
        <f>[16]entradas!$H26</f>
        <v>4315</v>
      </c>
      <c r="S10" s="55">
        <f>[17]entradas!$H26</f>
        <v>4298</v>
      </c>
      <c r="T10" s="55">
        <f>[18]entradas!$H26</f>
        <v>4621</v>
      </c>
      <c r="U10" s="55">
        <f>[19]entradas!$H26</f>
        <v>3612</v>
      </c>
      <c r="V10" s="55">
        <f>[20]entradas!$H26</f>
        <v>2044</v>
      </c>
      <c r="W10" s="55">
        <f>[21]entradas!$H26</f>
        <v>4519</v>
      </c>
      <c r="X10" s="55">
        <f>[22]entradas!$H26</f>
        <v>4588</v>
      </c>
      <c r="Y10" s="55">
        <f>[23]entradas!$H26</f>
        <v>4342</v>
      </c>
      <c r="Z10" s="55">
        <f>[24]entradas!$H26</f>
        <v>4296</v>
      </c>
      <c r="AA10" s="55">
        <f>[25]entradas!$H26</f>
        <v>3849</v>
      </c>
      <c r="AB10" s="55">
        <f>[26]entradas!$H26</f>
        <v>3711</v>
      </c>
      <c r="AC10" s="55">
        <f>[27]entradas!$H26</f>
        <v>1922</v>
      </c>
      <c r="AD10" s="55">
        <f>[28]entradas!$H26</f>
        <v>4590</v>
      </c>
      <c r="AE10" s="55">
        <f>[29]entradas!$H26</f>
        <v>3833</v>
      </c>
      <c r="AF10" s="55">
        <f>[30]entradas!$H26</f>
        <v>4081</v>
      </c>
      <c r="AG10" s="55">
        <f>[31]entradas!$H26</f>
        <v>4615</v>
      </c>
      <c r="AH10" s="55">
        <f>[32]entradas!$H26</f>
        <v>3888</v>
      </c>
      <c r="AI10" s="55">
        <f>[33]entradas!$H26</f>
        <v>3790</v>
      </c>
      <c r="AJ10" s="55">
        <f>[34]entradas!$H26</f>
        <v>1965</v>
      </c>
    </row>
    <row r="11" spans="1:36" x14ac:dyDescent="0.2">
      <c r="A11" s="424"/>
      <c r="B11" s="68" t="s">
        <v>215</v>
      </c>
      <c r="C11" s="55">
        <f>[1]entradas!$H27</f>
        <v>2382</v>
      </c>
      <c r="D11" s="55">
        <f>[2]entradas!$H27</f>
        <v>2204</v>
      </c>
      <c r="E11" s="55">
        <f>[3]entradas!$H27</f>
        <v>2317</v>
      </c>
      <c r="F11" s="55">
        <f>[4]entradas!$H27</f>
        <v>2516</v>
      </c>
      <c r="G11" s="55">
        <f>[5]entradas!$H27</f>
        <v>1766</v>
      </c>
      <c r="H11" s="55">
        <f>[6]entradas!$H27</f>
        <v>804</v>
      </c>
      <c r="I11" s="55">
        <f>[7]entradas!$H27</f>
        <v>2197</v>
      </c>
      <c r="J11" s="55">
        <f>[8]entradas!$H27</f>
        <v>2584</v>
      </c>
      <c r="K11" s="55">
        <f>[9]entradas!$H27</f>
        <v>2250</v>
      </c>
      <c r="L11" s="55">
        <f>[10]entradas!$H27</f>
        <v>2190</v>
      </c>
      <c r="M11" s="55">
        <f>[11]entradas!$H27</f>
        <v>1998</v>
      </c>
      <c r="N11" s="55">
        <f>[12]entradas!$H27</f>
        <v>1438</v>
      </c>
      <c r="O11" s="55">
        <f>[13]entradas!$H27</f>
        <v>750</v>
      </c>
      <c r="P11" s="55">
        <f>[14]entradas!$H27</f>
        <v>2210</v>
      </c>
      <c r="Q11" s="55">
        <f>[15]entradas!$H27</f>
        <v>2478</v>
      </c>
      <c r="R11" s="55">
        <f>[16]entradas!$H27</f>
        <v>2164</v>
      </c>
      <c r="S11" s="55">
        <f>[17]entradas!$H27</f>
        <v>2144</v>
      </c>
      <c r="T11" s="55">
        <f>[18]entradas!$H27</f>
        <v>2342</v>
      </c>
      <c r="U11" s="55">
        <f>[19]entradas!$H27</f>
        <v>1515</v>
      </c>
      <c r="V11" s="55">
        <f>[20]entradas!$H27</f>
        <v>897</v>
      </c>
      <c r="W11" s="55">
        <f>[21]entradas!$H27</f>
        <v>2283</v>
      </c>
      <c r="X11" s="55">
        <f>[22]entradas!$H27</f>
        <v>2307</v>
      </c>
      <c r="Y11" s="55">
        <f>[23]entradas!$H27</f>
        <v>2273</v>
      </c>
      <c r="Z11" s="55">
        <f>[24]entradas!$H27</f>
        <v>2221</v>
      </c>
      <c r="AA11" s="55">
        <f>[25]entradas!$H27</f>
        <v>2177</v>
      </c>
      <c r="AB11" s="55">
        <f>[26]entradas!$H27</f>
        <v>1546</v>
      </c>
      <c r="AC11" s="55">
        <f>[27]entradas!$H27</f>
        <v>834</v>
      </c>
      <c r="AD11" s="55">
        <f>[28]entradas!$H27</f>
        <v>2496</v>
      </c>
      <c r="AE11" s="55">
        <f>[29]entradas!$H27</f>
        <v>2539</v>
      </c>
      <c r="AF11" s="55">
        <f>[30]entradas!$H27</f>
        <v>2454</v>
      </c>
      <c r="AG11" s="55">
        <f>[31]entradas!$H27</f>
        <v>2421</v>
      </c>
      <c r="AH11" s="55">
        <f>[32]entradas!$H27</f>
        <v>2414</v>
      </c>
      <c r="AI11" s="55">
        <f>[33]entradas!$H27</f>
        <v>1685</v>
      </c>
      <c r="AJ11" s="55">
        <f>[34]entradas!$H27</f>
        <v>875</v>
      </c>
    </row>
    <row r="12" spans="1:36" x14ac:dyDescent="0.2">
      <c r="A12" s="424"/>
      <c r="B12" s="39" t="s">
        <v>7</v>
      </c>
      <c r="C12" s="13">
        <f>[1]entradas!$H28</f>
        <v>7978</v>
      </c>
      <c r="D12" s="13">
        <f>[2]entradas!$H28</f>
        <v>7882</v>
      </c>
      <c r="E12" s="13">
        <f>[3]entradas!$H28</f>
        <v>8135</v>
      </c>
      <c r="F12" s="13">
        <f>[4]entradas!$H28</f>
        <v>8244</v>
      </c>
      <c r="G12" s="13">
        <f>[5]entradas!$H28</f>
        <v>5121</v>
      </c>
      <c r="H12" s="13">
        <f>[6]entradas!$H28</f>
        <v>1749</v>
      </c>
      <c r="I12" s="13">
        <f>[7]entradas!$H28</f>
        <v>8045</v>
      </c>
      <c r="J12" s="13">
        <f>[8]entradas!$H28</f>
        <v>8224</v>
      </c>
      <c r="K12" s="13">
        <f>[9]entradas!$H28</f>
        <v>7886</v>
      </c>
      <c r="L12" s="13">
        <f>[10]entradas!$H28</f>
        <v>8141</v>
      </c>
      <c r="M12" s="13">
        <f>[11]entradas!$H28</f>
        <v>8115</v>
      </c>
      <c r="N12" s="13">
        <f>[12]entradas!$H28</f>
        <v>5109</v>
      </c>
      <c r="O12" s="13">
        <f>[13]entradas!$H28</f>
        <v>1475</v>
      </c>
      <c r="P12" s="13">
        <f>[14]entradas!$H28</f>
        <v>8417</v>
      </c>
      <c r="Q12" s="13">
        <f>[15]entradas!$H28</f>
        <v>8250</v>
      </c>
      <c r="R12" s="13">
        <f>[16]entradas!$H28</f>
        <v>8090</v>
      </c>
      <c r="S12" s="13">
        <f>[17]entradas!$H28</f>
        <v>8152</v>
      </c>
      <c r="T12" s="13">
        <f>[18]entradas!$H28</f>
        <v>8200</v>
      </c>
      <c r="U12" s="13">
        <f>[19]entradas!$H28</f>
        <v>5729</v>
      </c>
      <c r="V12" s="13">
        <f>[20]entradas!$H28</f>
        <v>1556</v>
      </c>
      <c r="W12" s="13">
        <f>[21]entradas!$H28</f>
        <v>7816</v>
      </c>
      <c r="X12" s="13">
        <f>[22]entradas!$H28</f>
        <v>8000</v>
      </c>
      <c r="Y12" s="13">
        <f>[23]entradas!$H28</f>
        <v>7698</v>
      </c>
      <c r="Z12" s="13">
        <f>[24]entradas!$H28</f>
        <v>8030</v>
      </c>
      <c r="AA12" s="13">
        <f>[25]entradas!$H28</f>
        <v>8215</v>
      </c>
      <c r="AB12" s="13">
        <f>[26]entradas!$H28</f>
        <v>5227</v>
      </c>
      <c r="AC12" s="13">
        <f>[27]entradas!$H28</f>
        <v>1566</v>
      </c>
      <c r="AD12" s="13">
        <f>[28]entradas!$H28</f>
        <v>7840</v>
      </c>
      <c r="AE12" s="13">
        <f>[29]entradas!$H28</f>
        <v>8295</v>
      </c>
      <c r="AF12" s="13">
        <f>[30]entradas!$H28</f>
        <v>8056</v>
      </c>
      <c r="AG12" s="13">
        <f>[31]entradas!$H28</f>
        <v>8097</v>
      </c>
      <c r="AH12" s="13">
        <f>[32]entradas!$H28</f>
        <v>8382</v>
      </c>
      <c r="AI12" s="13">
        <f>[33]entradas!$H28</f>
        <v>5320</v>
      </c>
      <c r="AJ12" s="13">
        <f>[34]entradas!$H28</f>
        <v>1666</v>
      </c>
    </row>
    <row r="13" spans="1:36" x14ac:dyDescent="0.2">
      <c r="A13" s="424"/>
      <c r="B13" s="39" t="s">
        <v>8</v>
      </c>
      <c r="C13" s="13">
        <f>[1]entradas!$H29</f>
        <v>3448</v>
      </c>
      <c r="D13" s="13">
        <f>[2]entradas!$H29</f>
        <v>3447</v>
      </c>
      <c r="E13" s="13">
        <f>[3]entradas!$H29</f>
        <v>3619</v>
      </c>
      <c r="F13" s="13">
        <f>[4]entradas!$H29</f>
        <v>3529</v>
      </c>
      <c r="G13" s="13">
        <f>[5]entradas!$H29</f>
        <v>2321</v>
      </c>
      <c r="H13" s="13">
        <f>[6]entradas!$H29</f>
        <v>910</v>
      </c>
      <c r="I13" s="13">
        <f>[7]entradas!$H29</f>
        <v>3507</v>
      </c>
      <c r="J13" s="13">
        <f>[8]entradas!$H29</f>
        <v>3527</v>
      </c>
      <c r="K13" s="13">
        <f>[9]entradas!$H29</f>
        <v>3583</v>
      </c>
      <c r="L13" s="13">
        <f>[10]entradas!$H29</f>
        <v>3492</v>
      </c>
      <c r="M13" s="13">
        <f>[11]entradas!$H29</f>
        <v>3549</v>
      </c>
      <c r="N13" s="13">
        <f>[12]entradas!$H29</f>
        <v>2348</v>
      </c>
      <c r="O13" s="13">
        <f>[13]entradas!$H29</f>
        <v>861</v>
      </c>
      <c r="P13" s="13">
        <f>[14]entradas!$H29</f>
        <v>3775</v>
      </c>
      <c r="Q13" s="13">
        <f>[15]entradas!$H29</f>
        <v>3760</v>
      </c>
      <c r="R13" s="13">
        <f>[16]entradas!$H29</f>
        <v>3581</v>
      </c>
      <c r="S13" s="13">
        <f>[17]entradas!$H29</f>
        <v>3625</v>
      </c>
      <c r="T13" s="13">
        <f>[18]entradas!$H29</f>
        <v>3671</v>
      </c>
      <c r="U13" s="13">
        <f>[19]entradas!$H29</f>
        <v>2461</v>
      </c>
      <c r="V13" s="13">
        <f>[20]entradas!$H29</f>
        <v>923</v>
      </c>
      <c r="W13" s="13">
        <f>[21]entradas!$H29</f>
        <v>3527</v>
      </c>
      <c r="X13" s="13">
        <f>[22]entradas!$H29</f>
        <v>3491</v>
      </c>
      <c r="Y13" s="13">
        <f>[23]entradas!$H29</f>
        <v>3559</v>
      </c>
      <c r="Z13" s="13">
        <f>[24]entradas!$H29</f>
        <v>3573</v>
      </c>
      <c r="AA13" s="13">
        <f>[25]entradas!$H29</f>
        <v>3631</v>
      </c>
      <c r="AB13" s="13">
        <f>[26]entradas!$H29</f>
        <v>2492</v>
      </c>
      <c r="AC13" s="13">
        <f>[27]entradas!$H29</f>
        <v>913</v>
      </c>
      <c r="AD13" s="13">
        <f>[28]entradas!$H29</f>
        <v>3529</v>
      </c>
      <c r="AE13" s="13">
        <f>[29]entradas!$H29</f>
        <v>3640</v>
      </c>
      <c r="AF13" s="13">
        <f>[30]entradas!$H29</f>
        <v>3704</v>
      </c>
      <c r="AG13" s="13">
        <f>[31]entradas!$H29</f>
        <v>3704</v>
      </c>
      <c r="AH13" s="13">
        <f>[32]entradas!$H29</f>
        <v>3799</v>
      </c>
      <c r="AI13" s="13">
        <f>[33]entradas!$H29</f>
        <v>2577</v>
      </c>
      <c r="AJ13" s="13">
        <f>[34]entradas!$H29</f>
        <v>838</v>
      </c>
    </row>
    <row r="14" spans="1:36" x14ac:dyDescent="0.2">
      <c r="A14" s="424"/>
      <c r="B14" s="39" t="s">
        <v>9</v>
      </c>
      <c r="C14" s="13">
        <f>[1]entradas!$H30</f>
        <v>4564</v>
      </c>
      <c r="D14" s="13">
        <f>[2]entradas!$H30</f>
        <v>4578</v>
      </c>
      <c r="E14" s="13">
        <f>[3]entradas!$H30</f>
        <v>4400</v>
      </c>
      <c r="F14" s="13">
        <f>[4]entradas!$H30</f>
        <v>4620</v>
      </c>
      <c r="G14" s="13">
        <f>[5]entradas!$H30</f>
        <v>3844</v>
      </c>
      <c r="H14" s="13">
        <f>[6]entradas!$H30</f>
        <v>1837</v>
      </c>
      <c r="I14" s="13">
        <f>[7]entradas!$H30</f>
        <v>4332</v>
      </c>
      <c r="J14" s="13">
        <f>[8]entradas!$H30</f>
        <v>4421</v>
      </c>
      <c r="K14" s="13">
        <f>[9]entradas!$H30</f>
        <v>4390</v>
      </c>
      <c r="L14" s="13">
        <f>[10]entradas!$H30</f>
        <v>4342</v>
      </c>
      <c r="M14" s="13">
        <f>[11]entradas!$H30</f>
        <v>4408</v>
      </c>
      <c r="N14" s="13">
        <f>[12]entradas!$H30</f>
        <v>3611</v>
      </c>
      <c r="O14" s="13">
        <f>[13]entradas!$H30</f>
        <v>1608</v>
      </c>
      <c r="P14" s="13">
        <f>[14]entradas!$H30</f>
        <v>4423</v>
      </c>
      <c r="Q14" s="13">
        <f>[15]entradas!$H30</f>
        <v>4507</v>
      </c>
      <c r="R14" s="13">
        <f>[16]entradas!$H30</f>
        <v>4616</v>
      </c>
      <c r="S14" s="13">
        <f>[17]entradas!$H30</f>
        <v>4490</v>
      </c>
      <c r="T14" s="13">
        <f>[18]entradas!$H30</f>
        <v>4670</v>
      </c>
      <c r="U14" s="13">
        <f>[19]entradas!$H30</f>
        <v>3647</v>
      </c>
      <c r="V14" s="13">
        <f>[20]entradas!$H30</f>
        <v>1850</v>
      </c>
      <c r="W14" s="13">
        <f>[21]entradas!$H30</f>
        <v>4361</v>
      </c>
      <c r="X14" s="13">
        <f>[22]entradas!$H30</f>
        <v>4597</v>
      </c>
      <c r="Y14" s="13">
        <f>[23]entradas!$H30</f>
        <v>4557</v>
      </c>
      <c r="Z14" s="13">
        <f>[24]entradas!$H30</f>
        <v>4429</v>
      </c>
      <c r="AA14" s="13">
        <f>[25]entradas!$H30</f>
        <v>4545</v>
      </c>
      <c r="AB14" s="13">
        <f>[26]entradas!$H30</f>
        <v>3761</v>
      </c>
      <c r="AC14" s="13">
        <f>[27]entradas!$H30</f>
        <v>2064</v>
      </c>
      <c r="AD14" s="13">
        <f>[28]entradas!$H30</f>
        <v>4684</v>
      </c>
      <c r="AE14" s="13">
        <f>[29]entradas!$H30</f>
        <v>4735</v>
      </c>
      <c r="AF14" s="13">
        <f>[30]entradas!$H30</f>
        <v>4750</v>
      </c>
      <c r="AG14" s="13">
        <f>[31]entradas!$H30</f>
        <v>4649</v>
      </c>
      <c r="AH14" s="13">
        <f>[32]entradas!$H30</f>
        <v>4886</v>
      </c>
      <c r="AI14" s="13">
        <f>[33]entradas!$H30</f>
        <v>3980</v>
      </c>
      <c r="AJ14" s="13">
        <f>[34]entradas!$H30</f>
        <v>1855</v>
      </c>
    </row>
    <row r="15" spans="1:36" x14ac:dyDescent="0.2">
      <c r="A15" s="424"/>
      <c r="B15" s="39" t="s">
        <v>10</v>
      </c>
      <c r="C15" s="13">
        <f>[1]entradas!$H31</f>
        <v>10628</v>
      </c>
      <c r="D15" s="13">
        <f>[2]entradas!$H31</f>
        <v>10480</v>
      </c>
      <c r="E15" s="13">
        <f>[3]entradas!$H31</f>
        <v>9963</v>
      </c>
      <c r="F15" s="13">
        <f>[4]entradas!$H31</f>
        <v>10408</v>
      </c>
      <c r="G15" s="13">
        <f>[5]entradas!$H31</f>
        <v>7152</v>
      </c>
      <c r="H15" s="13">
        <f>[6]entradas!$H31</f>
        <v>3386</v>
      </c>
      <c r="I15" s="13">
        <f>[7]entradas!$H31</f>
        <v>10269</v>
      </c>
      <c r="J15" s="13">
        <f>[8]entradas!$H31</f>
        <v>10292</v>
      </c>
      <c r="K15" s="13">
        <f>[9]entradas!$H31</f>
        <v>9993</v>
      </c>
      <c r="L15" s="13">
        <f>[10]entradas!$H31</f>
        <v>10040</v>
      </c>
      <c r="M15" s="13">
        <f>[11]entradas!$H31</f>
        <v>10213</v>
      </c>
      <c r="N15" s="13">
        <f>[12]entradas!$H31</f>
        <v>6925</v>
      </c>
      <c r="O15" s="13">
        <f>[13]entradas!$H31</f>
        <v>3309</v>
      </c>
      <c r="P15" s="13">
        <f>[14]entradas!$H31</f>
        <v>10751</v>
      </c>
      <c r="Q15" s="13">
        <f>[15]entradas!$H31</f>
        <v>10205</v>
      </c>
      <c r="R15" s="13">
        <f>[16]entradas!$H31</f>
        <v>10202</v>
      </c>
      <c r="S15" s="13">
        <f>[17]entradas!$H31</f>
        <v>10291</v>
      </c>
      <c r="T15" s="13">
        <f>[18]entradas!$H31</f>
        <v>10660</v>
      </c>
      <c r="U15" s="13">
        <f>[19]entradas!$H31</f>
        <v>7075</v>
      </c>
      <c r="V15" s="13">
        <f>[20]entradas!$H31</f>
        <v>3337</v>
      </c>
      <c r="W15" s="13">
        <f>[21]entradas!$H31</f>
        <v>10171</v>
      </c>
      <c r="X15" s="13">
        <f>[22]entradas!$H31</f>
        <v>10145</v>
      </c>
      <c r="Y15" s="13">
        <f>[23]entradas!$H31</f>
        <v>10088</v>
      </c>
      <c r="Z15" s="13">
        <f>[24]entradas!$H31</f>
        <v>10073</v>
      </c>
      <c r="AA15" s="13">
        <f>[25]entradas!$H31</f>
        <v>10563</v>
      </c>
      <c r="AB15" s="13">
        <f>[26]entradas!$H31</f>
        <v>6941</v>
      </c>
      <c r="AC15" s="13">
        <f>[27]entradas!$H31</f>
        <v>3257</v>
      </c>
      <c r="AD15" s="13">
        <f>[28]entradas!$H31</f>
        <v>10577</v>
      </c>
      <c r="AE15" s="13">
        <f>[29]entradas!$H31</f>
        <v>10842</v>
      </c>
      <c r="AF15" s="13">
        <f>[30]entradas!$H31</f>
        <v>10503</v>
      </c>
      <c r="AG15" s="13">
        <f>[31]entradas!$H31</f>
        <v>10654</v>
      </c>
      <c r="AH15" s="13">
        <f>[32]entradas!$H31</f>
        <v>11014</v>
      </c>
      <c r="AI15" s="13">
        <f>[33]entradas!$H31</f>
        <v>7136</v>
      </c>
      <c r="AJ15" s="13">
        <f>[34]entradas!$H31</f>
        <v>3245</v>
      </c>
    </row>
    <row r="16" spans="1:36" x14ac:dyDescent="0.2">
      <c r="A16" s="424"/>
      <c r="B16" s="39" t="s">
        <v>11</v>
      </c>
      <c r="C16" s="13">
        <f>[1]entradas!$H32</f>
        <v>3893</v>
      </c>
      <c r="D16" s="13">
        <f>[2]entradas!$H32</f>
        <v>3824</v>
      </c>
      <c r="E16" s="13">
        <f>[3]entradas!$H32</f>
        <v>3953</v>
      </c>
      <c r="F16" s="13">
        <f>[4]entradas!$H32</f>
        <v>3910</v>
      </c>
      <c r="G16" s="13">
        <f>[5]entradas!$H32</f>
        <v>2583</v>
      </c>
      <c r="H16" s="13">
        <f>[6]entradas!$H32</f>
        <v>1330</v>
      </c>
      <c r="I16" s="13">
        <f>[7]entradas!$H32</f>
        <v>3822</v>
      </c>
      <c r="J16" s="13">
        <f>[8]entradas!$H32</f>
        <v>3931</v>
      </c>
      <c r="K16" s="13">
        <f>[9]entradas!$H32</f>
        <v>3855</v>
      </c>
      <c r="L16" s="13">
        <f>[10]entradas!$H32</f>
        <v>3818</v>
      </c>
      <c r="M16" s="13">
        <f>[11]entradas!$H32</f>
        <v>3762</v>
      </c>
      <c r="N16" s="13">
        <f>[12]entradas!$H32</f>
        <v>2628</v>
      </c>
      <c r="O16" s="13">
        <f>[13]entradas!$H32</f>
        <v>1203</v>
      </c>
      <c r="P16" s="13">
        <f>[14]entradas!$H32</f>
        <v>3946</v>
      </c>
      <c r="Q16" s="13">
        <f>[15]entradas!$H32</f>
        <v>3938</v>
      </c>
      <c r="R16" s="13">
        <f>[16]entradas!$H32</f>
        <v>3698</v>
      </c>
      <c r="S16" s="13">
        <f>[17]entradas!$H32</f>
        <v>3835</v>
      </c>
      <c r="T16" s="13">
        <f>[18]entradas!$H32</f>
        <v>4048</v>
      </c>
      <c r="U16" s="13">
        <f>[19]entradas!$H32</f>
        <v>2596</v>
      </c>
      <c r="V16" s="13">
        <f>[20]entradas!$H32</f>
        <v>1269</v>
      </c>
      <c r="W16" s="13">
        <f>[21]entradas!$H32</f>
        <v>3802</v>
      </c>
      <c r="X16" s="13">
        <f>[22]entradas!$H32</f>
        <v>3946</v>
      </c>
      <c r="Y16" s="13">
        <f>[23]entradas!$H32</f>
        <v>3774</v>
      </c>
      <c r="Z16" s="13">
        <f>[24]entradas!$H32</f>
        <v>3753</v>
      </c>
      <c r="AA16" s="13">
        <f>[25]entradas!$H32</f>
        <v>3938</v>
      </c>
      <c r="AB16" s="13">
        <f>[26]entradas!$H32</f>
        <v>2694</v>
      </c>
      <c r="AC16" s="13">
        <f>[27]entradas!$H32</f>
        <v>1297</v>
      </c>
      <c r="AD16" s="13">
        <f>[28]entradas!$H32</f>
        <v>3840</v>
      </c>
      <c r="AE16" s="13">
        <f>[29]entradas!$H32</f>
        <v>4016</v>
      </c>
      <c r="AF16" s="13">
        <f>[30]entradas!$H32</f>
        <v>3915</v>
      </c>
      <c r="AG16" s="13">
        <f>[31]entradas!$H32</f>
        <v>4020</v>
      </c>
      <c r="AH16" s="13">
        <f>[32]entradas!$H32</f>
        <v>4087</v>
      </c>
      <c r="AI16" s="13">
        <f>[33]entradas!$H32</f>
        <v>2834</v>
      </c>
      <c r="AJ16" s="13">
        <f>[34]entradas!$H32</f>
        <v>1223</v>
      </c>
    </row>
    <row r="17" spans="1:36" x14ac:dyDescent="0.2">
      <c r="A17" s="424"/>
      <c r="B17" s="39" t="s">
        <v>12</v>
      </c>
      <c r="C17" s="13">
        <f>[1]entradas!$H33</f>
        <v>3225</v>
      </c>
      <c r="D17" s="13">
        <f>[2]entradas!$H33</f>
        <v>3243</v>
      </c>
      <c r="E17" s="13">
        <f>[3]entradas!$H33</f>
        <v>3175</v>
      </c>
      <c r="F17" s="13">
        <f>[4]entradas!$H33</f>
        <v>3278</v>
      </c>
      <c r="G17" s="13">
        <f>[5]entradas!$H33</f>
        <v>2390</v>
      </c>
      <c r="H17" s="13">
        <f>[6]entradas!$H33</f>
        <v>1344</v>
      </c>
      <c r="I17" s="13">
        <f>[7]entradas!$H33</f>
        <v>2976</v>
      </c>
      <c r="J17" s="13">
        <f>[8]entradas!$H33</f>
        <v>3160</v>
      </c>
      <c r="K17" s="13">
        <f>[9]entradas!$H33</f>
        <v>3105</v>
      </c>
      <c r="L17" s="13">
        <f>[10]entradas!$H33</f>
        <v>3093</v>
      </c>
      <c r="M17" s="13">
        <f>[11]entradas!$H33</f>
        <v>3145</v>
      </c>
      <c r="N17" s="13">
        <f>[12]entradas!$H33</f>
        <v>2340</v>
      </c>
      <c r="O17" s="13">
        <f>[13]entradas!$H33</f>
        <v>1391</v>
      </c>
      <c r="P17" s="13">
        <f>[14]entradas!$H33</f>
        <v>3100</v>
      </c>
      <c r="Q17" s="13">
        <f>[15]entradas!$H33</f>
        <v>3085</v>
      </c>
      <c r="R17" s="13">
        <f>[16]entradas!$H33</f>
        <v>3173</v>
      </c>
      <c r="S17" s="13">
        <f>[17]entradas!$H33</f>
        <v>3187</v>
      </c>
      <c r="T17" s="13">
        <f>[18]entradas!$H33</f>
        <v>3522</v>
      </c>
      <c r="U17" s="13">
        <f>[19]entradas!$H33</f>
        <v>2437</v>
      </c>
      <c r="V17" s="13">
        <f>[20]entradas!$H33</f>
        <v>1393</v>
      </c>
      <c r="W17" s="13">
        <f>[21]entradas!$H33</f>
        <v>3017</v>
      </c>
      <c r="X17" s="13">
        <f>[22]entradas!$H33</f>
        <v>3185</v>
      </c>
      <c r="Y17" s="13">
        <f>[23]entradas!$H33</f>
        <v>3129</v>
      </c>
      <c r="Z17" s="13">
        <f>[24]entradas!$H33</f>
        <v>3144</v>
      </c>
      <c r="AA17" s="13">
        <f>[25]entradas!$H33</f>
        <v>3346</v>
      </c>
      <c r="AB17" s="13">
        <f>[26]entradas!$H33</f>
        <v>2504</v>
      </c>
      <c r="AC17" s="13">
        <f>[27]entradas!$H33</f>
        <v>1462</v>
      </c>
      <c r="AD17" s="13">
        <f>[28]entradas!$H33</f>
        <v>3048</v>
      </c>
      <c r="AE17" s="13">
        <f>[29]entradas!$H33</f>
        <v>3216</v>
      </c>
      <c r="AF17" s="13">
        <f>[30]entradas!$H33</f>
        <v>3195</v>
      </c>
      <c r="AG17" s="13">
        <f>[31]entradas!$H33</f>
        <v>3257</v>
      </c>
      <c r="AH17" s="13">
        <f>[32]entradas!$H33</f>
        <v>3310</v>
      </c>
      <c r="AI17" s="13">
        <f>[33]entradas!$H33</f>
        <v>2562</v>
      </c>
      <c r="AJ17" s="13">
        <f>[34]entradas!$H33</f>
        <v>1328</v>
      </c>
    </row>
    <row r="18" spans="1:36" x14ac:dyDescent="0.2">
      <c r="A18" s="424"/>
      <c r="B18" s="39" t="s">
        <v>13</v>
      </c>
      <c r="C18" s="13">
        <f>[1]entradas!$H34</f>
        <v>2823</v>
      </c>
      <c r="D18" s="13">
        <f>[2]entradas!$H34</f>
        <v>2957</v>
      </c>
      <c r="E18" s="13">
        <f>[3]entradas!$H34</f>
        <v>2812</v>
      </c>
      <c r="F18" s="13">
        <f>[4]entradas!$H34</f>
        <v>2735</v>
      </c>
      <c r="G18" s="13">
        <f>[5]entradas!$H34</f>
        <v>2319</v>
      </c>
      <c r="H18" s="13">
        <f>[6]entradas!$H34</f>
        <v>1153</v>
      </c>
      <c r="I18" s="13">
        <f>[7]entradas!$H34</f>
        <v>2862</v>
      </c>
      <c r="J18" s="13">
        <f>[8]entradas!$H34</f>
        <v>2865</v>
      </c>
      <c r="K18" s="13">
        <f>[9]entradas!$H34</f>
        <v>2935</v>
      </c>
      <c r="L18" s="13">
        <f>[10]entradas!$H34</f>
        <v>2893</v>
      </c>
      <c r="M18" s="13">
        <f>[11]entradas!$H34</f>
        <v>2895</v>
      </c>
      <c r="N18" s="13">
        <f>[12]entradas!$H34</f>
        <v>2231</v>
      </c>
      <c r="O18" s="13">
        <f>[13]entradas!$H34</f>
        <v>1093</v>
      </c>
      <c r="P18" s="13">
        <f>[14]entradas!$H34</f>
        <v>2820</v>
      </c>
      <c r="Q18" s="13">
        <f>[15]entradas!$H34</f>
        <v>2882</v>
      </c>
      <c r="R18" s="13">
        <f>[16]entradas!$H34</f>
        <v>2769</v>
      </c>
      <c r="S18" s="13">
        <f>[17]entradas!$H34</f>
        <v>2801</v>
      </c>
      <c r="T18" s="13">
        <f>[18]entradas!$H34</f>
        <v>2848</v>
      </c>
      <c r="U18" s="13">
        <f>[19]entradas!$H34</f>
        <v>2145</v>
      </c>
      <c r="V18" s="13">
        <f>[20]entradas!$H34</f>
        <v>1519</v>
      </c>
      <c r="W18" s="13">
        <f>[21]entradas!$H34</f>
        <v>2775</v>
      </c>
      <c r="X18" s="13">
        <f>[22]entradas!$H34</f>
        <v>2839</v>
      </c>
      <c r="Y18" s="13">
        <f>[23]entradas!$H34</f>
        <v>2834</v>
      </c>
      <c r="Z18" s="13">
        <f>[24]entradas!$H34</f>
        <v>2751</v>
      </c>
      <c r="AA18" s="13">
        <f>[25]entradas!$H34</f>
        <v>2830</v>
      </c>
      <c r="AB18" s="13">
        <f>[26]entradas!$H34</f>
        <v>2266</v>
      </c>
      <c r="AC18" s="13">
        <f>[27]entradas!$H34</f>
        <v>1235</v>
      </c>
      <c r="AD18" s="13">
        <f>[28]entradas!$H34</f>
        <v>2786</v>
      </c>
      <c r="AE18" s="13">
        <f>[29]entradas!$H34</f>
        <v>3059</v>
      </c>
      <c r="AF18" s="13">
        <f>[30]entradas!$H34</f>
        <v>2914</v>
      </c>
      <c r="AG18" s="13">
        <f>[31]entradas!$H34</f>
        <v>2877</v>
      </c>
      <c r="AH18" s="13">
        <f>[32]entradas!$H34</f>
        <v>2903</v>
      </c>
      <c r="AI18" s="13">
        <f>[33]entradas!$H34</f>
        <v>2319</v>
      </c>
      <c r="AJ18" s="13">
        <f>[34]entradas!$H34</f>
        <v>1218</v>
      </c>
    </row>
    <row r="19" spans="1:36" x14ac:dyDescent="0.2">
      <c r="A19" s="424"/>
      <c r="B19" s="43" t="s">
        <v>14</v>
      </c>
      <c r="C19" s="13">
        <f>[1]entradas!$H35</f>
        <v>7152</v>
      </c>
      <c r="D19" s="13">
        <f>[2]entradas!$H35</f>
        <v>6958</v>
      </c>
      <c r="E19" s="13">
        <f>[3]entradas!$H35</f>
        <v>6652</v>
      </c>
      <c r="F19" s="13">
        <f>[4]entradas!$H35</f>
        <v>7127</v>
      </c>
      <c r="G19" s="13">
        <f>[5]entradas!$H35</f>
        <v>4480</v>
      </c>
      <c r="H19" s="13">
        <f>[6]entradas!$H35</f>
        <v>1581</v>
      </c>
      <c r="I19" s="13">
        <f>[7]entradas!$H35</f>
        <v>7049</v>
      </c>
      <c r="J19" s="13">
        <f>[8]entradas!$H35</f>
        <v>7102</v>
      </c>
      <c r="K19" s="13">
        <f>[9]entradas!$H35</f>
        <v>7177</v>
      </c>
      <c r="L19" s="13">
        <f>[10]entradas!$H35</f>
        <v>6989</v>
      </c>
      <c r="M19" s="13">
        <f>[11]entradas!$H35</f>
        <v>7051</v>
      </c>
      <c r="N19" s="13">
        <f>[12]entradas!$H35</f>
        <v>4597</v>
      </c>
      <c r="O19" s="13">
        <f>[13]entradas!$H35</f>
        <v>1456</v>
      </c>
      <c r="P19" s="13">
        <f>[14]entradas!$H35</f>
        <v>7040</v>
      </c>
      <c r="Q19" s="13">
        <f>[15]entradas!$H35</f>
        <v>6871</v>
      </c>
      <c r="R19" s="13">
        <f>[16]entradas!$H35</f>
        <v>6959</v>
      </c>
      <c r="S19" s="13">
        <f>[17]entradas!$H35</f>
        <v>6901</v>
      </c>
      <c r="T19" s="13">
        <f>[18]entradas!$H35</f>
        <v>7204</v>
      </c>
      <c r="U19" s="13">
        <f>[19]entradas!$H35</f>
        <v>4413</v>
      </c>
      <c r="V19" s="13">
        <f>[20]entradas!$H35</f>
        <v>1483</v>
      </c>
      <c r="W19" s="13">
        <f>[21]entradas!$H35</f>
        <v>6974</v>
      </c>
      <c r="X19" s="13">
        <f>[22]entradas!$H35</f>
        <v>6959</v>
      </c>
      <c r="Y19" s="13">
        <f>[23]entradas!$H35</f>
        <v>6893</v>
      </c>
      <c r="Z19" s="13">
        <f>[24]entradas!$H35</f>
        <v>6917</v>
      </c>
      <c r="AA19" s="13">
        <f>[25]entradas!$H35</f>
        <v>6960</v>
      </c>
      <c r="AB19" s="13">
        <f>[26]entradas!$H35</f>
        <v>4527</v>
      </c>
      <c r="AC19" s="13">
        <f>[27]entradas!$H35</f>
        <v>1535</v>
      </c>
      <c r="AD19" s="13">
        <f>[28]entradas!$H35</f>
        <v>7111</v>
      </c>
      <c r="AE19" s="13">
        <f>[29]entradas!$H35</f>
        <v>7020</v>
      </c>
      <c r="AF19" s="13">
        <f>[30]entradas!$H35</f>
        <v>7118</v>
      </c>
      <c r="AG19" s="13">
        <f>[31]entradas!$H35</f>
        <v>7080</v>
      </c>
      <c r="AH19" s="13">
        <f>[32]entradas!$H35</f>
        <v>7181</v>
      </c>
      <c r="AI19" s="13">
        <f>[33]entradas!$H35</f>
        <v>4560</v>
      </c>
      <c r="AJ19" s="13">
        <f>[34]entradas!$H35</f>
        <v>1576</v>
      </c>
    </row>
    <row r="20" spans="1:36" x14ac:dyDescent="0.2">
      <c r="A20" s="424"/>
      <c r="B20" s="43" t="s">
        <v>15</v>
      </c>
      <c r="C20" s="13">
        <f>[1]entradas!$H36</f>
        <v>24998</v>
      </c>
      <c r="D20" s="13">
        <f>[2]entradas!$H36</f>
        <v>25215</v>
      </c>
      <c r="E20" s="13">
        <f>[3]entradas!$H36</f>
        <v>24849</v>
      </c>
      <c r="F20" s="13">
        <f>[4]entradas!$H36</f>
        <v>24803</v>
      </c>
      <c r="G20" s="13">
        <f>[5]entradas!$H36</f>
        <v>12861</v>
      </c>
      <c r="H20" s="13">
        <f>[6]entradas!$H36</f>
        <v>2557</v>
      </c>
      <c r="I20" s="13">
        <f>[7]entradas!$H36</f>
        <v>25157</v>
      </c>
      <c r="J20" s="13">
        <f>[8]entradas!$H36</f>
        <v>26100</v>
      </c>
      <c r="K20" s="13">
        <f>[9]entradas!$H36</f>
        <v>25484</v>
      </c>
      <c r="L20" s="13">
        <f>[10]entradas!$H36</f>
        <v>25861</v>
      </c>
      <c r="M20" s="13">
        <f>[11]entradas!$H36</f>
        <v>24883</v>
      </c>
      <c r="N20" s="13">
        <f>[12]entradas!$H36</f>
        <v>13109</v>
      </c>
      <c r="O20" s="13">
        <f>[13]entradas!$H36</f>
        <v>2611</v>
      </c>
      <c r="P20" s="13">
        <f>[14]entradas!$H36</f>
        <v>25247</v>
      </c>
      <c r="Q20" s="13">
        <f>[15]entradas!$H36</f>
        <v>24633</v>
      </c>
      <c r="R20" s="13">
        <f>[16]entradas!$H36</f>
        <v>24845</v>
      </c>
      <c r="S20" s="13">
        <f>[17]entradas!$H36</f>
        <v>25743</v>
      </c>
      <c r="T20" s="13">
        <f>[18]entradas!$H36</f>
        <v>25896</v>
      </c>
      <c r="U20" s="13">
        <f>[19]entradas!$H36</f>
        <v>13031</v>
      </c>
      <c r="V20" s="13">
        <f>[20]entradas!$H36</f>
        <v>2670</v>
      </c>
      <c r="W20" s="13">
        <f>[21]entradas!$H36</f>
        <v>25422</v>
      </c>
      <c r="X20" s="13">
        <f>[22]entradas!$H36</f>
        <v>25921</v>
      </c>
      <c r="Y20" s="13">
        <f>[23]entradas!$H36</f>
        <v>25880</v>
      </c>
      <c r="Z20" s="13">
        <f>[24]entradas!$H36</f>
        <v>25755</v>
      </c>
      <c r="AA20" s="13">
        <f>[25]entradas!$H36</f>
        <v>24934</v>
      </c>
      <c r="AB20" s="13">
        <f>[26]entradas!$H36</f>
        <v>13004</v>
      </c>
      <c r="AC20" s="13">
        <f>[27]entradas!$H36</f>
        <v>2743</v>
      </c>
      <c r="AD20" s="13">
        <f>[28]entradas!$H36</f>
        <v>25191</v>
      </c>
      <c r="AE20" s="13">
        <f>[29]entradas!$H36</f>
        <v>26665</v>
      </c>
      <c r="AF20" s="13">
        <f>[30]entradas!$H36</f>
        <v>25957</v>
      </c>
      <c r="AG20" s="13">
        <f>[31]entradas!$H36</f>
        <v>26125</v>
      </c>
      <c r="AH20" s="13">
        <f>[32]entradas!$H36</f>
        <v>25549</v>
      </c>
      <c r="AI20" s="13">
        <f>[33]entradas!$H36</f>
        <v>13634</v>
      </c>
      <c r="AJ20" s="13">
        <f>[34]entradas!$H36</f>
        <v>2473</v>
      </c>
    </row>
    <row r="21" spans="1:36" x14ac:dyDescent="0.2">
      <c r="A21" s="424"/>
      <c r="B21" s="43" t="s">
        <v>17</v>
      </c>
      <c r="C21" s="13">
        <f>[1]entradas!$H37</f>
        <v>19958</v>
      </c>
      <c r="D21" s="13">
        <f>[2]entradas!$H37</f>
        <v>20271</v>
      </c>
      <c r="E21" s="13">
        <f>[3]entradas!$H37</f>
        <v>19966</v>
      </c>
      <c r="F21" s="13">
        <f>[4]entradas!$H37</f>
        <v>20244</v>
      </c>
      <c r="G21" s="13">
        <f>[5]entradas!$H37</f>
        <v>9786</v>
      </c>
      <c r="H21" s="13">
        <f>[6]entradas!$H37</f>
        <v>2688</v>
      </c>
      <c r="I21" s="13">
        <f>[7]entradas!$H37</f>
        <v>20001</v>
      </c>
      <c r="J21" s="13">
        <f>[8]entradas!$H37</f>
        <v>20388</v>
      </c>
      <c r="K21" s="13">
        <f>[9]entradas!$H37</f>
        <v>19670</v>
      </c>
      <c r="L21" s="13">
        <f>[10]entradas!$H37</f>
        <v>20443</v>
      </c>
      <c r="M21" s="13">
        <f>[11]entradas!$H37</f>
        <v>19829</v>
      </c>
      <c r="N21" s="13">
        <f>[12]entradas!$H37</f>
        <v>10089</v>
      </c>
      <c r="O21" s="13">
        <f>[13]entradas!$H37</f>
        <v>2787</v>
      </c>
      <c r="P21" s="13">
        <f>[14]entradas!$H37</f>
        <v>19596</v>
      </c>
      <c r="Q21" s="13">
        <f>[15]entradas!$H37</f>
        <v>19256</v>
      </c>
      <c r="R21" s="13">
        <f>[16]entradas!$H37</f>
        <v>19528</v>
      </c>
      <c r="S21" s="13">
        <f>[17]entradas!$H37</f>
        <v>19504</v>
      </c>
      <c r="T21" s="13">
        <f>[18]entradas!$H37</f>
        <v>20150</v>
      </c>
      <c r="U21" s="13">
        <f>[19]entradas!$H37</f>
        <v>10096</v>
      </c>
      <c r="V21" s="13">
        <f>[20]entradas!$H37</f>
        <v>2714</v>
      </c>
      <c r="W21" s="13">
        <f>[21]entradas!$H37</f>
        <v>20117</v>
      </c>
      <c r="X21" s="13">
        <f>[22]entradas!$H37</f>
        <v>19864</v>
      </c>
      <c r="Y21" s="13">
        <f>[23]entradas!$H37</f>
        <v>19823</v>
      </c>
      <c r="Z21" s="13">
        <f>[24]entradas!$H37</f>
        <v>19159</v>
      </c>
      <c r="AA21" s="13">
        <f>[25]entradas!$H37</f>
        <v>19654</v>
      </c>
      <c r="AB21" s="13">
        <f>[26]entradas!$H37</f>
        <v>10014</v>
      </c>
      <c r="AC21" s="13">
        <f>[27]entradas!$H37</f>
        <v>2727</v>
      </c>
      <c r="AD21" s="13">
        <f>[28]entradas!$H37</f>
        <v>20324</v>
      </c>
      <c r="AE21" s="13">
        <f>[29]entradas!$H37</f>
        <v>19597</v>
      </c>
      <c r="AF21" s="13">
        <f>[30]entradas!$H37</f>
        <v>19851</v>
      </c>
      <c r="AG21" s="13">
        <f>[31]entradas!$H37</f>
        <v>19939</v>
      </c>
      <c r="AH21" s="13">
        <f>[32]entradas!$H37</f>
        <v>20331</v>
      </c>
      <c r="AI21" s="13">
        <f>[33]entradas!$H37</f>
        <v>10410</v>
      </c>
      <c r="AJ21" s="13">
        <f>[34]entradas!$H37</f>
        <v>2699</v>
      </c>
    </row>
    <row r="22" spans="1:36" x14ac:dyDescent="0.2">
      <c r="A22" s="424"/>
      <c r="B22" s="43" t="s">
        <v>50</v>
      </c>
      <c r="C22" s="13">
        <f>[1]entradas!$H38</f>
        <v>17301</v>
      </c>
      <c r="D22" s="13">
        <f>[2]entradas!$H38</f>
        <v>17484</v>
      </c>
      <c r="E22" s="13">
        <f>[3]entradas!$H38</f>
        <v>16533</v>
      </c>
      <c r="F22" s="13">
        <f>[4]entradas!$H38</f>
        <v>16570</v>
      </c>
      <c r="G22" s="13">
        <f>[5]entradas!$H38</f>
        <v>6626</v>
      </c>
      <c r="H22" s="13">
        <f>[6]entradas!$H38</f>
        <v>1480</v>
      </c>
      <c r="I22" s="13">
        <f>[7]entradas!$H38</f>
        <v>17530</v>
      </c>
      <c r="J22" s="13">
        <f>[8]entradas!$H38</f>
        <v>17958</v>
      </c>
      <c r="K22" s="13">
        <f>[9]entradas!$H38</f>
        <v>17291</v>
      </c>
      <c r="L22" s="13">
        <f>[10]entradas!$H38</f>
        <v>17244</v>
      </c>
      <c r="M22" s="13">
        <f>[11]entradas!$H38</f>
        <v>16891</v>
      </c>
      <c r="N22" s="13">
        <f>[12]entradas!$H38</f>
        <v>6986</v>
      </c>
      <c r="O22" s="13">
        <f>[13]entradas!$H38</f>
        <v>1527</v>
      </c>
      <c r="P22" s="13">
        <f>[14]entradas!$H38</f>
        <v>18012</v>
      </c>
      <c r="Q22" s="13">
        <f>[15]entradas!$H38</f>
        <v>17636</v>
      </c>
      <c r="R22" s="13">
        <f>[16]entradas!$H38</f>
        <v>17673</v>
      </c>
      <c r="S22" s="13">
        <f>[17]entradas!$H38</f>
        <v>18039</v>
      </c>
      <c r="T22" s="13">
        <f>[18]entradas!$H38</f>
        <v>17969</v>
      </c>
      <c r="U22" s="13">
        <f>[19]entradas!$H38</f>
        <v>7175</v>
      </c>
      <c r="V22" s="13">
        <f>[20]entradas!$H38</f>
        <v>1613</v>
      </c>
      <c r="W22" s="13">
        <f>[21]entradas!$H38</f>
        <v>18453</v>
      </c>
      <c r="X22" s="13">
        <f>[22]entradas!$H38</f>
        <v>18612</v>
      </c>
      <c r="Y22" s="13">
        <f>[23]entradas!$H38</f>
        <v>18259</v>
      </c>
      <c r="Z22" s="13">
        <f>[24]entradas!$H38</f>
        <v>17752</v>
      </c>
      <c r="AA22" s="13">
        <f>[25]entradas!$H38</f>
        <v>17627</v>
      </c>
      <c r="AB22" s="13">
        <f>[26]entradas!$H38</f>
        <v>7165</v>
      </c>
      <c r="AC22" s="13">
        <f>[27]entradas!$H38</f>
        <v>1606</v>
      </c>
      <c r="AD22" s="13">
        <f>[28]entradas!$H38</f>
        <v>18508</v>
      </c>
      <c r="AE22" s="13">
        <f>[29]entradas!$H38</f>
        <v>19149</v>
      </c>
      <c r="AF22" s="13">
        <f>[30]entradas!$H38</f>
        <v>18704</v>
      </c>
      <c r="AG22" s="13">
        <f>[31]entradas!$H38</f>
        <v>18613</v>
      </c>
      <c r="AH22" s="13">
        <f>[32]entradas!$H38</f>
        <v>18031</v>
      </c>
      <c r="AI22" s="13">
        <f>[33]entradas!$H38</f>
        <v>7192</v>
      </c>
      <c r="AJ22" s="13">
        <f>[34]entradas!$H38</f>
        <v>1604</v>
      </c>
    </row>
    <row r="23" spans="1:36" x14ac:dyDescent="0.2">
      <c r="A23" s="424"/>
      <c r="B23" s="43" t="s">
        <v>49</v>
      </c>
      <c r="C23" s="13">
        <f>[1]entradas!$H39</f>
        <v>28844</v>
      </c>
      <c r="D23" s="13">
        <f>[2]entradas!$H39</f>
        <v>29573</v>
      </c>
      <c r="E23" s="13">
        <f>[3]entradas!$H39</f>
        <v>28455</v>
      </c>
      <c r="F23" s="13">
        <f>[4]entradas!$H39</f>
        <v>29395</v>
      </c>
      <c r="G23" s="13">
        <f>[5]entradas!$H39</f>
        <v>14445</v>
      </c>
      <c r="H23" s="13">
        <f>[6]entradas!$H39</f>
        <v>3826</v>
      </c>
      <c r="I23" s="13">
        <f>[7]entradas!$H39</f>
        <v>29436</v>
      </c>
      <c r="J23" s="13">
        <f>[8]entradas!$H39</f>
        <v>30076</v>
      </c>
      <c r="K23" s="13">
        <f>[9]entradas!$H39</f>
        <v>28930</v>
      </c>
      <c r="L23" s="13">
        <f>[10]entradas!$H39</f>
        <v>28630</v>
      </c>
      <c r="M23" s="13">
        <f>[11]entradas!$H39</f>
        <v>28729</v>
      </c>
      <c r="N23" s="13">
        <f>[12]entradas!$H39</f>
        <v>14567</v>
      </c>
      <c r="O23" s="13">
        <f>[13]entradas!$H39</f>
        <v>3779</v>
      </c>
      <c r="P23" s="13">
        <f>[14]entradas!$H39</f>
        <v>29702</v>
      </c>
      <c r="Q23" s="13">
        <f>[15]entradas!$H39</f>
        <v>29593</v>
      </c>
      <c r="R23" s="13">
        <f>[16]entradas!$H39</f>
        <v>29225</v>
      </c>
      <c r="S23" s="13">
        <f>[17]entradas!$H39</f>
        <v>29075</v>
      </c>
      <c r="T23" s="13">
        <f>[18]entradas!$H39</f>
        <v>30146</v>
      </c>
      <c r="U23" s="13">
        <f>[19]entradas!$H39</f>
        <v>15023</v>
      </c>
      <c r="V23" s="13">
        <f>[20]entradas!$H39</f>
        <v>3980</v>
      </c>
      <c r="W23" s="13">
        <f>[21]entradas!$H39</f>
        <v>30587</v>
      </c>
      <c r="X23" s="13">
        <f>[22]entradas!$H39</f>
        <v>30792</v>
      </c>
      <c r="Y23" s="13">
        <f>[23]entradas!$H39</f>
        <v>29908</v>
      </c>
      <c r="Z23" s="13">
        <f>[24]entradas!$H39</f>
        <v>29012</v>
      </c>
      <c r="AA23" s="13">
        <f>[25]entradas!$H39</f>
        <v>29104</v>
      </c>
      <c r="AB23" s="13">
        <f>[26]entradas!$H39</f>
        <v>14675</v>
      </c>
      <c r="AC23" s="13">
        <f>[27]entradas!$H39</f>
        <v>3879</v>
      </c>
      <c r="AD23" s="13">
        <f>[28]entradas!$H39</f>
        <v>30342</v>
      </c>
      <c r="AE23" s="13">
        <f>[29]entradas!$H39</f>
        <v>30255</v>
      </c>
      <c r="AF23" s="13">
        <f>[30]entradas!$H39</f>
        <v>29786</v>
      </c>
      <c r="AG23" s="13">
        <f>[31]entradas!$H39</f>
        <v>30224</v>
      </c>
      <c r="AH23" s="13">
        <f>[32]entradas!$H39</f>
        <v>30133</v>
      </c>
      <c r="AI23" s="13">
        <f>[33]entradas!$H39</f>
        <v>15100</v>
      </c>
      <c r="AJ23" s="13">
        <f>[34]entradas!$H39</f>
        <v>3895</v>
      </c>
    </row>
    <row r="24" spans="1:36" x14ac:dyDescent="0.2">
      <c r="A24" s="424"/>
      <c r="B24" s="43" t="s">
        <v>65</v>
      </c>
      <c r="C24" s="13">
        <f>[1]entradas!$H40</f>
        <v>13347</v>
      </c>
      <c r="D24" s="13">
        <f>[2]entradas!$H40</f>
        <v>13872</v>
      </c>
      <c r="E24" s="13">
        <f>[3]entradas!$H40</f>
        <v>13443</v>
      </c>
      <c r="F24" s="13">
        <f>[4]entradas!$H40</f>
        <v>13289</v>
      </c>
      <c r="G24" s="13">
        <f>[5]entradas!$H40</f>
        <v>6384</v>
      </c>
      <c r="H24" s="13">
        <f>[6]entradas!$H40</f>
        <v>2076</v>
      </c>
      <c r="I24" s="13">
        <f>[7]entradas!$H40</f>
        <v>13974</v>
      </c>
      <c r="J24" s="13">
        <f>[8]entradas!$H40</f>
        <v>14134</v>
      </c>
      <c r="K24" s="13">
        <f>[9]entradas!$H40</f>
        <v>13720</v>
      </c>
      <c r="L24" s="13">
        <f>[10]entradas!$H40</f>
        <v>14760</v>
      </c>
      <c r="M24" s="13">
        <f>[11]entradas!$H40</f>
        <v>13677</v>
      </c>
      <c r="N24" s="13">
        <f>[12]entradas!$H40</f>
        <v>6723</v>
      </c>
      <c r="O24" s="13">
        <f>[13]entradas!$H40</f>
        <v>2196</v>
      </c>
      <c r="P24" s="13">
        <f>[14]entradas!$H40</f>
        <v>14071</v>
      </c>
      <c r="Q24" s="13">
        <f>[15]entradas!$H40</f>
        <v>13530</v>
      </c>
      <c r="R24" s="13">
        <f>[16]entradas!$H40</f>
        <v>13438</v>
      </c>
      <c r="S24" s="13">
        <f>[17]entradas!$H40</f>
        <v>13775</v>
      </c>
      <c r="T24" s="13">
        <f>[18]entradas!$H40</f>
        <v>13442</v>
      </c>
      <c r="U24" s="13">
        <f>[19]entradas!$H40</f>
        <v>6849</v>
      </c>
      <c r="V24" s="13">
        <f>[20]entradas!$H40</f>
        <v>2220</v>
      </c>
      <c r="W24" s="13">
        <f>[21]entradas!$H40</f>
        <v>14437</v>
      </c>
      <c r="X24" s="13">
        <f>[22]entradas!$H40</f>
        <v>14416</v>
      </c>
      <c r="Y24" s="13">
        <f>[23]entradas!$H40</f>
        <v>13973</v>
      </c>
      <c r="Z24" s="13">
        <f>[24]entradas!$H40</f>
        <v>14052</v>
      </c>
      <c r="AA24" s="13">
        <f>[25]entradas!$H40</f>
        <v>13332</v>
      </c>
      <c r="AB24" s="13">
        <f>[26]entradas!$H40</f>
        <v>7077</v>
      </c>
      <c r="AC24" s="13">
        <f>[27]entradas!$H40</f>
        <v>2059</v>
      </c>
      <c r="AD24" s="13">
        <f>[28]entradas!$H40</f>
        <v>14032</v>
      </c>
      <c r="AE24" s="13">
        <f>[29]entradas!$H40</f>
        <v>14317</v>
      </c>
      <c r="AF24" s="13">
        <f>[30]entradas!$H40</f>
        <v>14356</v>
      </c>
      <c r="AG24" s="13">
        <f>[31]entradas!$H40</f>
        <v>14408</v>
      </c>
      <c r="AH24" s="13">
        <f>[32]entradas!$H40</f>
        <v>13759</v>
      </c>
      <c r="AI24" s="13">
        <f>[33]entradas!$H40</f>
        <v>6894</v>
      </c>
      <c r="AJ24" s="13">
        <f>[34]entradas!$H40</f>
        <v>2090</v>
      </c>
    </row>
    <row r="25" spans="1:36" x14ac:dyDescent="0.2">
      <c r="A25" s="424"/>
      <c r="B25" s="43" t="s">
        <v>66</v>
      </c>
      <c r="C25" s="13">
        <f>[1]entradas!$H41</f>
        <v>0</v>
      </c>
      <c r="D25" s="13">
        <f>[2]entradas!$H41</f>
        <v>0</v>
      </c>
      <c r="E25" s="13">
        <f>[3]entradas!$H41</f>
        <v>0</v>
      </c>
      <c r="F25" s="13">
        <f>[4]entradas!$H41</f>
        <v>0</v>
      </c>
      <c r="G25" s="13">
        <f>[5]entradas!$H41</f>
        <v>0</v>
      </c>
      <c r="H25" s="13">
        <f>[6]entradas!$H41</f>
        <v>0</v>
      </c>
      <c r="I25" s="13">
        <f>[7]entradas!$H41</f>
        <v>0</v>
      </c>
      <c r="J25" s="13">
        <f>[8]entradas!$H41</f>
        <v>0</v>
      </c>
      <c r="K25" s="13">
        <f>[9]entradas!$H41</f>
        <v>0</v>
      </c>
      <c r="L25" s="13">
        <f>[10]entradas!$H41</f>
        <v>0</v>
      </c>
      <c r="M25" s="13">
        <f>[11]entradas!$H41</f>
        <v>0</v>
      </c>
      <c r="N25" s="13">
        <f>[12]entradas!$H41</f>
        <v>0</v>
      </c>
      <c r="O25" s="13">
        <f>[13]entradas!$H41</f>
        <v>0</v>
      </c>
      <c r="P25" s="13">
        <f>[14]entradas!$H41</f>
        <v>0</v>
      </c>
      <c r="Q25" s="13">
        <f>[15]entradas!$H41</f>
        <v>0</v>
      </c>
      <c r="R25" s="13">
        <f>[16]entradas!$H41</f>
        <v>0</v>
      </c>
      <c r="S25" s="13">
        <f>[17]entradas!$H41</f>
        <v>0</v>
      </c>
      <c r="T25" s="13">
        <f>[18]entradas!$H41</f>
        <v>0</v>
      </c>
      <c r="U25" s="13">
        <f>[19]entradas!$H41</f>
        <v>0</v>
      </c>
      <c r="V25" s="13">
        <f>[20]entradas!$H41</f>
        <v>0</v>
      </c>
      <c r="W25" s="13">
        <f>[21]entradas!$H41</f>
        <v>0</v>
      </c>
      <c r="X25" s="13">
        <f>[22]entradas!$H41</f>
        <v>0</v>
      </c>
      <c r="Y25" s="13">
        <f>[23]entradas!$H41</f>
        <v>0</v>
      </c>
      <c r="Z25" s="13">
        <f>[24]entradas!$H41</f>
        <v>0</v>
      </c>
      <c r="AA25" s="13">
        <f>[25]entradas!$H41</f>
        <v>0</v>
      </c>
      <c r="AB25" s="13">
        <f>[26]entradas!$H41</f>
        <v>0</v>
      </c>
      <c r="AC25" s="13">
        <f>[27]entradas!$H41</f>
        <v>0</v>
      </c>
      <c r="AD25" s="13">
        <f>[28]entradas!$H41</f>
        <v>0</v>
      </c>
      <c r="AE25" s="13">
        <f>[29]entradas!$H41</f>
        <v>0</v>
      </c>
      <c r="AF25" s="13">
        <f>[30]entradas!$H41</f>
        <v>0</v>
      </c>
      <c r="AG25" s="13">
        <f>[31]entradas!$H41</f>
        <v>0</v>
      </c>
      <c r="AH25" s="13">
        <f>[32]entradas!$H41</f>
        <v>0</v>
      </c>
      <c r="AI25" s="13">
        <f>[33]entradas!$H41</f>
        <v>0</v>
      </c>
      <c r="AJ25" s="13">
        <f>[34]entradas!$H41</f>
        <v>0</v>
      </c>
    </row>
    <row r="26" spans="1:36" x14ac:dyDescent="0.2">
      <c r="A26" s="424"/>
      <c r="B26" s="43" t="s">
        <v>19</v>
      </c>
      <c r="C26" s="13">
        <f>[1]entradas!$H42</f>
        <v>15126</v>
      </c>
      <c r="D26" s="13">
        <f>[2]entradas!$H42</f>
        <v>15488</v>
      </c>
      <c r="E26" s="13">
        <f>[3]entradas!$H42</f>
        <v>15135</v>
      </c>
      <c r="F26" s="13">
        <f>[4]entradas!$H42</f>
        <v>15334</v>
      </c>
      <c r="G26" s="13">
        <f>[5]entradas!$H42</f>
        <v>7642</v>
      </c>
      <c r="H26" s="13">
        <f>[6]entradas!$H42</f>
        <v>2541</v>
      </c>
      <c r="I26" s="13">
        <f>[7]entradas!$H42</f>
        <v>15253</v>
      </c>
      <c r="J26" s="13">
        <f>[8]entradas!$H42</f>
        <v>15648</v>
      </c>
      <c r="K26" s="13">
        <f>[9]entradas!$H42</f>
        <v>15367</v>
      </c>
      <c r="L26" s="13">
        <f>[10]entradas!$H42</f>
        <v>15315</v>
      </c>
      <c r="M26" s="13">
        <f>[11]entradas!$H42</f>
        <v>14579</v>
      </c>
      <c r="N26" s="13">
        <f>[12]entradas!$H42</f>
        <v>7592</v>
      </c>
      <c r="O26" s="13">
        <f>[13]entradas!$H42</f>
        <v>2533</v>
      </c>
      <c r="P26" s="13">
        <f>[14]entradas!$H42</f>
        <v>15156</v>
      </c>
      <c r="Q26" s="13">
        <f>[15]entradas!$H42</f>
        <v>14963</v>
      </c>
      <c r="R26" s="13">
        <f>[16]entradas!$H42</f>
        <v>14477</v>
      </c>
      <c r="S26" s="13">
        <f>[17]entradas!$H42</f>
        <v>14931</v>
      </c>
      <c r="T26" s="13">
        <f>[18]entradas!$H42</f>
        <v>15354</v>
      </c>
      <c r="U26" s="13">
        <f>[19]entradas!$H42</f>
        <v>7862</v>
      </c>
      <c r="V26" s="13">
        <f>[20]entradas!$H42</f>
        <v>2598</v>
      </c>
      <c r="W26" s="13">
        <f>[21]entradas!$H42</f>
        <v>15192</v>
      </c>
      <c r="X26" s="13">
        <f>[22]entradas!$H42</f>
        <v>15386</v>
      </c>
      <c r="Y26" s="13">
        <f>[23]entradas!$H42</f>
        <v>15322</v>
      </c>
      <c r="Z26" s="13">
        <f>[24]entradas!$H42</f>
        <v>14693</v>
      </c>
      <c r="AA26" s="13">
        <f>[25]entradas!$H42</f>
        <v>15071</v>
      </c>
      <c r="AB26" s="13">
        <f>[26]entradas!$H42</f>
        <v>7982</v>
      </c>
      <c r="AC26" s="13">
        <f>[27]entradas!$H42</f>
        <v>2658</v>
      </c>
      <c r="AD26" s="13">
        <f>[28]entradas!$H42</f>
        <v>15510</v>
      </c>
      <c r="AE26" s="13">
        <f>[29]entradas!$H42</f>
        <v>15577</v>
      </c>
      <c r="AF26" s="13">
        <f>[30]entradas!$H42</f>
        <v>15636</v>
      </c>
      <c r="AG26" s="13">
        <f>[31]entradas!$H42</f>
        <v>15771</v>
      </c>
      <c r="AH26" s="13">
        <f>[32]entradas!$H42</f>
        <v>15870</v>
      </c>
      <c r="AI26" s="13">
        <f>[33]entradas!$H42</f>
        <v>8307</v>
      </c>
      <c r="AJ26" s="13">
        <f>[34]entradas!$H42</f>
        <v>2510</v>
      </c>
    </row>
    <row r="27" spans="1:36" x14ac:dyDescent="0.2">
      <c r="A27" s="424"/>
      <c r="B27" s="43" t="s">
        <v>20</v>
      </c>
      <c r="C27" s="13">
        <f>[1]entradas!$H43</f>
        <v>18959</v>
      </c>
      <c r="D27" s="13">
        <f>[2]entradas!$H43</f>
        <v>19618</v>
      </c>
      <c r="E27" s="13">
        <f>[3]entradas!$H43</f>
        <v>19213</v>
      </c>
      <c r="F27" s="13">
        <f>[4]entradas!$H43</f>
        <v>19372</v>
      </c>
      <c r="G27" s="13">
        <f>[5]entradas!$H43</f>
        <v>11722</v>
      </c>
      <c r="H27" s="13">
        <f>[6]entradas!$H43</f>
        <v>3917</v>
      </c>
      <c r="I27" s="13">
        <f>[7]entradas!$H43</f>
        <v>19253</v>
      </c>
      <c r="J27" s="13">
        <f>[8]entradas!$H43</f>
        <v>19789</v>
      </c>
      <c r="K27" s="13">
        <f>[9]entradas!$H43</f>
        <v>19285</v>
      </c>
      <c r="L27" s="13">
        <f>[10]entradas!$H43</f>
        <v>19509</v>
      </c>
      <c r="M27" s="13">
        <f>[11]entradas!$H43</f>
        <v>19660</v>
      </c>
      <c r="N27" s="13">
        <f>[12]entradas!$H43</f>
        <v>11894</v>
      </c>
      <c r="O27" s="13">
        <f>[13]entradas!$H43</f>
        <v>4040</v>
      </c>
      <c r="P27" s="13">
        <f>[14]entradas!$H43</f>
        <v>19693</v>
      </c>
      <c r="Q27" s="13">
        <f>[15]entradas!$H43</f>
        <v>19122</v>
      </c>
      <c r="R27" s="13">
        <f>[16]entradas!$H43</f>
        <v>19039</v>
      </c>
      <c r="S27" s="13">
        <f>[17]entradas!$H43</f>
        <v>19358</v>
      </c>
      <c r="T27" s="13">
        <f>[18]entradas!$H43</f>
        <v>20016</v>
      </c>
      <c r="U27" s="13">
        <f>[19]entradas!$H43</f>
        <v>12358</v>
      </c>
      <c r="V27" s="13">
        <f>[20]entradas!$H43</f>
        <v>3967</v>
      </c>
      <c r="W27" s="13">
        <f>[21]entradas!$H43</f>
        <v>19639</v>
      </c>
      <c r="X27" s="13">
        <f>[22]entradas!$H43</f>
        <v>19634</v>
      </c>
      <c r="Y27" s="13">
        <f>[23]entradas!$H43</f>
        <v>19607</v>
      </c>
      <c r="Z27" s="13">
        <f>[24]entradas!$H43</f>
        <v>19318</v>
      </c>
      <c r="AA27" s="13">
        <f>[25]entradas!$H43</f>
        <v>19583</v>
      </c>
      <c r="AB27" s="13">
        <f>[26]entradas!$H43</f>
        <v>12344</v>
      </c>
      <c r="AC27" s="13">
        <f>[27]entradas!$H43</f>
        <v>4144</v>
      </c>
      <c r="AD27" s="13">
        <f>[28]entradas!$H43</f>
        <v>19722</v>
      </c>
      <c r="AE27" s="13">
        <f>[29]entradas!$H43</f>
        <v>19910</v>
      </c>
      <c r="AF27" s="13">
        <f>[30]entradas!$H43</f>
        <v>19887</v>
      </c>
      <c r="AG27" s="13">
        <f>[31]entradas!$H43</f>
        <v>20305</v>
      </c>
      <c r="AH27" s="13">
        <f>[32]entradas!$H43</f>
        <v>20214</v>
      </c>
      <c r="AI27" s="13">
        <f>[33]entradas!$H43</f>
        <v>12931</v>
      </c>
      <c r="AJ27" s="13">
        <f>[34]entradas!$H43</f>
        <v>3953</v>
      </c>
    </row>
    <row r="28" spans="1:36" x14ac:dyDescent="0.2">
      <c r="A28" s="424"/>
      <c r="B28" s="43" t="s">
        <v>21</v>
      </c>
      <c r="C28" s="13">
        <f>[1]entradas!$H44</f>
        <v>14441</v>
      </c>
      <c r="D28" s="13">
        <f>[2]entradas!$H44</f>
        <v>14721</v>
      </c>
      <c r="E28" s="13">
        <f>[3]entradas!$H44</f>
        <v>14718</v>
      </c>
      <c r="F28" s="13">
        <f>[4]entradas!$H44</f>
        <v>14731</v>
      </c>
      <c r="G28" s="13">
        <f>[5]entradas!$H44</f>
        <v>10450</v>
      </c>
      <c r="H28" s="13">
        <f>[6]entradas!$H44</f>
        <v>4417</v>
      </c>
      <c r="I28" s="13">
        <f>[7]entradas!$H44</f>
        <v>14603</v>
      </c>
      <c r="J28" s="13">
        <f>[8]entradas!$H44</f>
        <v>15062</v>
      </c>
      <c r="K28" s="13">
        <f>[9]entradas!$H44</f>
        <v>14692</v>
      </c>
      <c r="L28" s="13">
        <f>[10]entradas!$H44</f>
        <v>14882</v>
      </c>
      <c r="M28" s="13">
        <f>[11]entradas!$H44</f>
        <v>14412</v>
      </c>
      <c r="N28" s="13">
        <f>[12]entradas!$H44</f>
        <v>10217</v>
      </c>
      <c r="O28" s="13">
        <f>[13]entradas!$H44</f>
        <v>4414</v>
      </c>
      <c r="P28" s="13">
        <f>[14]entradas!$H44</f>
        <v>14566</v>
      </c>
      <c r="Q28" s="13">
        <f>[15]entradas!$H44</f>
        <v>14568</v>
      </c>
      <c r="R28" s="13">
        <f>[16]entradas!$H44</f>
        <v>14438</v>
      </c>
      <c r="S28" s="13">
        <f>[17]entradas!$H44</f>
        <v>14838</v>
      </c>
      <c r="T28" s="13">
        <f>[18]entradas!$H44</f>
        <v>15040</v>
      </c>
      <c r="U28" s="13">
        <f>[19]entradas!$H44</f>
        <v>10598</v>
      </c>
      <c r="V28" s="13">
        <f>[20]entradas!$H44</f>
        <v>4387</v>
      </c>
      <c r="W28" s="13">
        <f>[21]entradas!$H44</f>
        <v>14604</v>
      </c>
      <c r="X28" s="13">
        <f>[22]entradas!$H44</f>
        <v>14979</v>
      </c>
      <c r="Y28" s="13">
        <f>[23]entradas!$H44</f>
        <v>14776</v>
      </c>
      <c r="Z28" s="13">
        <f>[24]entradas!$H44</f>
        <v>14545</v>
      </c>
      <c r="AA28" s="13">
        <f>[25]entradas!$H44</f>
        <v>14786</v>
      </c>
      <c r="AB28" s="13">
        <f>[26]entradas!$H44</f>
        <v>10662</v>
      </c>
      <c r="AC28" s="13">
        <f>[27]entradas!$H44</f>
        <v>4534</v>
      </c>
      <c r="AD28" s="13">
        <f>[28]entradas!$H44</f>
        <v>14764</v>
      </c>
      <c r="AE28" s="13">
        <f>[29]entradas!$H44</f>
        <v>14620</v>
      </c>
      <c r="AF28" s="13">
        <f>[30]entradas!$H44</f>
        <v>14695</v>
      </c>
      <c r="AG28" s="13">
        <f>[31]entradas!$H44</f>
        <v>15235</v>
      </c>
      <c r="AH28" s="13">
        <f>[32]entradas!$H44</f>
        <v>15239</v>
      </c>
      <c r="AI28" s="13">
        <f>[33]entradas!$H44</f>
        <v>10985</v>
      </c>
      <c r="AJ28" s="13">
        <f>[34]entradas!$H44</f>
        <v>4217</v>
      </c>
    </row>
    <row r="29" spans="1:36" x14ac:dyDescent="0.2">
      <c r="A29" s="424"/>
      <c r="B29" s="43" t="s">
        <v>67</v>
      </c>
      <c r="C29" s="13">
        <f>[1]entradas!$H45</f>
        <v>16445</v>
      </c>
      <c r="D29" s="13">
        <f>[2]entradas!$H45</f>
        <v>16926</v>
      </c>
      <c r="E29" s="13">
        <f>[3]entradas!$H45</f>
        <v>17461</v>
      </c>
      <c r="F29" s="13">
        <f>[4]entradas!$H45</f>
        <v>17270</v>
      </c>
      <c r="G29" s="13">
        <f>[5]entradas!$H45</f>
        <v>10322</v>
      </c>
      <c r="H29" s="13">
        <f>[6]entradas!$H45</f>
        <v>4004</v>
      </c>
      <c r="I29" s="13">
        <f>[7]entradas!$H45</f>
        <v>16948</v>
      </c>
      <c r="J29" s="13">
        <f>[8]entradas!$H45</f>
        <v>17657</v>
      </c>
      <c r="K29" s="13">
        <f>[9]entradas!$H45</f>
        <v>17180</v>
      </c>
      <c r="L29" s="13">
        <f>[10]entradas!$H45</f>
        <v>17309</v>
      </c>
      <c r="M29" s="13">
        <f>[11]entradas!$H45</f>
        <v>16825</v>
      </c>
      <c r="N29" s="13">
        <f>[12]entradas!$H45</f>
        <v>10215</v>
      </c>
      <c r="O29" s="13">
        <f>[13]entradas!$H45</f>
        <v>3994</v>
      </c>
      <c r="P29" s="13">
        <f>[14]entradas!$H45</f>
        <v>17078</v>
      </c>
      <c r="Q29" s="13">
        <f>[15]entradas!$H45</f>
        <v>17109</v>
      </c>
      <c r="R29" s="13">
        <f>[16]entradas!$H45</f>
        <v>16839</v>
      </c>
      <c r="S29" s="13">
        <f>[17]entradas!$H45</f>
        <v>17064</v>
      </c>
      <c r="T29" s="13">
        <f>[18]entradas!$H45</f>
        <v>17439</v>
      </c>
      <c r="U29" s="13">
        <f>[19]entradas!$H45</f>
        <v>10542</v>
      </c>
      <c r="V29" s="13">
        <f>[20]entradas!$H45</f>
        <v>4093</v>
      </c>
      <c r="W29" s="13">
        <f>[21]entradas!$H45</f>
        <v>17117</v>
      </c>
      <c r="X29" s="13">
        <f>[22]entradas!$H45</f>
        <v>17395</v>
      </c>
      <c r="Y29" s="13">
        <f>[23]entradas!$H45</f>
        <v>17350</v>
      </c>
      <c r="Z29" s="13">
        <f>[24]entradas!$H45</f>
        <v>17141</v>
      </c>
      <c r="AA29" s="13">
        <f>[25]entradas!$H45</f>
        <v>16976</v>
      </c>
      <c r="AB29" s="13">
        <f>[26]entradas!$H45</f>
        <v>10807</v>
      </c>
      <c r="AC29" s="13">
        <f>[27]entradas!$H45</f>
        <v>4074</v>
      </c>
      <c r="AD29" s="13">
        <f>[28]entradas!$H45</f>
        <v>17290</v>
      </c>
      <c r="AE29" s="13">
        <f>[29]entradas!$H45</f>
        <v>17632</v>
      </c>
      <c r="AF29" s="13">
        <f>[30]entradas!$H45</f>
        <v>17336</v>
      </c>
      <c r="AG29" s="13">
        <f>[31]entradas!$H45</f>
        <v>16528</v>
      </c>
      <c r="AH29" s="13">
        <f>[32]entradas!$H45</f>
        <v>17810</v>
      </c>
      <c r="AI29" s="13">
        <f>[33]entradas!$H45</f>
        <v>11083</v>
      </c>
      <c r="AJ29" s="13">
        <f>[34]entradas!$H45</f>
        <v>3907</v>
      </c>
    </row>
    <row r="30" spans="1:36" x14ac:dyDescent="0.2">
      <c r="A30" s="424"/>
      <c r="B30" s="43" t="s">
        <v>68</v>
      </c>
      <c r="C30" s="13">
        <f>[1]entradas!$H46</f>
        <v>2963</v>
      </c>
      <c r="D30" s="13">
        <f>[2]entradas!$H46</f>
        <v>3281</v>
      </c>
      <c r="E30" s="13">
        <f>[3]entradas!$H46</f>
        <v>3296</v>
      </c>
      <c r="F30" s="13">
        <f>[4]entradas!$H46</f>
        <v>2952</v>
      </c>
      <c r="G30" s="13">
        <f>[5]entradas!$H46</f>
        <v>2105</v>
      </c>
      <c r="H30" s="13">
        <f>[6]entradas!$H46</f>
        <v>959</v>
      </c>
      <c r="I30" s="13">
        <f>[7]entradas!$H46</f>
        <v>2952</v>
      </c>
      <c r="J30" s="13">
        <f>[8]entradas!$H46</f>
        <v>2914</v>
      </c>
      <c r="K30" s="13">
        <f>[9]entradas!$H46</f>
        <v>3003</v>
      </c>
      <c r="L30" s="13">
        <f>[10]entradas!$H46</f>
        <v>2958</v>
      </c>
      <c r="M30" s="13">
        <f>[11]entradas!$H46</f>
        <v>2883</v>
      </c>
      <c r="N30" s="13">
        <f>[12]entradas!$H46</f>
        <v>1982</v>
      </c>
      <c r="O30" s="13">
        <f>[13]entradas!$H46</f>
        <v>926</v>
      </c>
      <c r="P30" s="13">
        <f>[14]entradas!$H46</f>
        <v>2892</v>
      </c>
      <c r="Q30" s="13">
        <f>[15]entradas!$H46</f>
        <v>3000</v>
      </c>
      <c r="R30" s="13">
        <f>[16]entradas!$H46</f>
        <v>2918</v>
      </c>
      <c r="S30" s="13">
        <f>[17]entradas!$H46</f>
        <v>2914</v>
      </c>
      <c r="T30" s="13">
        <f>[18]entradas!$H46</f>
        <v>3082</v>
      </c>
      <c r="U30" s="13">
        <f>[19]entradas!$H46</f>
        <v>2079</v>
      </c>
      <c r="V30" s="13">
        <f>[20]entradas!$H46</f>
        <v>976</v>
      </c>
      <c r="W30" s="13">
        <f>[21]entradas!$H46</f>
        <v>2945</v>
      </c>
      <c r="X30" s="13">
        <f>[22]entradas!$H46</f>
        <v>2953</v>
      </c>
      <c r="Y30" s="13">
        <f>[23]entradas!$H46</f>
        <v>2975</v>
      </c>
      <c r="Z30" s="13">
        <f>[24]entradas!$H46</f>
        <v>3049</v>
      </c>
      <c r="AA30" s="13">
        <f>[25]entradas!$H46</f>
        <v>3002</v>
      </c>
      <c r="AB30" s="13">
        <f>[26]entradas!$H46</f>
        <v>2254</v>
      </c>
      <c r="AC30" s="13">
        <f>[27]entradas!$H46</f>
        <v>900</v>
      </c>
      <c r="AD30" s="13">
        <f>[28]entradas!$H46</f>
        <v>2970</v>
      </c>
      <c r="AE30" s="13">
        <f>[29]entradas!$H46</f>
        <v>3130</v>
      </c>
      <c r="AF30" s="13">
        <f>[30]entradas!$H46</f>
        <v>3220</v>
      </c>
      <c r="AG30" s="13">
        <f>[31]entradas!$H46</f>
        <v>3182</v>
      </c>
      <c r="AH30" s="13">
        <f>[32]entradas!$H46</f>
        <v>3100</v>
      </c>
      <c r="AI30" s="13">
        <f>[33]entradas!$H46</f>
        <v>2292</v>
      </c>
      <c r="AJ30" s="13">
        <f>[34]entradas!$H46</f>
        <v>958</v>
      </c>
    </row>
    <row r="31" spans="1:36" x14ac:dyDescent="0.2">
      <c r="A31" s="424"/>
      <c r="B31" s="43" t="s">
        <v>69</v>
      </c>
      <c r="C31" s="13">
        <f>[1]entradas!$H47</f>
        <v>9830</v>
      </c>
      <c r="D31" s="13">
        <f>[2]entradas!$H47</f>
        <v>10368</v>
      </c>
      <c r="E31" s="13">
        <f>[3]entradas!$H47</f>
        <v>10823</v>
      </c>
      <c r="F31" s="13">
        <f>[4]entradas!$H47</f>
        <v>10557</v>
      </c>
      <c r="G31" s="13">
        <f>[5]entradas!$H47</f>
        <v>6194</v>
      </c>
      <c r="H31" s="13">
        <f>[6]entradas!$H47</f>
        <v>2143</v>
      </c>
      <c r="I31" s="13">
        <f>[7]entradas!$H47</f>
        <v>10407</v>
      </c>
      <c r="J31" s="13">
        <f>[8]entradas!$H47</f>
        <v>10636</v>
      </c>
      <c r="K31" s="13">
        <f>[9]entradas!$H47</f>
        <v>10813</v>
      </c>
      <c r="L31" s="13">
        <f>[10]entradas!$H47</f>
        <v>10767</v>
      </c>
      <c r="M31" s="13">
        <f>[11]entradas!$H47</f>
        <v>10656</v>
      </c>
      <c r="N31" s="13">
        <f>[12]entradas!$H47</f>
        <v>6116</v>
      </c>
      <c r="O31" s="13">
        <f>[13]entradas!$H47</f>
        <v>2176</v>
      </c>
      <c r="P31" s="13">
        <f>[14]entradas!$H47</f>
        <v>10542</v>
      </c>
      <c r="Q31" s="13">
        <f>[15]entradas!$H47</f>
        <v>10594</v>
      </c>
      <c r="R31" s="13">
        <f>[16]entradas!$H47</f>
        <v>10556</v>
      </c>
      <c r="S31" s="13">
        <f>[17]entradas!$H47</f>
        <v>10523</v>
      </c>
      <c r="T31" s="13">
        <f>[18]entradas!$H47</f>
        <v>10743</v>
      </c>
      <c r="U31" s="13">
        <f>[19]entradas!$H47</f>
        <v>6255</v>
      </c>
      <c r="V31" s="13">
        <f>[20]entradas!$H47</f>
        <v>2019</v>
      </c>
      <c r="W31" s="13">
        <f>[21]entradas!$H47</f>
        <v>10425</v>
      </c>
      <c r="X31" s="13">
        <f>[22]entradas!$H47</f>
        <v>10765</v>
      </c>
      <c r="Y31" s="13">
        <f>[23]entradas!$H47</f>
        <v>10686</v>
      </c>
      <c r="Z31" s="13">
        <f>[24]entradas!$H47</f>
        <v>10495</v>
      </c>
      <c r="AA31" s="13">
        <f>[25]entradas!$H47</f>
        <v>10684</v>
      </c>
      <c r="AB31" s="13">
        <f>[26]entradas!$H47</f>
        <v>6433</v>
      </c>
      <c r="AC31" s="13">
        <f>[27]entradas!$H47</f>
        <v>2082</v>
      </c>
      <c r="AD31" s="13">
        <f>[28]entradas!$H47</f>
        <v>10626</v>
      </c>
      <c r="AE31" s="13">
        <f>[29]entradas!$H47</f>
        <v>10662</v>
      </c>
      <c r="AF31" s="13">
        <f>[30]entradas!$H47</f>
        <v>10520</v>
      </c>
      <c r="AG31" s="13">
        <f>[31]entradas!$H47</f>
        <v>10852</v>
      </c>
      <c r="AH31" s="13">
        <f>[32]entradas!$H47</f>
        <v>10867</v>
      </c>
      <c r="AI31" s="13">
        <f>[33]entradas!$H47</f>
        <v>6373</v>
      </c>
      <c r="AJ31" s="13">
        <f>[34]entradas!$H47</f>
        <v>2092</v>
      </c>
    </row>
    <row r="32" spans="1:36" x14ac:dyDescent="0.2">
      <c r="A32" s="424"/>
      <c r="B32" s="43" t="s">
        <v>70</v>
      </c>
      <c r="C32" s="13">
        <f>[1]entradas!$H48</f>
        <v>1717</v>
      </c>
      <c r="D32" s="13">
        <f>[2]entradas!$H48</f>
        <v>1829</v>
      </c>
      <c r="E32" s="13">
        <f>[3]entradas!$H48</f>
        <v>1891</v>
      </c>
      <c r="F32" s="13">
        <f>[4]entradas!$H48</f>
        <v>1678</v>
      </c>
      <c r="G32" s="13">
        <f>[5]entradas!$H48</f>
        <v>1132</v>
      </c>
      <c r="H32" s="13">
        <f>[6]entradas!$H48</f>
        <v>625</v>
      </c>
      <c r="I32" s="13">
        <f>[7]entradas!$H48</f>
        <v>1657</v>
      </c>
      <c r="J32" s="13">
        <f>[8]entradas!$H48</f>
        <v>1919</v>
      </c>
      <c r="K32" s="13">
        <f>[9]entradas!$H48</f>
        <v>1798</v>
      </c>
      <c r="L32" s="13">
        <f>[10]entradas!$H48</f>
        <v>1747</v>
      </c>
      <c r="M32" s="13">
        <f>[11]entradas!$H48</f>
        <v>1747</v>
      </c>
      <c r="N32" s="13">
        <f>[12]entradas!$H48</f>
        <v>1167</v>
      </c>
      <c r="O32" s="13">
        <f>[13]entradas!$H48</f>
        <v>580</v>
      </c>
      <c r="P32" s="13">
        <f>[14]entradas!$H48</f>
        <v>1670</v>
      </c>
      <c r="Q32" s="13">
        <f>[15]entradas!$H48</f>
        <v>1760</v>
      </c>
      <c r="R32" s="13">
        <f>[16]entradas!$H48</f>
        <v>1811</v>
      </c>
      <c r="S32" s="13">
        <f>[17]entradas!$H48</f>
        <v>1829</v>
      </c>
      <c r="T32" s="13">
        <f>[18]entradas!$H48</f>
        <v>1800</v>
      </c>
      <c r="U32" s="13">
        <f>[19]entradas!$H48</f>
        <v>1216</v>
      </c>
      <c r="V32" s="13">
        <f>[20]entradas!$H48</f>
        <v>585</v>
      </c>
      <c r="W32" s="13">
        <f>[21]entradas!$H48</f>
        <v>1732</v>
      </c>
      <c r="X32" s="13">
        <f>[22]entradas!$H48</f>
        <v>1814</v>
      </c>
      <c r="Y32" s="13">
        <f>[23]entradas!$H48</f>
        <v>1810</v>
      </c>
      <c r="Z32" s="13">
        <f>[24]entradas!$H48</f>
        <v>1894</v>
      </c>
      <c r="AA32" s="13">
        <f>[25]entradas!$H48</f>
        <v>1793</v>
      </c>
      <c r="AB32" s="13">
        <f>[26]entradas!$H48</f>
        <v>1272</v>
      </c>
      <c r="AC32" s="13">
        <f>[27]entradas!$H48</f>
        <v>629</v>
      </c>
      <c r="AD32" s="13">
        <f>[28]entradas!$H48</f>
        <v>1747</v>
      </c>
      <c r="AE32" s="13">
        <f>[29]entradas!$H48</f>
        <v>1706</v>
      </c>
      <c r="AF32" s="13">
        <f>[30]entradas!$H48</f>
        <v>1860</v>
      </c>
      <c r="AG32" s="13">
        <f>[31]entradas!$H48</f>
        <v>1774</v>
      </c>
      <c r="AH32" s="13">
        <f>[32]entradas!$H48</f>
        <v>1793</v>
      </c>
      <c r="AI32" s="13">
        <f>[33]entradas!$H48</f>
        <v>1228</v>
      </c>
      <c r="AJ32" s="13">
        <f>[34]entradas!$H48</f>
        <v>629</v>
      </c>
    </row>
    <row r="33" spans="1:36" x14ac:dyDescent="0.2">
      <c r="A33" s="424"/>
      <c r="B33" s="43" t="s">
        <v>22</v>
      </c>
      <c r="C33" s="13">
        <f>[1]entradas!$H49</f>
        <v>15029</v>
      </c>
      <c r="D33" s="13">
        <f>[2]entradas!$H49</f>
        <v>16281</v>
      </c>
      <c r="E33" s="13">
        <f>[3]entradas!$H49</f>
        <v>17151</v>
      </c>
      <c r="F33" s="13">
        <f>[4]entradas!$H49</f>
        <v>16618</v>
      </c>
      <c r="G33" s="13">
        <f>[5]entradas!$H49</f>
        <v>9727</v>
      </c>
      <c r="H33" s="13">
        <f>[6]entradas!$H49</f>
        <v>4301</v>
      </c>
      <c r="I33" s="13">
        <f>[7]entradas!$H49</f>
        <v>15920</v>
      </c>
      <c r="J33" s="13">
        <f>[8]entradas!$H49</f>
        <v>16204</v>
      </c>
      <c r="K33" s="13">
        <f>[9]entradas!$H49</f>
        <v>16231</v>
      </c>
      <c r="L33" s="13">
        <f>[10]entradas!$H49</f>
        <v>16573</v>
      </c>
      <c r="M33" s="13">
        <f>[11]entradas!$H49</f>
        <v>16490</v>
      </c>
      <c r="N33" s="13">
        <f>[12]entradas!$H49</f>
        <v>9699</v>
      </c>
      <c r="O33" s="13">
        <f>[13]entradas!$H49</f>
        <v>4283</v>
      </c>
      <c r="P33" s="13">
        <f>[14]entradas!$H49</f>
        <v>16257</v>
      </c>
      <c r="Q33" s="13">
        <f>[15]entradas!$H49</f>
        <v>16292</v>
      </c>
      <c r="R33" s="13">
        <f>[16]entradas!$H49</f>
        <v>16316</v>
      </c>
      <c r="S33" s="13">
        <f>[17]entradas!$H49</f>
        <v>16318</v>
      </c>
      <c r="T33" s="13">
        <f>[18]entradas!$H49</f>
        <v>16940</v>
      </c>
      <c r="U33" s="13">
        <f>[19]entradas!$H49</f>
        <v>10094</v>
      </c>
      <c r="V33" s="13">
        <f>[20]entradas!$H49</f>
        <v>4500</v>
      </c>
      <c r="W33" s="13">
        <f>[21]entradas!$H49</f>
        <v>16308</v>
      </c>
      <c r="X33" s="13">
        <f>[22]entradas!$H49</f>
        <v>16622</v>
      </c>
      <c r="Y33" s="13">
        <f>[23]entradas!$H49</f>
        <v>16357</v>
      </c>
      <c r="Z33" s="13">
        <f>[24]entradas!$H49</f>
        <v>16490</v>
      </c>
      <c r="AA33" s="13">
        <f>[25]entradas!$H49</f>
        <v>16857</v>
      </c>
      <c r="AB33" s="13">
        <f>[26]entradas!$H49</f>
        <v>10064</v>
      </c>
      <c r="AC33" s="13">
        <f>[27]entradas!$H49</f>
        <v>4210</v>
      </c>
      <c r="AD33" s="13">
        <f>[28]entradas!$H49</f>
        <v>16384</v>
      </c>
      <c r="AE33" s="13">
        <f>[29]entradas!$H49</f>
        <v>16776</v>
      </c>
      <c r="AF33" s="13">
        <f>[30]entradas!$H49</f>
        <v>16435</v>
      </c>
      <c r="AG33" s="13">
        <f>[31]entradas!$H49</f>
        <v>16903</v>
      </c>
      <c r="AH33" s="13">
        <f>[32]entradas!$H49</f>
        <v>17376</v>
      </c>
      <c r="AI33" s="13">
        <f>[33]entradas!$H49</f>
        <v>10375</v>
      </c>
      <c r="AJ33" s="13">
        <f>[34]entradas!$H49</f>
        <v>4231</v>
      </c>
    </row>
    <row r="34" spans="1:36" x14ac:dyDescent="0.2">
      <c r="A34" s="424"/>
      <c r="B34" s="43" t="s">
        <v>71</v>
      </c>
      <c r="C34" s="13">
        <f>[1]entradas!$H50</f>
        <v>7857</v>
      </c>
      <c r="D34" s="13">
        <f>[2]entradas!$H50</f>
        <v>8247</v>
      </c>
      <c r="E34" s="13">
        <f>[3]entradas!$H50</f>
        <v>8971</v>
      </c>
      <c r="F34" s="13">
        <f>[4]entradas!$H50</f>
        <v>8135</v>
      </c>
      <c r="G34" s="13">
        <f>[5]entradas!$H50</f>
        <v>4669</v>
      </c>
      <c r="H34" s="13">
        <f>[6]entradas!$H50</f>
        <v>1544</v>
      </c>
      <c r="I34" s="13">
        <f>[7]entradas!$H50</f>
        <v>8122</v>
      </c>
      <c r="J34" s="13">
        <f>[8]entradas!$H50</f>
        <v>8439</v>
      </c>
      <c r="K34" s="13">
        <f>[9]entradas!$H50</f>
        <v>8368</v>
      </c>
      <c r="L34" s="13">
        <f>[10]entradas!$H50</f>
        <v>8275</v>
      </c>
      <c r="M34" s="13">
        <f>[11]entradas!$H50</f>
        <v>8254</v>
      </c>
      <c r="N34" s="13">
        <f>[12]entradas!$H50</f>
        <v>4701</v>
      </c>
      <c r="O34" s="13">
        <f>[13]entradas!$H50</f>
        <v>1624</v>
      </c>
      <c r="P34" s="13">
        <f>[14]entradas!$H50</f>
        <v>8267</v>
      </c>
      <c r="Q34" s="13">
        <f>[15]entradas!$H50</f>
        <v>8262</v>
      </c>
      <c r="R34" s="13">
        <f>[16]entradas!$H50</f>
        <v>8268</v>
      </c>
      <c r="S34" s="13">
        <f>[17]entradas!$H50</f>
        <v>8403</v>
      </c>
      <c r="T34" s="13">
        <f>[18]entradas!$H50</f>
        <v>8242</v>
      </c>
      <c r="U34" s="13">
        <f>[19]entradas!$H50</f>
        <v>4819</v>
      </c>
      <c r="V34" s="13">
        <f>[20]entradas!$H50</f>
        <v>1553</v>
      </c>
      <c r="W34" s="13">
        <f>[21]entradas!$H50</f>
        <v>8224</v>
      </c>
      <c r="X34" s="13">
        <f>[22]entradas!$H50</f>
        <v>8207</v>
      </c>
      <c r="Y34" s="13">
        <f>[23]entradas!$H50</f>
        <v>8237</v>
      </c>
      <c r="Z34" s="13">
        <f>[24]entradas!$H50</f>
        <v>8163</v>
      </c>
      <c r="AA34" s="13">
        <f>[25]entradas!$H50</f>
        <v>8551</v>
      </c>
      <c r="AB34" s="13">
        <f>[26]entradas!$H50</f>
        <v>5479</v>
      </c>
      <c r="AC34" s="13">
        <f>[27]entradas!$H50</f>
        <v>1644</v>
      </c>
      <c r="AD34" s="13">
        <f>[28]entradas!$H50</f>
        <v>8243</v>
      </c>
      <c r="AE34" s="13">
        <f>[29]entradas!$H50</f>
        <v>8272</v>
      </c>
      <c r="AF34" s="13">
        <f>[30]entradas!$H50</f>
        <v>8589</v>
      </c>
      <c r="AG34" s="13">
        <f>[31]entradas!$H50</f>
        <v>8632</v>
      </c>
      <c r="AH34" s="13">
        <f>[32]entradas!$H50</f>
        <v>8541</v>
      </c>
      <c r="AI34" s="13">
        <f>[33]entradas!$H50</f>
        <v>5078</v>
      </c>
      <c r="AJ34" s="13">
        <f>[34]entradas!$H50</f>
        <v>1587</v>
      </c>
    </row>
    <row r="35" spans="1:36" x14ac:dyDescent="0.2">
      <c r="A35" s="424"/>
      <c r="B35" s="43" t="s">
        <v>72</v>
      </c>
      <c r="C35" s="13">
        <f>[1]entradas!$H51</f>
        <v>1452</v>
      </c>
      <c r="D35" s="13">
        <f>[2]entradas!$H51</f>
        <v>1459</v>
      </c>
      <c r="E35" s="13">
        <f>[3]entradas!$H51</f>
        <v>1683</v>
      </c>
      <c r="F35" s="13">
        <f>[4]entradas!$H51</f>
        <v>1422</v>
      </c>
      <c r="G35" s="13">
        <f>[5]entradas!$H51</f>
        <v>964</v>
      </c>
      <c r="H35" s="13">
        <f>[6]entradas!$H51</f>
        <v>430</v>
      </c>
      <c r="I35" s="13">
        <f>[7]entradas!$H51</f>
        <v>1416</v>
      </c>
      <c r="J35" s="13">
        <f>[8]entradas!$H51</f>
        <v>1316</v>
      </c>
      <c r="K35" s="13">
        <f>[9]entradas!$H51</f>
        <v>1337</v>
      </c>
      <c r="L35" s="13">
        <f>[10]entradas!$H51</f>
        <v>1359</v>
      </c>
      <c r="M35" s="13">
        <f>[11]entradas!$H51</f>
        <v>1381</v>
      </c>
      <c r="N35" s="13">
        <f>[12]entradas!$H51</f>
        <v>972</v>
      </c>
      <c r="O35" s="13">
        <f>[13]entradas!$H51</f>
        <v>432</v>
      </c>
      <c r="P35" s="13">
        <f>[14]entradas!$H51</f>
        <v>1440</v>
      </c>
      <c r="Q35" s="13">
        <f>[15]entradas!$H51</f>
        <v>1418</v>
      </c>
      <c r="R35" s="13">
        <f>[16]entradas!$H51</f>
        <v>1365</v>
      </c>
      <c r="S35" s="13">
        <f>[17]entradas!$H51</f>
        <v>1425</v>
      </c>
      <c r="T35" s="13">
        <f>[18]entradas!$H51</f>
        <v>1435</v>
      </c>
      <c r="U35" s="13">
        <f>[19]entradas!$H51</f>
        <v>955</v>
      </c>
      <c r="V35" s="13">
        <f>[20]entradas!$H51</f>
        <v>416</v>
      </c>
      <c r="W35" s="13">
        <f>[21]entradas!$H51</f>
        <v>1345</v>
      </c>
      <c r="X35" s="13">
        <f>[22]entradas!$H51</f>
        <v>1379</v>
      </c>
      <c r="Y35" s="13">
        <f>[23]entradas!$H51</f>
        <v>1404</v>
      </c>
      <c r="Z35" s="13">
        <f>[24]entradas!$H51</f>
        <v>1392</v>
      </c>
      <c r="AA35" s="13">
        <f>[25]entradas!$H51</f>
        <v>1449</v>
      </c>
      <c r="AB35" s="13">
        <f>[26]entradas!$H51</f>
        <v>1058</v>
      </c>
      <c r="AC35" s="13">
        <f>[27]entradas!$H51</f>
        <v>367</v>
      </c>
      <c r="AD35" s="13">
        <f>[28]entradas!$H51</f>
        <v>1372</v>
      </c>
      <c r="AE35" s="13">
        <f>[29]entradas!$H51</f>
        <v>1424</v>
      </c>
      <c r="AF35" s="13">
        <f>[30]entradas!$H51</f>
        <v>1673</v>
      </c>
      <c r="AG35" s="13">
        <f>[31]entradas!$H51</f>
        <v>1415</v>
      </c>
      <c r="AH35" s="13">
        <f>[32]entradas!$H51</f>
        <v>1459</v>
      </c>
      <c r="AI35" s="13">
        <f>[33]entradas!$H51</f>
        <v>1045</v>
      </c>
      <c r="AJ35" s="13">
        <f>[34]entradas!$H51</f>
        <v>406</v>
      </c>
    </row>
    <row r="36" spans="1:36" x14ac:dyDescent="0.2">
      <c r="A36" s="424"/>
      <c r="B36" s="43" t="s">
        <v>73</v>
      </c>
      <c r="C36" s="13">
        <f>[1]entradas!$H52</f>
        <v>3961</v>
      </c>
      <c r="D36" s="13">
        <f>[2]entradas!$H52</f>
        <v>4335</v>
      </c>
      <c r="E36" s="13">
        <f>[3]entradas!$H52</f>
        <v>4108</v>
      </c>
      <c r="F36" s="13">
        <f>[4]entradas!$H52</f>
        <v>4297</v>
      </c>
      <c r="G36" s="13">
        <f>[5]entradas!$H52</f>
        <v>2641</v>
      </c>
      <c r="H36" s="13">
        <f>[6]entradas!$H52</f>
        <v>1100</v>
      </c>
      <c r="I36" s="13">
        <f>[7]entradas!$H52</f>
        <v>4142</v>
      </c>
      <c r="J36" s="13">
        <f>[8]entradas!$H52</f>
        <v>4391</v>
      </c>
      <c r="K36" s="13">
        <f>[9]entradas!$H52</f>
        <v>4430</v>
      </c>
      <c r="L36" s="13">
        <f>[10]entradas!$H52</f>
        <v>4310</v>
      </c>
      <c r="M36" s="13">
        <f>[11]entradas!$H52</f>
        <v>4432</v>
      </c>
      <c r="N36" s="13">
        <f>[12]entradas!$H52</f>
        <v>2677</v>
      </c>
      <c r="O36" s="13">
        <f>[13]entradas!$H52</f>
        <v>1048</v>
      </c>
      <c r="P36" s="13">
        <f>[14]entradas!$H52</f>
        <v>4492</v>
      </c>
      <c r="Q36" s="13">
        <f>[15]entradas!$H52</f>
        <v>4312</v>
      </c>
      <c r="R36" s="13">
        <f>[16]entradas!$H52</f>
        <v>4375</v>
      </c>
      <c r="S36" s="13">
        <f>[17]entradas!$H52</f>
        <v>4311</v>
      </c>
      <c r="T36" s="13">
        <f>[18]entradas!$H52</f>
        <v>4469</v>
      </c>
      <c r="U36" s="13">
        <f>[19]entradas!$H52</f>
        <v>2766</v>
      </c>
      <c r="V36" s="13">
        <f>[20]entradas!$H52</f>
        <v>1141</v>
      </c>
      <c r="W36" s="13">
        <f>[21]entradas!$H52</f>
        <v>4484</v>
      </c>
      <c r="X36" s="13">
        <f>[22]entradas!$H52</f>
        <v>4345</v>
      </c>
      <c r="Y36" s="13">
        <f>[23]entradas!$H52</f>
        <v>4470</v>
      </c>
      <c r="Z36" s="13">
        <f>[24]entradas!$H52</f>
        <v>4262</v>
      </c>
      <c r="AA36" s="13">
        <f>[25]entradas!$H52</f>
        <v>4455</v>
      </c>
      <c r="AB36" s="13">
        <f>[26]entradas!$H52</f>
        <v>2883</v>
      </c>
      <c r="AC36" s="13">
        <f>[27]entradas!$H52</f>
        <v>1121</v>
      </c>
      <c r="AD36" s="13">
        <f>[28]entradas!$H52</f>
        <v>4803</v>
      </c>
      <c r="AE36" s="13">
        <f>[29]entradas!$H52</f>
        <v>4531</v>
      </c>
      <c r="AF36" s="13">
        <f>[30]entradas!$H52</f>
        <v>5045</v>
      </c>
      <c r="AG36" s="13">
        <f>[31]entradas!$H52</f>
        <v>4974</v>
      </c>
      <c r="AH36" s="13">
        <f>[32]entradas!$H52</f>
        <v>4633</v>
      </c>
      <c r="AI36" s="13">
        <f>[33]entradas!$H52</f>
        <v>3000</v>
      </c>
      <c r="AJ36" s="13">
        <f>[34]entradas!$H52</f>
        <v>1080</v>
      </c>
    </row>
    <row r="37" spans="1:36" x14ac:dyDescent="0.2">
      <c r="A37" s="424"/>
      <c r="B37" s="43" t="s">
        <v>74</v>
      </c>
      <c r="C37" s="13">
        <f>[1]entradas!$H53</f>
        <v>803</v>
      </c>
      <c r="D37" s="13">
        <f>[2]entradas!$H53</f>
        <v>692</v>
      </c>
      <c r="E37" s="13">
        <f>[3]entradas!$H53</f>
        <v>723</v>
      </c>
      <c r="F37" s="13">
        <f>[4]entradas!$H53</f>
        <v>769</v>
      </c>
      <c r="G37" s="13">
        <f>[5]entradas!$H53</f>
        <v>497</v>
      </c>
      <c r="H37" s="13">
        <f>[6]entradas!$H53</f>
        <v>271</v>
      </c>
      <c r="I37" s="13">
        <f>[7]entradas!$H53</f>
        <v>688</v>
      </c>
      <c r="J37" s="13">
        <f>[8]entradas!$H53</f>
        <v>714</v>
      </c>
      <c r="K37" s="13">
        <f>[9]entradas!$H53</f>
        <v>674</v>
      </c>
      <c r="L37" s="13">
        <f>[10]entradas!$H53</f>
        <v>751</v>
      </c>
      <c r="M37" s="13">
        <f>[11]entradas!$H53</f>
        <v>715</v>
      </c>
      <c r="N37" s="13">
        <f>[12]entradas!$H53</f>
        <v>574</v>
      </c>
      <c r="O37" s="13">
        <f>[13]entradas!$H53</f>
        <v>261</v>
      </c>
      <c r="P37" s="13">
        <f>[14]entradas!$H53</f>
        <v>723</v>
      </c>
      <c r="Q37" s="13">
        <f>[15]entradas!$H53</f>
        <v>722</v>
      </c>
      <c r="R37" s="13">
        <f>[16]entradas!$H53</f>
        <v>709</v>
      </c>
      <c r="S37" s="13">
        <f>[17]entradas!$H53</f>
        <v>677</v>
      </c>
      <c r="T37" s="13">
        <f>[18]entradas!$H53</f>
        <v>705</v>
      </c>
      <c r="U37" s="13">
        <f>[19]entradas!$H53</f>
        <v>480</v>
      </c>
      <c r="V37" s="13">
        <f>[20]entradas!$H53</f>
        <v>260</v>
      </c>
      <c r="W37" s="13">
        <f>[21]entradas!$H53</f>
        <v>715</v>
      </c>
      <c r="X37" s="13">
        <f>[22]entradas!$H53</f>
        <v>758</v>
      </c>
      <c r="Y37" s="13">
        <f>[23]entradas!$H53</f>
        <v>702</v>
      </c>
      <c r="Z37" s="13">
        <f>[24]entradas!$H53</f>
        <v>705</v>
      </c>
      <c r="AA37" s="13">
        <f>[25]entradas!$H53</f>
        <v>697</v>
      </c>
      <c r="AB37" s="13">
        <f>[26]entradas!$H53</f>
        <v>588</v>
      </c>
      <c r="AC37" s="13">
        <f>[27]entradas!$H53</f>
        <v>245</v>
      </c>
      <c r="AD37" s="13">
        <f>[28]entradas!$H53</f>
        <v>729</v>
      </c>
      <c r="AE37" s="13">
        <f>[29]entradas!$H53</f>
        <v>719</v>
      </c>
      <c r="AF37" s="13">
        <f>[30]entradas!$H53</f>
        <v>852</v>
      </c>
      <c r="AG37" s="13">
        <f>[31]entradas!$H53</f>
        <v>768</v>
      </c>
      <c r="AH37" s="13">
        <f>[32]entradas!$H53</f>
        <v>719</v>
      </c>
      <c r="AI37" s="13">
        <f>[33]entradas!$H53</f>
        <v>506</v>
      </c>
      <c r="AJ37" s="13">
        <f>[34]entradas!$H53</f>
        <v>279</v>
      </c>
    </row>
    <row r="38" spans="1:36" x14ac:dyDescent="0.2">
      <c r="A38" s="424"/>
      <c r="B38" s="43" t="s">
        <v>75</v>
      </c>
      <c r="C38" s="13">
        <f>[1]entradas!$H54</f>
        <v>17659</v>
      </c>
      <c r="D38" s="13">
        <f>[2]entradas!$H54</f>
        <v>18630</v>
      </c>
      <c r="E38" s="13">
        <f>[3]entradas!$H54</f>
        <v>18501</v>
      </c>
      <c r="F38" s="13">
        <f>[4]entradas!$H54</f>
        <v>18514</v>
      </c>
      <c r="G38" s="13">
        <f>[5]entradas!$H54</f>
        <v>10379</v>
      </c>
      <c r="H38" s="13">
        <f>[6]entradas!$H54</f>
        <v>4139</v>
      </c>
      <c r="I38" s="13">
        <f>[7]entradas!$H54</f>
        <v>18474</v>
      </c>
      <c r="J38" s="13">
        <f>[8]entradas!$H54</f>
        <v>18975</v>
      </c>
      <c r="K38" s="13">
        <f>[9]entradas!$H54</f>
        <v>18732</v>
      </c>
      <c r="L38" s="13">
        <f>[10]entradas!$H54</f>
        <v>19187</v>
      </c>
      <c r="M38" s="13">
        <f>[11]entradas!$H54</f>
        <v>19126</v>
      </c>
      <c r="N38" s="13">
        <f>[12]entradas!$H54</f>
        <v>10262</v>
      </c>
      <c r="O38" s="13">
        <f>[13]entradas!$H54</f>
        <v>3969</v>
      </c>
      <c r="P38" s="13">
        <f>[14]entradas!$H54</f>
        <v>18736</v>
      </c>
      <c r="Q38" s="13">
        <f>[15]entradas!$H54</f>
        <v>18847</v>
      </c>
      <c r="R38" s="13">
        <f>[16]entradas!$H54</f>
        <v>18653</v>
      </c>
      <c r="S38" s="13">
        <f>[17]entradas!$H54</f>
        <v>18901</v>
      </c>
      <c r="T38" s="13">
        <f>[18]entradas!$H54</f>
        <v>19132</v>
      </c>
      <c r="U38" s="13">
        <f>[19]entradas!$H54</f>
        <v>10900</v>
      </c>
      <c r="V38" s="13">
        <f>[20]entradas!$H54</f>
        <v>4052</v>
      </c>
      <c r="W38" s="13">
        <f>[21]entradas!$H54</f>
        <v>18586</v>
      </c>
      <c r="X38" s="13">
        <f>[22]entradas!$H54</f>
        <v>19175</v>
      </c>
      <c r="Y38" s="13">
        <f>[23]entradas!$H54</f>
        <v>18989</v>
      </c>
      <c r="Z38" s="13">
        <f>[24]entradas!$H54</f>
        <v>18679</v>
      </c>
      <c r="AA38" s="13">
        <f>[25]entradas!$H54</f>
        <v>19086</v>
      </c>
      <c r="AB38" s="13">
        <f>[26]entradas!$H54</f>
        <v>11043</v>
      </c>
      <c r="AC38" s="13">
        <f>[27]entradas!$H54</f>
        <v>4031</v>
      </c>
      <c r="AD38" s="13">
        <f>[28]entradas!$H54</f>
        <v>18562</v>
      </c>
      <c r="AE38" s="13">
        <f>[29]entradas!$H54</f>
        <v>19219</v>
      </c>
      <c r="AF38" s="13">
        <f>[30]entradas!$H54</f>
        <v>18930</v>
      </c>
      <c r="AG38" s="13">
        <f>[31]entradas!$H54</f>
        <v>18998</v>
      </c>
      <c r="AH38" s="13">
        <f>[32]entradas!$H54</f>
        <v>19626</v>
      </c>
      <c r="AI38" s="13">
        <f>[33]entradas!$H54</f>
        <v>11434</v>
      </c>
      <c r="AJ38" s="13">
        <f>[34]entradas!$H54</f>
        <v>3920</v>
      </c>
    </row>
    <row r="39" spans="1:36" x14ac:dyDescent="0.2">
      <c r="A39" s="424"/>
      <c r="B39" s="43" t="s">
        <v>76</v>
      </c>
      <c r="C39" s="13">
        <f>[1]entradas!$H55</f>
        <v>2258</v>
      </c>
      <c r="D39" s="13">
        <f>[2]entradas!$H55</f>
        <v>2235</v>
      </c>
      <c r="E39" s="13">
        <f>[3]entradas!$H55</f>
        <v>2272</v>
      </c>
      <c r="F39" s="13">
        <f>[4]entradas!$H55</f>
        <v>2102</v>
      </c>
      <c r="G39" s="13">
        <f>[5]entradas!$H55</f>
        <v>1252</v>
      </c>
      <c r="H39" s="13">
        <f>[6]entradas!$H55</f>
        <v>471</v>
      </c>
      <c r="I39" s="13">
        <f>[7]entradas!$H55</f>
        <v>2292</v>
      </c>
      <c r="J39" s="13">
        <f>[8]entradas!$H55</f>
        <v>2369</v>
      </c>
      <c r="K39" s="13">
        <f>[9]entradas!$H55</f>
        <v>2377</v>
      </c>
      <c r="L39" s="13">
        <f>[10]entradas!$H55</f>
        <v>2376</v>
      </c>
      <c r="M39" s="13">
        <f>[11]entradas!$H55</f>
        <v>2339</v>
      </c>
      <c r="N39" s="13">
        <f>[12]entradas!$H55</f>
        <v>1326</v>
      </c>
      <c r="O39" s="13">
        <f>[13]entradas!$H55</f>
        <v>391</v>
      </c>
      <c r="P39" s="13">
        <f>[14]entradas!$H55</f>
        <v>2344</v>
      </c>
      <c r="Q39" s="13">
        <f>[15]entradas!$H55</f>
        <v>2364</v>
      </c>
      <c r="R39" s="13">
        <f>[16]entradas!$H55</f>
        <v>2359</v>
      </c>
      <c r="S39" s="13">
        <f>[17]entradas!$H55</f>
        <v>2445</v>
      </c>
      <c r="T39" s="13">
        <f>[18]entradas!$H55</f>
        <v>2056</v>
      </c>
      <c r="U39" s="13">
        <f>[19]entradas!$H55</f>
        <v>1325</v>
      </c>
      <c r="V39" s="13">
        <f>[20]entradas!$H55</f>
        <v>414</v>
      </c>
      <c r="W39" s="13">
        <f>[21]entradas!$H55</f>
        <v>2336</v>
      </c>
      <c r="X39" s="13">
        <f>[22]entradas!$H55</f>
        <v>2384</v>
      </c>
      <c r="Y39" s="13">
        <f>[23]entradas!$H55</f>
        <v>2435</v>
      </c>
      <c r="Z39" s="13">
        <f>[24]entradas!$H55</f>
        <v>2244</v>
      </c>
      <c r="AA39" s="13">
        <f>[25]entradas!$H55</f>
        <v>2292</v>
      </c>
      <c r="AB39" s="13">
        <f>[26]entradas!$H55</f>
        <v>1459</v>
      </c>
      <c r="AC39" s="13">
        <f>[27]entradas!$H55</f>
        <v>422</v>
      </c>
      <c r="AD39" s="13">
        <f>[28]entradas!$H55</f>
        <v>2345</v>
      </c>
      <c r="AE39" s="13">
        <f>[29]entradas!$H55</f>
        <v>2345</v>
      </c>
      <c r="AF39" s="13">
        <f>[30]entradas!$H55</f>
        <v>2381</v>
      </c>
      <c r="AG39" s="13">
        <f>[31]entradas!$H55</f>
        <v>2315</v>
      </c>
      <c r="AH39" s="13">
        <f>[32]entradas!$H55</f>
        <v>2302</v>
      </c>
      <c r="AI39" s="13">
        <f>[33]entradas!$H55</f>
        <v>1348</v>
      </c>
      <c r="AJ39" s="13">
        <f>[34]entradas!$H55</f>
        <v>463</v>
      </c>
    </row>
    <row r="40" spans="1:36" x14ac:dyDescent="0.2">
      <c r="A40" s="424"/>
      <c r="B40" s="69" t="s">
        <v>110</v>
      </c>
      <c r="C40" s="55">
        <f>[1]entradas!$H56</f>
        <v>100648</v>
      </c>
      <c r="D40" s="55">
        <f>[2]entradas!$H56</f>
        <v>108579</v>
      </c>
      <c r="E40" s="55">
        <f>[3]entradas!$H56</f>
        <v>109791</v>
      </c>
      <c r="F40" s="55">
        <f>[4]entradas!$H56</f>
        <v>112157</v>
      </c>
      <c r="G40" s="55">
        <f>[5]entradas!$H56</f>
        <v>78266</v>
      </c>
      <c r="H40" s="55">
        <f>[6]entradas!$H56</f>
        <v>44495</v>
      </c>
      <c r="I40" s="55">
        <f>[7]entradas!$H56</f>
        <v>109982</v>
      </c>
      <c r="J40" s="55">
        <f>[8]entradas!$H56</f>
        <v>111596</v>
      </c>
      <c r="K40" s="55">
        <f>[9]entradas!$H56</f>
        <v>109788</v>
      </c>
      <c r="L40" s="55">
        <f>[10]entradas!$H56</f>
        <v>111837</v>
      </c>
      <c r="M40" s="55">
        <f>[11]entradas!$H56</f>
        <v>113976</v>
      </c>
      <c r="N40" s="55">
        <f>[12]entradas!$H56</f>
        <v>78315</v>
      </c>
      <c r="O40" s="55">
        <f>[13]entradas!$H56</f>
        <v>42137</v>
      </c>
      <c r="P40" s="55">
        <f>[14]entradas!$H56</f>
        <v>112037</v>
      </c>
      <c r="Q40" s="55">
        <f>[15]entradas!$H56</f>
        <v>109127</v>
      </c>
      <c r="R40" s="55">
        <f>[16]entradas!$H56</f>
        <v>109366</v>
      </c>
      <c r="S40" s="55">
        <f>[17]entradas!$H56</f>
        <v>110103</v>
      </c>
      <c r="T40" s="55">
        <f>[18]entradas!$H56</f>
        <v>114193</v>
      </c>
      <c r="U40" s="55">
        <f>[19]entradas!$H56</f>
        <v>80256</v>
      </c>
      <c r="V40" s="55">
        <f>[20]entradas!$H56</f>
        <v>43986</v>
      </c>
      <c r="W40" s="55">
        <f>[21]entradas!$H56</f>
        <v>112272</v>
      </c>
      <c r="X40" s="55">
        <f>[22]entradas!$H56</f>
        <v>112224</v>
      </c>
      <c r="Y40" s="55">
        <f>[23]entradas!$H56</f>
        <v>111757</v>
      </c>
      <c r="Z40" s="55">
        <f>[24]entradas!$H56</f>
        <v>111088</v>
      </c>
      <c r="AA40" s="55">
        <f>[25]entradas!$H56</f>
        <v>114578</v>
      </c>
      <c r="AB40" s="55">
        <f>[26]entradas!$H56</f>
        <v>80091</v>
      </c>
      <c r="AC40" s="55">
        <f>[27]entradas!$H56</f>
        <v>42610</v>
      </c>
      <c r="AD40" s="55">
        <f>[28]entradas!$H56</f>
        <v>112401</v>
      </c>
      <c r="AE40" s="55">
        <f>[29]entradas!$H56</f>
        <v>113107</v>
      </c>
      <c r="AF40" s="55">
        <f>[30]entradas!$H56</f>
        <v>112024</v>
      </c>
      <c r="AG40" s="55">
        <f>[31]entradas!$H56</f>
        <v>112555</v>
      </c>
      <c r="AH40" s="55">
        <f>[32]entradas!$H56</f>
        <v>117327</v>
      </c>
      <c r="AI40" s="55">
        <f>[33]entradas!$H56</f>
        <v>83967</v>
      </c>
      <c r="AJ40" s="55">
        <f>[34]entradas!$H56</f>
        <v>42554</v>
      </c>
    </row>
    <row r="41" spans="1:36" s="12" customFormat="1" x14ac:dyDescent="0.2">
      <c r="A41" s="424"/>
      <c r="B41" s="69" t="s">
        <v>23</v>
      </c>
      <c r="C41" s="55">
        <f>[1]entradas!$H63</f>
        <v>21257</v>
      </c>
      <c r="D41" s="55">
        <f>[2]entradas!$H63</f>
        <v>20896</v>
      </c>
      <c r="E41" s="55">
        <f>[3]entradas!$H63</f>
        <v>20093</v>
      </c>
      <c r="F41" s="55">
        <f>[4]entradas!$H63</f>
        <v>20259</v>
      </c>
      <c r="G41" s="55">
        <f>[5]entradas!$H63</f>
        <v>11313</v>
      </c>
      <c r="H41" s="55">
        <f>[6]entradas!$H63</f>
        <v>2251</v>
      </c>
      <c r="I41" s="55">
        <f>[7]entradas!$H63</f>
        <v>21325</v>
      </c>
      <c r="J41" s="55">
        <f>[8]entradas!$H63</f>
        <v>21471</v>
      </c>
      <c r="K41" s="55">
        <f>[9]entradas!$H63</f>
        <v>20933</v>
      </c>
      <c r="L41" s="55">
        <f>[10]entradas!$H63</f>
        <v>20972</v>
      </c>
      <c r="M41" s="55">
        <f>[11]entradas!$H63</f>
        <v>20513</v>
      </c>
      <c r="N41" s="55">
        <f>[12]entradas!$H63</f>
        <v>11815</v>
      </c>
      <c r="O41" s="55">
        <f>[13]entradas!$H63</f>
        <v>2386</v>
      </c>
      <c r="P41" s="55">
        <f>[14]entradas!$H63</f>
        <v>20878</v>
      </c>
      <c r="Q41" s="55">
        <f>[15]entradas!$H63</f>
        <v>19627</v>
      </c>
      <c r="R41" s="55">
        <f>[16]entradas!$H63</f>
        <v>20912</v>
      </c>
      <c r="S41" s="55">
        <f>[17]entradas!$H63</f>
        <v>19862</v>
      </c>
      <c r="T41" s="55">
        <f>[18]entradas!$H63</f>
        <v>20603</v>
      </c>
      <c r="U41" s="55">
        <f>[19]entradas!$H63</f>
        <v>11877</v>
      </c>
      <c r="V41" s="55">
        <f>[20]entradas!$H63</f>
        <v>2296</v>
      </c>
      <c r="W41" s="55">
        <f>[21]entradas!$H63</f>
        <v>21425</v>
      </c>
      <c r="X41" s="55">
        <f>[22]entradas!$H63</f>
        <v>21300</v>
      </c>
      <c r="Y41" s="55">
        <f>[23]entradas!$H63</f>
        <v>21445</v>
      </c>
      <c r="Z41" s="55">
        <f>[24]entradas!$H63</f>
        <v>20827</v>
      </c>
      <c r="AA41" s="55">
        <f>[25]entradas!$H63</f>
        <v>20788</v>
      </c>
      <c r="AB41" s="55">
        <f>[26]entradas!$H63</f>
        <v>11979</v>
      </c>
      <c r="AC41" s="55">
        <f>[27]entradas!$H63</f>
        <v>2398</v>
      </c>
      <c r="AD41" s="55">
        <f>[28]entradas!$H63</f>
        <v>21539</v>
      </c>
      <c r="AE41" s="55">
        <f>[29]entradas!$H63</f>
        <v>22540</v>
      </c>
      <c r="AF41" s="55">
        <f>[30]entradas!$H63</f>
        <v>22093</v>
      </c>
      <c r="AG41" s="55">
        <f>[31]entradas!$H63</f>
        <v>21644</v>
      </c>
      <c r="AH41" s="55">
        <f>[32]entradas!$H63</f>
        <v>21200</v>
      </c>
      <c r="AI41" s="55">
        <f>[33]entradas!$H63</f>
        <v>12389</v>
      </c>
      <c r="AJ41" s="55">
        <f>[34]entradas!$H63</f>
        <v>2351</v>
      </c>
    </row>
    <row r="42" spans="1:36" x14ac:dyDescent="0.2">
      <c r="A42" s="424"/>
      <c r="B42" s="69" t="s">
        <v>24</v>
      </c>
      <c r="C42" s="55">
        <f>[1]entradas!$H64</f>
        <v>13905</v>
      </c>
      <c r="D42" s="55">
        <f>[2]entradas!$H64</f>
        <v>14527</v>
      </c>
      <c r="E42" s="55">
        <f>[3]entradas!$H64</f>
        <v>14083</v>
      </c>
      <c r="F42" s="55">
        <f>[4]entradas!$H64</f>
        <v>13744</v>
      </c>
      <c r="G42" s="55">
        <f>[5]entradas!$H64</f>
        <v>5331</v>
      </c>
      <c r="H42" s="55">
        <f>[6]entradas!$H64</f>
        <v>952</v>
      </c>
      <c r="I42" s="55">
        <f>[7]entradas!$H64</f>
        <v>13056</v>
      </c>
      <c r="J42" s="55">
        <f>[8]entradas!$H64</f>
        <v>13615</v>
      </c>
      <c r="K42" s="55">
        <f>[9]entradas!$H64</f>
        <v>13199</v>
      </c>
      <c r="L42" s="55">
        <f>[10]entradas!$H64</f>
        <v>13039</v>
      </c>
      <c r="M42" s="55">
        <f>[11]entradas!$H64</f>
        <v>12313</v>
      </c>
      <c r="N42" s="55">
        <f>[12]entradas!$H64</f>
        <v>5094</v>
      </c>
      <c r="O42" s="55">
        <f>[13]entradas!$H64</f>
        <v>830</v>
      </c>
      <c r="P42" s="55">
        <f>[14]entradas!$H64</f>
        <v>12952</v>
      </c>
      <c r="Q42" s="55">
        <f>[15]entradas!$H64</f>
        <v>12909</v>
      </c>
      <c r="R42" s="55">
        <f>[16]entradas!$H64</f>
        <v>12936</v>
      </c>
      <c r="S42" s="55">
        <f>[17]entradas!$H64</f>
        <v>12647</v>
      </c>
      <c r="T42" s="55">
        <f>[18]entradas!$H64</f>
        <v>12881</v>
      </c>
      <c r="U42" s="55">
        <f>[19]entradas!$H64</f>
        <v>5317</v>
      </c>
      <c r="V42" s="55">
        <f>[20]entradas!$H64</f>
        <v>794</v>
      </c>
      <c r="W42" s="55">
        <f>[21]entradas!$H64</f>
        <v>12969</v>
      </c>
      <c r="X42" s="55">
        <f>[22]entradas!$H64</f>
        <v>12849</v>
      </c>
      <c r="Y42" s="55">
        <f>[23]entradas!$H64</f>
        <v>12857</v>
      </c>
      <c r="Z42" s="55">
        <f>[24]entradas!$H64</f>
        <v>13240</v>
      </c>
      <c r="AA42" s="55">
        <f>[25]entradas!$H64</f>
        <v>12048</v>
      </c>
      <c r="AB42" s="55">
        <f>[26]entradas!$H64</f>
        <v>5205</v>
      </c>
      <c r="AC42" s="55">
        <f>[27]entradas!$H64</f>
        <v>859</v>
      </c>
      <c r="AD42" s="55">
        <f>[28]entradas!$H64</f>
        <v>12854</v>
      </c>
      <c r="AE42" s="55">
        <f>[29]entradas!$H64</f>
        <v>13248</v>
      </c>
      <c r="AF42" s="55">
        <f>[30]entradas!$H64</f>
        <v>13100</v>
      </c>
      <c r="AG42" s="55">
        <f>[31]entradas!$H64</f>
        <v>12821</v>
      </c>
      <c r="AH42" s="55">
        <f>[32]entradas!$H64</f>
        <v>12308</v>
      </c>
      <c r="AI42" s="55">
        <f>[33]entradas!$H64</f>
        <v>5305</v>
      </c>
      <c r="AJ42" s="55">
        <f>[34]entradas!$H64</f>
        <v>890</v>
      </c>
    </row>
    <row r="43" spans="1:36" x14ac:dyDescent="0.2">
      <c r="A43" s="424"/>
      <c r="B43" s="43" t="s">
        <v>25</v>
      </c>
      <c r="C43" s="14">
        <f>[1]entradas!$H65</f>
        <v>21530</v>
      </c>
      <c r="D43" s="14">
        <f>[2]entradas!$H65</f>
        <v>20997</v>
      </c>
      <c r="E43" s="14">
        <f>[3]entradas!$H65</f>
        <v>20281</v>
      </c>
      <c r="F43" s="14">
        <f>[4]entradas!$H65</f>
        <v>21211</v>
      </c>
      <c r="G43" s="14">
        <f>[5]entradas!$H65</f>
        <v>12042</v>
      </c>
      <c r="H43" s="14">
        <f>[6]entradas!$H65</f>
        <v>4590</v>
      </c>
      <c r="I43" s="14">
        <f>[7]entradas!$H65</f>
        <v>23685</v>
      </c>
      <c r="J43" s="14">
        <f>[8]entradas!$H65</f>
        <v>25503</v>
      </c>
      <c r="K43" s="14">
        <f>[9]entradas!$H65</f>
        <v>24764</v>
      </c>
      <c r="L43" s="14">
        <f>[10]entradas!$H65</f>
        <v>25434</v>
      </c>
      <c r="M43" s="14">
        <f>[11]entradas!$H65</f>
        <v>25001</v>
      </c>
      <c r="N43" s="14">
        <f>[12]entradas!$H65</f>
        <v>13751</v>
      </c>
      <c r="O43" s="14">
        <f>[13]entradas!$H65</f>
        <v>4342</v>
      </c>
      <c r="P43" s="14">
        <f>[14]entradas!$H65</f>
        <v>25406</v>
      </c>
      <c r="Q43" s="14">
        <f>[15]entradas!$H65</f>
        <v>24936</v>
      </c>
      <c r="R43" s="14">
        <f>[16]entradas!$H65</f>
        <v>25042</v>
      </c>
      <c r="S43" s="14">
        <f>[17]entradas!$H65</f>
        <v>23618</v>
      </c>
      <c r="T43" s="14">
        <f>[18]entradas!$H65</f>
        <v>24787</v>
      </c>
      <c r="U43" s="14">
        <f>[19]entradas!$H65</f>
        <v>14053</v>
      </c>
      <c r="V43" s="14">
        <f>[20]entradas!$H65</f>
        <v>4622</v>
      </c>
      <c r="W43" s="14">
        <f>[21]entradas!$H65</f>
        <v>25224</v>
      </c>
      <c r="X43" s="14">
        <f>[22]entradas!$H65</f>
        <v>26363</v>
      </c>
      <c r="Y43" s="14">
        <f>[23]entradas!$H65</f>
        <v>25739</v>
      </c>
      <c r="Z43" s="14">
        <f>[24]entradas!$H65</f>
        <v>24275</v>
      </c>
      <c r="AA43" s="14">
        <f>[25]entradas!$H65</f>
        <v>26225</v>
      </c>
      <c r="AB43" s="14">
        <f>[26]entradas!$H65</f>
        <v>14774</v>
      </c>
      <c r="AC43" s="14">
        <f>[27]entradas!$H65</f>
        <v>4405</v>
      </c>
      <c r="AD43" s="14">
        <f>[28]entradas!$H65</f>
        <v>26153</v>
      </c>
      <c r="AE43" s="14">
        <f>[29]entradas!$H65</f>
        <v>26811</v>
      </c>
      <c r="AF43" s="14">
        <f>[30]entradas!$H65</f>
        <v>26419</v>
      </c>
      <c r="AG43" s="14">
        <f>[31]entradas!$H65</f>
        <v>26423</v>
      </c>
      <c r="AH43" s="14">
        <f>[32]entradas!$H65</f>
        <v>26765</v>
      </c>
      <c r="AI43" s="14">
        <f>[33]entradas!$H65</f>
        <v>14769</v>
      </c>
      <c r="AJ43" s="14">
        <f>[34]entradas!$H65</f>
        <v>4526</v>
      </c>
    </row>
    <row r="44" spans="1:36" x14ac:dyDescent="0.2">
      <c r="A44" s="424"/>
      <c r="B44" s="39" t="s">
        <v>26</v>
      </c>
      <c r="C44" s="14">
        <f>[1]entradas!$H66</f>
        <v>6195</v>
      </c>
      <c r="D44" s="14">
        <f>[2]entradas!$H66</f>
        <v>6138</v>
      </c>
      <c r="E44" s="14">
        <f>[3]entradas!$H66</f>
        <v>6033</v>
      </c>
      <c r="F44" s="14">
        <f>[4]entradas!$H66</f>
        <v>5864</v>
      </c>
      <c r="G44" s="14">
        <f>[5]entradas!$H66</f>
        <v>2572</v>
      </c>
      <c r="H44" s="14">
        <f>[6]entradas!$H66</f>
        <v>756</v>
      </c>
      <c r="I44" s="14">
        <f>[7]entradas!$H66</f>
        <v>9069</v>
      </c>
      <c r="J44" s="14">
        <f>[8]entradas!$H66</f>
        <v>9820</v>
      </c>
      <c r="K44" s="14">
        <f>[9]entradas!$H66</f>
        <v>9588</v>
      </c>
      <c r="L44" s="14">
        <f>[10]entradas!$H66</f>
        <v>9643</v>
      </c>
      <c r="M44" s="14">
        <f>[11]entradas!$H66</f>
        <v>9328</v>
      </c>
      <c r="N44" s="14">
        <f>[12]entradas!$H66</f>
        <v>3783</v>
      </c>
      <c r="O44" s="14">
        <f>[13]entradas!$H66</f>
        <v>874</v>
      </c>
      <c r="P44" s="14">
        <f>[14]entradas!$H66</f>
        <v>10101</v>
      </c>
      <c r="Q44" s="14">
        <f>[15]entradas!$H66</f>
        <v>9605</v>
      </c>
      <c r="R44" s="14">
        <f>[16]entradas!$H66</f>
        <v>10092</v>
      </c>
      <c r="S44" s="14">
        <f>[17]entradas!$H66</f>
        <v>10241</v>
      </c>
      <c r="T44" s="14">
        <f>[18]entradas!$H66</f>
        <v>9980</v>
      </c>
      <c r="U44" s="14">
        <f>[19]entradas!$H66</f>
        <v>3908</v>
      </c>
      <c r="V44" s="14">
        <f>[20]entradas!$H66</f>
        <v>874</v>
      </c>
      <c r="W44" s="14">
        <f>[21]entradas!$H66</f>
        <v>10526</v>
      </c>
      <c r="X44" s="14">
        <f>[22]entradas!$H66</f>
        <v>10370</v>
      </c>
      <c r="Y44" s="14">
        <f>[23]entradas!$H66</f>
        <v>10416</v>
      </c>
      <c r="Z44" s="14">
        <f>[24]entradas!$H66</f>
        <v>10775</v>
      </c>
      <c r="AA44" s="14">
        <f>[25]entradas!$H66</f>
        <v>9701</v>
      </c>
      <c r="AB44" s="14">
        <f>[26]entradas!$H66</f>
        <v>3994</v>
      </c>
      <c r="AC44" s="14">
        <f>[27]entradas!$H66</f>
        <v>834</v>
      </c>
      <c r="AD44" s="14">
        <f>[28]entradas!$H66</f>
        <v>10443</v>
      </c>
      <c r="AE44" s="14">
        <f>[29]entradas!$H66</f>
        <v>10873</v>
      </c>
      <c r="AF44" s="14">
        <f>[30]entradas!$H66</f>
        <v>10826</v>
      </c>
      <c r="AG44" s="14">
        <f>[31]entradas!$H66</f>
        <v>10594</v>
      </c>
      <c r="AH44" s="14">
        <f>[32]entradas!$H66</f>
        <v>10025</v>
      </c>
      <c r="AI44" s="14">
        <f>[33]entradas!$H66</f>
        <v>4159</v>
      </c>
      <c r="AJ44" s="14">
        <f>[34]entradas!$H66</f>
        <v>962</v>
      </c>
    </row>
    <row r="45" spans="1:36" x14ac:dyDescent="0.2">
      <c r="A45" s="424"/>
      <c r="B45" s="39" t="s">
        <v>96</v>
      </c>
      <c r="C45" s="14">
        <f>[1]entradas!$H67</f>
        <v>8230</v>
      </c>
      <c r="D45" s="14">
        <f>[2]entradas!$H67</f>
        <v>7923</v>
      </c>
      <c r="E45" s="14">
        <f>[3]entradas!$H67</f>
        <v>8225</v>
      </c>
      <c r="F45" s="14">
        <f>[4]entradas!$H67</f>
        <v>7534</v>
      </c>
      <c r="G45" s="14">
        <f>[5]entradas!$H67</f>
        <v>2923</v>
      </c>
      <c r="H45" s="14">
        <f>[6]entradas!$H67</f>
        <v>845</v>
      </c>
      <c r="I45" s="14">
        <f>[7]entradas!$H67</f>
        <v>7490</v>
      </c>
      <c r="J45" s="14">
        <f>[8]entradas!$H67</f>
        <v>7559</v>
      </c>
      <c r="K45" s="14">
        <f>[9]entradas!$H67</f>
        <v>7139</v>
      </c>
      <c r="L45" s="14">
        <f>[10]entradas!$H67</f>
        <v>6936</v>
      </c>
      <c r="M45" s="14">
        <f>[11]entradas!$H67</f>
        <v>6483</v>
      </c>
      <c r="N45" s="14">
        <f>[12]entradas!$H67</f>
        <v>3140</v>
      </c>
      <c r="O45" s="14">
        <f>[13]entradas!$H67</f>
        <v>1095</v>
      </c>
      <c r="P45" s="14">
        <f>[14]entradas!$H67</f>
        <v>7261</v>
      </c>
      <c r="Q45" s="14">
        <f>[15]entradas!$H67</f>
        <v>6844</v>
      </c>
      <c r="R45" s="14">
        <f>[16]entradas!$H67</f>
        <v>6665</v>
      </c>
      <c r="S45" s="14">
        <f>[17]entradas!$H67</f>
        <v>6878</v>
      </c>
      <c r="T45" s="14">
        <f>[18]entradas!$H67</f>
        <v>7062</v>
      </c>
      <c r="U45" s="14">
        <f>[19]entradas!$H67</f>
        <v>3223</v>
      </c>
      <c r="V45" s="14">
        <f>[20]entradas!$H67</f>
        <v>997</v>
      </c>
      <c r="W45" s="14">
        <f>[21]entradas!$H67</f>
        <v>7087</v>
      </c>
      <c r="X45" s="14">
        <f>[22]entradas!$H67</f>
        <v>7026</v>
      </c>
      <c r="Y45" s="14">
        <f>[23]entradas!$H67</f>
        <v>7014</v>
      </c>
      <c r="Z45" s="14">
        <f>[24]entradas!$H67</f>
        <v>6996</v>
      </c>
      <c r="AA45" s="14">
        <f>[25]entradas!$H67</f>
        <v>6404</v>
      </c>
      <c r="AB45" s="14">
        <f>[26]entradas!$H67</f>
        <v>3095</v>
      </c>
      <c r="AC45" s="14">
        <f>[27]entradas!$H67</f>
        <v>929</v>
      </c>
      <c r="AD45" s="14">
        <f>[28]entradas!$H67</f>
        <v>7030</v>
      </c>
      <c r="AE45" s="14">
        <f>[29]entradas!$H67</f>
        <v>7438</v>
      </c>
      <c r="AF45" s="14">
        <f>[30]entradas!$H67</f>
        <v>7337</v>
      </c>
      <c r="AG45" s="14">
        <f>[31]entradas!$H67</f>
        <v>6944</v>
      </c>
      <c r="AH45" s="14">
        <f>[32]entradas!$H67</f>
        <v>6495</v>
      </c>
      <c r="AI45" s="14">
        <f>[33]entradas!$H67</f>
        <v>3176</v>
      </c>
      <c r="AJ45" s="14">
        <f>[34]entradas!$H67</f>
        <v>988</v>
      </c>
    </row>
    <row r="46" spans="1:36" x14ac:dyDescent="0.2">
      <c r="A46" s="424"/>
      <c r="B46" s="39" t="s">
        <v>95</v>
      </c>
      <c r="C46" s="14">
        <f>[1]entradas!$H68</f>
        <v>16356</v>
      </c>
      <c r="D46" s="14">
        <f>[2]entradas!$H68</f>
        <v>16879</v>
      </c>
      <c r="E46" s="14">
        <f>[3]entradas!$H68</f>
        <v>16667</v>
      </c>
      <c r="F46" s="14">
        <f>[4]entradas!$H68</f>
        <v>16315</v>
      </c>
      <c r="G46" s="14">
        <f>[5]entradas!$H68</f>
        <v>9531</v>
      </c>
      <c r="H46" s="14">
        <f>[6]entradas!$H68</f>
        <v>3594</v>
      </c>
      <c r="I46" s="14">
        <f>[7]entradas!$H68</f>
        <v>16130</v>
      </c>
      <c r="J46" s="14">
        <f>[8]entradas!$H68</f>
        <v>15961</v>
      </c>
      <c r="K46" s="14">
        <f>[9]entradas!$H68</f>
        <v>15651</v>
      </c>
      <c r="L46" s="14">
        <f>[10]entradas!$H68</f>
        <v>15720</v>
      </c>
      <c r="M46" s="14">
        <f>[11]entradas!$H68</f>
        <v>15993</v>
      </c>
      <c r="N46" s="14">
        <f>[12]entradas!$H68</f>
        <v>9485</v>
      </c>
      <c r="O46" s="14">
        <f>[13]entradas!$H68</f>
        <v>3447</v>
      </c>
      <c r="P46" s="14">
        <f>[14]entradas!$H68</f>
        <v>15932</v>
      </c>
      <c r="Q46" s="14">
        <f>[15]entradas!$H68</f>
        <v>15639</v>
      </c>
      <c r="R46" s="14">
        <f>[16]entradas!$H68</f>
        <v>15713</v>
      </c>
      <c r="S46" s="14">
        <f>[17]entradas!$H68</f>
        <v>15653</v>
      </c>
      <c r="T46" s="14">
        <f>[18]entradas!$H68</f>
        <v>15390</v>
      </c>
      <c r="U46" s="14">
        <f>[19]entradas!$H68</f>
        <v>9549</v>
      </c>
      <c r="V46" s="14">
        <f>[20]entradas!$H68</f>
        <v>3583</v>
      </c>
      <c r="W46" s="14">
        <f>[21]entradas!$H68</f>
        <v>16064</v>
      </c>
      <c r="X46" s="14">
        <f>[22]entradas!$H68</f>
        <v>16232</v>
      </c>
      <c r="Y46" s="14">
        <f>[23]entradas!$H68</f>
        <v>16187</v>
      </c>
      <c r="Z46" s="14">
        <f>[24]entradas!$H68</f>
        <v>15842</v>
      </c>
      <c r="AA46" s="14">
        <f>[25]entradas!$H68</f>
        <v>15705</v>
      </c>
      <c r="AB46" s="14">
        <f>[26]entradas!$H68</f>
        <v>9661</v>
      </c>
      <c r="AC46" s="14">
        <f>[27]entradas!$H68</f>
        <v>3597</v>
      </c>
      <c r="AD46" s="14">
        <f>[28]entradas!$H68</f>
        <v>16287</v>
      </c>
      <c r="AE46" s="14">
        <f>[29]entradas!$H68</f>
        <v>16148</v>
      </c>
      <c r="AF46" s="14">
        <f>[30]entradas!$H68</f>
        <v>15987</v>
      </c>
      <c r="AG46" s="14">
        <f>[31]entradas!$H68</f>
        <v>16421</v>
      </c>
      <c r="AH46" s="14">
        <f>[32]entradas!$H68</f>
        <v>16007</v>
      </c>
      <c r="AI46" s="14">
        <f>[33]entradas!$H68</f>
        <v>9828</v>
      </c>
      <c r="AJ46" s="14">
        <f>[34]entradas!$H68</f>
        <v>3630</v>
      </c>
    </row>
    <row r="47" spans="1:36" x14ac:dyDescent="0.2">
      <c r="A47" s="424"/>
      <c r="B47" s="39" t="s">
        <v>27</v>
      </c>
      <c r="C47" s="14">
        <f>[1]entradas!$H69</f>
        <v>22719</v>
      </c>
      <c r="D47" s="14">
        <f>[2]entradas!$H69</f>
        <v>22929</v>
      </c>
      <c r="E47" s="14">
        <f>[3]entradas!$H69</f>
        <v>23283</v>
      </c>
      <c r="F47" s="14">
        <f>[4]entradas!$H69</f>
        <v>23418</v>
      </c>
      <c r="G47" s="14">
        <f>[5]entradas!$H69</f>
        <v>17257</v>
      </c>
      <c r="H47" s="14">
        <f>[6]entradas!$H69</f>
        <v>6236</v>
      </c>
      <c r="I47" s="14">
        <f>[7]entradas!$H69</f>
        <v>25273</v>
      </c>
      <c r="J47" s="14">
        <f>[8]entradas!$H69</f>
        <v>25218</v>
      </c>
      <c r="K47" s="14">
        <f>[9]entradas!$H69</f>
        <v>24539</v>
      </c>
      <c r="L47" s="14">
        <f>[10]entradas!$H69</f>
        <v>25266</v>
      </c>
      <c r="M47" s="14">
        <f>[11]entradas!$H69</f>
        <v>24343</v>
      </c>
      <c r="N47" s="14">
        <f>[12]entradas!$H69</f>
        <v>18597</v>
      </c>
      <c r="O47" s="14">
        <f>[13]entradas!$H69</f>
        <v>6402</v>
      </c>
      <c r="P47" s="14">
        <f>[14]entradas!$H69</f>
        <v>26155</v>
      </c>
      <c r="Q47" s="14">
        <f>[15]entradas!$H69</f>
        <v>25144</v>
      </c>
      <c r="R47" s="14">
        <f>[16]entradas!$H69</f>
        <v>25533</v>
      </c>
      <c r="S47" s="14">
        <f>[17]entradas!$H69</f>
        <v>26056</v>
      </c>
      <c r="T47" s="14">
        <f>[18]entradas!$H69</f>
        <v>25960</v>
      </c>
      <c r="U47" s="14">
        <f>[19]entradas!$H69</f>
        <v>19448</v>
      </c>
      <c r="V47" s="14">
        <f>[20]entradas!$H69</f>
        <v>6619</v>
      </c>
      <c r="W47" s="14">
        <f>[21]entradas!$H69</f>
        <v>26300</v>
      </c>
      <c r="X47" s="14">
        <f>[22]entradas!$H69</f>
        <v>26451</v>
      </c>
      <c r="Y47" s="14">
        <f>[23]entradas!$H69</f>
        <v>26791</v>
      </c>
      <c r="Z47" s="14">
        <f>[24]entradas!$H69</f>
        <v>25744</v>
      </c>
      <c r="AA47" s="14">
        <f>[25]entradas!$H69</f>
        <v>26892</v>
      </c>
      <c r="AB47" s="14">
        <f>[26]entradas!$H69</f>
        <v>19471</v>
      </c>
      <c r="AC47" s="14">
        <f>[27]entradas!$H69</f>
        <v>6605</v>
      </c>
      <c r="AD47" s="14">
        <f>[28]entradas!$H69</f>
        <v>26675</v>
      </c>
      <c r="AE47" s="14">
        <f>[29]entradas!$H69</f>
        <v>26892</v>
      </c>
      <c r="AF47" s="14">
        <f>[30]entradas!$H69</f>
        <v>27390</v>
      </c>
      <c r="AG47" s="14">
        <f>[31]entradas!$H69</f>
        <v>27087</v>
      </c>
      <c r="AH47" s="14">
        <f>[32]entradas!$H69</f>
        <v>27838</v>
      </c>
      <c r="AI47" s="14">
        <f>[33]entradas!$H69</f>
        <v>20026</v>
      </c>
      <c r="AJ47" s="14">
        <f>[34]entradas!$H69</f>
        <v>6688</v>
      </c>
    </row>
    <row r="48" spans="1:36" x14ac:dyDescent="0.2">
      <c r="A48" s="424"/>
      <c r="B48" s="39" t="s">
        <v>51</v>
      </c>
      <c r="C48" s="14">
        <f>[1]entradas!$H70</f>
        <v>11167</v>
      </c>
      <c r="D48" s="14">
        <f>[2]entradas!$H70</f>
        <v>11410</v>
      </c>
      <c r="E48" s="14">
        <f>[3]entradas!$H70</f>
        <v>11500</v>
      </c>
      <c r="F48" s="14">
        <f>[4]entradas!$H70</f>
        <v>11339</v>
      </c>
      <c r="G48" s="14">
        <f>[5]entradas!$H70</f>
        <v>7131</v>
      </c>
      <c r="H48" s="14">
        <f>[6]entradas!$H70</f>
        <v>2035</v>
      </c>
      <c r="I48" s="14">
        <f>[7]entradas!$H70</f>
        <v>12904</v>
      </c>
      <c r="J48" s="14">
        <f>[8]entradas!$H70</f>
        <v>12957</v>
      </c>
      <c r="K48" s="14">
        <f>[9]entradas!$H70</f>
        <v>12823</v>
      </c>
      <c r="L48" s="14">
        <f>[10]entradas!$H70</f>
        <v>12928</v>
      </c>
      <c r="M48" s="14">
        <f>[11]entradas!$H70</f>
        <v>13104</v>
      </c>
      <c r="N48" s="14">
        <f>[12]entradas!$H70</f>
        <v>7647</v>
      </c>
      <c r="O48" s="14">
        <f>[13]entradas!$H70</f>
        <v>1992</v>
      </c>
      <c r="P48" s="14">
        <f>[14]entradas!$H70</f>
        <v>12906</v>
      </c>
      <c r="Q48" s="14">
        <f>[15]entradas!$H70</f>
        <v>12768</v>
      </c>
      <c r="R48" s="14">
        <f>[16]entradas!$H70</f>
        <v>13314</v>
      </c>
      <c r="S48" s="14">
        <f>[17]entradas!$H70</f>
        <v>12855</v>
      </c>
      <c r="T48" s="14">
        <f>[18]entradas!$H70</f>
        <v>13645</v>
      </c>
      <c r="U48" s="14">
        <f>[19]entradas!$H70</f>
        <v>8024</v>
      </c>
      <c r="V48" s="14">
        <f>[20]entradas!$H70</f>
        <v>2034</v>
      </c>
      <c r="W48" s="14">
        <f>[21]entradas!$H70</f>
        <v>13945</v>
      </c>
      <c r="X48" s="14">
        <f>[22]entradas!$H70</f>
        <v>13674</v>
      </c>
      <c r="Y48" s="14">
        <f>[23]entradas!$H70</f>
        <v>13536</v>
      </c>
      <c r="Z48" s="14">
        <f>[24]entradas!$H70</f>
        <v>13531</v>
      </c>
      <c r="AA48" s="14">
        <f>[25]entradas!$H70</f>
        <v>13070</v>
      </c>
      <c r="AB48" s="14">
        <f>[26]entradas!$H70</f>
        <v>8049</v>
      </c>
      <c r="AC48" s="14">
        <f>[27]entradas!$H70</f>
        <v>2063</v>
      </c>
      <c r="AD48" s="14">
        <f>[28]entradas!$H70</f>
        <v>13723</v>
      </c>
      <c r="AE48" s="14">
        <f>[29]entradas!$H70</f>
        <v>14346</v>
      </c>
      <c r="AF48" s="14">
        <f>[30]entradas!$H70</f>
        <v>14101</v>
      </c>
      <c r="AG48" s="14">
        <f>[31]entradas!$H70</f>
        <v>13949</v>
      </c>
      <c r="AH48" s="14">
        <f>[32]entradas!$H70</f>
        <v>13537</v>
      </c>
      <c r="AI48" s="14">
        <f>[33]entradas!$H70</f>
        <v>8463</v>
      </c>
      <c r="AJ48" s="14">
        <f>[34]entradas!$H70</f>
        <v>2071</v>
      </c>
    </row>
    <row r="49" spans="1:36" x14ac:dyDescent="0.2">
      <c r="A49" s="424"/>
      <c r="B49" s="45" t="s">
        <v>57</v>
      </c>
      <c r="C49" s="14">
        <f>[1]entradas!$H71</f>
        <v>10482</v>
      </c>
      <c r="D49" s="14">
        <f>[2]entradas!$H71</f>
        <v>10465</v>
      </c>
      <c r="E49" s="14">
        <f>[3]entradas!$H71</f>
        <v>10623</v>
      </c>
      <c r="F49" s="14">
        <f>[4]entradas!$H71</f>
        <v>10208</v>
      </c>
      <c r="G49" s="14">
        <f>[5]entradas!$H71</f>
        <v>6119</v>
      </c>
      <c r="H49" s="14">
        <f>[6]entradas!$H71</f>
        <v>2225</v>
      </c>
      <c r="I49" s="14">
        <f>[7]entradas!$H71</f>
        <v>9740</v>
      </c>
      <c r="J49" s="14">
        <f>[8]entradas!$H71</f>
        <v>9694</v>
      </c>
      <c r="K49" s="14">
        <f>[9]entradas!$H71</f>
        <v>9575</v>
      </c>
      <c r="L49" s="14">
        <f>[10]entradas!$H71</f>
        <v>9516</v>
      </c>
      <c r="M49" s="14">
        <f>[11]entradas!$H71</f>
        <v>9562</v>
      </c>
      <c r="N49" s="14">
        <f>[12]entradas!$H71</f>
        <v>6340</v>
      </c>
      <c r="O49" s="14">
        <f>[13]entradas!$H71</f>
        <v>1968</v>
      </c>
      <c r="P49" s="14">
        <f>[14]entradas!$H71</f>
        <v>9233</v>
      </c>
      <c r="Q49" s="14">
        <f>[15]entradas!$H71</f>
        <v>9157</v>
      </c>
      <c r="R49" s="14">
        <f>[16]entradas!$H71</f>
        <v>9343</v>
      </c>
      <c r="S49" s="14">
        <f>[17]entradas!$H71</f>
        <v>9275</v>
      </c>
      <c r="T49" s="14">
        <f>[18]entradas!$H71</f>
        <v>9877</v>
      </c>
      <c r="U49" s="14">
        <f>[19]entradas!$H71</f>
        <v>6599</v>
      </c>
      <c r="V49" s="14">
        <f>[20]entradas!$H71</f>
        <v>2004</v>
      </c>
      <c r="W49" s="14">
        <f>[21]entradas!$H71</f>
        <v>9583</v>
      </c>
      <c r="X49" s="14">
        <f>[22]entradas!$H71</f>
        <v>9502</v>
      </c>
      <c r="Y49" s="14">
        <f>[23]entradas!$H71</f>
        <v>9530</v>
      </c>
      <c r="Z49" s="14">
        <f>[24]entradas!$H71</f>
        <v>9232</v>
      </c>
      <c r="AA49" s="14">
        <f>[25]entradas!$H71</f>
        <v>9400</v>
      </c>
      <c r="AB49" s="14">
        <f>[26]entradas!$H71</f>
        <v>6275</v>
      </c>
      <c r="AC49" s="14">
        <f>[27]entradas!$H71</f>
        <v>2202</v>
      </c>
      <c r="AD49" s="14">
        <f>[28]entradas!$H71</f>
        <v>9848</v>
      </c>
      <c r="AE49" s="14">
        <f>[29]entradas!$H71</f>
        <v>10180</v>
      </c>
      <c r="AF49" s="14">
        <f>[30]entradas!$H71</f>
        <v>10003</v>
      </c>
      <c r="AG49" s="14">
        <f>[31]entradas!$H71</f>
        <v>10076</v>
      </c>
      <c r="AH49" s="14">
        <f>[32]entradas!$H71</f>
        <v>10096</v>
      </c>
      <c r="AI49" s="14">
        <f>[33]entradas!$H71</f>
        <v>6763</v>
      </c>
      <c r="AJ49" s="14">
        <f>[34]entradas!$H71</f>
        <v>2113</v>
      </c>
    </row>
    <row r="50" spans="1:36" x14ac:dyDescent="0.2">
      <c r="A50" s="424"/>
      <c r="B50" s="45" t="s">
        <v>58</v>
      </c>
      <c r="C50" s="14">
        <f>[1]entradas!$H72</f>
        <v>7254</v>
      </c>
      <c r="D50" s="14">
        <f>[2]entradas!$H72</f>
        <v>7381</v>
      </c>
      <c r="E50" s="14">
        <f>[3]entradas!$H72</f>
        <v>7171</v>
      </c>
      <c r="F50" s="14">
        <f>[4]entradas!$H72</f>
        <v>7204</v>
      </c>
      <c r="G50" s="14">
        <f>[5]entradas!$H72</f>
        <v>4703</v>
      </c>
      <c r="H50" s="14">
        <f>[6]entradas!$H72</f>
        <v>1587</v>
      </c>
      <c r="I50" s="14">
        <f>[7]entradas!$H72</f>
        <v>7281</v>
      </c>
      <c r="J50" s="14">
        <f>[8]entradas!$H72</f>
        <v>8087</v>
      </c>
      <c r="K50" s="14">
        <f>[9]entradas!$H72</f>
        <v>7249</v>
      </c>
      <c r="L50" s="14">
        <f>[10]entradas!$H72</f>
        <v>7680</v>
      </c>
      <c r="M50" s="14">
        <f>[11]entradas!$H72</f>
        <v>7610</v>
      </c>
      <c r="N50" s="14">
        <f>[12]entradas!$H72</f>
        <v>5000</v>
      </c>
      <c r="O50" s="14">
        <f>[13]entradas!$H72</f>
        <v>1575</v>
      </c>
      <c r="P50" s="14">
        <f>[14]entradas!$H72</f>
        <v>7528</v>
      </c>
      <c r="Q50" s="14">
        <f>[15]entradas!$H72</f>
        <v>7234</v>
      </c>
      <c r="R50" s="14">
        <f>[16]entradas!$H72</f>
        <v>7332</v>
      </c>
      <c r="S50" s="14">
        <f>[17]entradas!$H72</f>
        <v>7409</v>
      </c>
      <c r="T50" s="14">
        <f>[18]entradas!$H72</f>
        <v>7859</v>
      </c>
      <c r="U50" s="14">
        <f>[19]entradas!$H72</f>
        <v>5064</v>
      </c>
      <c r="V50" s="14">
        <f>[20]entradas!$H72</f>
        <v>1665</v>
      </c>
      <c r="W50" s="14">
        <f>[21]entradas!$H72</f>
        <v>7507</v>
      </c>
      <c r="X50" s="14">
        <f>[22]entradas!$H72</f>
        <v>7768</v>
      </c>
      <c r="Y50" s="14">
        <f>[23]entradas!$H72</f>
        <v>7584</v>
      </c>
      <c r="Z50" s="14">
        <f>[24]entradas!$H72</f>
        <v>7510</v>
      </c>
      <c r="AA50" s="14">
        <f>[25]entradas!$H72</f>
        <v>7435</v>
      </c>
      <c r="AB50" s="14">
        <f>[26]entradas!$H72</f>
        <v>5019</v>
      </c>
      <c r="AC50" s="14">
        <f>[27]entradas!$H72</f>
        <v>1755</v>
      </c>
      <c r="AD50" s="14">
        <f>[28]entradas!$H72</f>
        <v>7769</v>
      </c>
      <c r="AE50" s="14">
        <f>[29]entradas!$H72</f>
        <v>8106</v>
      </c>
      <c r="AF50" s="14">
        <f>[30]entradas!$H72</f>
        <v>7851</v>
      </c>
      <c r="AG50" s="14">
        <f>[31]entradas!$H72</f>
        <v>7924</v>
      </c>
      <c r="AH50" s="14">
        <f>[32]entradas!$H72</f>
        <v>7820</v>
      </c>
      <c r="AI50" s="14">
        <f>[33]entradas!$H72</f>
        <v>4995</v>
      </c>
      <c r="AJ50" s="14">
        <f>[34]entradas!$H72</f>
        <v>1586</v>
      </c>
    </row>
    <row r="51" spans="1:36" x14ac:dyDescent="0.2">
      <c r="A51" s="424"/>
      <c r="B51" s="45" t="s">
        <v>30</v>
      </c>
      <c r="C51" s="14">
        <f>[1]entradas!$H73</f>
        <v>24333</v>
      </c>
      <c r="D51" s="14">
        <f>[2]entradas!$H73</f>
        <v>22482</v>
      </c>
      <c r="E51" s="14">
        <f>[3]entradas!$H73</f>
        <v>23102</v>
      </c>
      <c r="F51" s="14">
        <f>[4]entradas!$H73</f>
        <v>22771</v>
      </c>
      <c r="G51" s="14">
        <f>[5]entradas!$H73</f>
        <v>12767</v>
      </c>
      <c r="H51" s="14">
        <f>[6]entradas!$H73</f>
        <v>3817</v>
      </c>
      <c r="I51" s="14">
        <f>[7]entradas!$H73</f>
        <v>23311</v>
      </c>
      <c r="J51" s="14">
        <f>[8]entradas!$H73</f>
        <v>24270</v>
      </c>
      <c r="K51" s="14">
        <f>[9]entradas!$H73</f>
        <v>21726</v>
      </c>
      <c r="L51" s="14">
        <f>[10]entradas!$H73</f>
        <v>22354</v>
      </c>
      <c r="M51" s="14">
        <f>[11]entradas!$H73</f>
        <v>22664</v>
      </c>
      <c r="N51" s="14">
        <f>[12]entradas!$H73</f>
        <v>13544</v>
      </c>
      <c r="O51" s="14">
        <f>[13]entradas!$H73</f>
        <v>3621</v>
      </c>
      <c r="P51" s="14">
        <f>[14]entradas!$H73</f>
        <v>22520</v>
      </c>
      <c r="Q51" s="14">
        <f>[15]entradas!$H73</f>
        <v>22233</v>
      </c>
      <c r="R51" s="14">
        <f>[16]entradas!$H73</f>
        <v>21543</v>
      </c>
      <c r="S51" s="14">
        <f>[17]entradas!$H73</f>
        <v>22162</v>
      </c>
      <c r="T51" s="14">
        <f>[18]entradas!$H73</f>
        <v>23215</v>
      </c>
      <c r="U51" s="14">
        <f>[19]entradas!$H73</f>
        <v>13743</v>
      </c>
      <c r="V51" s="14">
        <f>[20]entradas!$H73</f>
        <v>3878</v>
      </c>
      <c r="W51" s="14">
        <f>[21]entradas!$H73</f>
        <v>22832</v>
      </c>
      <c r="X51" s="14">
        <f>[22]entradas!$H73</f>
        <v>24017</v>
      </c>
      <c r="Y51" s="14">
        <f>[23]entradas!$H73</f>
        <v>22511</v>
      </c>
      <c r="Z51" s="14">
        <f>[24]entradas!$H73</f>
        <v>22145</v>
      </c>
      <c r="AA51" s="14">
        <f>[25]entradas!$H73</f>
        <v>23117</v>
      </c>
      <c r="AB51" s="14">
        <f>[26]entradas!$H73</f>
        <v>14193</v>
      </c>
      <c r="AC51" s="14">
        <f>[27]entradas!$H73</f>
        <v>3959</v>
      </c>
      <c r="AD51" s="14">
        <f>[28]entradas!$H73</f>
        <v>23075</v>
      </c>
      <c r="AE51" s="14">
        <f>[29]entradas!$H73</f>
        <v>24597</v>
      </c>
      <c r="AF51" s="14">
        <f>[30]entradas!$H73</f>
        <v>22861</v>
      </c>
      <c r="AG51" s="14">
        <f>[31]entradas!$H73</f>
        <v>23370</v>
      </c>
      <c r="AH51" s="14">
        <f>[32]entradas!$H73</f>
        <v>24008</v>
      </c>
      <c r="AI51" s="14">
        <f>[33]entradas!$H73</f>
        <v>14670</v>
      </c>
      <c r="AJ51" s="14">
        <f>[34]entradas!$H73</f>
        <v>3860</v>
      </c>
    </row>
    <row r="52" spans="1:36" x14ac:dyDescent="0.2">
      <c r="A52" s="424"/>
      <c r="B52" s="45" t="s">
        <v>29</v>
      </c>
      <c r="C52" s="14">
        <f>[1]entradas!$H74</f>
        <v>19463</v>
      </c>
      <c r="D52" s="14">
        <f>[2]entradas!$H74</f>
        <v>19641</v>
      </c>
      <c r="E52" s="14">
        <f>[3]entradas!$H74</f>
        <v>18768</v>
      </c>
      <c r="F52" s="14">
        <f>[4]entradas!$H74</f>
        <v>19161</v>
      </c>
      <c r="G52" s="14">
        <f>[5]entradas!$H74</f>
        <v>9626</v>
      </c>
      <c r="H52" s="14">
        <f>[6]entradas!$H74</f>
        <v>2643</v>
      </c>
      <c r="I52" s="14">
        <f>[7]entradas!$H74</f>
        <v>18946</v>
      </c>
      <c r="J52" s="14">
        <f>[8]entradas!$H74</f>
        <v>19387</v>
      </c>
      <c r="K52" s="14">
        <f>[9]entradas!$H74</f>
        <v>19063</v>
      </c>
      <c r="L52" s="14">
        <f>[10]entradas!$H74</f>
        <v>19205</v>
      </c>
      <c r="M52" s="14">
        <f>[11]entradas!$H74</f>
        <v>19200</v>
      </c>
      <c r="N52" s="14">
        <f>[12]entradas!$H74</f>
        <v>9998</v>
      </c>
      <c r="O52" s="14">
        <f>[13]entradas!$H74</f>
        <v>2720</v>
      </c>
      <c r="P52" s="14">
        <f>[14]entradas!$H74</f>
        <v>18550</v>
      </c>
      <c r="Q52" s="14">
        <f>[15]entradas!$H74</f>
        <v>18074</v>
      </c>
      <c r="R52" s="14">
        <f>[16]entradas!$H74</f>
        <v>17745</v>
      </c>
      <c r="S52" s="14">
        <f>[17]entradas!$H74</f>
        <v>17869</v>
      </c>
      <c r="T52" s="14">
        <f>[18]entradas!$H74</f>
        <v>18380</v>
      </c>
      <c r="U52" s="14">
        <f>[19]entradas!$H74</f>
        <v>9561</v>
      </c>
      <c r="V52" s="14">
        <f>[20]entradas!$H74</f>
        <v>2518</v>
      </c>
      <c r="W52" s="14">
        <f>[21]entradas!$H74</f>
        <v>18315</v>
      </c>
      <c r="X52" s="14">
        <f>[22]entradas!$H74</f>
        <v>18684</v>
      </c>
      <c r="Y52" s="14">
        <f>[23]entradas!$H74</f>
        <v>18071</v>
      </c>
      <c r="Z52" s="14">
        <f>[24]entradas!$H74</f>
        <v>18404</v>
      </c>
      <c r="AA52" s="14">
        <f>[25]entradas!$H74</f>
        <v>18220</v>
      </c>
      <c r="AB52" s="14">
        <f>[26]entradas!$H74</f>
        <v>9643</v>
      </c>
      <c r="AC52" s="14">
        <f>[27]entradas!$H74</f>
        <v>2542</v>
      </c>
      <c r="AD52" s="14">
        <f>[28]entradas!$H74</f>
        <v>18239</v>
      </c>
      <c r="AE52" s="14">
        <f>[29]entradas!$H74</f>
        <v>19131</v>
      </c>
      <c r="AF52" s="14">
        <f>[30]entradas!$H74</f>
        <v>18407</v>
      </c>
      <c r="AG52" s="14">
        <f>[31]entradas!$H74</f>
        <v>18596</v>
      </c>
      <c r="AH52" s="14">
        <f>[32]entradas!$H74</f>
        <v>18422</v>
      </c>
      <c r="AI52" s="14">
        <f>[33]entradas!$H74</f>
        <v>10054</v>
      </c>
      <c r="AJ52" s="14">
        <f>[34]entradas!$H74</f>
        <v>2760</v>
      </c>
    </row>
    <row r="53" spans="1:36" x14ac:dyDescent="0.2">
      <c r="A53" s="424"/>
      <c r="B53" s="45" t="s">
        <v>64</v>
      </c>
      <c r="C53" s="14">
        <f>[1]entradas!$H75</f>
        <v>13102</v>
      </c>
      <c r="D53" s="14">
        <f>[2]entradas!$H75</f>
        <v>12836</v>
      </c>
      <c r="E53" s="14">
        <f>[3]entradas!$H75</f>
        <v>13820</v>
      </c>
      <c r="F53" s="14">
        <f>[4]entradas!$H75</f>
        <v>14968</v>
      </c>
      <c r="G53" s="14">
        <f>[5]entradas!$H75</f>
        <v>7881</v>
      </c>
      <c r="H53" s="14">
        <f>[6]entradas!$H75</f>
        <v>2419</v>
      </c>
      <c r="I53" s="14">
        <f>[7]entradas!$H75</f>
        <v>14238</v>
      </c>
      <c r="J53" s="14">
        <f>[8]entradas!$H75</f>
        <v>15091</v>
      </c>
      <c r="K53" s="14">
        <f>[9]entradas!$H75</f>
        <v>14866</v>
      </c>
      <c r="L53" s="14">
        <f>[10]entradas!$H75</f>
        <v>15134</v>
      </c>
      <c r="M53" s="14">
        <f>[11]entradas!$H75</f>
        <v>15706</v>
      </c>
      <c r="N53" s="14">
        <f>[12]entradas!$H75</f>
        <v>8597</v>
      </c>
      <c r="O53" s="14">
        <f>[13]entradas!$H75</f>
        <v>2589</v>
      </c>
      <c r="P53" s="14">
        <f>[14]entradas!$H75</f>
        <v>15107</v>
      </c>
      <c r="Q53" s="14">
        <f>[15]entradas!$H75</f>
        <v>15129</v>
      </c>
      <c r="R53" s="14">
        <f>[16]entradas!$H75</f>
        <v>15700</v>
      </c>
      <c r="S53" s="14">
        <f>[17]entradas!$H75</f>
        <v>16126</v>
      </c>
      <c r="T53" s="14">
        <f>[18]entradas!$H75</f>
        <v>17456</v>
      </c>
      <c r="U53" s="14">
        <f>[19]entradas!$H75</f>
        <v>9401</v>
      </c>
      <c r="V53" s="14">
        <f>[20]entradas!$H75</f>
        <v>2991</v>
      </c>
      <c r="W53" s="14">
        <f>[21]entradas!$H75</f>
        <v>16683</v>
      </c>
      <c r="X53" s="14">
        <f>[22]entradas!$H75</f>
        <v>16877</v>
      </c>
      <c r="Y53" s="14">
        <f>[23]entradas!$H75</f>
        <v>17185</v>
      </c>
      <c r="Z53" s="14">
        <f>[24]entradas!$H75</f>
        <v>17025</v>
      </c>
      <c r="AA53" s="14">
        <f>[25]entradas!$H75</f>
        <v>18074</v>
      </c>
      <c r="AB53" s="14">
        <f>[26]entradas!$H75</f>
        <v>9988</v>
      </c>
      <c r="AC53" s="14">
        <f>[27]entradas!$H75</f>
        <v>2744</v>
      </c>
      <c r="AD53" s="14">
        <f>[28]entradas!$H75</f>
        <v>16921</v>
      </c>
      <c r="AE53" s="14">
        <f>[29]entradas!$H75</f>
        <v>17412</v>
      </c>
      <c r="AF53" s="14">
        <f>[30]entradas!$H75</f>
        <v>17625</v>
      </c>
      <c r="AG53" s="14">
        <f>[31]entradas!$H75</f>
        <v>17602</v>
      </c>
      <c r="AH53" s="14">
        <f>[32]entradas!$H75</f>
        <v>18284</v>
      </c>
      <c r="AI53" s="14">
        <f>[33]entradas!$H75</f>
        <v>10410</v>
      </c>
      <c r="AJ53" s="14">
        <f>[34]entradas!$H75</f>
        <v>2971</v>
      </c>
    </row>
    <row r="54" spans="1:36" x14ac:dyDescent="0.2">
      <c r="A54" s="424"/>
      <c r="B54" s="45" t="s">
        <v>63</v>
      </c>
      <c r="C54" s="14">
        <f>[1]entradas!$H76</f>
        <v>8886</v>
      </c>
      <c r="D54" s="14">
        <f>[2]entradas!$H76</f>
        <v>9019</v>
      </c>
      <c r="E54" s="14">
        <f>[3]entradas!$H76</f>
        <v>9651</v>
      </c>
      <c r="F54" s="14">
        <f>[4]entradas!$H76</f>
        <v>9788</v>
      </c>
      <c r="G54" s="14">
        <f>[5]entradas!$H76</f>
        <v>4923</v>
      </c>
      <c r="H54" s="14">
        <f>[6]entradas!$H76</f>
        <v>1187</v>
      </c>
      <c r="I54" s="14">
        <f>[7]entradas!$H76</f>
        <v>10519</v>
      </c>
      <c r="J54" s="14">
        <f>[8]entradas!$H76</f>
        <v>11206</v>
      </c>
      <c r="K54" s="14">
        <f>[9]entradas!$H76</f>
        <v>11230</v>
      </c>
      <c r="L54" s="14">
        <f>[10]entradas!$H76</f>
        <v>11030</v>
      </c>
      <c r="M54" s="14">
        <f>[11]entradas!$H76</f>
        <v>10990</v>
      </c>
      <c r="N54" s="14">
        <f>[12]entradas!$H76</f>
        <v>5372</v>
      </c>
      <c r="O54" s="14">
        <f>[13]entradas!$H76</f>
        <v>1315</v>
      </c>
      <c r="P54" s="14">
        <f>[14]entradas!$H76</f>
        <v>11970</v>
      </c>
      <c r="Q54" s="14">
        <f>[15]entradas!$H76</f>
        <v>11978</v>
      </c>
      <c r="R54" s="14">
        <f>[16]entradas!$H76</f>
        <v>12600</v>
      </c>
      <c r="S54" s="14">
        <f>[17]entradas!$H76</f>
        <v>12611</v>
      </c>
      <c r="T54" s="14">
        <f>[18]entradas!$H76</f>
        <v>12330</v>
      </c>
      <c r="U54" s="14">
        <f>[19]entradas!$H76</f>
        <v>6020</v>
      </c>
      <c r="V54" s="14">
        <f>[20]entradas!$H76</f>
        <v>1463</v>
      </c>
      <c r="W54" s="14">
        <f>[21]entradas!$H76</f>
        <v>13374</v>
      </c>
      <c r="X54" s="14">
        <f>[22]entradas!$H76</f>
        <v>13334</v>
      </c>
      <c r="Y54" s="14">
        <f>[23]entradas!$H76</f>
        <v>13355</v>
      </c>
      <c r="Z54" s="14">
        <f>[24]entradas!$H76</f>
        <v>13264</v>
      </c>
      <c r="AA54" s="14">
        <f>[25]entradas!$H76</f>
        <v>12767</v>
      </c>
      <c r="AB54" s="14">
        <f>[26]entradas!$H76</f>
        <v>6364</v>
      </c>
      <c r="AC54" s="14">
        <f>[27]entradas!$H76</f>
        <v>1557</v>
      </c>
      <c r="AD54" s="14">
        <f>[28]entradas!$H76</f>
        <v>13650</v>
      </c>
      <c r="AE54" s="14">
        <f>[29]entradas!$H76</f>
        <v>13623</v>
      </c>
      <c r="AF54" s="14">
        <f>[30]entradas!$H76</f>
        <v>13774</v>
      </c>
      <c r="AG54" s="14">
        <f>[31]entradas!$H76</f>
        <v>13841</v>
      </c>
      <c r="AH54" s="14">
        <f>[32]entradas!$H76</f>
        <v>13466</v>
      </c>
      <c r="AI54" s="14">
        <f>[33]entradas!$H76</f>
        <v>6644</v>
      </c>
      <c r="AJ54" s="14">
        <f>[34]entradas!$H76</f>
        <v>1650</v>
      </c>
    </row>
    <row r="55" spans="1:36" x14ac:dyDescent="0.2">
      <c r="A55" s="424"/>
      <c r="B55" s="45" t="s">
        <v>94</v>
      </c>
      <c r="C55" s="14">
        <f>[1]entradas!$H77</f>
        <v>14243</v>
      </c>
      <c r="D55" s="14">
        <f>[2]entradas!$H77</f>
        <v>14556</v>
      </c>
      <c r="E55" s="14">
        <f>[3]entradas!$H77</f>
        <v>13254</v>
      </c>
      <c r="F55" s="14">
        <f>[4]entradas!$H77</f>
        <v>12379</v>
      </c>
      <c r="G55" s="14">
        <f>[5]entradas!$H77</f>
        <v>5428</v>
      </c>
      <c r="H55" s="14">
        <f>[6]entradas!$H77</f>
        <v>1471</v>
      </c>
      <c r="I55" s="14">
        <f>[7]entradas!$H77</f>
        <v>13226</v>
      </c>
      <c r="J55" s="14">
        <f>[8]entradas!$H77</f>
        <v>13215</v>
      </c>
      <c r="K55" s="14">
        <f>[9]entradas!$H77</f>
        <v>13227</v>
      </c>
      <c r="L55" s="14">
        <f>[10]entradas!$H77</f>
        <v>13107</v>
      </c>
      <c r="M55" s="14">
        <f>[11]entradas!$H77</f>
        <v>12524</v>
      </c>
      <c r="N55" s="14">
        <f>[12]entradas!$H77</f>
        <v>5221</v>
      </c>
      <c r="O55" s="14">
        <f>[13]entradas!$H77</f>
        <v>1433</v>
      </c>
      <c r="P55" s="14">
        <f>[14]entradas!$H77</f>
        <v>12119</v>
      </c>
      <c r="Q55" s="14">
        <f>[15]entradas!$H77</f>
        <v>11090</v>
      </c>
      <c r="R55" s="14">
        <f>[16]entradas!$H77</f>
        <v>10950</v>
      </c>
      <c r="S55" s="14">
        <f>[17]entradas!$H77</f>
        <v>11098</v>
      </c>
      <c r="T55" s="14">
        <f>[18]entradas!$H77</f>
        <v>11149</v>
      </c>
      <c r="U55" s="14">
        <f>[19]entradas!$H77</f>
        <v>4807</v>
      </c>
      <c r="V55" s="14">
        <f>[20]entradas!$H77</f>
        <v>1352</v>
      </c>
      <c r="W55" s="14">
        <f>[21]entradas!$H77</f>
        <v>11261</v>
      </c>
      <c r="X55" s="14">
        <f>[22]entradas!$H77</f>
        <v>11321</v>
      </c>
      <c r="Y55" s="14">
        <f>[23]entradas!$H77</f>
        <v>11130</v>
      </c>
      <c r="Z55" s="14">
        <f>[24]entradas!$H77</f>
        <v>10973</v>
      </c>
      <c r="AA55" s="14">
        <f>[25]entradas!$H77</f>
        <v>11066</v>
      </c>
      <c r="AB55" s="14">
        <f>[26]entradas!$H77</f>
        <v>4836</v>
      </c>
      <c r="AC55" s="14">
        <f>[27]entradas!$H77</f>
        <v>1225</v>
      </c>
      <c r="AD55" s="14">
        <f>[28]entradas!$H77</f>
        <v>11394</v>
      </c>
      <c r="AE55" s="14">
        <f>[29]entradas!$H77</f>
        <v>11832</v>
      </c>
      <c r="AF55" s="14">
        <f>[30]entradas!$H77</f>
        <v>11484</v>
      </c>
      <c r="AG55" s="14">
        <f>[31]entradas!$H77</f>
        <v>11682</v>
      </c>
      <c r="AH55" s="14">
        <f>[32]entradas!$H77</f>
        <v>10555</v>
      </c>
      <c r="AI55" s="14">
        <f>[33]entradas!$H77</f>
        <v>4882</v>
      </c>
      <c r="AJ55" s="14">
        <f>[34]entradas!$H77</f>
        <v>1408</v>
      </c>
    </row>
    <row r="56" spans="1:36" x14ac:dyDescent="0.2">
      <c r="A56" s="424"/>
      <c r="B56" s="45" t="s">
        <v>93</v>
      </c>
      <c r="C56" s="14">
        <f>[1]entradas!$H78</f>
        <v>8683</v>
      </c>
      <c r="D56" s="14">
        <f>[2]entradas!$H78</f>
        <v>8503</v>
      </c>
      <c r="E56" s="14">
        <f>[3]entradas!$H78</f>
        <v>8458</v>
      </c>
      <c r="F56" s="14">
        <f>[4]entradas!$H78</f>
        <v>7959</v>
      </c>
      <c r="G56" s="14">
        <f>[5]entradas!$H78</f>
        <v>2506</v>
      </c>
      <c r="H56" s="14">
        <f>[6]entradas!$H78</f>
        <v>651</v>
      </c>
      <c r="I56" s="14">
        <f>[7]entradas!$H78</f>
        <v>8927</v>
      </c>
      <c r="J56" s="14">
        <f>[8]entradas!$H78</f>
        <v>8866</v>
      </c>
      <c r="K56" s="14">
        <f>[9]entradas!$H78</f>
        <v>8879</v>
      </c>
      <c r="L56" s="14">
        <f>[10]entradas!$H78</f>
        <v>8387</v>
      </c>
      <c r="M56" s="14">
        <f>[11]entradas!$H78</f>
        <v>8268</v>
      </c>
      <c r="N56" s="14">
        <f>[12]entradas!$H78</f>
        <v>2519</v>
      </c>
      <c r="O56" s="14">
        <f>[13]entradas!$H78</f>
        <v>578</v>
      </c>
      <c r="P56" s="14">
        <f>[14]entradas!$H78</f>
        <v>8824</v>
      </c>
      <c r="Q56" s="14">
        <f>[15]entradas!$H78</f>
        <v>8325</v>
      </c>
      <c r="R56" s="14">
        <f>[16]entradas!$H78</f>
        <v>8675</v>
      </c>
      <c r="S56" s="14">
        <f>[17]entradas!$H78</f>
        <v>8720</v>
      </c>
      <c r="T56" s="14">
        <f>[18]entradas!$H78</f>
        <v>8190</v>
      </c>
      <c r="U56" s="14">
        <f>[19]entradas!$H78</f>
        <v>2532</v>
      </c>
      <c r="V56" s="14">
        <f>[20]entradas!$H78</f>
        <v>635</v>
      </c>
      <c r="W56" s="14">
        <f>[21]entradas!$H78</f>
        <v>8900</v>
      </c>
      <c r="X56" s="14">
        <f>[22]entradas!$H78</f>
        <v>9002</v>
      </c>
      <c r="Y56" s="14">
        <f>[23]entradas!$H78</f>
        <v>8613</v>
      </c>
      <c r="Z56" s="14">
        <f>[24]entradas!$H78</f>
        <v>8892</v>
      </c>
      <c r="AA56" s="14">
        <f>[25]entradas!$H78</f>
        <v>8275</v>
      </c>
      <c r="AB56" s="14">
        <f>[26]entradas!$H78</f>
        <v>2301</v>
      </c>
      <c r="AC56" s="14">
        <f>[27]entradas!$H78</f>
        <v>630</v>
      </c>
      <c r="AD56" s="14">
        <f>[28]entradas!$H78</f>
        <v>8923</v>
      </c>
      <c r="AE56" s="14">
        <f>[29]entradas!$H78</f>
        <v>9369</v>
      </c>
      <c r="AF56" s="14">
        <f>[30]entradas!$H78</f>
        <v>9164</v>
      </c>
      <c r="AG56" s="14">
        <f>[31]entradas!$H78</f>
        <v>8953</v>
      </c>
      <c r="AH56" s="14">
        <f>[32]entradas!$H78</f>
        <v>8397</v>
      </c>
      <c r="AI56" s="14">
        <f>[33]entradas!$H78</f>
        <v>2649</v>
      </c>
      <c r="AJ56" s="14">
        <f>[34]entradas!$H78</f>
        <v>614</v>
      </c>
    </row>
    <row r="57" spans="1:36" x14ac:dyDescent="0.2">
      <c r="A57" s="424"/>
      <c r="B57" s="45" t="s">
        <v>97</v>
      </c>
      <c r="C57" s="14">
        <f>[1]entradas!$H79</f>
        <v>13248</v>
      </c>
      <c r="D57" s="14">
        <f>[2]entradas!$H79</f>
        <v>13053</v>
      </c>
      <c r="E57" s="14">
        <f>[3]entradas!$H79</f>
        <v>12861</v>
      </c>
      <c r="F57" s="14">
        <f>[4]entradas!$H79</f>
        <v>12931</v>
      </c>
      <c r="G57" s="14">
        <f>[5]entradas!$H79</f>
        <v>6488</v>
      </c>
      <c r="H57" s="14">
        <f>[6]entradas!$H79</f>
        <v>1820</v>
      </c>
      <c r="I57" s="14">
        <f>[7]entradas!$H79</f>
        <v>13971</v>
      </c>
      <c r="J57" s="14">
        <f>[8]entradas!$H79</f>
        <v>13872</v>
      </c>
      <c r="K57" s="14">
        <f>[9]entradas!$H79</f>
        <v>13615</v>
      </c>
      <c r="L57" s="14">
        <f>[10]entradas!$H79</f>
        <v>13810</v>
      </c>
      <c r="M57" s="14">
        <f>[11]entradas!$H79</f>
        <v>13511</v>
      </c>
      <c r="N57" s="14">
        <f>[12]entradas!$H79</f>
        <v>6360</v>
      </c>
      <c r="O57" s="14">
        <f>[13]entradas!$H79</f>
        <v>1596</v>
      </c>
      <c r="P57" s="14">
        <f>[14]entradas!$H79</f>
        <v>15006</v>
      </c>
      <c r="Q57" s="14">
        <f>[15]entradas!$H79</f>
        <v>13229</v>
      </c>
      <c r="R57" s="14">
        <f>[16]entradas!$H79</f>
        <v>13447</v>
      </c>
      <c r="S57" s="14">
        <f>[17]entradas!$H79</f>
        <v>13492</v>
      </c>
      <c r="T57" s="14">
        <f>[18]entradas!$H79</f>
        <v>13857</v>
      </c>
      <c r="U57" s="14">
        <f>[19]entradas!$H79</f>
        <v>6407</v>
      </c>
      <c r="V57" s="14">
        <f>[20]entradas!$H79</f>
        <v>1963</v>
      </c>
      <c r="W57" s="14">
        <f>[21]entradas!$H79</f>
        <v>15052</v>
      </c>
      <c r="X57" s="14">
        <f>[22]entradas!$H79</f>
        <v>15147</v>
      </c>
      <c r="Y57" s="14">
        <f>[23]entradas!$H79</f>
        <v>14714</v>
      </c>
      <c r="Z57" s="14">
        <f>[24]entradas!$H79</f>
        <v>14578</v>
      </c>
      <c r="AA57" s="14">
        <f>[25]entradas!$H79</f>
        <v>14736</v>
      </c>
      <c r="AB57" s="14">
        <f>[26]entradas!$H79</f>
        <v>6552</v>
      </c>
      <c r="AC57" s="14">
        <f>[27]entradas!$H79</f>
        <v>1615</v>
      </c>
      <c r="AD57" s="14">
        <f>[28]entradas!$H79</f>
        <v>15126</v>
      </c>
      <c r="AE57" s="14">
        <f>[29]entradas!$H79</f>
        <v>15232</v>
      </c>
      <c r="AF57" s="14">
        <f>[30]entradas!$H79</f>
        <v>15283</v>
      </c>
      <c r="AG57" s="14">
        <f>[31]entradas!$H79</f>
        <v>14795</v>
      </c>
      <c r="AH57" s="14">
        <f>[32]entradas!$H79</f>
        <v>14644</v>
      </c>
      <c r="AI57" s="14">
        <f>[33]entradas!$H79</f>
        <v>6705</v>
      </c>
      <c r="AJ57" s="14">
        <f>[34]entradas!$H79</f>
        <v>1762</v>
      </c>
    </row>
    <row r="58" spans="1:36" x14ac:dyDescent="0.2">
      <c r="A58" s="424"/>
      <c r="B58" s="45" t="s">
        <v>98</v>
      </c>
      <c r="C58" s="14">
        <f>[1]entradas!$H80</f>
        <v>11573</v>
      </c>
      <c r="D58" s="14">
        <f>[2]entradas!$H80</f>
        <v>11515</v>
      </c>
      <c r="E58" s="14">
        <f>[3]entradas!$H80</f>
        <v>11173</v>
      </c>
      <c r="F58" s="14">
        <f>[4]entradas!$H80</f>
        <v>11604</v>
      </c>
      <c r="G58" s="14">
        <f>[5]entradas!$H80</f>
        <v>4841</v>
      </c>
      <c r="H58" s="14">
        <f>[6]entradas!$H80</f>
        <v>1706</v>
      </c>
      <c r="I58" s="14">
        <f>[7]entradas!$H80</f>
        <v>11858</v>
      </c>
      <c r="J58" s="14">
        <f>[8]entradas!$H80</f>
        <v>12077</v>
      </c>
      <c r="K58" s="14">
        <f>[9]entradas!$H80</f>
        <v>12072</v>
      </c>
      <c r="L58" s="14">
        <f>[10]entradas!$H80</f>
        <v>11776</v>
      </c>
      <c r="M58" s="14">
        <f>[11]entradas!$H80</f>
        <v>11446</v>
      </c>
      <c r="N58" s="14">
        <f>[12]entradas!$H80</f>
        <v>4406</v>
      </c>
      <c r="O58" s="14">
        <f>[13]entradas!$H80</f>
        <v>1733</v>
      </c>
      <c r="P58" s="14">
        <f>[14]entradas!$H80</f>
        <v>11602</v>
      </c>
      <c r="Q58" s="14">
        <f>[15]entradas!$H80</f>
        <v>11409</v>
      </c>
      <c r="R58" s="14">
        <f>[16]entradas!$H80</f>
        <v>11965</v>
      </c>
      <c r="S58" s="14">
        <f>[17]entradas!$H80</f>
        <v>11996</v>
      </c>
      <c r="T58" s="14">
        <f>[18]entradas!$H80</f>
        <v>11523</v>
      </c>
      <c r="U58" s="14">
        <f>[19]entradas!$H80</f>
        <v>4437</v>
      </c>
      <c r="V58" s="14">
        <f>[20]entradas!$H80</f>
        <v>1954</v>
      </c>
      <c r="W58" s="14">
        <f>[21]entradas!$H80</f>
        <v>11648</v>
      </c>
      <c r="X58" s="14">
        <f>[22]entradas!$H80</f>
        <v>11878</v>
      </c>
      <c r="Y58" s="14">
        <f>[23]entradas!$H80</f>
        <v>12092</v>
      </c>
      <c r="Z58" s="14">
        <f>[24]entradas!$H80</f>
        <v>12213</v>
      </c>
      <c r="AA58" s="14">
        <f>[25]entradas!$H80</f>
        <v>11261</v>
      </c>
      <c r="AB58" s="14">
        <f>[26]entradas!$H80</f>
        <v>4413</v>
      </c>
      <c r="AC58" s="14">
        <f>[27]entradas!$H80</f>
        <v>1807</v>
      </c>
      <c r="AD58" s="14">
        <f>[28]entradas!$H80</f>
        <v>12376</v>
      </c>
      <c r="AE58" s="14">
        <f>[29]entradas!$H80</f>
        <v>12669</v>
      </c>
      <c r="AF58" s="14">
        <f>[30]entradas!$H80</f>
        <v>12743</v>
      </c>
      <c r="AG58" s="14">
        <f>[31]entradas!$H80</f>
        <v>12286</v>
      </c>
      <c r="AH58" s="14">
        <f>[32]entradas!$H80</f>
        <v>11257</v>
      </c>
      <c r="AI58" s="14">
        <f>[33]entradas!$H80</f>
        <v>4585</v>
      </c>
      <c r="AJ58" s="14">
        <f>[34]entradas!$H80</f>
        <v>1812</v>
      </c>
    </row>
    <row r="59" spans="1:36" x14ac:dyDescent="0.2">
      <c r="A59" s="424"/>
      <c r="B59" s="45" t="s">
        <v>62</v>
      </c>
      <c r="C59" s="14">
        <f>[1]entradas!$H81</f>
        <v>18168</v>
      </c>
      <c r="D59" s="14">
        <f>[2]entradas!$H81</f>
        <v>18587</v>
      </c>
      <c r="E59" s="14">
        <f>[3]entradas!$H81</f>
        <v>19471</v>
      </c>
      <c r="F59" s="14">
        <f>[4]entradas!$H81</f>
        <v>19124</v>
      </c>
      <c r="G59" s="14">
        <f>[5]entradas!$H81</f>
        <v>6354</v>
      </c>
      <c r="H59" s="14">
        <f>[6]entradas!$H81</f>
        <v>2164</v>
      </c>
      <c r="I59" s="14">
        <f>[7]entradas!$H81</f>
        <v>18752</v>
      </c>
      <c r="J59" s="14">
        <f>[8]entradas!$H81</f>
        <v>18756</v>
      </c>
      <c r="K59" s="14">
        <f>[9]entradas!$H81</f>
        <v>18788</v>
      </c>
      <c r="L59" s="14">
        <f>[10]entradas!$H81</f>
        <v>19465</v>
      </c>
      <c r="M59" s="14">
        <f>[11]entradas!$H81</f>
        <v>18747</v>
      </c>
      <c r="N59" s="14">
        <f>[12]entradas!$H81</f>
        <v>6383</v>
      </c>
      <c r="O59" s="14">
        <f>[13]entradas!$H81</f>
        <v>2876</v>
      </c>
      <c r="P59" s="14">
        <f>[14]entradas!$H81</f>
        <v>19041</v>
      </c>
      <c r="Q59" s="14">
        <f>[15]entradas!$H81</f>
        <v>18354</v>
      </c>
      <c r="R59" s="14">
        <f>[16]entradas!$H81</f>
        <v>18228</v>
      </c>
      <c r="S59" s="14">
        <f>[17]entradas!$H81</f>
        <v>17424</v>
      </c>
      <c r="T59" s="14">
        <f>[18]entradas!$H81</f>
        <v>18611</v>
      </c>
      <c r="U59" s="14">
        <f>[19]entradas!$H81</f>
        <v>6512</v>
      </c>
      <c r="V59" s="14">
        <f>[20]entradas!$H81</f>
        <v>2577</v>
      </c>
      <c r="W59" s="14">
        <f>[21]entradas!$H81</f>
        <v>19803</v>
      </c>
      <c r="X59" s="14">
        <f>[22]entradas!$H81</f>
        <v>19554</v>
      </c>
      <c r="Y59" s="14">
        <f>[23]entradas!$H81</f>
        <v>19676</v>
      </c>
      <c r="Z59" s="14">
        <f>[24]entradas!$H81</f>
        <v>19442</v>
      </c>
      <c r="AA59" s="14">
        <f>[25]entradas!$H81</f>
        <v>19590</v>
      </c>
      <c r="AB59" s="14">
        <f>[26]entradas!$H81</f>
        <v>6780</v>
      </c>
      <c r="AC59" s="14">
        <f>[27]entradas!$H81</f>
        <v>2117</v>
      </c>
      <c r="AD59" s="14">
        <f>[28]entradas!$H81</f>
        <v>20232</v>
      </c>
      <c r="AE59" s="14">
        <f>[29]entradas!$H81</f>
        <v>20559</v>
      </c>
      <c r="AF59" s="14">
        <f>[30]entradas!$H81</f>
        <v>19827</v>
      </c>
      <c r="AG59" s="14">
        <f>[31]entradas!$H81</f>
        <v>19677</v>
      </c>
      <c r="AH59" s="14">
        <f>[32]entradas!$H81</f>
        <v>19462</v>
      </c>
      <c r="AI59" s="14">
        <f>[33]entradas!$H81</f>
        <v>6247</v>
      </c>
      <c r="AJ59" s="14">
        <f>[34]entradas!$H81</f>
        <v>2010</v>
      </c>
    </row>
    <row r="60" spans="1:36" x14ac:dyDescent="0.2">
      <c r="A60" s="424"/>
      <c r="B60" s="45" t="s">
        <v>61</v>
      </c>
      <c r="C60" s="14">
        <f>[1]entradas!$H82</f>
        <v>0</v>
      </c>
      <c r="D60" s="14">
        <f>[2]entradas!$H82</f>
        <v>0</v>
      </c>
      <c r="E60" s="14">
        <f>[3]entradas!$H82</f>
        <v>0</v>
      </c>
      <c r="F60" s="14">
        <f>[4]entradas!$H82</f>
        <v>0</v>
      </c>
      <c r="G60" s="14">
        <f>[5]entradas!$H82</f>
        <v>0</v>
      </c>
      <c r="H60" s="14">
        <f>[6]entradas!$H82</f>
        <v>0</v>
      </c>
      <c r="I60" s="14">
        <f>[7]entradas!$H82</f>
        <v>0</v>
      </c>
      <c r="J60" s="14">
        <f>[8]entradas!$H82</f>
        <v>0</v>
      </c>
      <c r="K60" s="14">
        <f>[9]entradas!$H82</f>
        <v>0</v>
      </c>
      <c r="L60" s="14">
        <f>[10]entradas!$H82</f>
        <v>0</v>
      </c>
      <c r="M60" s="14">
        <f>[11]entradas!$H82</f>
        <v>0</v>
      </c>
      <c r="N60" s="14">
        <f>[12]entradas!$H82</f>
        <v>0</v>
      </c>
      <c r="O60" s="14">
        <f>[13]entradas!$H82</f>
        <v>0</v>
      </c>
      <c r="P60" s="14">
        <f>[14]entradas!$H82</f>
        <v>0</v>
      </c>
      <c r="Q60" s="14">
        <f>[15]entradas!$H82</f>
        <v>0</v>
      </c>
      <c r="R60" s="14">
        <f>[16]entradas!$H82</f>
        <v>0</v>
      </c>
      <c r="S60" s="14">
        <f>[17]entradas!$H82</f>
        <v>0</v>
      </c>
      <c r="T60" s="14">
        <f>[18]entradas!$H82</f>
        <v>0</v>
      </c>
      <c r="U60" s="14">
        <f>[19]entradas!$H82</f>
        <v>0</v>
      </c>
      <c r="V60" s="14">
        <f>[20]entradas!$H82</f>
        <v>0</v>
      </c>
      <c r="W60" s="14">
        <f>[21]entradas!$H82</f>
        <v>0</v>
      </c>
      <c r="X60" s="14">
        <f>[22]entradas!$H82</f>
        <v>0</v>
      </c>
      <c r="Y60" s="14">
        <f>[23]entradas!$H82</f>
        <v>0</v>
      </c>
      <c r="Z60" s="14">
        <f>[24]entradas!$H82</f>
        <v>0</v>
      </c>
      <c r="AA60" s="14">
        <f>[25]entradas!$H82</f>
        <v>0</v>
      </c>
      <c r="AB60" s="14">
        <f>[26]entradas!$H82</f>
        <v>0</v>
      </c>
      <c r="AC60" s="14">
        <f>[27]entradas!$H82</f>
        <v>0</v>
      </c>
      <c r="AD60" s="14">
        <f>[28]entradas!$H82</f>
        <v>0</v>
      </c>
      <c r="AE60" s="14">
        <f>[29]entradas!$H82</f>
        <v>0</v>
      </c>
      <c r="AF60" s="14">
        <f>[30]entradas!$H82</f>
        <v>0</v>
      </c>
      <c r="AG60" s="14">
        <f>[31]entradas!$H82</f>
        <v>0</v>
      </c>
      <c r="AH60" s="14">
        <f>[32]entradas!$H82</f>
        <v>0</v>
      </c>
      <c r="AI60" s="14">
        <f>[33]entradas!$H82</f>
        <v>0</v>
      </c>
      <c r="AJ60" s="14">
        <f>[34]entradas!$H82</f>
        <v>0</v>
      </c>
    </row>
    <row r="61" spans="1:36" x14ac:dyDescent="0.2">
      <c r="A61" s="424"/>
      <c r="B61" s="45" t="s">
        <v>189</v>
      </c>
      <c r="C61" s="14">
        <f>[1]entradas!$H83</f>
        <v>7483</v>
      </c>
      <c r="D61" s="14">
        <f>[2]entradas!$H83</f>
        <v>7615</v>
      </c>
      <c r="E61" s="14">
        <f>[3]entradas!$H83</f>
        <v>7883</v>
      </c>
      <c r="F61" s="14">
        <f>[4]entradas!$H83</f>
        <v>8182</v>
      </c>
      <c r="G61" s="14">
        <f>[5]entradas!$H83</f>
        <v>4225</v>
      </c>
      <c r="H61" s="14">
        <f>[6]entradas!$H83</f>
        <v>2039</v>
      </c>
      <c r="I61" s="14">
        <f>[7]entradas!$H83</f>
        <v>7747</v>
      </c>
      <c r="J61" s="14">
        <f>[8]entradas!$H83</f>
        <v>7797</v>
      </c>
      <c r="K61" s="14">
        <f>[9]entradas!$H83</f>
        <v>7615</v>
      </c>
      <c r="L61" s="14">
        <f>[10]entradas!$H83</f>
        <v>7881</v>
      </c>
      <c r="M61" s="14">
        <f>[11]entradas!$H83</f>
        <v>8166</v>
      </c>
      <c r="N61" s="14">
        <f>[12]entradas!$H83</f>
        <v>4427</v>
      </c>
      <c r="O61" s="14">
        <f>[13]entradas!$H83</f>
        <v>1917</v>
      </c>
      <c r="P61" s="14">
        <f>[14]entradas!$H83</f>
        <v>7634</v>
      </c>
      <c r="Q61" s="14">
        <f>[15]entradas!$H83</f>
        <v>7286</v>
      </c>
      <c r="R61" s="14">
        <f>[16]entradas!$H83</f>
        <v>7290</v>
      </c>
      <c r="S61" s="14">
        <f>[17]entradas!$H83</f>
        <v>8125</v>
      </c>
      <c r="T61" s="14">
        <f>[18]entradas!$H83</f>
        <v>8337</v>
      </c>
      <c r="U61" s="14">
        <f>[19]entradas!$H83</f>
        <v>4615</v>
      </c>
      <c r="V61" s="14">
        <f>[20]entradas!$H83</f>
        <v>2026</v>
      </c>
      <c r="W61" s="14">
        <f>[21]entradas!$H83</f>
        <v>8135</v>
      </c>
      <c r="X61" s="14">
        <f>[22]entradas!$H83</f>
        <v>8124</v>
      </c>
      <c r="Y61" s="14">
        <f>[23]entradas!$H83</f>
        <v>8045</v>
      </c>
      <c r="Z61" s="14">
        <f>[24]entradas!$H83</f>
        <v>8480</v>
      </c>
      <c r="AA61" s="14">
        <f>[25]entradas!$H83</f>
        <v>8429</v>
      </c>
      <c r="AB61" s="14">
        <f>[26]entradas!$H83</f>
        <v>4719</v>
      </c>
      <c r="AC61" s="14">
        <f>[27]entradas!$H83</f>
        <v>2021</v>
      </c>
      <c r="AD61" s="14">
        <f>[28]entradas!$H83</f>
        <v>8283</v>
      </c>
      <c r="AE61" s="14">
        <f>[29]entradas!$H83</f>
        <v>8574</v>
      </c>
      <c r="AF61" s="14">
        <f>[30]entradas!$H83</f>
        <v>8704</v>
      </c>
      <c r="AG61" s="14">
        <f>[31]entradas!$H83</f>
        <v>8719</v>
      </c>
      <c r="AH61" s="14">
        <f>[32]entradas!$H83</f>
        <v>8443</v>
      </c>
      <c r="AI61" s="14">
        <f>[33]entradas!$H83</f>
        <v>4773</v>
      </c>
      <c r="AJ61" s="14">
        <f>[34]entradas!$H83</f>
        <v>1936</v>
      </c>
    </row>
    <row r="62" spans="1:36" x14ac:dyDescent="0.2">
      <c r="A62" s="424"/>
      <c r="B62" s="45" t="s">
        <v>188</v>
      </c>
      <c r="C62" s="14">
        <f>[1]entradas!$H84</f>
        <v>4381</v>
      </c>
      <c r="D62" s="14">
        <f>[2]entradas!$H84</f>
        <v>4439</v>
      </c>
      <c r="E62" s="14">
        <f>[3]entradas!$H84</f>
        <v>4524</v>
      </c>
      <c r="F62" s="14">
        <f>[4]entradas!$H84</f>
        <v>4538</v>
      </c>
      <c r="G62" s="14">
        <f>[5]entradas!$H84</f>
        <v>3228</v>
      </c>
      <c r="H62" s="14">
        <f>[6]entradas!$H84</f>
        <v>1551</v>
      </c>
      <c r="I62" s="14">
        <f>[7]entradas!$H84</f>
        <v>4311</v>
      </c>
      <c r="J62" s="14">
        <f>[8]entradas!$H84</f>
        <v>4464</v>
      </c>
      <c r="K62" s="14">
        <f>[9]entradas!$H84</f>
        <v>4247</v>
      </c>
      <c r="L62" s="14">
        <f>[10]entradas!$H84</f>
        <v>4461</v>
      </c>
      <c r="M62" s="14">
        <f>[11]entradas!$H84</f>
        <v>4442</v>
      </c>
      <c r="N62" s="14">
        <f>[12]entradas!$H84</f>
        <v>3380</v>
      </c>
      <c r="O62" s="14">
        <f>[13]entradas!$H84</f>
        <v>1526</v>
      </c>
      <c r="P62" s="14">
        <f>[14]entradas!$H84</f>
        <v>4653</v>
      </c>
      <c r="Q62" s="14">
        <f>[15]entradas!$H84</f>
        <v>4359</v>
      </c>
      <c r="R62" s="14">
        <f>[16]entradas!$H84</f>
        <v>4604</v>
      </c>
      <c r="S62" s="14">
        <f>[17]entradas!$H84</f>
        <v>4880</v>
      </c>
      <c r="T62" s="14">
        <f>[18]entradas!$H84</f>
        <v>4597</v>
      </c>
      <c r="U62" s="14">
        <f>[19]entradas!$H84</f>
        <v>3436</v>
      </c>
      <c r="V62" s="14">
        <f>[20]entradas!$H84</f>
        <v>1532</v>
      </c>
      <c r="W62" s="14">
        <f>[21]entradas!$H84</f>
        <v>4591</v>
      </c>
      <c r="X62" s="14">
        <f>[22]entradas!$H84</f>
        <v>4544</v>
      </c>
      <c r="Y62" s="14">
        <f>[23]entradas!$H84</f>
        <v>4553</v>
      </c>
      <c r="Z62" s="14">
        <f>[24]entradas!$H84</f>
        <v>4590</v>
      </c>
      <c r="AA62" s="14">
        <f>[25]entradas!$H84</f>
        <v>4627</v>
      </c>
      <c r="AB62" s="14">
        <f>[26]entradas!$H84</f>
        <v>3522</v>
      </c>
      <c r="AC62" s="14">
        <f>[27]entradas!$H84</f>
        <v>1476</v>
      </c>
      <c r="AD62" s="14">
        <f>[28]entradas!$H84</f>
        <v>4550</v>
      </c>
      <c r="AE62" s="14">
        <f>[29]entradas!$H84</f>
        <v>4948</v>
      </c>
      <c r="AF62" s="14">
        <f>[30]entradas!$H84</f>
        <v>4995</v>
      </c>
      <c r="AG62" s="14">
        <f>[31]entradas!$H84</f>
        <v>4858</v>
      </c>
      <c r="AH62" s="14">
        <f>[32]entradas!$H84</f>
        <v>4557</v>
      </c>
      <c r="AI62" s="14">
        <f>[33]entradas!$H84</f>
        <v>3356</v>
      </c>
      <c r="AJ62" s="14">
        <f>[34]entradas!$H84</f>
        <v>1414</v>
      </c>
    </row>
    <row r="63" spans="1:36" x14ac:dyDescent="0.2">
      <c r="A63" s="424"/>
      <c r="B63" s="45" t="s">
        <v>31</v>
      </c>
      <c r="C63" s="14">
        <f>[1]entradas!$H85</f>
        <v>21886</v>
      </c>
      <c r="D63" s="14">
        <f>[2]entradas!$H85</f>
        <v>21745</v>
      </c>
      <c r="E63" s="14">
        <f>[3]entradas!$H85</f>
        <v>21386</v>
      </c>
      <c r="F63" s="14">
        <f>[4]entradas!$H85</f>
        <v>23187</v>
      </c>
      <c r="G63" s="14">
        <f>[5]entradas!$H85</f>
        <v>14107</v>
      </c>
      <c r="H63" s="14">
        <f>[6]entradas!$H85</f>
        <v>4928</v>
      </c>
      <c r="I63" s="14">
        <f>[7]entradas!$H85</f>
        <v>21916</v>
      </c>
      <c r="J63" s="14">
        <f>[8]entradas!$H85</f>
        <v>22148</v>
      </c>
      <c r="K63" s="14">
        <f>[9]entradas!$H85</f>
        <v>21457</v>
      </c>
      <c r="L63" s="14">
        <f>[10]entradas!$H85</f>
        <v>22312</v>
      </c>
      <c r="M63" s="14">
        <f>[11]entradas!$H85</f>
        <v>22738</v>
      </c>
      <c r="N63" s="14">
        <f>[12]entradas!$H85</f>
        <v>14058</v>
      </c>
      <c r="O63" s="14">
        <f>[13]entradas!$H85</f>
        <v>4687</v>
      </c>
      <c r="P63" s="14">
        <f>[14]entradas!$H85</f>
        <v>22849</v>
      </c>
      <c r="Q63" s="14">
        <f>[15]entradas!$H85</f>
        <v>21066</v>
      </c>
      <c r="R63" s="14">
        <f>[16]entradas!$H85</f>
        <v>20722</v>
      </c>
      <c r="S63" s="14">
        <f>[17]entradas!$H85</f>
        <v>21264</v>
      </c>
      <c r="T63" s="14">
        <f>[18]entradas!$H85</f>
        <v>22917</v>
      </c>
      <c r="U63" s="14">
        <f>[19]entradas!$H85</f>
        <v>14478</v>
      </c>
      <c r="V63" s="14">
        <f>[20]entradas!$H85</f>
        <v>4805</v>
      </c>
      <c r="W63" s="14">
        <f>[21]entradas!$H85</f>
        <v>22426</v>
      </c>
      <c r="X63" s="14">
        <f>[22]entradas!$H85</f>
        <v>22188</v>
      </c>
      <c r="Y63" s="14">
        <f>[23]entradas!$H85</f>
        <v>21831</v>
      </c>
      <c r="Z63" s="14">
        <f>[24]entradas!$H85</f>
        <v>21908</v>
      </c>
      <c r="AA63" s="14">
        <f>[25]entradas!$H85</f>
        <v>22854</v>
      </c>
      <c r="AB63" s="14">
        <f>[26]entradas!$H85</f>
        <v>14487</v>
      </c>
      <c r="AC63" s="14">
        <f>[27]entradas!$H85</f>
        <v>5042</v>
      </c>
      <c r="AD63" s="14">
        <f>[28]entradas!$H85</f>
        <v>22529</v>
      </c>
      <c r="AE63" s="14">
        <f>[29]entradas!$H85</f>
        <v>23544</v>
      </c>
      <c r="AF63" s="14">
        <f>[30]entradas!$H85</f>
        <v>23281</v>
      </c>
      <c r="AG63" s="14">
        <f>[31]entradas!$H85</f>
        <v>23313</v>
      </c>
      <c r="AH63" s="14">
        <f>[32]entradas!$H85</f>
        <v>17718</v>
      </c>
      <c r="AI63" s="14">
        <f>[33]entradas!$H85</f>
        <v>11473</v>
      </c>
      <c r="AJ63" s="14">
        <f>[34]entradas!$H85</f>
        <v>3863</v>
      </c>
    </row>
    <row r="64" spans="1:36" x14ac:dyDescent="0.2">
      <c r="A64" s="424"/>
      <c r="B64" s="45" t="s">
        <v>32</v>
      </c>
      <c r="C64" s="14">
        <f>[1]entradas!$H86</f>
        <v>7432</v>
      </c>
      <c r="D64" s="14">
        <f>[2]entradas!$H86</f>
        <v>7209</v>
      </c>
      <c r="E64" s="14">
        <f>[3]entradas!$H86</f>
        <v>7365</v>
      </c>
      <c r="F64" s="14">
        <f>[4]entradas!$H86</f>
        <v>7316</v>
      </c>
      <c r="G64" s="14">
        <f>[5]entradas!$H86</f>
        <v>4343</v>
      </c>
      <c r="H64" s="14">
        <f>[6]entradas!$H86</f>
        <v>1287</v>
      </c>
      <c r="I64" s="14">
        <f>[7]entradas!$H86</f>
        <v>7419</v>
      </c>
      <c r="J64" s="14">
        <f>[8]entradas!$H86</f>
        <v>7535</v>
      </c>
      <c r="K64" s="14">
        <f>[9]entradas!$H86</f>
        <v>7181</v>
      </c>
      <c r="L64" s="14">
        <f>[10]entradas!$H86</f>
        <v>7445</v>
      </c>
      <c r="M64" s="14">
        <f>[11]entradas!$H86</f>
        <v>7069</v>
      </c>
      <c r="N64" s="14">
        <f>[12]entradas!$H86</f>
        <v>4187</v>
      </c>
      <c r="O64" s="14">
        <f>[13]entradas!$H86</f>
        <v>1212</v>
      </c>
      <c r="P64" s="14">
        <f>[14]entradas!$H86</f>
        <v>7280</v>
      </c>
      <c r="Q64" s="14">
        <f>[15]entradas!$H86</f>
        <v>7071</v>
      </c>
      <c r="R64" s="14">
        <f>[16]entradas!$H86</f>
        <v>7220</v>
      </c>
      <c r="S64" s="14">
        <f>[17]entradas!$H86</f>
        <v>7511</v>
      </c>
      <c r="T64" s="14">
        <f>[18]entradas!$H86</f>
        <v>7352</v>
      </c>
      <c r="U64" s="14">
        <f>[19]entradas!$H86</f>
        <v>4162</v>
      </c>
      <c r="V64" s="14">
        <f>[20]entradas!$H86</f>
        <v>1200</v>
      </c>
      <c r="W64" s="14">
        <f>[21]entradas!$H86</f>
        <v>7393</v>
      </c>
      <c r="X64" s="14">
        <f>[22]entradas!$H86</f>
        <v>7390</v>
      </c>
      <c r="Y64" s="14">
        <f>[23]entradas!$H86</f>
        <v>7294</v>
      </c>
      <c r="Z64" s="14">
        <f>[24]entradas!$H86</f>
        <v>7303</v>
      </c>
      <c r="AA64" s="14">
        <f>[25]entradas!$H86</f>
        <v>7106</v>
      </c>
      <c r="AB64" s="14">
        <f>[26]entradas!$H86</f>
        <v>4149</v>
      </c>
      <c r="AC64" s="14">
        <f>[27]entradas!$H86</f>
        <v>1326</v>
      </c>
      <c r="AD64" s="14">
        <f>[28]entradas!$H86</f>
        <v>7505</v>
      </c>
      <c r="AE64" s="14">
        <f>[29]entradas!$H86</f>
        <v>8069</v>
      </c>
      <c r="AF64" s="14">
        <f>[30]entradas!$H86</f>
        <v>8047</v>
      </c>
      <c r="AG64" s="14">
        <f>[31]entradas!$H86</f>
        <v>7886</v>
      </c>
      <c r="AH64" s="14">
        <f>[32]entradas!$H86</f>
        <v>6794</v>
      </c>
      <c r="AI64" s="14">
        <f>[33]entradas!$H86</f>
        <v>3919</v>
      </c>
      <c r="AJ64" s="14">
        <f>[34]entradas!$H86</f>
        <v>1198</v>
      </c>
    </row>
    <row r="65" spans="1:36" x14ac:dyDescent="0.2">
      <c r="A65" s="424"/>
      <c r="B65" s="70" t="s">
        <v>139</v>
      </c>
      <c r="C65" s="55">
        <f>[1]entradas!$H87</f>
        <v>9696</v>
      </c>
      <c r="D65" s="55">
        <f>[2]entradas!$H87</f>
        <v>8834</v>
      </c>
      <c r="E65" s="55">
        <f>[3]entradas!$H87</f>
        <v>8152</v>
      </c>
      <c r="F65" s="55">
        <f>[4]entradas!$H87</f>
        <v>8737</v>
      </c>
      <c r="G65" s="55">
        <f>[5]entradas!$H87</f>
        <v>7126</v>
      </c>
      <c r="H65" s="55">
        <f>[6]entradas!$H87</f>
        <v>2385</v>
      </c>
      <c r="I65" s="55">
        <f>[7]entradas!$H87</f>
        <v>9075</v>
      </c>
      <c r="J65" s="55">
        <f>[8]entradas!$H87</f>
        <v>8745</v>
      </c>
      <c r="K65" s="55">
        <f>[9]entradas!$H87</f>
        <v>8379</v>
      </c>
      <c r="L65" s="55">
        <f>[10]entradas!$H87</f>
        <v>8454</v>
      </c>
      <c r="M65" s="55">
        <f>[11]entradas!$H87</f>
        <v>8185</v>
      </c>
      <c r="N65" s="55">
        <f>[12]entradas!$H87</f>
        <v>6102</v>
      </c>
      <c r="O65" s="55">
        <f>[13]entradas!$H87</f>
        <v>1964</v>
      </c>
      <c r="P65" s="55">
        <f>[14]entradas!$H87</f>
        <v>8236</v>
      </c>
      <c r="Q65" s="55">
        <f>[15]entradas!$H87</f>
        <v>7695</v>
      </c>
      <c r="R65" s="55">
        <f>[16]entradas!$H87</f>
        <v>7649</v>
      </c>
      <c r="S65" s="55">
        <f>[17]entradas!$H87</f>
        <v>8293</v>
      </c>
      <c r="T65" s="55">
        <f>[18]entradas!$H87</f>
        <v>8360</v>
      </c>
      <c r="U65" s="55">
        <f>[19]entradas!$H87</f>
        <v>6368</v>
      </c>
      <c r="V65" s="55">
        <f>[20]entradas!$H87</f>
        <v>2001</v>
      </c>
      <c r="W65" s="55">
        <f>[21]entradas!$H87</f>
        <v>9096</v>
      </c>
      <c r="X65" s="55">
        <f>[22]entradas!$H87</f>
        <v>8648</v>
      </c>
      <c r="Y65" s="55">
        <f>[23]entradas!$H87</f>
        <v>8803</v>
      </c>
      <c r="Z65" s="55">
        <f>[24]entradas!$H87</f>
        <v>8754</v>
      </c>
      <c r="AA65" s="55">
        <f>[25]entradas!$H87</f>
        <v>8001</v>
      </c>
      <c r="AB65" s="55">
        <f>[26]entradas!$H87</f>
        <v>6718</v>
      </c>
      <c r="AC65" s="55">
        <f>[27]entradas!$H87</f>
        <v>2144</v>
      </c>
      <c r="AD65" s="55">
        <f>[28]entradas!$H87</f>
        <v>8930</v>
      </c>
      <c r="AE65" s="55">
        <f>[29]entradas!$H87</f>
        <v>10041</v>
      </c>
      <c r="AF65" s="55">
        <f>[30]entradas!$H87</f>
        <v>9923</v>
      </c>
      <c r="AG65" s="55">
        <f>[31]entradas!$H87</f>
        <v>9353</v>
      </c>
      <c r="AH65" s="55">
        <f>[32]entradas!$H87</f>
        <v>7592</v>
      </c>
      <c r="AI65" s="55">
        <f>[33]entradas!$H87</f>
        <v>6200</v>
      </c>
      <c r="AJ65" s="55">
        <f>[34]entradas!$H87</f>
        <v>2193</v>
      </c>
    </row>
    <row r="66" spans="1:36" x14ac:dyDescent="0.2">
      <c r="A66" s="424"/>
      <c r="B66" s="71" t="s">
        <v>138</v>
      </c>
      <c r="C66" s="55">
        <f>[1]entradas!$H88</f>
        <v>47275</v>
      </c>
      <c r="D66" s="55">
        <f>[2]entradas!$H88</f>
        <v>50102</v>
      </c>
      <c r="E66" s="55">
        <f>[3]entradas!$H88</f>
        <v>47546</v>
      </c>
      <c r="F66" s="55">
        <f>[4]entradas!$H88</f>
        <v>46638</v>
      </c>
      <c r="G66" s="55">
        <f>[5]entradas!$H88</f>
        <v>33379</v>
      </c>
      <c r="H66" s="55">
        <f>[6]entradas!$H88</f>
        <v>12850</v>
      </c>
      <c r="I66" s="55">
        <f>[7]entradas!$H88</f>
        <v>49252</v>
      </c>
      <c r="J66" s="55">
        <f>[8]entradas!$H88</f>
        <v>49482</v>
      </c>
      <c r="K66" s="55">
        <f>[9]entradas!$H88</f>
        <v>49069</v>
      </c>
      <c r="L66" s="55">
        <f>[10]entradas!$H88</f>
        <v>48539</v>
      </c>
      <c r="M66" s="55">
        <f>[11]entradas!$H88</f>
        <v>46621</v>
      </c>
      <c r="N66" s="55">
        <f>[12]entradas!$H88</f>
        <v>31480</v>
      </c>
      <c r="O66" s="55">
        <f>[13]entradas!$H88</f>
        <v>10510</v>
      </c>
      <c r="P66" s="55">
        <f>[14]entradas!$H88</f>
        <v>46353</v>
      </c>
      <c r="Q66" s="55">
        <f>[15]entradas!$H88</f>
        <v>41491</v>
      </c>
      <c r="R66" s="55">
        <f>[16]entradas!$H88</f>
        <v>45227</v>
      </c>
      <c r="S66" s="55">
        <f>[17]entradas!$H88</f>
        <v>44245</v>
      </c>
      <c r="T66" s="55">
        <f>[18]entradas!$H88</f>
        <v>47831</v>
      </c>
      <c r="U66" s="55">
        <f>[19]entradas!$H88</f>
        <v>30946</v>
      </c>
      <c r="V66" s="55">
        <f>[20]entradas!$H88</f>
        <v>10351</v>
      </c>
      <c r="W66" s="55">
        <f>[21]entradas!$H88</f>
        <v>48632</v>
      </c>
      <c r="X66" s="55">
        <f>[22]entradas!$H88</f>
        <v>48609</v>
      </c>
      <c r="Y66" s="55">
        <f>[23]entradas!$H88</f>
        <v>49433</v>
      </c>
      <c r="Z66" s="55">
        <f>[24]entradas!$H88</f>
        <v>47517</v>
      </c>
      <c r="AA66" s="55">
        <f>[25]entradas!$H88</f>
        <v>47905</v>
      </c>
      <c r="AB66" s="55">
        <f>[26]entradas!$H88</f>
        <v>31387</v>
      </c>
      <c r="AC66" s="55">
        <f>[27]entradas!$H88</f>
        <v>10285</v>
      </c>
      <c r="AD66" s="55">
        <f>[28]entradas!$H88</f>
        <v>49014</v>
      </c>
      <c r="AE66" s="55">
        <f>[29]entradas!$H88</f>
        <v>48524</v>
      </c>
      <c r="AF66" s="55">
        <f>[30]entradas!$H88</f>
        <v>51217</v>
      </c>
      <c r="AG66" s="55">
        <f>[31]entradas!$H88</f>
        <v>50395</v>
      </c>
      <c r="AH66" s="55">
        <f>[32]entradas!$H88</f>
        <v>25252</v>
      </c>
      <c r="AI66" s="55">
        <f>[33]entradas!$H88</f>
        <v>21519</v>
      </c>
      <c r="AJ66" s="55">
        <f>[34]entradas!$H88</f>
        <v>7836</v>
      </c>
    </row>
    <row r="67" spans="1:36" x14ac:dyDescent="0.2">
      <c r="A67" s="424"/>
      <c r="B67" s="70" t="s">
        <v>317</v>
      </c>
      <c r="C67" s="55">
        <f>[1]entradas!$H89</f>
        <v>11983</v>
      </c>
      <c r="D67" s="55">
        <f>[2]entradas!$H89</f>
        <v>13271</v>
      </c>
      <c r="E67" s="55">
        <f>[3]entradas!$H89</f>
        <v>11698</v>
      </c>
      <c r="F67" s="55">
        <f>[4]entradas!$H89</f>
        <v>11787</v>
      </c>
      <c r="G67" s="55">
        <f>[5]entradas!$H89</f>
        <v>13769</v>
      </c>
      <c r="H67" s="55">
        <f>[6]entradas!$H89</f>
        <v>5269</v>
      </c>
      <c r="I67" s="55">
        <f>[7]entradas!$H89</f>
        <v>11449</v>
      </c>
      <c r="J67" s="55">
        <f>[8]entradas!$H89</f>
        <v>11220</v>
      </c>
      <c r="K67" s="55">
        <f>[9]entradas!$H89</f>
        <v>11620</v>
      </c>
      <c r="L67" s="55">
        <f>[10]entradas!$H89</f>
        <v>10776</v>
      </c>
      <c r="M67" s="55">
        <f>[11]entradas!$H89</f>
        <v>10591</v>
      </c>
      <c r="N67" s="55">
        <f>[12]entradas!$H89</f>
        <v>11829</v>
      </c>
      <c r="O67" s="55">
        <f>[13]entradas!$H89</f>
        <v>3948</v>
      </c>
      <c r="P67" s="55">
        <f>[14]entradas!$H89</f>
        <v>10719</v>
      </c>
      <c r="Q67" s="55">
        <f>[15]entradas!$H89</f>
        <v>10116</v>
      </c>
      <c r="R67" s="55">
        <f>[16]entradas!$H89</f>
        <v>11286</v>
      </c>
      <c r="S67" s="55">
        <f>[17]entradas!$H89</f>
        <v>10359</v>
      </c>
      <c r="T67" s="55">
        <f>[18]entradas!$H89</f>
        <v>11001</v>
      </c>
      <c r="U67" s="55">
        <f>[19]entradas!$H89</f>
        <v>11813</v>
      </c>
      <c r="V67" s="55">
        <f>[20]entradas!$H89</f>
        <v>3763</v>
      </c>
      <c r="W67" s="55">
        <f>[21]entradas!$H89</f>
        <v>11030</v>
      </c>
      <c r="X67" s="55">
        <f>[22]entradas!$H89</f>
        <v>10705</v>
      </c>
      <c r="Y67" s="55">
        <f>[23]entradas!$H89</f>
        <v>11679</v>
      </c>
      <c r="Z67" s="55">
        <f>[24]entradas!$H89</f>
        <v>10042</v>
      </c>
      <c r="AA67" s="55">
        <f>[25]entradas!$H89</f>
        <v>10142</v>
      </c>
      <c r="AB67" s="55">
        <f>[26]entradas!$H89</f>
        <v>12023</v>
      </c>
      <c r="AC67" s="55">
        <f>[27]entradas!$H89</f>
        <v>3716</v>
      </c>
      <c r="AD67" s="55">
        <f>[28]entradas!$H89</f>
        <v>11100</v>
      </c>
      <c r="AE67" s="55">
        <f>[29]entradas!$H89</f>
        <v>11596</v>
      </c>
      <c r="AF67" s="55">
        <f>[30]entradas!$H89</f>
        <v>12378</v>
      </c>
      <c r="AG67" s="55">
        <f>[31]entradas!$H89</f>
        <v>11496</v>
      </c>
      <c r="AH67" s="55">
        <f>[32]entradas!$H89</f>
        <v>11100</v>
      </c>
      <c r="AI67" s="55">
        <f>[33]entradas!$H89</f>
        <v>12346</v>
      </c>
      <c r="AJ67" s="55">
        <f>[34]entradas!$H89</f>
        <v>3762</v>
      </c>
    </row>
    <row r="68" spans="1:36" x14ac:dyDescent="0.2">
      <c r="A68" s="424"/>
      <c r="B68" s="43" t="s">
        <v>33</v>
      </c>
      <c r="C68" s="14">
        <f>[1]entradas!$H90</f>
        <v>2297</v>
      </c>
      <c r="D68" s="14">
        <f>[2]entradas!$H90</f>
        <v>2318</v>
      </c>
      <c r="E68" s="14">
        <f>[3]entradas!$H90</f>
        <v>2433</v>
      </c>
      <c r="F68" s="14">
        <f>[4]entradas!$H90</f>
        <v>2364</v>
      </c>
      <c r="G68" s="14">
        <f>[5]entradas!$H90</f>
        <v>1650</v>
      </c>
      <c r="H68" s="14">
        <f>[6]entradas!$H90</f>
        <v>481</v>
      </c>
      <c r="I68" s="14">
        <f>[7]entradas!$H90</f>
        <v>2302</v>
      </c>
      <c r="J68" s="14">
        <f>[8]entradas!$H90</f>
        <v>2335</v>
      </c>
      <c r="K68" s="14">
        <f>[9]entradas!$H90</f>
        <v>2256</v>
      </c>
      <c r="L68" s="14">
        <f>[10]entradas!$H90</f>
        <v>2307</v>
      </c>
      <c r="M68" s="14">
        <f>[11]entradas!$H90</f>
        <v>2240</v>
      </c>
      <c r="N68" s="14">
        <f>[12]entradas!$H90</f>
        <v>1539</v>
      </c>
      <c r="O68" s="14">
        <f>[13]entradas!$H90</f>
        <v>460</v>
      </c>
      <c r="P68" s="14">
        <f>[14]entradas!$H90</f>
        <v>2450</v>
      </c>
      <c r="Q68" s="14">
        <f>[15]entradas!$H90</f>
        <v>2331</v>
      </c>
      <c r="R68" s="14">
        <f>[16]entradas!$H90</f>
        <v>2315</v>
      </c>
      <c r="S68" s="14">
        <f>[17]entradas!$H90</f>
        <v>2247</v>
      </c>
      <c r="T68" s="14">
        <f>[18]entradas!$H90</f>
        <v>2429</v>
      </c>
      <c r="U68" s="14">
        <f>[19]entradas!$H90</f>
        <v>1549</v>
      </c>
      <c r="V68" s="14">
        <f>[20]entradas!$H90</f>
        <v>445</v>
      </c>
      <c r="W68" s="14">
        <f>[21]entradas!$H90</f>
        <v>2619</v>
      </c>
      <c r="X68" s="14">
        <f>[22]entradas!$H90</f>
        <v>2459</v>
      </c>
      <c r="Y68" s="14">
        <f>[23]entradas!$H90</f>
        <v>2376</v>
      </c>
      <c r="Z68" s="14">
        <f>[24]entradas!$H90</f>
        <v>2381</v>
      </c>
      <c r="AA68" s="14">
        <f>[25]entradas!$H90</f>
        <v>2294</v>
      </c>
      <c r="AB68" s="14">
        <f>[26]entradas!$H90</f>
        <v>1646</v>
      </c>
      <c r="AC68" s="14">
        <f>[27]entradas!$H90</f>
        <v>508</v>
      </c>
      <c r="AD68" s="14">
        <f>[28]entradas!$H90</f>
        <v>2433</v>
      </c>
      <c r="AE68" s="14">
        <f>[29]entradas!$H90</f>
        <v>2526</v>
      </c>
      <c r="AF68" s="14">
        <f>[30]entradas!$H90</f>
        <v>2492</v>
      </c>
      <c r="AG68" s="14">
        <f>[31]entradas!$H90</f>
        <v>2394</v>
      </c>
      <c r="AH68" s="14">
        <f>[32]entradas!$H90</f>
        <v>2339</v>
      </c>
      <c r="AI68" s="14">
        <f>[33]entradas!$H90</f>
        <v>1595</v>
      </c>
      <c r="AJ68" s="14">
        <f>[34]entradas!$H90</f>
        <v>470</v>
      </c>
    </row>
    <row r="69" spans="1:36" x14ac:dyDescent="0.2">
      <c r="A69" s="424"/>
      <c r="B69" s="43" t="s">
        <v>34</v>
      </c>
      <c r="C69" s="14">
        <f>[1]entradas!$H91</f>
        <v>4406</v>
      </c>
      <c r="D69" s="14">
        <f>[2]entradas!$H91</f>
        <v>4453</v>
      </c>
      <c r="E69" s="14">
        <f>[3]entradas!$H91</f>
        <v>4464</v>
      </c>
      <c r="F69" s="14">
        <f>[4]entradas!$H91</f>
        <v>4587</v>
      </c>
      <c r="G69" s="14">
        <f>[5]entradas!$H91</f>
        <v>3457</v>
      </c>
      <c r="H69" s="14">
        <f>[6]entradas!$H91</f>
        <v>1803</v>
      </c>
      <c r="I69" s="14">
        <f>[7]entradas!$H91</f>
        <v>4430</v>
      </c>
      <c r="J69" s="14">
        <f>[8]entradas!$H91</f>
        <v>4478</v>
      </c>
      <c r="K69" s="14">
        <f>[9]entradas!$H91</f>
        <v>4318</v>
      </c>
      <c r="L69" s="14">
        <f>[10]entradas!$H91</f>
        <v>4375</v>
      </c>
      <c r="M69" s="14">
        <f>[11]entradas!$H91</f>
        <v>4426</v>
      </c>
      <c r="N69" s="14">
        <f>[12]entradas!$H91</f>
        <v>3288</v>
      </c>
      <c r="O69" s="14">
        <f>[13]entradas!$H91</f>
        <v>1737</v>
      </c>
      <c r="P69" s="14">
        <f>[14]entradas!$H91</f>
        <v>4577</v>
      </c>
      <c r="Q69" s="14">
        <f>[15]entradas!$H91</f>
        <v>4318</v>
      </c>
      <c r="R69" s="14">
        <f>[16]entradas!$H91</f>
        <v>4405</v>
      </c>
      <c r="S69" s="14">
        <f>[17]entradas!$H91</f>
        <v>4271</v>
      </c>
      <c r="T69" s="14">
        <f>[18]entradas!$H91</f>
        <v>4515</v>
      </c>
      <c r="U69" s="14">
        <f>[19]entradas!$H91</f>
        <v>3341</v>
      </c>
      <c r="V69" s="14">
        <f>[20]entradas!$H91</f>
        <v>1796</v>
      </c>
      <c r="W69" s="14">
        <f>[21]entradas!$H91</f>
        <v>4397</v>
      </c>
      <c r="X69" s="14">
        <f>[22]entradas!$H91</f>
        <v>4493</v>
      </c>
      <c r="Y69" s="14">
        <f>[23]entradas!$H91</f>
        <v>4426</v>
      </c>
      <c r="Z69" s="14">
        <f>[24]entradas!$H91</f>
        <v>4292</v>
      </c>
      <c r="AA69" s="14">
        <f>[25]entradas!$H91</f>
        <v>4479</v>
      </c>
      <c r="AB69" s="14">
        <f>[26]entradas!$H91</f>
        <v>3417</v>
      </c>
      <c r="AC69" s="14">
        <f>[27]entradas!$H91</f>
        <v>1899</v>
      </c>
      <c r="AD69" s="14">
        <f>[28]entradas!$H91</f>
        <v>4524</v>
      </c>
      <c r="AE69" s="14">
        <f>[29]entradas!$H91</f>
        <v>4705</v>
      </c>
      <c r="AF69" s="14">
        <f>[30]entradas!$H91</f>
        <v>4563</v>
      </c>
      <c r="AG69" s="14">
        <f>[31]entradas!$H91</f>
        <v>4628</v>
      </c>
      <c r="AH69" s="14">
        <f>[32]entradas!$H91</f>
        <v>4633</v>
      </c>
      <c r="AI69" s="14">
        <f>[33]entradas!$H91</f>
        <v>3576</v>
      </c>
      <c r="AJ69" s="14">
        <f>[34]entradas!$H91</f>
        <v>1738</v>
      </c>
    </row>
    <row r="70" spans="1:36" x14ac:dyDescent="0.2">
      <c r="A70" s="424"/>
      <c r="B70" s="37" t="s">
        <v>315</v>
      </c>
      <c r="C70" s="14">
        <f>[1]entradas!$H92</f>
        <v>0</v>
      </c>
      <c r="D70" s="14">
        <f>[2]entradas!$H92</f>
        <v>0</v>
      </c>
      <c r="E70" s="14">
        <f>[3]entradas!$H92</f>
        <v>0</v>
      </c>
      <c r="F70" s="14">
        <f>[4]entradas!$H92</f>
        <v>0</v>
      </c>
      <c r="G70" s="14">
        <f>[5]entradas!$H92</f>
        <v>0</v>
      </c>
      <c r="H70" s="14">
        <f>[6]entradas!$H92</f>
        <v>0</v>
      </c>
      <c r="I70" s="14">
        <f>[7]entradas!$H92</f>
        <v>0</v>
      </c>
      <c r="J70" s="14">
        <f>[8]entradas!$H92</f>
        <v>0</v>
      </c>
      <c r="K70" s="14">
        <f>[9]entradas!$H92</f>
        <v>0</v>
      </c>
      <c r="L70" s="14">
        <f>[10]entradas!$H92</f>
        <v>0</v>
      </c>
      <c r="M70" s="14">
        <f>[11]entradas!$H92</f>
        <v>0</v>
      </c>
      <c r="N70" s="14">
        <f>[12]entradas!$H92</f>
        <v>0</v>
      </c>
      <c r="O70" s="14">
        <f>[13]entradas!$H92</f>
        <v>0</v>
      </c>
      <c r="P70" s="14">
        <f>[14]entradas!$H92</f>
        <v>0</v>
      </c>
      <c r="Q70" s="14">
        <f>[15]entradas!$H92</f>
        <v>0</v>
      </c>
      <c r="R70" s="14">
        <f>[16]entradas!$H92</f>
        <v>0</v>
      </c>
      <c r="S70" s="14">
        <f>[17]entradas!$H92</f>
        <v>0</v>
      </c>
      <c r="T70" s="14">
        <f>[18]entradas!$H92</f>
        <v>0</v>
      </c>
      <c r="U70" s="14">
        <f>[19]entradas!$H92</f>
        <v>0</v>
      </c>
      <c r="V70" s="14">
        <f>[20]entradas!$H92</f>
        <v>0</v>
      </c>
      <c r="W70" s="14">
        <f>[21]entradas!$H92</f>
        <v>0</v>
      </c>
      <c r="X70" s="14">
        <f>[22]entradas!$H92</f>
        <v>0</v>
      </c>
      <c r="Y70" s="14">
        <f>[23]entradas!$H92</f>
        <v>0</v>
      </c>
      <c r="Z70" s="14">
        <f>[24]entradas!$H92</f>
        <v>0</v>
      </c>
      <c r="AA70" s="14">
        <f>[25]entradas!$H92</f>
        <v>0</v>
      </c>
      <c r="AB70" s="14">
        <f>[26]entradas!$H92</f>
        <v>0</v>
      </c>
      <c r="AC70" s="14">
        <f>[27]entradas!$H92</f>
        <v>0</v>
      </c>
      <c r="AD70" s="14">
        <f>[28]entradas!$H92</f>
        <v>0</v>
      </c>
      <c r="AE70" s="14">
        <f>[29]entradas!$H92</f>
        <v>0</v>
      </c>
      <c r="AF70" s="14">
        <f>[30]entradas!$H92</f>
        <v>0</v>
      </c>
      <c r="AG70" s="14">
        <f>[31]entradas!$H92</f>
        <v>0</v>
      </c>
      <c r="AH70" s="14">
        <f>[32]entradas!$H92</f>
        <v>22236</v>
      </c>
      <c r="AI70" s="14">
        <f>[33]entradas!$H92</f>
        <v>10784</v>
      </c>
      <c r="AJ70" s="14">
        <f>[34]entradas!$H92</f>
        <v>2970</v>
      </c>
    </row>
    <row r="71" spans="1:36" x14ac:dyDescent="0.2">
      <c r="A71" s="424"/>
      <c r="B71" s="36" t="s">
        <v>316</v>
      </c>
      <c r="C71" s="14">
        <f>[1]entradas!$H93</f>
        <v>0</v>
      </c>
      <c r="D71" s="14">
        <f>[2]entradas!$H93</f>
        <v>0</v>
      </c>
      <c r="E71" s="14">
        <f>[3]entradas!$H93</f>
        <v>0</v>
      </c>
      <c r="F71" s="14">
        <f>[4]entradas!$H93</f>
        <v>0</v>
      </c>
      <c r="G71" s="14">
        <f>[5]entradas!$H93</f>
        <v>0</v>
      </c>
      <c r="H71" s="14">
        <f>[6]entradas!$H93</f>
        <v>0</v>
      </c>
      <c r="I71" s="14">
        <f>[7]entradas!$H93</f>
        <v>0</v>
      </c>
      <c r="J71" s="14">
        <f>[8]entradas!$H93</f>
        <v>0</v>
      </c>
      <c r="K71" s="14">
        <f>[9]entradas!$H93</f>
        <v>0</v>
      </c>
      <c r="L71" s="14">
        <f>[10]entradas!$H93</f>
        <v>0</v>
      </c>
      <c r="M71" s="14">
        <f>[11]entradas!$H93</f>
        <v>0</v>
      </c>
      <c r="N71" s="14">
        <f>[12]entradas!$H93</f>
        <v>0</v>
      </c>
      <c r="O71" s="14">
        <f>[13]entradas!$H93</f>
        <v>0</v>
      </c>
      <c r="P71" s="14">
        <f>[14]entradas!$H93</f>
        <v>0</v>
      </c>
      <c r="Q71" s="14">
        <f>[15]entradas!$H93</f>
        <v>0</v>
      </c>
      <c r="R71" s="14">
        <f>[16]entradas!$H93</f>
        <v>0</v>
      </c>
      <c r="S71" s="14">
        <f>[17]entradas!$H93</f>
        <v>0</v>
      </c>
      <c r="T71" s="14">
        <f>[18]entradas!$H93</f>
        <v>0</v>
      </c>
      <c r="U71" s="14">
        <f>[19]entradas!$H93</f>
        <v>0</v>
      </c>
      <c r="V71" s="14">
        <f>[20]entradas!$H93</f>
        <v>0</v>
      </c>
      <c r="W71" s="14">
        <f>[21]entradas!$H93</f>
        <v>0</v>
      </c>
      <c r="X71" s="14">
        <f>[22]entradas!$H93</f>
        <v>0</v>
      </c>
      <c r="Y71" s="14">
        <f>[23]entradas!$H93</f>
        <v>0</v>
      </c>
      <c r="Z71" s="14">
        <f>[24]entradas!$H93</f>
        <v>0</v>
      </c>
      <c r="AA71" s="14">
        <f>[25]entradas!$H93</f>
        <v>0</v>
      </c>
      <c r="AB71" s="14">
        <f>[26]entradas!$H93</f>
        <v>0</v>
      </c>
      <c r="AC71" s="14">
        <f>[27]entradas!$H93</f>
        <v>0</v>
      </c>
      <c r="AD71" s="14">
        <f>[28]entradas!$H93</f>
        <v>0</v>
      </c>
      <c r="AE71" s="14">
        <f>[29]entradas!$H93</f>
        <v>0</v>
      </c>
      <c r="AF71" s="14">
        <f>[30]entradas!$H93</f>
        <v>0</v>
      </c>
      <c r="AG71" s="14">
        <f>[31]entradas!$H93</f>
        <v>0</v>
      </c>
      <c r="AH71" s="14">
        <f>[32]entradas!$H93</f>
        <v>9283</v>
      </c>
      <c r="AI71" s="14">
        <f>[33]entradas!$H93</f>
        <v>3703</v>
      </c>
      <c r="AJ71" s="14">
        <f>[34]entradas!$H93</f>
        <v>453</v>
      </c>
    </row>
    <row r="72" spans="1:36" x14ac:dyDescent="0.2">
      <c r="A72" s="424"/>
      <c r="B72" s="43" t="s">
        <v>131</v>
      </c>
      <c r="C72" s="14">
        <f>[1]entradas!$H94</f>
        <v>0</v>
      </c>
      <c r="D72" s="14">
        <f>[2]entradas!$H94</f>
        <v>0</v>
      </c>
      <c r="E72" s="14">
        <f>[3]entradas!$H94</f>
        <v>0</v>
      </c>
      <c r="F72" s="14">
        <f>[4]entradas!$H94</f>
        <v>0</v>
      </c>
      <c r="G72" s="14">
        <f>[5]entradas!$H94</f>
        <v>0</v>
      </c>
      <c r="H72" s="14">
        <f>[6]entradas!$H94</f>
        <v>0</v>
      </c>
      <c r="I72" s="14">
        <f>[7]entradas!$H94</f>
        <v>0</v>
      </c>
      <c r="J72" s="14">
        <f>[8]entradas!$H94</f>
        <v>0</v>
      </c>
      <c r="K72" s="14">
        <f>[9]entradas!$H94</f>
        <v>0</v>
      </c>
      <c r="L72" s="14">
        <f>[10]entradas!$H94</f>
        <v>0</v>
      </c>
      <c r="M72" s="14">
        <f>[11]entradas!$H94</f>
        <v>0</v>
      </c>
      <c r="N72" s="14">
        <f>[12]entradas!$H94</f>
        <v>0</v>
      </c>
      <c r="O72" s="14">
        <f>[13]entradas!$H94</f>
        <v>0</v>
      </c>
      <c r="P72" s="14">
        <f>[14]entradas!$H94</f>
        <v>0</v>
      </c>
      <c r="Q72" s="14">
        <f>[15]entradas!$H94</f>
        <v>0</v>
      </c>
      <c r="R72" s="14">
        <f>[16]entradas!$H94</f>
        <v>0</v>
      </c>
      <c r="S72" s="14">
        <f>[17]entradas!$H94</f>
        <v>0</v>
      </c>
      <c r="T72" s="14">
        <f>[18]entradas!$H94</f>
        <v>0</v>
      </c>
      <c r="U72" s="14">
        <f>[19]entradas!$H94</f>
        <v>0</v>
      </c>
      <c r="V72" s="14">
        <f>[20]entradas!$H94</f>
        <v>0</v>
      </c>
      <c r="W72" s="14">
        <f>[21]entradas!$H94</f>
        <v>0</v>
      </c>
      <c r="X72" s="14">
        <f>[22]entradas!$H94</f>
        <v>0</v>
      </c>
      <c r="Y72" s="14">
        <f>[23]entradas!$H94</f>
        <v>0</v>
      </c>
      <c r="Z72" s="14">
        <f>[24]entradas!$H94</f>
        <v>0</v>
      </c>
      <c r="AA72" s="14">
        <f>[25]entradas!$H94</f>
        <v>0</v>
      </c>
      <c r="AB72" s="14">
        <f>[26]entradas!$H94</f>
        <v>0</v>
      </c>
      <c r="AC72" s="14">
        <f>[27]entradas!$H94</f>
        <v>0</v>
      </c>
      <c r="AD72" s="14">
        <f>[28]entradas!$H94</f>
        <v>0</v>
      </c>
      <c r="AE72" s="14">
        <f>[29]entradas!$H94</f>
        <v>0</v>
      </c>
      <c r="AF72" s="14">
        <f>[30]entradas!$H94</f>
        <v>0</v>
      </c>
      <c r="AG72" s="14">
        <f>[31]entradas!$H94</f>
        <v>0</v>
      </c>
      <c r="AH72" s="14">
        <f>[32]entradas!$H94</f>
        <v>10665</v>
      </c>
      <c r="AI72" s="14">
        <f>[33]entradas!$H94</f>
        <v>5839</v>
      </c>
      <c r="AJ72" s="14">
        <f>[34]entradas!$H94</f>
        <v>1111</v>
      </c>
    </row>
    <row r="73" spans="1:36" x14ac:dyDescent="0.2">
      <c r="A73" s="424"/>
      <c r="B73" s="43" t="s">
        <v>131</v>
      </c>
      <c r="C73" s="14">
        <f>[1]entradas!$H95</f>
        <v>0</v>
      </c>
      <c r="D73" s="14">
        <f>[2]entradas!$H95</f>
        <v>0</v>
      </c>
      <c r="E73" s="14">
        <f>[3]entradas!$H95</f>
        <v>0</v>
      </c>
      <c r="F73" s="14">
        <f>[4]entradas!$H95</f>
        <v>0</v>
      </c>
      <c r="G73" s="14">
        <f>[5]entradas!$H95</f>
        <v>0</v>
      </c>
      <c r="H73" s="14">
        <f>[6]entradas!$H95</f>
        <v>0</v>
      </c>
      <c r="I73" s="14">
        <f>[7]entradas!$H95</f>
        <v>0</v>
      </c>
      <c r="J73" s="14">
        <f>[8]entradas!$H95</f>
        <v>0</v>
      </c>
      <c r="K73" s="14">
        <f>[9]entradas!$H95</f>
        <v>0</v>
      </c>
      <c r="L73" s="14">
        <f>[10]entradas!$H95</f>
        <v>0</v>
      </c>
      <c r="M73" s="14">
        <f>[11]entradas!$H95</f>
        <v>0</v>
      </c>
      <c r="N73" s="14">
        <f>[12]entradas!$H95</f>
        <v>0</v>
      </c>
      <c r="O73" s="14">
        <f>[13]entradas!$H95</f>
        <v>0</v>
      </c>
      <c r="P73" s="14">
        <f>[14]entradas!$H95</f>
        <v>0</v>
      </c>
      <c r="Q73" s="14">
        <f>[15]entradas!$H95</f>
        <v>0</v>
      </c>
      <c r="R73" s="14">
        <f>[16]entradas!$H95</f>
        <v>0</v>
      </c>
      <c r="S73" s="14">
        <f>[17]entradas!$H95</f>
        <v>0</v>
      </c>
      <c r="T73" s="14">
        <f>[18]entradas!$H95</f>
        <v>0</v>
      </c>
      <c r="U73" s="14">
        <f>[19]entradas!$H95</f>
        <v>0</v>
      </c>
      <c r="V73" s="14">
        <f>[20]entradas!$H95</f>
        <v>0</v>
      </c>
      <c r="W73" s="14">
        <f>[21]entradas!$H95</f>
        <v>0</v>
      </c>
      <c r="X73" s="14">
        <f>[22]entradas!$H95</f>
        <v>0</v>
      </c>
      <c r="Y73" s="14">
        <f>[23]entradas!$H95</f>
        <v>0</v>
      </c>
      <c r="Z73" s="14">
        <f>[24]entradas!$H95</f>
        <v>0</v>
      </c>
      <c r="AA73" s="14">
        <f>[25]entradas!$H95</f>
        <v>0</v>
      </c>
      <c r="AB73" s="14">
        <f>[26]entradas!$H95</f>
        <v>0</v>
      </c>
      <c r="AC73" s="14">
        <f>[27]entradas!$H95</f>
        <v>0</v>
      </c>
      <c r="AD73" s="14">
        <f>[28]entradas!$H95</f>
        <v>0</v>
      </c>
      <c r="AE73" s="14">
        <f>[29]entradas!$H95</f>
        <v>0</v>
      </c>
      <c r="AF73" s="14">
        <f>[30]entradas!$H95</f>
        <v>0</v>
      </c>
      <c r="AG73" s="14">
        <f>[31]entradas!$H95</f>
        <v>0</v>
      </c>
      <c r="AH73" s="14">
        <f>[32]entradas!$H95</f>
        <v>4009</v>
      </c>
      <c r="AI73" s="14">
        <f>[33]entradas!$H95</f>
        <v>2316</v>
      </c>
      <c r="AJ73" s="14">
        <f>[34]entradas!$H95</f>
        <v>726</v>
      </c>
    </row>
    <row r="74" spans="1:36" x14ac:dyDescent="0.2">
      <c r="A74" s="424"/>
      <c r="B74" s="72" t="s">
        <v>140</v>
      </c>
      <c r="C74" s="14">
        <f>[1]entradas!$H96</f>
        <v>3691</v>
      </c>
      <c r="D74" s="14">
        <f>[2]entradas!$H96</f>
        <v>3658</v>
      </c>
      <c r="E74" s="14">
        <f>[3]entradas!$H96</f>
        <v>3621</v>
      </c>
      <c r="F74" s="14">
        <f>[4]entradas!$H96</f>
        <v>3225</v>
      </c>
      <c r="G74" s="14">
        <f>[5]entradas!$H96</f>
        <v>2709</v>
      </c>
      <c r="H74" s="14">
        <f>[6]entradas!$H96</f>
        <v>742</v>
      </c>
      <c r="I74" s="14">
        <f>[7]entradas!$H96</f>
        <v>3485</v>
      </c>
      <c r="J74" s="14">
        <f>[8]entradas!$H96</f>
        <v>3724</v>
      </c>
      <c r="K74" s="14">
        <f>[9]entradas!$H96</f>
        <v>3493</v>
      </c>
      <c r="L74" s="14">
        <f>[10]entradas!$H96</f>
        <v>3530</v>
      </c>
      <c r="M74" s="14">
        <f>[11]entradas!$H96</f>
        <v>3757</v>
      </c>
      <c r="N74" s="14">
        <f>[12]entradas!$H96</f>
        <v>2324</v>
      </c>
      <c r="O74" s="14">
        <f>[13]entradas!$H96</f>
        <v>654</v>
      </c>
      <c r="P74" s="14">
        <f>[14]entradas!$H96</f>
        <v>3243</v>
      </c>
      <c r="Q74" s="14">
        <f>[15]entradas!$H96</f>
        <v>2901</v>
      </c>
      <c r="R74" s="14">
        <f>[16]entradas!$H96</f>
        <v>3402</v>
      </c>
      <c r="S74" s="14">
        <f>[17]entradas!$H96</f>
        <v>3096</v>
      </c>
      <c r="T74" s="14">
        <f>[18]entradas!$H96</f>
        <v>3637</v>
      </c>
      <c r="U74" s="14">
        <f>[19]entradas!$H96</f>
        <v>2501</v>
      </c>
      <c r="V74" s="14">
        <f>[20]entradas!$H96</f>
        <v>720</v>
      </c>
      <c r="W74" s="14">
        <f>[21]entradas!$H96</f>
        <v>3500</v>
      </c>
      <c r="X74" s="14">
        <f>[22]entradas!$H96</f>
        <v>3627</v>
      </c>
      <c r="Y74" s="14">
        <f>[23]entradas!$H96</f>
        <v>3582</v>
      </c>
      <c r="Z74" s="14">
        <f>[24]entradas!$H96</f>
        <v>3699</v>
      </c>
      <c r="AA74" s="14">
        <f>[25]entradas!$H96</f>
        <v>3601</v>
      </c>
      <c r="AB74" s="14">
        <f>[26]entradas!$H96</f>
        <v>2677</v>
      </c>
      <c r="AC74" s="14">
        <f>[27]entradas!$H96</f>
        <v>702</v>
      </c>
      <c r="AD74" s="14">
        <f>[28]entradas!$H96</f>
        <v>3498</v>
      </c>
      <c r="AE74" s="14">
        <f>[29]entradas!$H96</f>
        <v>3746</v>
      </c>
      <c r="AF74" s="14">
        <f>[30]entradas!$H96</f>
        <v>3830</v>
      </c>
      <c r="AG74" s="14">
        <f>[31]entradas!$H96</f>
        <v>3670</v>
      </c>
      <c r="AH74" s="14">
        <f>[32]entradas!$H96</f>
        <v>3836</v>
      </c>
      <c r="AI74" s="14">
        <f>[33]entradas!$H96</f>
        <v>2768</v>
      </c>
      <c r="AJ74" s="14">
        <f>[34]entradas!$H96</f>
        <v>733</v>
      </c>
    </row>
    <row r="75" spans="1:36" x14ac:dyDescent="0.2">
      <c r="A75" s="424"/>
      <c r="B75" s="72" t="s">
        <v>141</v>
      </c>
      <c r="C75" s="14">
        <f>[1]entradas!$H97</f>
        <v>1581</v>
      </c>
      <c r="D75" s="14">
        <f>[2]entradas!$H97</f>
        <v>1602</v>
      </c>
      <c r="E75" s="14">
        <f>[3]entradas!$H97</f>
        <v>1549</v>
      </c>
      <c r="F75" s="14">
        <f>[4]entradas!$H97</f>
        <v>1521</v>
      </c>
      <c r="G75" s="14">
        <f>[5]entradas!$H97</f>
        <v>1433</v>
      </c>
      <c r="H75" s="14">
        <f>[6]entradas!$H97</f>
        <v>478</v>
      </c>
      <c r="I75" s="14">
        <f>[7]entradas!$H97</f>
        <v>1467</v>
      </c>
      <c r="J75" s="14">
        <f>[8]entradas!$H97</f>
        <v>1404</v>
      </c>
      <c r="K75" s="14">
        <f>[9]entradas!$H97</f>
        <v>1386</v>
      </c>
      <c r="L75" s="14">
        <f>[10]entradas!$H97</f>
        <v>1373</v>
      </c>
      <c r="M75" s="14">
        <f>[11]entradas!$H97</f>
        <v>1474</v>
      </c>
      <c r="N75" s="14">
        <f>[12]entradas!$H97</f>
        <v>1213</v>
      </c>
      <c r="O75" s="14">
        <f>[13]entradas!$H97</f>
        <v>409</v>
      </c>
      <c r="P75" s="14">
        <f>[14]entradas!$H97</f>
        <v>1348</v>
      </c>
      <c r="Q75" s="14">
        <f>[15]entradas!$H97</f>
        <v>1132</v>
      </c>
      <c r="R75" s="14">
        <f>[16]entradas!$H97</f>
        <v>1297</v>
      </c>
      <c r="S75" s="14">
        <f>[17]entradas!$H97</f>
        <v>1389</v>
      </c>
      <c r="T75" s="14">
        <f>[18]entradas!$H97</f>
        <v>1425</v>
      </c>
      <c r="U75" s="14">
        <f>[19]entradas!$H97</f>
        <v>1303</v>
      </c>
      <c r="V75" s="14">
        <f>[20]entradas!$H97</f>
        <v>412</v>
      </c>
      <c r="W75" s="14">
        <f>[21]entradas!$H97</f>
        <v>1445</v>
      </c>
      <c r="X75" s="14">
        <f>[22]entradas!$H97</f>
        <v>1420</v>
      </c>
      <c r="Y75" s="14">
        <f>[23]entradas!$H97</f>
        <v>1389</v>
      </c>
      <c r="Z75" s="14">
        <f>[24]entradas!$H97</f>
        <v>1396</v>
      </c>
      <c r="AA75" s="14">
        <f>[25]entradas!$H97</f>
        <v>1307</v>
      </c>
      <c r="AB75" s="14">
        <f>[26]entradas!$H97</f>
        <v>1365</v>
      </c>
      <c r="AC75" s="14">
        <f>[27]entradas!$H97</f>
        <v>428</v>
      </c>
      <c r="AD75" s="14">
        <f>[28]entradas!$H97</f>
        <v>1503</v>
      </c>
      <c r="AE75" s="14">
        <f>[29]entradas!$H97</f>
        <v>1748</v>
      </c>
      <c r="AF75" s="14">
        <f>[30]entradas!$H97</f>
        <v>1659</v>
      </c>
      <c r="AG75" s="14">
        <f>[31]entradas!$H97</f>
        <v>1482</v>
      </c>
      <c r="AH75" s="14">
        <f>[32]entradas!$H97</f>
        <v>1412</v>
      </c>
      <c r="AI75" s="14">
        <f>[33]entradas!$H97</f>
        <v>1315</v>
      </c>
      <c r="AJ75" s="14">
        <f>[34]entradas!$H97</f>
        <v>518</v>
      </c>
    </row>
    <row r="76" spans="1:36" x14ac:dyDescent="0.2">
      <c r="A76" s="424"/>
      <c r="B76" s="72" t="s">
        <v>142</v>
      </c>
      <c r="C76" s="14">
        <f>[1]entradas!$H98</f>
        <v>3505</v>
      </c>
      <c r="D76" s="14">
        <f>[2]entradas!$H98</f>
        <v>3471</v>
      </c>
      <c r="E76" s="14">
        <f>[3]entradas!$H98</f>
        <v>3459</v>
      </c>
      <c r="F76" s="14">
        <f>[4]entradas!$H98</f>
        <v>3449</v>
      </c>
      <c r="G76" s="14">
        <f>[5]entradas!$H98</f>
        <v>3018</v>
      </c>
      <c r="H76" s="14">
        <f>[6]entradas!$H98</f>
        <v>1078</v>
      </c>
      <c r="I76" s="14">
        <f>[7]entradas!$H98</f>
        <v>3559</v>
      </c>
      <c r="J76" s="14">
        <f>[8]entradas!$H98</f>
        <v>3454</v>
      </c>
      <c r="K76" s="14">
        <f>[9]entradas!$H98</f>
        <v>3469</v>
      </c>
      <c r="L76" s="14">
        <f>[10]entradas!$H98</f>
        <v>3546</v>
      </c>
      <c r="M76" s="14">
        <f>[11]entradas!$H98</f>
        <v>3450</v>
      </c>
      <c r="N76" s="14">
        <f>[12]entradas!$H98</f>
        <v>2802</v>
      </c>
      <c r="O76" s="14">
        <f>[13]entradas!$H98</f>
        <v>986</v>
      </c>
      <c r="P76" s="14">
        <f>[14]entradas!$H98</f>
        <v>3178</v>
      </c>
      <c r="Q76" s="14">
        <f>[15]entradas!$H98</f>
        <v>2725</v>
      </c>
      <c r="R76" s="14">
        <f>[16]entradas!$H98</f>
        <v>3122</v>
      </c>
      <c r="S76" s="14">
        <f>[17]entradas!$H98</f>
        <v>3156</v>
      </c>
      <c r="T76" s="14">
        <f>[18]entradas!$H98</f>
        <v>3468</v>
      </c>
      <c r="U76" s="14">
        <f>[19]entradas!$H98</f>
        <v>2713</v>
      </c>
      <c r="V76" s="14">
        <f>[20]entradas!$H98</f>
        <v>1059</v>
      </c>
      <c r="W76" s="14">
        <f>[21]entradas!$H98</f>
        <v>3504</v>
      </c>
      <c r="X76" s="14">
        <f>[22]entradas!$H98</f>
        <v>3346</v>
      </c>
      <c r="Y76" s="14">
        <f>[23]entradas!$H98</f>
        <v>3331</v>
      </c>
      <c r="Z76" s="14">
        <f>[24]entradas!$H98</f>
        <v>3346</v>
      </c>
      <c r="AA76" s="14">
        <f>[25]entradas!$H98</f>
        <v>3369</v>
      </c>
      <c r="AB76" s="14">
        <f>[26]entradas!$H98</f>
        <v>2923</v>
      </c>
      <c r="AC76" s="14">
        <f>[27]entradas!$H98</f>
        <v>949</v>
      </c>
      <c r="AD76" s="14">
        <f>[28]entradas!$H98</f>
        <v>3498</v>
      </c>
      <c r="AE76" s="14">
        <f>[29]entradas!$H98</f>
        <v>3480</v>
      </c>
      <c r="AF76" s="14">
        <f>[30]entradas!$H98</f>
        <v>3506</v>
      </c>
      <c r="AG76" s="14">
        <f>[31]entradas!$H98</f>
        <v>3597</v>
      </c>
      <c r="AH76" s="14">
        <f>[32]entradas!$H98</f>
        <v>3713</v>
      </c>
      <c r="AI76" s="14">
        <f>[33]entradas!$H98</f>
        <v>3081</v>
      </c>
      <c r="AJ76" s="14">
        <f>[34]entradas!$H98</f>
        <v>1066</v>
      </c>
    </row>
    <row r="77" spans="1:36" x14ac:dyDescent="0.2">
      <c r="A77" s="424"/>
      <c r="B77" s="72" t="s">
        <v>143</v>
      </c>
      <c r="C77" s="14">
        <f>[1]entradas!$H99</f>
        <v>3849</v>
      </c>
      <c r="D77" s="14">
        <f>[2]entradas!$H99</f>
        <v>3939</v>
      </c>
      <c r="E77" s="14">
        <f>[3]entradas!$H99</f>
        <v>3906</v>
      </c>
      <c r="F77" s="14">
        <f>[4]entradas!$H99</f>
        <v>3894</v>
      </c>
      <c r="G77" s="14">
        <f>[5]entradas!$H99</f>
        <v>4088</v>
      </c>
      <c r="H77" s="14">
        <f>[6]entradas!$H99</f>
        <v>1484</v>
      </c>
      <c r="I77" s="14">
        <f>[7]entradas!$H99</f>
        <v>3670</v>
      </c>
      <c r="J77" s="14">
        <f>[8]entradas!$H99</f>
        <v>3577</v>
      </c>
      <c r="K77" s="14">
        <f>[9]entradas!$H99</f>
        <v>3599</v>
      </c>
      <c r="L77" s="14">
        <f>[10]entradas!$H99</f>
        <v>3479</v>
      </c>
      <c r="M77" s="14">
        <f>[11]entradas!$H99</f>
        <v>3787</v>
      </c>
      <c r="N77" s="14">
        <f>[12]entradas!$H99</f>
        <v>3790</v>
      </c>
      <c r="O77" s="14">
        <f>[13]entradas!$H99</f>
        <v>1360</v>
      </c>
      <c r="P77" s="14">
        <f>[14]entradas!$H99</f>
        <v>3500</v>
      </c>
      <c r="Q77" s="14">
        <f>[15]entradas!$H99</f>
        <v>2827</v>
      </c>
      <c r="R77" s="14">
        <f>[16]entradas!$H99</f>
        <v>3336</v>
      </c>
      <c r="S77" s="14">
        <f>[17]entradas!$H99</f>
        <v>3427</v>
      </c>
      <c r="T77" s="14">
        <f>[18]entradas!$H99</f>
        <v>3881</v>
      </c>
      <c r="U77" s="14">
        <f>[19]entradas!$H99</f>
        <v>3875</v>
      </c>
      <c r="V77" s="14">
        <f>[20]entradas!$H99</f>
        <v>1383</v>
      </c>
      <c r="W77" s="14">
        <f>[21]entradas!$H99</f>
        <v>3638</v>
      </c>
      <c r="X77" s="14">
        <f>[22]entradas!$H99</f>
        <v>3530</v>
      </c>
      <c r="Y77" s="14">
        <f>[23]entradas!$H99</f>
        <v>3549</v>
      </c>
      <c r="Z77" s="14">
        <f>[24]entradas!$H99</f>
        <v>3536</v>
      </c>
      <c r="AA77" s="14">
        <f>[25]entradas!$H99</f>
        <v>3596</v>
      </c>
      <c r="AB77" s="14">
        <f>[26]entradas!$H99</f>
        <v>3840</v>
      </c>
      <c r="AC77" s="14">
        <f>[27]entradas!$H99</f>
        <v>1388</v>
      </c>
      <c r="AD77" s="14">
        <f>[28]entradas!$H99</f>
        <v>3711</v>
      </c>
      <c r="AE77" s="14">
        <f>[29]entradas!$H99</f>
        <v>3747</v>
      </c>
      <c r="AF77" s="14">
        <f>[30]entradas!$H99</f>
        <v>3985</v>
      </c>
      <c r="AG77" s="14">
        <f>[31]entradas!$H99</f>
        <v>3942</v>
      </c>
      <c r="AH77" s="14">
        <f>[32]entradas!$H99</f>
        <v>4051</v>
      </c>
      <c r="AI77" s="14">
        <f>[33]entradas!$H99</f>
        <v>4189</v>
      </c>
      <c r="AJ77" s="14">
        <f>[34]entradas!$H99</f>
        <v>1568</v>
      </c>
    </row>
    <row r="78" spans="1:36" x14ac:dyDescent="0.2">
      <c r="A78" s="424"/>
      <c r="B78" s="81" t="s">
        <v>144</v>
      </c>
      <c r="C78" s="55">
        <f>[1]entradas!$H100</f>
        <v>0</v>
      </c>
      <c r="D78" s="55">
        <f>[2]entradas!$H100</f>
        <v>0</v>
      </c>
      <c r="E78" s="55">
        <f>[3]entradas!$H100</f>
        <v>0</v>
      </c>
      <c r="F78" s="55">
        <f>[4]entradas!$H100</f>
        <v>0</v>
      </c>
      <c r="G78" s="55">
        <f>[5]entradas!$H100</f>
        <v>0</v>
      </c>
      <c r="H78" s="55">
        <f>[6]entradas!$H100</f>
        <v>0</v>
      </c>
      <c r="I78" s="55">
        <f>[7]entradas!$H100</f>
        <v>0</v>
      </c>
      <c r="J78" s="55">
        <f>[8]entradas!$H100</f>
        <v>0</v>
      </c>
      <c r="K78" s="55">
        <f>[9]entradas!$H100</f>
        <v>0</v>
      </c>
      <c r="L78" s="55">
        <f>[10]entradas!$H100</f>
        <v>0</v>
      </c>
      <c r="M78" s="55">
        <f>[11]entradas!$H100</f>
        <v>0</v>
      </c>
      <c r="N78" s="55">
        <f>[12]entradas!$H100</f>
        <v>0</v>
      </c>
      <c r="O78" s="55">
        <f>[13]entradas!$H100</f>
        <v>0</v>
      </c>
      <c r="P78" s="55">
        <f>[14]entradas!$H100</f>
        <v>0</v>
      </c>
      <c r="Q78" s="55">
        <f>[15]entradas!$H100</f>
        <v>0</v>
      </c>
      <c r="R78" s="55">
        <f>[16]entradas!$H100</f>
        <v>0</v>
      </c>
      <c r="S78" s="55">
        <f>[17]entradas!$H100</f>
        <v>0</v>
      </c>
      <c r="T78" s="55">
        <f>[18]entradas!$H100</f>
        <v>0</v>
      </c>
      <c r="U78" s="55">
        <f>[19]entradas!$H100</f>
        <v>0</v>
      </c>
      <c r="V78" s="55">
        <f>[20]entradas!$H100</f>
        <v>0</v>
      </c>
      <c r="W78" s="55">
        <f>[21]entradas!$H100</f>
        <v>0</v>
      </c>
      <c r="X78" s="55">
        <f>[22]entradas!$H100</f>
        <v>0</v>
      </c>
      <c r="Y78" s="55">
        <f>[23]entradas!$H100</f>
        <v>0</v>
      </c>
      <c r="Z78" s="55">
        <f>[24]entradas!$H100</f>
        <v>0</v>
      </c>
      <c r="AA78" s="55">
        <f>[25]entradas!$H100</f>
        <v>0</v>
      </c>
      <c r="AB78" s="55">
        <f>[26]entradas!$H100</f>
        <v>0</v>
      </c>
      <c r="AC78" s="55">
        <f>[27]entradas!$H100</f>
        <v>0</v>
      </c>
      <c r="AD78" s="55">
        <f>[28]entradas!$H100</f>
        <v>0</v>
      </c>
      <c r="AE78" s="55">
        <f>[29]entradas!$H100</f>
        <v>0</v>
      </c>
      <c r="AF78" s="55">
        <f>[30]entradas!$H100</f>
        <v>0</v>
      </c>
      <c r="AG78" s="55">
        <f>[31]entradas!$H100</f>
        <v>0</v>
      </c>
      <c r="AH78" s="55">
        <f>[32]entradas!$H100</f>
        <v>0</v>
      </c>
      <c r="AI78" s="55">
        <f>[33]entradas!$H100</f>
        <v>0</v>
      </c>
      <c r="AJ78" s="55">
        <f>[34]entradas!$H100</f>
        <v>0</v>
      </c>
    </row>
    <row r="79" spans="1:36" x14ac:dyDescent="0.2">
      <c r="A79" s="424"/>
      <c r="B79" s="81" t="s">
        <v>145</v>
      </c>
      <c r="C79" s="55">
        <f>[1]entradas!$H101</f>
        <v>5822</v>
      </c>
      <c r="D79" s="55">
        <f>[2]entradas!$H101</f>
        <v>5466</v>
      </c>
      <c r="E79" s="55">
        <f>[3]entradas!$H101</f>
        <v>5874</v>
      </c>
      <c r="F79" s="55">
        <f>[4]entradas!$H101</f>
        <v>5761</v>
      </c>
      <c r="G79" s="55">
        <f>[5]entradas!$H101</f>
        <v>3689</v>
      </c>
      <c r="H79" s="55">
        <f>[6]entradas!$H101</f>
        <v>690</v>
      </c>
      <c r="I79" s="55">
        <f>[7]entradas!$H101</f>
        <v>5439</v>
      </c>
      <c r="J79" s="55">
        <f>[8]entradas!$H101</f>
        <v>5599</v>
      </c>
      <c r="K79" s="55">
        <f>[9]entradas!$H101</f>
        <v>5509</v>
      </c>
      <c r="L79" s="55">
        <f>[10]entradas!$H101</f>
        <v>5495</v>
      </c>
      <c r="M79" s="55">
        <f>[11]entradas!$H101</f>
        <v>5729</v>
      </c>
      <c r="N79" s="55">
        <f>[12]entradas!$H101</f>
        <v>3556</v>
      </c>
      <c r="O79" s="55">
        <f>[13]entradas!$H101</f>
        <v>713</v>
      </c>
      <c r="P79" s="55">
        <f>[14]entradas!$H101</f>
        <v>5256</v>
      </c>
      <c r="Q79" s="55">
        <f>[15]entradas!$H101</f>
        <v>4724</v>
      </c>
      <c r="R79" s="55">
        <f>[16]entradas!$H101</f>
        <v>5186</v>
      </c>
      <c r="S79" s="55">
        <f>[17]entradas!$H101</f>
        <v>5384</v>
      </c>
      <c r="T79" s="55">
        <f>[18]entradas!$H101</f>
        <v>5712</v>
      </c>
      <c r="U79" s="55">
        <f>[19]entradas!$H101</f>
        <v>3636</v>
      </c>
      <c r="V79" s="55">
        <f>[20]entradas!$H101</f>
        <v>641</v>
      </c>
      <c r="W79" s="55">
        <f>[21]entradas!$H101</f>
        <v>5436</v>
      </c>
      <c r="X79" s="55">
        <f>[22]entradas!$H101</f>
        <v>5459</v>
      </c>
      <c r="Y79" s="55">
        <f>[23]entradas!$H101</f>
        <v>5433</v>
      </c>
      <c r="Z79" s="55">
        <f>[24]entradas!$H101</f>
        <v>5405</v>
      </c>
      <c r="AA79" s="55">
        <f>[25]entradas!$H101</f>
        <v>5677</v>
      </c>
      <c r="AB79" s="55">
        <f>[26]entradas!$H101</f>
        <v>3743</v>
      </c>
      <c r="AC79" s="55">
        <f>[27]entradas!$H101</f>
        <v>648</v>
      </c>
      <c r="AD79" s="55">
        <f>[28]entradas!$H101</f>
        <v>5486</v>
      </c>
      <c r="AE79" s="55">
        <f>[29]entradas!$H101</f>
        <v>5759</v>
      </c>
      <c r="AF79" s="55">
        <f>[30]entradas!$H101</f>
        <v>5830</v>
      </c>
      <c r="AG79" s="55">
        <f>[31]entradas!$H101</f>
        <v>5685</v>
      </c>
      <c r="AH79" s="55">
        <f>[32]entradas!$H101</f>
        <v>6023</v>
      </c>
      <c r="AI79" s="55">
        <f>[33]entradas!$H101</f>
        <v>3787</v>
      </c>
      <c r="AJ79" s="55">
        <f>[34]entradas!$H101</f>
        <v>654</v>
      </c>
    </row>
    <row r="80" spans="1:36" x14ac:dyDescent="0.2">
      <c r="A80" s="424"/>
      <c r="B80" s="72" t="s">
        <v>146</v>
      </c>
      <c r="C80" s="14">
        <f>[1]entradas!$H102</f>
        <v>1899</v>
      </c>
      <c r="D80" s="14">
        <f>[2]entradas!$H102</f>
        <v>2091</v>
      </c>
      <c r="E80" s="14">
        <f>[3]entradas!$H102</f>
        <v>2036</v>
      </c>
      <c r="F80" s="14">
        <f>[4]entradas!$H102</f>
        <v>2598</v>
      </c>
      <c r="G80" s="14">
        <f>[5]entradas!$H102</f>
        <v>925</v>
      </c>
      <c r="H80" s="14">
        <f>[6]entradas!$H102</f>
        <v>154</v>
      </c>
      <c r="I80" s="14">
        <f>[7]entradas!$H102</f>
        <v>2037</v>
      </c>
      <c r="J80" s="14">
        <f>[8]entradas!$H102</f>
        <v>1948</v>
      </c>
      <c r="K80" s="14">
        <f>[9]entradas!$H102</f>
        <v>2102</v>
      </c>
      <c r="L80" s="14">
        <f>[10]entradas!$H102</f>
        <v>2080</v>
      </c>
      <c r="M80" s="14">
        <f>[11]entradas!$H102</f>
        <v>2092</v>
      </c>
      <c r="N80" s="14">
        <f>[12]entradas!$H102</f>
        <v>957</v>
      </c>
      <c r="O80" s="14">
        <f>[13]entradas!$H102</f>
        <v>143</v>
      </c>
      <c r="P80" s="14">
        <f>[14]entradas!$H102</f>
        <v>1905</v>
      </c>
      <c r="Q80" s="14">
        <f>[15]entradas!$H102</f>
        <v>1682</v>
      </c>
      <c r="R80" s="14">
        <f>[16]entradas!$H102</f>
        <v>1865</v>
      </c>
      <c r="S80" s="14">
        <f>[17]entradas!$H102</f>
        <v>1842</v>
      </c>
      <c r="T80" s="14">
        <f>[18]entradas!$H102</f>
        <v>1966</v>
      </c>
      <c r="U80" s="14">
        <f>[19]entradas!$H102</f>
        <v>954</v>
      </c>
      <c r="V80" s="14">
        <f>[20]entradas!$H102</f>
        <v>168</v>
      </c>
      <c r="W80" s="14">
        <f>[21]entradas!$H102</f>
        <v>1922</v>
      </c>
      <c r="X80" s="14">
        <f>[22]entradas!$H102</f>
        <v>2002</v>
      </c>
      <c r="Y80" s="14">
        <f>[23]entradas!$H102</f>
        <v>2038</v>
      </c>
      <c r="Z80" s="14">
        <f>[24]entradas!$H102</f>
        <v>2077</v>
      </c>
      <c r="AA80" s="14">
        <f>[25]entradas!$H102</f>
        <v>2018</v>
      </c>
      <c r="AB80" s="14">
        <f>[26]entradas!$H102</f>
        <v>988</v>
      </c>
      <c r="AC80" s="14">
        <f>[27]entradas!$H102</f>
        <v>158</v>
      </c>
      <c r="AD80" s="14">
        <f>[28]entradas!$H102</f>
        <v>1898</v>
      </c>
      <c r="AE80" s="14">
        <f>[29]entradas!$H102</f>
        <v>1952</v>
      </c>
      <c r="AF80" s="14">
        <f>[30]entradas!$H102</f>
        <v>2172</v>
      </c>
      <c r="AG80" s="14">
        <f>[31]entradas!$H102</f>
        <v>2034</v>
      </c>
      <c r="AH80" s="14">
        <f>[32]entradas!$H102</f>
        <v>2071</v>
      </c>
      <c r="AI80" s="14">
        <f>[33]entradas!$H102</f>
        <v>942</v>
      </c>
      <c r="AJ80" s="14">
        <f>[34]entradas!$H102</f>
        <v>159</v>
      </c>
    </row>
    <row r="81" spans="1:36" x14ac:dyDescent="0.2">
      <c r="A81" s="424"/>
      <c r="B81" s="72" t="s">
        <v>147</v>
      </c>
      <c r="C81" s="14">
        <f>[1]entradas!$H103</f>
        <v>3338</v>
      </c>
      <c r="D81" s="14">
        <f>[2]entradas!$H103</f>
        <v>3402</v>
      </c>
      <c r="E81" s="14">
        <f>[3]entradas!$H103</f>
        <v>3360</v>
      </c>
      <c r="F81" s="14">
        <f>[4]entradas!$H103</f>
        <v>3304</v>
      </c>
      <c r="G81" s="14">
        <f>[5]entradas!$H103</f>
        <v>1337</v>
      </c>
      <c r="H81" s="14">
        <f>[6]entradas!$H103</f>
        <v>424</v>
      </c>
      <c r="I81" s="14">
        <f>[7]entradas!$H103</f>
        <v>3524</v>
      </c>
      <c r="J81" s="14">
        <f>[8]entradas!$H103</f>
        <v>3287</v>
      </c>
      <c r="K81" s="14">
        <f>[9]entradas!$H103</f>
        <v>3427</v>
      </c>
      <c r="L81" s="14">
        <f>[10]entradas!$H103</f>
        <v>3342</v>
      </c>
      <c r="M81" s="14">
        <f>[11]entradas!$H103</f>
        <v>3210</v>
      </c>
      <c r="N81" s="14">
        <f>[12]entradas!$H103</f>
        <v>1335</v>
      </c>
      <c r="O81" s="14">
        <f>[13]entradas!$H103</f>
        <v>402</v>
      </c>
      <c r="P81" s="14">
        <f>[14]entradas!$H103</f>
        <v>3249</v>
      </c>
      <c r="Q81" s="14">
        <f>[15]entradas!$H103</f>
        <v>2605</v>
      </c>
      <c r="R81" s="14">
        <f>[16]entradas!$H103</f>
        <v>2877</v>
      </c>
      <c r="S81" s="14">
        <f>[17]entradas!$H103</f>
        <v>3076</v>
      </c>
      <c r="T81" s="14">
        <f>[18]entradas!$H103</f>
        <v>3155</v>
      </c>
      <c r="U81" s="14">
        <f>[19]entradas!$H103</f>
        <v>1273</v>
      </c>
      <c r="V81" s="14">
        <f>[20]entradas!$H103</f>
        <v>423</v>
      </c>
      <c r="W81" s="14">
        <f>[21]entradas!$H103</f>
        <v>3370</v>
      </c>
      <c r="X81" s="14">
        <f>[22]entradas!$H103</f>
        <v>3275</v>
      </c>
      <c r="Y81" s="14">
        <f>[23]entradas!$H103</f>
        <v>3257</v>
      </c>
      <c r="Z81" s="14">
        <f>[24]entradas!$H103</f>
        <v>3409</v>
      </c>
      <c r="AA81" s="14">
        <f>[25]entradas!$H103</f>
        <v>3181</v>
      </c>
      <c r="AB81" s="14">
        <f>[26]entradas!$H103</f>
        <v>1347</v>
      </c>
      <c r="AC81" s="14">
        <f>[27]entradas!$H103</f>
        <v>444</v>
      </c>
      <c r="AD81" s="14">
        <f>[28]entradas!$H103</f>
        <v>3626</v>
      </c>
      <c r="AE81" s="14">
        <f>[29]entradas!$H103</f>
        <v>3463</v>
      </c>
      <c r="AF81" s="14">
        <f>[30]entradas!$H103</f>
        <v>3538</v>
      </c>
      <c r="AG81" s="14">
        <f>[31]entradas!$H103</f>
        <v>3440</v>
      </c>
      <c r="AH81" s="14">
        <f>[32]entradas!$H103</f>
        <v>3087</v>
      </c>
      <c r="AI81" s="14">
        <f>[33]entradas!$H103</f>
        <v>1466</v>
      </c>
      <c r="AJ81" s="14">
        <f>[34]entradas!$H103</f>
        <v>411</v>
      </c>
    </row>
    <row r="82" spans="1:36" x14ac:dyDescent="0.2">
      <c r="A82" s="424"/>
      <c r="B82" s="72" t="s">
        <v>148</v>
      </c>
      <c r="C82" s="14">
        <f>[1]entradas!$H104</f>
        <v>2706</v>
      </c>
      <c r="D82" s="14">
        <f>[2]entradas!$H104</f>
        <v>2625</v>
      </c>
      <c r="E82" s="14">
        <f>[3]entradas!$H104</f>
        <v>2692</v>
      </c>
      <c r="F82" s="14">
        <f>[4]entradas!$H104</f>
        <v>1917</v>
      </c>
      <c r="G82" s="14">
        <f>[5]entradas!$H104</f>
        <v>1372</v>
      </c>
      <c r="H82" s="14">
        <f>[6]entradas!$H104</f>
        <v>311</v>
      </c>
      <c r="I82" s="14">
        <f>[7]entradas!$H104</f>
        <v>2748</v>
      </c>
      <c r="J82" s="14">
        <f>[8]entradas!$H104</f>
        <v>2665</v>
      </c>
      <c r="K82" s="14">
        <f>[9]entradas!$H104</f>
        <v>2733</v>
      </c>
      <c r="L82" s="14">
        <f>[10]entradas!$H104</f>
        <v>2706</v>
      </c>
      <c r="M82" s="14">
        <f>[11]entradas!$H104</f>
        <v>2644</v>
      </c>
      <c r="N82" s="14">
        <f>[12]entradas!$H104</f>
        <v>1436</v>
      </c>
      <c r="O82" s="14">
        <f>[13]entradas!$H104</f>
        <v>286</v>
      </c>
      <c r="P82" s="14">
        <f>[14]entradas!$H104</f>
        <v>2683</v>
      </c>
      <c r="Q82" s="14">
        <f>[15]entradas!$H104</f>
        <v>2310</v>
      </c>
      <c r="R82" s="14">
        <f>[16]entradas!$H104</f>
        <v>2333</v>
      </c>
      <c r="S82" s="14">
        <f>[17]entradas!$H104</f>
        <v>2552</v>
      </c>
      <c r="T82" s="14">
        <f>[18]entradas!$H104</f>
        <v>2468</v>
      </c>
      <c r="U82" s="14">
        <f>[19]entradas!$H104</f>
        <v>1370</v>
      </c>
      <c r="V82" s="14">
        <f>[20]entradas!$H104</f>
        <v>345</v>
      </c>
      <c r="W82" s="14">
        <f>[21]entradas!$H104</f>
        <v>2601</v>
      </c>
      <c r="X82" s="14">
        <f>[22]entradas!$H104</f>
        <v>2738</v>
      </c>
      <c r="Y82" s="14">
        <f>[23]entradas!$H104</f>
        <v>2584</v>
      </c>
      <c r="Z82" s="14">
        <f>[24]entradas!$H104</f>
        <v>2636</v>
      </c>
      <c r="AA82" s="14">
        <f>[25]entradas!$H104</f>
        <v>2615</v>
      </c>
      <c r="AB82" s="14">
        <f>[26]entradas!$H104</f>
        <v>1480</v>
      </c>
      <c r="AC82" s="14">
        <f>[27]entradas!$H104</f>
        <v>325</v>
      </c>
      <c r="AD82" s="14">
        <f>[28]entradas!$H104</f>
        <v>2644</v>
      </c>
      <c r="AE82" s="14">
        <f>[29]entradas!$H104</f>
        <v>2594</v>
      </c>
      <c r="AF82" s="14">
        <f>[30]entradas!$H104</f>
        <v>2602</v>
      </c>
      <c r="AG82" s="14">
        <f>[31]entradas!$H104</f>
        <v>2680</v>
      </c>
      <c r="AH82" s="14">
        <f>[32]entradas!$H104</f>
        <v>2649</v>
      </c>
      <c r="AI82" s="14">
        <f>[33]entradas!$H104</f>
        <v>1539</v>
      </c>
      <c r="AJ82" s="14">
        <f>[34]entradas!$H104</f>
        <v>282</v>
      </c>
    </row>
    <row r="83" spans="1:36" x14ac:dyDescent="0.2">
      <c r="A83" s="424"/>
      <c r="B83" s="72" t="s">
        <v>149</v>
      </c>
      <c r="C83" s="14">
        <f>[1]entradas!$H105</f>
        <v>5956</v>
      </c>
      <c r="D83" s="14">
        <f>[2]entradas!$H105</f>
        <v>5941</v>
      </c>
      <c r="E83" s="14">
        <f>[3]entradas!$H105</f>
        <v>5837</v>
      </c>
      <c r="F83" s="14">
        <f>[4]entradas!$H105</f>
        <v>3651</v>
      </c>
      <c r="G83" s="14">
        <f>[5]entradas!$H105</f>
        <v>4046</v>
      </c>
      <c r="H83" s="14">
        <f>[6]entradas!$H105</f>
        <v>1333</v>
      </c>
      <c r="I83" s="14">
        <f>[7]entradas!$H105</f>
        <v>6063</v>
      </c>
      <c r="J83" s="14">
        <f>[8]entradas!$H105</f>
        <v>5818</v>
      </c>
      <c r="K83" s="14">
        <f>[9]entradas!$H105</f>
        <v>5708</v>
      </c>
      <c r="L83" s="14">
        <f>[10]entradas!$H105</f>
        <v>5920</v>
      </c>
      <c r="M83" s="14">
        <f>[11]entradas!$H105</f>
        <v>5846</v>
      </c>
      <c r="N83" s="14">
        <f>[12]entradas!$H105</f>
        <v>4113</v>
      </c>
      <c r="O83" s="14">
        <f>[13]entradas!$H105</f>
        <v>1377</v>
      </c>
      <c r="P83" s="14">
        <f>[14]entradas!$H105</f>
        <v>5602</v>
      </c>
      <c r="Q83" s="14">
        <f>[15]entradas!$H105</f>
        <v>4939</v>
      </c>
      <c r="R83" s="14">
        <f>[16]entradas!$H105</f>
        <v>5274</v>
      </c>
      <c r="S83" s="14">
        <f>[17]entradas!$H105</f>
        <v>5318</v>
      </c>
      <c r="T83" s="14">
        <f>[18]entradas!$H105</f>
        <v>5721</v>
      </c>
      <c r="U83" s="14">
        <f>[19]entradas!$H105</f>
        <v>4047</v>
      </c>
      <c r="V83" s="14">
        <f>[20]entradas!$H105</f>
        <v>1301</v>
      </c>
      <c r="W83" s="14">
        <f>[21]entradas!$H105</f>
        <v>5883</v>
      </c>
      <c r="X83" s="14">
        <f>[22]entradas!$H105</f>
        <v>5788</v>
      </c>
      <c r="Y83" s="14">
        <f>[23]entradas!$H105</f>
        <v>5843</v>
      </c>
      <c r="Z83" s="14">
        <f>[24]entradas!$H105</f>
        <v>5780</v>
      </c>
      <c r="AA83" s="14">
        <f>[25]entradas!$H105</f>
        <v>6042</v>
      </c>
      <c r="AB83" s="14">
        <f>[26]entradas!$H105</f>
        <v>3969</v>
      </c>
      <c r="AC83" s="14">
        <f>[27]entradas!$H105</f>
        <v>1397</v>
      </c>
      <c r="AD83" s="14">
        <f>[28]entradas!$H105</f>
        <v>6456</v>
      </c>
      <c r="AE83" s="14">
        <f>[29]entradas!$H105</f>
        <v>6433</v>
      </c>
      <c r="AF83" s="14">
        <f>[30]entradas!$H105</f>
        <v>6408</v>
      </c>
      <c r="AG83" s="14">
        <f>[31]entradas!$H105</f>
        <v>6343</v>
      </c>
      <c r="AH83" s="14">
        <f>[32]entradas!$H105</f>
        <v>6502</v>
      </c>
      <c r="AI83" s="14">
        <f>[33]entradas!$H105</f>
        <v>4526</v>
      </c>
      <c r="AJ83" s="14">
        <f>[34]entradas!$H105</f>
        <v>1663</v>
      </c>
    </row>
    <row r="84" spans="1:36" x14ac:dyDescent="0.2">
      <c r="A84" s="424"/>
      <c r="B84" s="72" t="s">
        <v>150</v>
      </c>
      <c r="C84" s="14">
        <f>[1]entradas!$H106</f>
        <v>3170</v>
      </c>
      <c r="D84" s="14">
        <f>[2]entradas!$H106</f>
        <v>3229</v>
      </c>
      <c r="E84" s="14">
        <f>[3]entradas!$H106</f>
        <v>3169</v>
      </c>
      <c r="F84" s="14">
        <f>[4]entradas!$H106</f>
        <v>3435</v>
      </c>
      <c r="G84" s="14">
        <f>[5]entradas!$H106</f>
        <v>1528</v>
      </c>
      <c r="H84" s="14">
        <f>[6]entradas!$H106</f>
        <v>297</v>
      </c>
      <c r="I84" s="14">
        <f>[7]entradas!$H106</f>
        <v>3263</v>
      </c>
      <c r="J84" s="14">
        <f>[8]entradas!$H106</f>
        <v>3240</v>
      </c>
      <c r="K84" s="14">
        <f>[9]entradas!$H106</f>
        <v>3184</v>
      </c>
      <c r="L84" s="14">
        <f>[10]entradas!$H106</f>
        <v>3192</v>
      </c>
      <c r="M84" s="14">
        <f>[11]entradas!$H106</f>
        <v>3177</v>
      </c>
      <c r="N84" s="14">
        <f>[12]entradas!$H106</f>
        <v>1563</v>
      </c>
      <c r="O84" s="14">
        <f>[13]entradas!$H106</f>
        <v>302</v>
      </c>
      <c r="P84" s="14">
        <f>[14]entradas!$H106</f>
        <v>3157</v>
      </c>
      <c r="Q84" s="14">
        <f>[15]entradas!$H106</f>
        <v>2768</v>
      </c>
      <c r="R84" s="14">
        <f>[16]entradas!$H106</f>
        <v>2999</v>
      </c>
      <c r="S84" s="14">
        <f>[17]entradas!$H106</f>
        <v>3060</v>
      </c>
      <c r="T84" s="14">
        <f>[18]entradas!$H106</f>
        <v>3121</v>
      </c>
      <c r="U84" s="14">
        <f>[19]entradas!$H106</f>
        <v>1690</v>
      </c>
      <c r="V84" s="14">
        <f>[20]entradas!$H106</f>
        <v>359</v>
      </c>
      <c r="W84" s="14">
        <f>[21]entradas!$H106</f>
        <v>3115</v>
      </c>
      <c r="X84" s="14">
        <f>[22]entradas!$H106</f>
        <v>3129</v>
      </c>
      <c r="Y84" s="14">
        <f>[23]entradas!$H106</f>
        <v>3191</v>
      </c>
      <c r="Z84" s="14">
        <f>[24]entradas!$H106</f>
        <v>3381</v>
      </c>
      <c r="AA84" s="14">
        <f>[25]entradas!$H106</f>
        <v>3327</v>
      </c>
      <c r="AB84" s="14">
        <f>[26]entradas!$H106</f>
        <v>1616</v>
      </c>
      <c r="AC84" s="14">
        <f>[27]entradas!$H106</f>
        <v>358</v>
      </c>
      <c r="AD84" s="14">
        <f>[28]entradas!$H106</f>
        <v>3165</v>
      </c>
      <c r="AE84" s="14">
        <f>[29]entradas!$H106</f>
        <v>3268</v>
      </c>
      <c r="AF84" s="14">
        <f>[30]entradas!$H106</f>
        <v>3557</v>
      </c>
      <c r="AG84" s="14">
        <f>[31]entradas!$H106</f>
        <v>3382</v>
      </c>
      <c r="AH84" s="14">
        <f>[32]entradas!$H106</f>
        <v>3323</v>
      </c>
      <c r="AI84" s="14">
        <f>[33]entradas!$H106</f>
        <v>1652</v>
      </c>
      <c r="AJ84" s="14">
        <f>[34]entradas!$H106</f>
        <v>376</v>
      </c>
    </row>
    <row r="85" spans="1:36" x14ac:dyDescent="0.2">
      <c r="A85" s="424"/>
      <c r="B85" s="72" t="s">
        <v>151</v>
      </c>
      <c r="C85" s="14">
        <f>[1]entradas!$H107</f>
        <v>582</v>
      </c>
      <c r="D85" s="14">
        <f>[2]entradas!$H107</f>
        <v>660</v>
      </c>
      <c r="E85" s="14">
        <f>[3]entradas!$H107</f>
        <v>701</v>
      </c>
      <c r="F85" s="14">
        <f>[4]entradas!$H107</f>
        <v>1440</v>
      </c>
      <c r="G85" s="14">
        <f>[5]entradas!$H107</f>
        <v>210</v>
      </c>
      <c r="H85" s="14">
        <f>[6]entradas!$H107</f>
        <v>56</v>
      </c>
      <c r="I85" s="14">
        <f>[7]entradas!$H107</f>
        <v>640</v>
      </c>
      <c r="J85" s="14">
        <f>[8]entradas!$H107</f>
        <v>672</v>
      </c>
      <c r="K85" s="14">
        <f>[9]entradas!$H107</f>
        <v>722</v>
      </c>
      <c r="L85" s="14">
        <f>[10]entradas!$H107</f>
        <v>712</v>
      </c>
      <c r="M85" s="14">
        <f>[11]entradas!$H107</f>
        <v>683</v>
      </c>
      <c r="N85" s="14">
        <f>[12]entradas!$H107</f>
        <v>297</v>
      </c>
      <c r="O85" s="14">
        <f>[13]entradas!$H107</f>
        <v>23</v>
      </c>
      <c r="P85" s="14">
        <f>[14]entradas!$H107</f>
        <v>669</v>
      </c>
      <c r="Q85" s="14">
        <f>[15]entradas!$H107</f>
        <v>493</v>
      </c>
      <c r="R85" s="14">
        <f>[16]entradas!$H107</f>
        <v>573</v>
      </c>
      <c r="S85" s="14">
        <f>[17]entradas!$H107</f>
        <v>594</v>
      </c>
      <c r="T85" s="14">
        <f>[18]entradas!$H107</f>
        <v>599</v>
      </c>
      <c r="U85" s="14">
        <f>[19]entradas!$H107</f>
        <v>258</v>
      </c>
      <c r="V85" s="14">
        <f>[20]entradas!$H107</f>
        <v>33</v>
      </c>
      <c r="W85" s="14">
        <f>[21]entradas!$H107</f>
        <v>651</v>
      </c>
      <c r="X85" s="14">
        <f>[22]entradas!$H107</f>
        <v>675</v>
      </c>
      <c r="Y85" s="14">
        <f>[23]entradas!$H107</f>
        <v>655</v>
      </c>
      <c r="Z85" s="14">
        <f>[24]entradas!$H107</f>
        <v>753</v>
      </c>
      <c r="AA85" s="14">
        <f>[25]entradas!$H107</f>
        <v>610</v>
      </c>
      <c r="AB85" s="14">
        <f>[26]entradas!$H107</f>
        <v>258</v>
      </c>
      <c r="AC85" s="14">
        <f>[27]entradas!$H107</f>
        <v>58</v>
      </c>
      <c r="AD85" s="14">
        <f>[28]entradas!$H107</f>
        <v>620</v>
      </c>
      <c r="AE85" s="14">
        <f>[29]entradas!$H107</f>
        <v>664</v>
      </c>
      <c r="AF85" s="14">
        <f>[30]entradas!$H107</f>
        <v>737</v>
      </c>
      <c r="AG85" s="14">
        <f>[31]entradas!$H107</f>
        <v>708</v>
      </c>
      <c r="AH85" s="14">
        <f>[32]entradas!$H107</f>
        <v>721</v>
      </c>
      <c r="AI85" s="14">
        <f>[33]entradas!$H107</f>
        <v>261</v>
      </c>
      <c r="AJ85" s="14">
        <f>[34]entradas!$H107</f>
        <v>44</v>
      </c>
    </row>
    <row r="86" spans="1:36" x14ac:dyDescent="0.2">
      <c r="A86" s="424"/>
      <c r="B86" s="72" t="s">
        <v>152</v>
      </c>
      <c r="C86" s="14">
        <f>[1]entradas!$H108</f>
        <v>0</v>
      </c>
      <c r="D86" s="14">
        <f>[2]entradas!$H108</f>
        <v>0</v>
      </c>
      <c r="E86" s="14">
        <f>[3]entradas!$H108</f>
        <v>0</v>
      </c>
      <c r="F86" s="14">
        <f>[4]entradas!$H108</f>
        <v>0</v>
      </c>
      <c r="G86" s="14">
        <f>[5]entradas!$H108</f>
        <v>0</v>
      </c>
      <c r="H86" s="14">
        <f>[6]entradas!$H108</f>
        <v>0</v>
      </c>
      <c r="I86" s="14">
        <f>[7]entradas!$H108</f>
        <v>0</v>
      </c>
      <c r="J86" s="14">
        <f>[8]entradas!$H108</f>
        <v>0</v>
      </c>
      <c r="K86" s="14">
        <f>[9]entradas!$H108</f>
        <v>0</v>
      </c>
      <c r="L86" s="14">
        <f>[10]entradas!$H108</f>
        <v>0</v>
      </c>
      <c r="M86" s="14">
        <f>[11]entradas!$H108</f>
        <v>0</v>
      </c>
      <c r="N86" s="14">
        <f>[12]entradas!$H108</f>
        <v>0</v>
      </c>
      <c r="O86" s="14">
        <f>[13]entradas!$H108</f>
        <v>0</v>
      </c>
      <c r="P86" s="14">
        <f>[14]entradas!$H108</f>
        <v>0</v>
      </c>
      <c r="Q86" s="14">
        <f>[15]entradas!$H108</f>
        <v>0</v>
      </c>
      <c r="R86" s="14">
        <f>[16]entradas!$H108</f>
        <v>0</v>
      </c>
      <c r="S86" s="14">
        <f>[17]entradas!$H108</f>
        <v>0</v>
      </c>
      <c r="T86" s="14">
        <f>[18]entradas!$H108</f>
        <v>0</v>
      </c>
      <c r="U86" s="14">
        <f>[19]entradas!$H108</f>
        <v>0</v>
      </c>
      <c r="V86" s="14">
        <f>[20]entradas!$H108</f>
        <v>0</v>
      </c>
      <c r="W86" s="14">
        <f>[21]entradas!$H108</f>
        <v>0</v>
      </c>
      <c r="X86" s="14">
        <f>[22]entradas!$H108</f>
        <v>0</v>
      </c>
      <c r="Y86" s="14">
        <f>[23]entradas!$H108</f>
        <v>0</v>
      </c>
      <c r="Z86" s="14">
        <f>[24]entradas!$H108</f>
        <v>0</v>
      </c>
      <c r="AA86" s="14">
        <f>[25]entradas!$H108</f>
        <v>0</v>
      </c>
      <c r="AB86" s="14">
        <f>[26]entradas!$H108</f>
        <v>0</v>
      </c>
      <c r="AC86" s="14">
        <f>[27]entradas!$H108</f>
        <v>0</v>
      </c>
      <c r="AD86" s="14">
        <f>[28]entradas!$H108</f>
        <v>0</v>
      </c>
      <c r="AE86" s="14">
        <f>[29]entradas!$H108</f>
        <v>0</v>
      </c>
      <c r="AF86" s="14">
        <f>[30]entradas!$H108</f>
        <v>0</v>
      </c>
      <c r="AG86" s="14">
        <f>[31]entradas!$H108</f>
        <v>0</v>
      </c>
      <c r="AH86" s="14">
        <f>[32]entradas!$H108</f>
        <v>0</v>
      </c>
      <c r="AI86" s="14">
        <f>[33]entradas!$H108</f>
        <v>0</v>
      </c>
      <c r="AJ86" s="14">
        <f>[34]entradas!$H108</f>
        <v>0</v>
      </c>
    </row>
    <row r="87" spans="1:36" x14ac:dyDescent="0.2">
      <c r="A87" s="424"/>
      <c r="B87" s="72" t="s">
        <v>153</v>
      </c>
      <c r="C87" s="14">
        <f>[1]entradas!$H109</f>
        <v>3428</v>
      </c>
      <c r="D87" s="14">
        <f>[2]entradas!$H109</f>
        <v>3453</v>
      </c>
      <c r="E87" s="14">
        <f>[3]entradas!$H109</f>
        <v>3665</v>
      </c>
      <c r="F87" s="14">
        <f>[4]entradas!$H109</f>
        <v>3371</v>
      </c>
      <c r="G87" s="14">
        <f>[5]entradas!$H109</f>
        <v>1734</v>
      </c>
      <c r="H87" s="14">
        <f>[6]entradas!$H109</f>
        <v>651</v>
      </c>
      <c r="I87" s="14">
        <f>[7]entradas!$H109</f>
        <v>3442</v>
      </c>
      <c r="J87" s="14">
        <f>[8]entradas!$H109</f>
        <v>3466</v>
      </c>
      <c r="K87" s="14">
        <f>[9]entradas!$H109</f>
        <v>3447</v>
      </c>
      <c r="L87" s="14">
        <f>[10]entradas!$H109</f>
        <v>3484</v>
      </c>
      <c r="M87" s="14">
        <f>[11]entradas!$H109</f>
        <v>3334</v>
      </c>
      <c r="N87" s="14">
        <f>[12]entradas!$H109</f>
        <v>1787</v>
      </c>
      <c r="O87" s="14">
        <f>[13]entradas!$H109</f>
        <v>644</v>
      </c>
      <c r="P87" s="14">
        <f>[14]entradas!$H109</f>
        <v>3683</v>
      </c>
      <c r="Q87" s="14">
        <f>[15]entradas!$H109</f>
        <v>3184</v>
      </c>
      <c r="R87" s="14">
        <f>[16]entradas!$H109</f>
        <v>3238</v>
      </c>
      <c r="S87" s="14">
        <f>[17]entradas!$H109</f>
        <v>3378</v>
      </c>
      <c r="T87" s="14">
        <f>[18]entradas!$H109</f>
        <v>3425</v>
      </c>
      <c r="U87" s="14">
        <f>[19]entradas!$H109</f>
        <v>1660</v>
      </c>
      <c r="V87" s="14">
        <f>[20]entradas!$H109</f>
        <v>761</v>
      </c>
      <c r="W87" s="14">
        <f>[21]entradas!$H109</f>
        <v>3567</v>
      </c>
      <c r="X87" s="14">
        <f>[22]entradas!$H109</f>
        <v>3577</v>
      </c>
      <c r="Y87" s="14">
        <f>[23]entradas!$H109</f>
        <v>3489</v>
      </c>
      <c r="Z87" s="14">
        <f>[24]entradas!$H109</f>
        <v>3690</v>
      </c>
      <c r="AA87" s="14">
        <f>[25]entradas!$H109</f>
        <v>3711</v>
      </c>
      <c r="AB87" s="14">
        <f>[26]entradas!$H109</f>
        <v>1945</v>
      </c>
      <c r="AC87" s="14">
        <f>[27]entradas!$H109</f>
        <v>812</v>
      </c>
      <c r="AD87" s="14">
        <f>[28]entradas!$H109</f>
        <v>3720</v>
      </c>
      <c r="AE87" s="14">
        <f>[29]entradas!$H109</f>
        <v>3710</v>
      </c>
      <c r="AF87" s="14">
        <f>[30]entradas!$H109</f>
        <v>3822</v>
      </c>
      <c r="AG87" s="14">
        <f>[31]entradas!$H109</f>
        <v>3724</v>
      </c>
      <c r="AH87" s="14">
        <f>[32]entradas!$H109</f>
        <v>3608</v>
      </c>
      <c r="AI87" s="14">
        <f>[33]entradas!$H109</f>
        <v>1804</v>
      </c>
      <c r="AJ87" s="14">
        <f>[34]entradas!$H109</f>
        <v>661</v>
      </c>
    </row>
    <row r="88" spans="1:36" x14ac:dyDescent="0.2">
      <c r="A88" s="424"/>
      <c r="B88" s="43" t="s">
        <v>35</v>
      </c>
      <c r="C88" s="14">
        <f>[1]entradas!$H110</f>
        <v>2851</v>
      </c>
      <c r="D88" s="14">
        <f>[2]entradas!$H110</f>
        <v>2901</v>
      </c>
      <c r="E88" s="14">
        <f>[3]entradas!$H110</f>
        <v>2804</v>
      </c>
      <c r="F88" s="14">
        <f>[4]entradas!$H110</f>
        <v>2940</v>
      </c>
      <c r="G88" s="14">
        <f>[5]entradas!$H110</f>
        <v>2382</v>
      </c>
      <c r="H88" s="14">
        <f>[6]entradas!$H110</f>
        <v>1490</v>
      </c>
      <c r="I88" s="14">
        <f>[7]entradas!$H110</f>
        <v>2791</v>
      </c>
      <c r="J88" s="14">
        <f>[8]entradas!$H110</f>
        <v>2851</v>
      </c>
      <c r="K88" s="14">
        <f>[9]entradas!$H110</f>
        <v>2878</v>
      </c>
      <c r="L88" s="14">
        <f>[10]entradas!$H110</f>
        <v>2822</v>
      </c>
      <c r="M88" s="14">
        <f>[11]entradas!$H110</f>
        <v>2986</v>
      </c>
      <c r="N88" s="14">
        <f>[12]entradas!$H110</f>
        <v>2352</v>
      </c>
      <c r="O88" s="14">
        <f>[13]entradas!$H110</f>
        <v>1427</v>
      </c>
      <c r="P88" s="14">
        <f>[14]entradas!$H110</f>
        <v>2912</v>
      </c>
      <c r="Q88" s="14">
        <f>[15]entradas!$H110</f>
        <v>2788</v>
      </c>
      <c r="R88" s="14">
        <f>[16]entradas!$H110</f>
        <v>2833</v>
      </c>
      <c r="S88" s="14">
        <f>[17]entradas!$H110</f>
        <v>2866</v>
      </c>
      <c r="T88" s="14">
        <f>[18]entradas!$H110</f>
        <v>2956</v>
      </c>
      <c r="U88" s="14">
        <f>[19]entradas!$H110</f>
        <v>2531</v>
      </c>
      <c r="V88" s="14">
        <f>[20]entradas!$H110</f>
        <v>1508</v>
      </c>
      <c r="W88" s="14">
        <f>[21]entradas!$H110</f>
        <v>2953</v>
      </c>
      <c r="X88" s="14">
        <f>[22]entradas!$H110</f>
        <v>2920</v>
      </c>
      <c r="Y88" s="14">
        <f>[23]entradas!$H110</f>
        <v>2971</v>
      </c>
      <c r="Z88" s="14">
        <f>[24]entradas!$H110</f>
        <v>3088</v>
      </c>
      <c r="AA88" s="14">
        <f>[25]entradas!$H110</f>
        <v>2945</v>
      </c>
      <c r="AB88" s="14">
        <f>[26]entradas!$H110</f>
        <v>2560</v>
      </c>
      <c r="AC88" s="14">
        <f>[27]entradas!$H110</f>
        <v>1611</v>
      </c>
      <c r="AD88" s="14">
        <f>[28]entradas!$H110</f>
        <v>2880</v>
      </c>
      <c r="AE88" s="14">
        <f>[29]entradas!$H110</f>
        <v>3133</v>
      </c>
      <c r="AF88" s="14">
        <f>[30]entradas!$H110</f>
        <v>3137</v>
      </c>
      <c r="AG88" s="14">
        <f>[31]entradas!$H110</f>
        <v>3009</v>
      </c>
      <c r="AH88" s="14">
        <f>[32]entradas!$H110</f>
        <v>3006</v>
      </c>
      <c r="AI88" s="14">
        <f>[33]entradas!$H110</f>
        <v>2483</v>
      </c>
      <c r="AJ88" s="14">
        <f>[34]entradas!$H110</f>
        <v>1487</v>
      </c>
    </row>
    <row r="89" spans="1:36" x14ac:dyDescent="0.2">
      <c r="A89" s="424"/>
      <c r="B89" s="43" t="s">
        <v>496</v>
      </c>
      <c r="C89" s="14">
        <f>[1]entradas!$H111</f>
        <v>7676</v>
      </c>
      <c r="D89" s="14">
        <f>[2]entradas!$H111</f>
        <v>7531</v>
      </c>
      <c r="E89" s="14">
        <f>[3]entradas!$H111</f>
        <v>7505</v>
      </c>
      <c r="F89" s="14">
        <f>[4]entradas!$H111</f>
        <v>7417</v>
      </c>
      <c r="G89" s="14">
        <f>[5]entradas!$H111</f>
        <v>4324</v>
      </c>
      <c r="H89" s="14">
        <f>[6]entradas!$H111</f>
        <v>2123</v>
      </c>
      <c r="I89" s="14">
        <f>[7]entradas!$H111</f>
        <v>7605</v>
      </c>
      <c r="J89" s="14">
        <f>[8]entradas!$H111</f>
        <v>7723</v>
      </c>
      <c r="K89" s="14">
        <f>[9]entradas!$H111</f>
        <v>7403</v>
      </c>
      <c r="L89" s="14">
        <f>[10]entradas!$H111</f>
        <v>7467</v>
      </c>
      <c r="M89" s="14">
        <f>[11]entradas!$H111</f>
        <v>7146</v>
      </c>
      <c r="N89" s="14">
        <f>[12]entradas!$H111</f>
        <v>4290</v>
      </c>
      <c r="O89" s="14">
        <f>[13]entradas!$H111</f>
        <v>2133</v>
      </c>
      <c r="P89" s="14">
        <f>[14]entradas!$H111</f>
        <v>7647</v>
      </c>
      <c r="Q89" s="14">
        <f>[15]entradas!$H111</f>
        <v>7264</v>
      </c>
      <c r="R89" s="14">
        <f>[16]entradas!$H111</f>
        <v>7328</v>
      </c>
      <c r="S89" s="14">
        <f>[17]entradas!$H111</f>
        <v>7227</v>
      </c>
      <c r="T89" s="14">
        <f>[18]entradas!$H111</f>
        <v>7466</v>
      </c>
      <c r="U89" s="14">
        <f>[19]entradas!$H111</f>
        <v>4585</v>
      </c>
      <c r="V89" s="14">
        <f>[20]entradas!$H111</f>
        <v>2089</v>
      </c>
      <c r="W89" s="14">
        <f>[21]entradas!$H111</f>
        <v>7709</v>
      </c>
      <c r="X89" s="14">
        <f>[22]entradas!$H111</f>
        <v>7757</v>
      </c>
      <c r="Y89" s="14">
        <f>[23]entradas!$H111</f>
        <v>7848</v>
      </c>
      <c r="Z89" s="14">
        <f>[24]entradas!$H111</f>
        <v>7701</v>
      </c>
      <c r="AA89" s="14">
        <f>[25]entradas!$H111</f>
        <v>7447</v>
      </c>
      <c r="AB89" s="14">
        <f>[26]entradas!$H111</f>
        <v>4593</v>
      </c>
      <c r="AC89" s="14">
        <f>[27]entradas!$H111</f>
        <v>2285</v>
      </c>
      <c r="AD89" s="14">
        <f>[28]entradas!$H111</f>
        <v>7754</v>
      </c>
      <c r="AE89" s="14">
        <f>[29]entradas!$H111</f>
        <v>7865</v>
      </c>
      <c r="AF89" s="14">
        <f>[30]entradas!$H111</f>
        <v>7766</v>
      </c>
      <c r="AG89" s="14">
        <f>[31]entradas!$H111</f>
        <v>7901</v>
      </c>
      <c r="AH89" s="14">
        <f>[32]entradas!$H111</f>
        <v>7689</v>
      </c>
      <c r="AI89" s="14">
        <f>[33]entradas!$H111</f>
        <v>4635</v>
      </c>
      <c r="AJ89" s="14">
        <f>[34]entradas!$H111</f>
        <v>2173</v>
      </c>
    </row>
    <row r="90" spans="1:36" x14ac:dyDescent="0.2">
      <c r="A90" s="424"/>
      <c r="B90" s="43" t="s">
        <v>497</v>
      </c>
      <c r="C90" s="14">
        <f>[1]entradas!$H112</f>
        <v>3046</v>
      </c>
      <c r="D90" s="14">
        <f>[2]entradas!$H112</f>
        <v>3160</v>
      </c>
      <c r="E90" s="14">
        <f>[3]entradas!$H112</f>
        <v>3184</v>
      </c>
      <c r="F90" s="14">
        <f>[4]entradas!$H112</f>
        <v>3166</v>
      </c>
      <c r="G90" s="14">
        <f>[5]entradas!$H112</f>
        <v>2501</v>
      </c>
      <c r="H90" s="14">
        <f>[6]entradas!$H112</f>
        <v>1117</v>
      </c>
      <c r="I90" s="14">
        <f>[7]entradas!$H112</f>
        <v>3169</v>
      </c>
      <c r="J90" s="14">
        <f>[8]entradas!$H112</f>
        <v>3208</v>
      </c>
      <c r="K90" s="14">
        <f>[9]entradas!$H112</f>
        <v>3286</v>
      </c>
      <c r="L90" s="14">
        <f>[10]entradas!$H112</f>
        <v>3298</v>
      </c>
      <c r="M90" s="14">
        <f>[11]entradas!$H112</f>
        <v>3242</v>
      </c>
      <c r="N90" s="14">
        <f>[12]entradas!$H112</f>
        <v>2481</v>
      </c>
      <c r="O90" s="14">
        <f>[13]entradas!$H112</f>
        <v>1117</v>
      </c>
      <c r="P90" s="14">
        <f>[14]entradas!$H112</f>
        <v>3322</v>
      </c>
      <c r="Q90" s="14">
        <f>[15]entradas!$H112</f>
        <v>3255</v>
      </c>
      <c r="R90" s="14">
        <f>[16]entradas!$H112</f>
        <v>3271</v>
      </c>
      <c r="S90" s="14">
        <f>[17]entradas!$H112</f>
        <v>3354</v>
      </c>
      <c r="T90" s="14">
        <f>[18]entradas!$H112</f>
        <v>3538</v>
      </c>
      <c r="U90" s="14">
        <f>[19]entradas!$H112</f>
        <v>2570</v>
      </c>
      <c r="V90" s="14">
        <f>[20]entradas!$H112</f>
        <v>1097</v>
      </c>
      <c r="W90" s="14">
        <f>[21]entradas!$H112</f>
        <v>3584</v>
      </c>
      <c r="X90" s="14">
        <f>[22]entradas!$H112</f>
        <v>3643</v>
      </c>
      <c r="Y90" s="14">
        <f>[23]entradas!$H112</f>
        <v>3598</v>
      </c>
      <c r="Z90" s="14">
        <f>[24]entradas!$H112</f>
        <v>3348</v>
      </c>
      <c r="AA90" s="14">
        <f>[25]entradas!$H112</f>
        <v>3525</v>
      </c>
      <c r="AB90" s="14">
        <f>[26]entradas!$H112</f>
        <v>2739</v>
      </c>
      <c r="AC90" s="14">
        <f>[27]entradas!$H112</f>
        <v>1214</v>
      </c>
      <c r="AD90" s="14">
        <f>[28]entradas!$H112</f>
        <v>3603</v>
      </c>
      <c r="AE90" s="14">
        <f>[29]entradas!$H112</f>
        <v>3539</v>
      </c>
      <c r="AF90" s="14">
        <f>[30]entradas!$H112</f>
        <v>3724</v>
      </c>
      <c r="AG90" s="14">
        <f>[31]entradas!$H112</f>
        <v>3758</v>
      </c>
      <c r="AH90" s="14">
        <f>[32]entradas!$H112</f>
        <v>3690</v>
      </c>
      <c r="AI90" s="14">
        <f>[33]entradas!$H112</f>
        <v>2808</v>
      </c>
      <c r="AJ90" s="14">
        <f>[34]entradas!$H112</f>
        <v>1236</v>
      </c>
    </row>
    <row r="91" spans="1:36" x14ac:dyDescent="0.2">
      <c r="A91" s="424"/>
      <c r="B91" s="43" t="s">
        <v>36</v>
      </c>
      <c r="C91" s="14">
        <f>[1]entradas!$H113</f>
        <v>6982</v>
      </c>
      <c r="D91" s="14">
        <f>[2]entradas!$H113</f>
        <v>6927</v>
      </c>
      <c r="E91" s="14">
        <f>[3]entradas!$H113</f>
        <v>6993</v>
      </c>
      <c r="F91" s="14">
        <f>[4]entradas!$H113</f>
        <v>7112</v>
      </c>
      <c r="G91" s="14">
        <f>[5]entradas!$H113</f>
        <v>5124</v>
      </c>
      <c r="H91" s="14">
        <f>[6]entradas!$H113</f>
        <v>2269</v>
      </c>
      <c r="I91" s="14">
        <f>[7]entradas!$H113</f>
        <v>7020</v>
      </c>
      <c r="J91" s="14">
        <f>[8]entradas!$H113</f>
        <v>7358</v>
      </c>
      <c r="K91" s="14">
        <f>[9]entradas!$H113</f>
        <v>7189</v>
      </c>
      <c r="L91" s="14">
        <f>[10]entradas!$H113</f>
        <v>7330</v>
      </c>
      <c r="M91" s="14">
        <f>[11]entradas!$H113</f>
        <v>7394</v>
      </c>
      <c r="N91" s="14">
        <f>[12]entradas!$H113</f>
        <v>5388</v>
      </c>
      <c r="O91" s="14">
        <f>[13]entradas!$H113</f>
        <v>2297</v>
      </c>
      <c r="P91" s="14">
        <f>[14]entradas!$H113</f>
        <v>7262</v>
      </c>
      <c r="Q91" s="14">
        <f>[15]entradas!$H113</f>
        <v>7021</v>
      </c>
      <c r="R91" s="14">
        <f>[16]entradas!$H113</f>
        <v>7154</v>
      </c>
      <c r="S91" s="14">
        <f>[17]entradas!$H113</f>
        <v>7390</v>
      </c>
      <c r="T91" s="14">
        <f>[18]entradas!$H113</f>
        <v>7608</v>
      </c>
      <c r="U91" s="14">
        <f>[19]entradas!$H113</f>
        <v>5273</v>
      </c>
      <c r="V91" s="14">
        <f>[20]entradas!$H113</f>
        <v>2346</v>
      </c>
      <c r="W91" s="14">
        <f>[21]entradas!$H113</f>
        <v>7418</v>
      </c>
      <c r="X91" s="14">
        <f>[22]entradas!$H113</f>
        <v>7446</v>
      </c>
      <c r="Y91" s="14">
        <f>[23]entradas!$H113</f>
        <v>7376</v>
      </c>
      <c r="Z91" s="14">
        <f>[24]entradas!$H113</f>
        <v>7378</v>
      </c>
      <c r="AA91" s="14">
        <f>[25]entradas!$H113</f>
        <v>7297</v>
      </c>
      <c r="AB91" s="14">
        <f>[26]entradas!$H113</f>
        <v>5369</v>
      </c>
      <c r="AC91" s="14">
        <f>[27]entradas!$H113</f>
        <v>2270</v>
      </c>
      <c r="AD91" s="14">
        <f>[28]entradas!$H113</f>
        <v>7526</v>
      </c>
      <c r="AE91" s="14">
        <f>[29]entradas!$H113</f>
        <v>7684</v>
      </c>
      <c r="AF91" s="14">
        <f>[30]entradas!$H113</f>
        <v>7617</v>
      </c>
      <c r="AG91" s="14">
        <f>[31]entradas!$H113</f>
        <v>7832</v>
      </c>
      <c r="AH91" s="14">
        <f>[32]entradas!$H113</f>
        <v>7775</v>
      </c>
      <c r="AI91" s="14">
        <f>[33]entradas!$H113</f>
        <v>5581</v>
      </c>
      <c r="AJ91" s="14">
        <f>[34]entradas!$H113</f>
        <v>2322</v>
      </c>
    </row>
    <row r="92" spans="1:36" x14ac:dyDescent="0.2">
      <c r="A92" s="424"/>
      <c r="B92" s="43" t="s">
        <v>37</v>
      </c>
      <c r="C92" s="14">
        <f>[1]entradas!$H114</f>
        <v>8623</v>
      </c>
      <c r="D92" s="14">
        <f>[2]entradas!$H114</f>
        <v>8418</v>
      </c>
      <c r="E92" s="14">
        <f>[3]entradas!$H114</f>
        <v>8194</v>
      </c>
      <c r="F92" s="14">
        <f>[4]entradas!$H114</f>
        <v>8321</v>
      </c>
      <c r="G92" s="14">
        <f>[5]entradas!$H114</f>
        <v>7226</v>
      </c>
      <c r="H92" s="14">
        <f>[6]entradas!$H114</f>
        <v>2977</v>
      </c>
      <c r="I92" s="14">
        <f>[7]entradas!$H114</f>
        <v>8145</v>
      </c>
      <c r="J92" s="14">
        <f>[8]entradas!$H114</f>
        <v>8195</v>
      </c>
      <c r="K92" s="14">
        <f>[9]entradas!$H114</f>
        <v>7766</v>
      </c>
      <c r="L92" s="14">
        <f>[10]entradas!$H114</f>
        <v>7679</v>
      </c>
      <c r="M92" s="14">
        <f>[11]entradas!$H114</f>
        <v>8216</v>
      </c>
      <c r="N92" s="14">
        <f>[12]entradas!$H114</f>
        <v>7079</v>
      </c>
      <c r="O92" s="14">
        <f>[13]entradas!$H114</f>
        <v>2822</v>
      </c>
      <c r="P92" s="14">
        <f>[14]entradas!$H114</f>
        <v>8003</v>
      </c>
      <c r="Q92" s="14">
        <f>[15]entradas!$H114</f>
        <v>8153</v>
      </c>
      <c r="R92" s="14">
        <f>[16]entradas!$H114</f>
        <v>8229</v>
      </c>
      <c r="S92" s="14">
        <f>[17]entradas!$H114</f>
        <v>8050</v>
      </c>
      <c r="T92" s="14">
        <f>[18]entradas!$H114</f>
        <v>8446</v>
      </c>
      <c r="U92" s="14">
        <f>[19]entradas!$H114</f>
        <v>7364</v>
      </c>
      <c r="V92" s="14">
        <f>[20]entradas!$H114</f>
        <v>2967</v>
      </c>
      <c r="W92" s="14">
        <f>[21]entradas!$H114</f>
        <v>8338</v>
      </c>
      <c r="X92" s="14">
        <f>[22]entradas!$H114</f>
        <v>8219</v>
      </c>
      <c r="Y92" s="14">
        <f>[23]entradas!$H114</f>
        <v>8069</v>
      </c>
      <c r="Z92" s="14">
        <f>[24]entradas!$H114</f>
        <v>7805</v>
      </c>
      <c r="AA92" s="14">
        <f>[25]entradas!$H114</f>
        <v>8353</v>
      </c>
      <c r="AB92" s="14">
        <f>[26]entradas!$H114</f>
        <v>7353</v>
      </c>
      <c r="AC92" s="14">
        <f>[27]entradas!$H114</f>
        <v>3041</v>
      </c>
      <c r="AD92" s="14">
        <f>[28]entradas!$H114</f>
        <v>8622</v>
      </c>
      <c r="AE92" s="14">
        <f>[29]entradas!$H114</f>
        <v>8816</v>
      </c>
      <c r="AF92" s="14">
        <f>[30]entradas!$H114</f>
        <v>8570</v>
      </c>
      <c r="AG92" s="14">
        <f>[31]entradas!$H114</f>
        <v>8784</v>
      </c>
      <c r="AH92" s="14">
        <f>[32]entradas!$H114</f>
        <v>8921</v>
      </c>
      <c r="AI92" s="14">
        <f>[33]entradas!$H114</f>
        <v>7930</v>
      </c>
      <c r="AJ92" s="14">
        <f>[34]entradas!$H114</f>
        <v>3030</v>
      </c>
    </row>
    <row r="93" spans="1:36" x14ac:dyDescent="0.2">
      <c r="A93" s="424"/>
      <c r="B93" s="43" t="s">
        <v>135</v>
      </c>
      <c r="C93" s="14">
        <f>[1]entradas!$H115</f>
        <v>2116</v>
      </c>
      <c r="D93" s="14">
        <f>[2]entradas!$H115</f>
        <v>2421</v>
      </c>
      <c r="E93" s="14">
        <f>[3]entradas!$H115</f>
        <v>2442</v>
      </c>
      <c r="F93" s="14">
        <f>[4]entradas!$H115</f>
        <v>2522</v>
      </c>
      <c r="G93" s="14">
        <f>[5]entradas!$H115</f>
        <v>2226</v>
      </c>
      <c r="H93" s="14">
        <f>[6]entradas!$H115</f>
        <v>1149</v>
      </c>
      <c r="I93" s="14">
        <f>[7]entradas!$H115</f>
        <v>2444</v>
      </c>
      <c r="J93" s="14">
        <f>[8]entradas!$H115</f>
        <v>2486</v>
      </c>
      <c r="K93" s="14">
        <f>[9]entradas!$H115</f>
        <v>2412</v>
      </c>
      <c r="L93" s="14">
        <f>[10]entradas!$H115</f>
        <v>2449</v>
      </c>
      <c r="M93" s="14">
        <f>[11]entradas!$H115</f>
        <v>2650</v>
      </c>
      <c r="N93" s="14">
        <f>[12]entradas!$H115</f>
        <v>2144</v>
      </c>
      <c r="O93" s="14">
        <f>[13]entradas!$H115</f>
        <v>981</v>
      </c>
      <c r="P93" s="14">
        <f>[14]entradas!$H115</f>
        <v>2570</v>
      </c>
      <c r="Q93" s="14">
        <f>[15]entradas!$H115</f>
        <v>2500</v>
      </c>
      <c r="R93" s="14">
        <f>[16]entradas!$H115</f>
        <v>2453</v>
      </c>
      <c r="S93" s="14">
        <f>[17]entradas!$H115</f>
        <v>2465</v>
      </c>
      <c r="T93" s="14">
        <f>[18]entradas!$H115</f>
        <v>2659</v>
      </c>
      <c r="U93" s="14">
        <f>[19]entradas!$H115</f>
        <v>2244</v>
      </c>
      <c r="V93" s="14">
        <f>[20]entradas!$H115</f>
        <v>1070</v>
      </c>
      <c r="W93" s="14">
        <f>[21]entradas!$H115</f>
        <v>2657</v>
      </c>
      <c r="X93" s="14">
        <f>[22]entradas!$H115</f>
        <v>2578</v>
      </c>
      <c r="Y93" s="14">
        <f>[23]entradas!$H115</f>
        <v>2419</v>
      </c>
      <c r="Z93" s="14">
        <f>[24]entradas!$H115</f>
        <v>2399</v>
      </c>
      <c r="AA93" s="14">
        <f>[25]entradas!$H115</f>
        <v>2572</v>
      </c>
      <c r="AB93" s="14">
        <f>[26]entradas!$H115</f>
        <v>2344</v>
      </c>
      <c r="AC93" s="14">
        <f>[27]entradas!$H115</f>
        <v>1073</v>
      </c>
      <c r="AD93" s="14">
        <f>[28]entradas!$H115</f>
        <v>2762</v>
      </c>
      <c r="AE93" s="14">
        <f>[29]entradas!$H115</f>
        <v>2718</v>
      </c>
      <c r="AF93" s="14">
        <f>[30]entradas!$H115</f>
        <v>2656</v>
      </c>
      <c r="AG93" s="14">
        <f>[31]entradas!$H115</f>
        <v>2710</v>
      </c>
      <c r="AH93" s="14">
        <f>[32]entradas!$H115</f>
        <v>2755</v>
      </c>
      <c r="AI93" s="14">
        <f>[33]entradas!$H115</f>
        <v>2453</v>
      </c>
      <c r="AJ93" s="14">
        <f>[34]entradas!$H115</f>
        <v>1062</v>
      </c>
    </row>
    <row r="94" spans="1:36" x14ac:dyDescent="0.2">
      <c r="A94" s="424"/>
      <c r="B94" s="43" t="s">
        <v>136</v>
      </c>
      <c r="C94" s="14">
        <f>[1]entradas!$H116</f>
        <v>13526</v>
      </c>
      <c r="D94" s="14">
        <f>[2]entradas!$H116</f>
        <v>13874</v>
      </c>
      <c r="E94" s="14">
        <f>[3]entradas!$H116</f>
        <v>13381</v>
      </c>
      <c r="F94" s="14">
        <f>[4]entradas!$H116</f>
        <v>15028</v>
      </c>
      <c r="G94" s="14">
        <f>[5]entradas!$H116</f>
        <v>12399</v>
      </c>
      <c r="H94" s="14">
        <f>[6]entradas!$H116</f>
        <v>6877</v>
      </c>
      <c r="I94" s="14">
        <f>[7]entradas!$H116</f>
        <v>14748</v>
      </c>
      <c r="J94" s="14">
        <f>[8]entradas!$H116</f>
        <v>14897</v>
      </c>
      <c r="K94" s="14">
        <f>[9]entradas!$H116</f>
        <v>14842</v>
      </c>
      <c r="L94" s="14">
        <f>[10]entradas!$H116</f>
        <v>14708</v>
      </c>
      <c r="M94" s="14">
        <f>[11]entradas!$H116</f>
        <v>15300</v>
      </c>
      <c r="N94" s="14">
        <f>[12]entradas!$H116</f>
        <v>12464</v>
      </c>
      <c r="O94" s="14">
        <f>[13]entradas!$H116</f>
        <v>6589</v>
      </c>
      <c r="P94" s="14">
        <f>[14]entradas!$H116</f>
        <v>15295</v>
      </c>
      <c r="Q94" s="14">
        <f>[15]entradas!$H116</f>
        <v>15718</v>
      </c>
      <c r="R94" s="14">
        <f>[16]entradas!$H116</f>
        <v>15480</v>
      </c>
      <c r="S94" s="14">
        <f>[17]entradas!$H116</f>
        <v>15194</v>
      </c>
      <c r="T94" s="14">
        <f>[18]entradas!$H116</f>
        <v>16076</v>
      </c>
      <c r="U94" s="14">
        <f>[19]entradas!$H116</f>
        <v>13515</v>
      </c>
      <c r="V94" s="14">
        <f>[20]entradas!$H116</f>
        <v>7081</v>
      </c>
      <c r="W94" s="14">
        <f>[21]entradas!$H116</f>
        <v>15250</v>
      </c>
      <c r="X94" s="14">
        <f>[22]entradas!$H116</f>
        <v>15599</v>
      </c>
      <c r="Y94" s="14">
        <f>[23]entradas!$H116</f>
        <v>15434</v>
      </c>
      <c r="Z94" s="14">
        <f>[24]entradas!$H116</f>
        <v>15411</v>
      </c>
      <c r="AA94" s="14">
        <f>[25]entradas!$H116</f>
        <v>16083</v>
      </c>
      <c r="AB94" s="14">
        <f>[26]entradas!$H116</f>
        <v>13395</v>
      </c>
      <c r="AC94" s="14">
        <f>[27]entradas!$H116</f>
        <v>6936</v>
      </c>
      <c r="AD94" s="14">
        <f>[28]entradas!$H116</f>
        <v>15967</v>
      </c>
      <c r="AE94" s="14">
        <f>[29]entradas!$H116</f>
        <v>16454</v>
      </c>
      <c r="AF94" s="14">
        <f>[30]entradas!$H116</f>
        <v>16391</v>
      </c>
      <c r="AG94" s="14">
        <f>[31]entradas!$H116</f>
        <v>16388</v>
      </c>
      <c r="AH94" s="14">
        <f>[32]entradas!$H116</f>
        <v>17085</v>
      </c>
      <c r="AI94" s="14">
        <f>[33]entradas!$H116</f>
        <v>14370</v>
      </c>
      <c r="AJ94" s="14">
        <f>[34]entradas!$H116</f>
        <v>7150</v>
      </c>
    </row>
    <row r="95" spans="1:36" x14ac:dyDescent="0.2">
      <c r="A95" s="424"/>
      <c r="B95" s="43" t="s">
        <v>38</v>
      </c>
      <c r="C95" s="14">
        <f>[1]entradas!$H117</f>
        <v>12632</v>
      </c>
      <c r="D95" s="14">
        <f>[2]entradas!$H117</f>
        <v>12618</v>
      </c>
      <c r="E95" s="14">
        <f>[3]entradas!$H117</f>
        <v>12289</v>
      </c>
      <c r="F95" s="14">
        <f>[4]entradas!$H117</f>
        <v>12601</v>
      </c>
      <c r="G95" s="14">
        <f>[5]entradas!$H117</f>
        <v>9329</v>
      </c>
      <c r="H95" s="14">
        <f>[6]entradas!$H117</f>
        <v>4580</v>
      </c>
      <c r="I95" s="14">
        <f>[7]entradas!$H117</f>
        <v>13056</v>
      </c>
      <c r="J95" s="14">
        <f>[8]entradas!$H117</f>
        <v>12909</v>
      </c>
      <c r="K95" s="14">
        <f>[9]entradas!$H117</f>
        <v>12728</v>
      </c>
      <c r="L95" s="14">
        <f>[10]entradas!$H117</f>
        <v>12658</v>
      </c>
      <c r="M95" s="14">
        <f>[11]entradas!$H117</f>
        <v>12745</v>
      </c>
      <c r="N95" s="14">
        <f>[12]entradas!$H117</f>
        <v>9451</v>
      </c>
      <c r="O95" s="14">
        <f>[13]entradas!$H117</f>
        <v>4341</v>
      </c>
      <c r="P95" s="14">
        <f>[14]entradas!$H117</f>
        <v>13004</v>
      </c>
      <c r="Q95" s="14">
        <f>[15]entradas!$H117</f>
        <v>12867</v>
      </c>
      <c r="R95" s="14">
        <f>[16]entradas!$H117</f>
        <v>13188</v>
      </c>
      <c r="S95" s="14">
        <f>[17]entradas!$H117</f>
        <v>13089</v>
      </c>
      <c r="T95" s="14">
        <f>[18]entradas!$H117</f>
        <v>13259</v>
      </c>
      <c r="U95" s="14">
        <f>[19]entradas!$H117</f>
        <v>9737</v>
      </c>
      <c r="V95" s="14">
        <f>[20]entradas!$H117</f>
        <v>4610</v>
      </c>
      <c r="W95" s="14">
        <f>[21]entradas!$H117</f>
        <v>13239</v>
      </c>
      <c r="X95" s="14">
        <f>[22]entradas!$H117</f>
        <v>13130</v>
      </c>
      <c r="Y95" s="14">
        <f>[23]entradas!$H117</f>
        <v>13272</v>
      </c>
      <c r="Z95" s="14">
        <f>[24]entradas!$H117</f>
        <v>13251</v>
      </c>
      <c r="AA95" s="14">
        <f>[25]entradas!$H117</f>
        <v>13230</v>
      </c>
      <c r="AB95" s="14">
        <f>[26]entradas!$H117</f>
        <v>9693</v>
      </c>
      <c r="AC95" s="14">
        <f>[27]entradas!$H117</f>
        <v>4377</v>
      </c>
      <c r="AD95" s="14">
        <f>[28]entradas!$H117</f>
        <v>13237</v>
      </c>
      <c r="AE95" s="14">
        <f>[29]entradas!$H117</f>
        <v>13411</v>
      </c>
      <c r="AF95" s="14">
        <f>[30]entradas!$H117</f>
        <v>13562</v>
      </c>
      <c r="AG95" s="14">
        <f>[31]entradas!$H117</f>
        <v>13551</v>
      </c>
      <c r="AH95" s="14">
        <f>[32]entradas!$H117</f>
        <v>13454</v>
      </c>
      <c r="AI95" s="14">
        <f>[33]entradas!$H117</f>
        <v>9979</v>
      </c>
      <c r="AJ95" s="14">
        <f>[34]entradas!$H117</f>
        <v>4711</v>
      </c>
    </row>
    <row r="96" spans="1:36" x14ac:dyDescent="0.2">
      <c r="A96" s="424"/>
      <c r="B96" s="43" t="s">
        <v>39</v>
      </c>
      <c r="C96" s="14">
        <f>[1]entradas!$H118</f>
        <v>5222</v>
      </c>
      <c r="D96" s="14">
        <f>[2]entradas!$H118</f>
        <v>5099</v>
      </c>
      <c r="E96" s="14">
        <f>[3]entradas!$H118</f>
        <v>5227</v>
      </c>
      <c r="F96" s="14">
        <f>[4]entradas!$H118</f>
        <v>5234</v>
      </c>
      <c r="G96" s="14">
        <f>[5]entradas!$H118</f>
        <v>4389</v>
      </c>
      <c r="H96" s="14">
        <f>[6]entradas!$H118</f>
        <v>2477</v>
      </c>
      <c r="I96" s="14">
        <f>[7]entradas!$H118</f>
        <v>5093</v>
      </c>
      <c r="J96" s="14">
        <f>[8]entradas!$H118</f>
        <v>5311</v>
      </c>
      <c r="K96" s="14">
        <f>[9]entradas!$H118</f>
        <v>5091</v>
      </c>
      <c r="L96" s="14">
        <f>[10]entradas!$H118</f>
        <v>5219</v>
      </c>
      <c r="M96" s="14">
        <f>[11]entradas!$H118</f>
        <v>5394</v>
      </c>
      <c r="N96" s="14">
        <f>[12]entradas!$H118</f>
        <v>4358</v>
      </c>
      <c r="O96" s="14">
        <f>[13]entradas!$H118</f>
        <v>2408</v>
      </c>
      <c r="P96" s="14">
        <f>[14]entradas!$H118</f>
        <v>5287</v>
      </c>
      <c r="Q96" s="14">
        <f>[15]entradas!$H118</f>
        <v>5281</v>
      </c>
      <c r="R96" s="14">
        <f>[16]entradas!$H118</f>
        <v>5336</v>
      </c>
      <c r="S96" s="14">
        <f>[17]entradas!$H118</f>
        <v>5380</v>
      </c>
      <c r="T96" s="14">
        <f>[18]entradas!$H118</f>
        <v>5779</v>
      </c>
      <c r="U96" s="14">
        <f>[19]entradas!$H118</f>
        <v>4556</v>
      </c>
      <c r="V96" s="14">
        <f>[20]entradas!$H118</f>
        <v>2581</v>
      </c>
      <c r="W96" s="14">
        <f>[21]entradas!$H118</f>
        <v>5447</v>
      </c>
      <c r="X96" s="14">
        <f>[22]entradas!$H118</f>
        <v>5508</v>
      </c>
      <c r="Y96" s="14">
        <f>[23]entradas!$H118</f>
        <v>5373</v>
      </c>
      <c r="Z96" s="14">
        <f>[24]entradas!$H118</f>
        <v>5319</v>
      </c>
      <c r="AA96" s="14">
        <f>[25]entradas!$H118</f>
        <v>5519</v>
      </c>
      <c r="AB96" s="14">
        <f>[26]entradas!$H118</f>
        <v>4595</v>
      </c>
      <c r="AC96" s="14">
        <f>[27]entradas!$H118</f>
        <v>2447</v>
      </c>
      <c r="AD96" s="14">
        <f>[28]entradas!$H118</f>
        <v>5421</v>
      </c>
      <c r="AE96" s="14">
        <f>[29]entradas!$H118</f>
        <v>5512</v>
      </c>
      <c r="AF96" s="14">
        <f>[30]entradas!$H118</f>
        <v>5534</v>
      </c>
      <c r="AG96" s="14">
        <f>[31]entradas!$H118</f>
        <v>5469</v>
      </c>
      <c r="AH96" s="14">
        <f>[32]entradas!$H118</f>
        <v>5530</v>
      </c>
      <c r="AI96" s="14">
        <f>[33]entradas!$H118</f>
        <v>4675</v>
      </c>
      <c r="AJ96" s="14">
        <f>[34]entradas!$H118</f>
        <v>2427</v>
      </c>
    </row>
    <row r="97" spans="1:36" x14ac:dyDescent="0.2">
      <c r="A97" s="424"/>
      <c r="B97" s="39" t="s">
        <v>124</v>
      </c>
      <c r="C97" s="14">
        <f>[1]entradas!$H119</f>
        <v>4146</v>
      </c>
      <c r="D97" s="14">
        <f>[2]entradas!$H119</f>
        <v>4005</v>
      </c>
      <c r="E97" s="14">
        <f>[3]entradas!$H119</f>
        <v>4038</v>
      </c>
      <c r="F97" s="14">
        <f>[4]entradas!$H119</f>
        <v>4099</v>
      </c>
      <c r="G97" s="14">
        <f>[5]entradas!$H119</f>
        <v>2889</v>
      </c>
      <c r="H97" s="14">
        <f>[6]entradas!$H119</f>
        <v>1209</v>
      </c>
      <c r="I97" s="14">
        <f>[7]entradas!$H119</f>
        <v>4150</v>
      </c>
      <c r="J97" s="14">
        <f>[8]entradas!$H119</f>
        <v>4266</v>
      </c>
      <c r="K97" s="14">
        <f>[9]entradas!$H119</f>
        <v>4170</v>
      </c>
      <c r="L97" s="14">
        <f>[10]entradas!$H119</f>
        <v>4322</v>
      </c>
      <c r="M97" s="14">
        <f>[11]entradas!$H119</f>
        <v>4033</v>
      </c>
      <c r="N97" s="14">
        <f>[12]entradas!$H119</f>
        <v>2994</v>
      </c>
      <c r="O97" s="14">
        <f>[13]entradas!$H119</f>
        <v>1124</v>
      </c>
      <c r="P97" s="14">
        <f>[14]entradas!$H119</f>
        <v>4250</v>
      </c>
      <c r="Q97" s="14">
        <f>[15]entradas!$H119</f>
        <v>4210</v>
      </c>
      <c r="R97" s="14">
        <f>[16]entradas!$H119</f>
        <v>4246</v>
      </c>
      <c r="S97" s="14">
        <f>[17]entradas!$H119</f>
        <v>4199</v>
      </c>
      <c r="T97" s="14">
        <f>[18]entradas!$H119</f>
        <v>4283</v>
      </c>
      <c r="U97" s="14">
        <f>[19]entradas!$H119</f>
        <v>3076</v>
      </c>
      <c r="V97" s="14">
        <f>[20]entradas!$H119</f>
        <v>1191</v>
      </c>
      <c r="W97" s="14">
        <f>[21]entradas!$H119</f>
        <v>4326</v>
      </c>
      <c r="X97" s="14">
        <f>[22]entradas!$H119</f>
        <v>4383</v>
      </c>
      <c r="Y97" s="14">
        <f>[23]entradas!$H119</f>
        <v>4360</v>
      </c>
      <c r="Z97" s="14">
        <f>[24]entradas!$H119</f>
        <v>4375</v>
      </c>
      <c r="AA97" s="14">
        <f>[25]entradas!$H119</f>
        <v>4225</v>
      </c>
      <c r="AB97" s="14">
        <f>[26]entradas!$H119</f>
        <v>3162</v>
      </c>
      <c r="AC97" s="14">
        <f>[27]entradas!$H119</f>
        <v>1156</v>
      </c>
      <c r="AD97" s="14">
        <f>[28]entradas!$H119</f>
        <v>4461</v>
      </c>
      <c r="AE97" s="14">
        <f>[29]entradas!$H119</f>
        <v>4538</v>
      </c>
      <c r="AF97" s="14">
        <f>[30]entradas!$H119</f>
        <v>4333</v>
      </c>
      <c r="AG97" s="14">
        <f>[31]entradas!$H119</f>
        <v>4470</v>
      </c>
      <c r="AH97" s="14">
        <f>[32]entradas!$H119</f>
        <v>4473</v>
      </c>
      <c r="AI97" s="14">
        <f>[33]entradas!$H119</f>
        <v>3142</v>
      </c>
      <c r="AJ97" s="14">
        <f>[34]entradas!$H119</f>
        <v>1111</v>
      </c>
    </row>
    <row r="98" spans="1:36" x14ac:dyDescent="0.2">
      <c r="A98" s="424"/>
      <c r="B98" s="39" t="s">
        <v>125</v>
      </c>
      <c r="C98" s="14">
        <f>[1]entradas!$H120</f>
        <v>9652</v>
      </c>
      <c r="D98" s="14">
        <f>[2]entradas!$H120</f>
        <v>9505</v>
      </c>
      <c r="E98" s="14">
        <f>[3]entradas!$H120</f>
        <v>9501</v>
      </c>
      <c r="F98" s="14">
        <f>[4]entradas!$H120</f>
        <v>9588</v>
      </c>
      <c r="G98" s="14">
        <f>[5]entradas!$H120</f>
        <v>7163</v>
      </c>
      <c r="H98" s="14">
        <f>[6]entradas!$H120</f>
        <v>3320</v>
      </c>
      <c r="I98" s="14">
        <f>[7]entradas!$H120</f>
        <v>9696</v>
      </c>
      <c r="J98" s="14">
        <f>[8]entradas!$H120</f>
        <v>9756</v>
      </c>
      <c r="K98" s="14">
        <f>[9]entradas!$H120</f>
        <v>9544</v>
      </c>
      <c r="L98" s="14">
        <f>[10]entradas!$H120</f>
        <v>9704</v>
      </c>
      <c r="M98" s="14">
        <f>[11]entradas!$H120</f>
        <v>9670</v>
      </c>
      <c r="N98" s="14">
        <f>[12]entradas!$H120</f>
        <v>6962</v>
      </c>
      <c r="O98" s="14">
        <f>[13]entradas!$H120</f>
        <v>3328</v>
      </c>
      <c r="P98" s="14">
        <f>[14]entradas!$H120</f>
        <v>9756</v>
      </c>
      <c r="Q98" s="14">
        <f>[15]entradas!$H120</f>
        <v>9767</v>
      </c>
      <c r="R98" s="14">
        <f>[16]entradas!$H120</f>
        <v>9732</v>
      </c>
      <c r="S98" s="14">
        <f>[17]entradas!$H120</f>
        <v>9658</v>
      </c>
      <c r="T98" s="14">
        <f>[18]entradas!$H120</f>
        <v>9964</v>
      </c>
      <c r="U98" s="14">
        <f>[19]entradas!$H120</f>
        <v>7137</v>
      </c>
      <c r="V98" s="14">
        <f>[20]entradas!$H120</f>
        <v>3479</v>
      </c>
      <c r="W98" s="14">
        <f>[21]entradas!$H120</f>
        <v>9764</v>
      </c>
      <c r="X98" s="14">
        <f>[22]entradas!$H120</f>
        <v>9916</v>
      </c>
      <c r="Y98" s="14">
        <f>[23]entradas!$H120</f>
        <v>9707</v>
      </c>
      <c r="Z98" s="14">
        <f>[24]entradas!$H120</f>
        <v>9560</v>
      </c>
      <c r="AA98" s="14">
        <f>[25]entradas!$H120</f>
        <v>9951</v>
      </c>
      <c r="AB98" s="14">
        <f>[26]entradas!$H120</f>
        <v>6778</v>
      </c>
      <c r="AC98" s="14">
        <f>[27]entradas!$H120</f>
        <v>3400</v>
      </c>
      <c r="AD98" s="14">
        <f>[28]entradas!$H120</f>
        <v>9991</v>
      </c>
      <c r="AE98" s="14">
        <f>[29]entradas!$H120</f>
        <v>10172</v>
      </c>
      <c r="AF98" s="14">
        <f>[30]entradas!$H120</f>
        <v>9947</v>
      </c>
      <c r="AG98" s="14">
        <f>[31]entradas!$H120</f>
        <v>10103</v>
      </c>
      <c r="AH98" s="14">
        <f>[32]entradas!$H120</f>
        <v>10126</v>
      </c>
      <c r="AI98" s="14">
        <f>[33]entradas!$H120</f>
        <v>7417</v>
      </c>
      <c r="AJ98" s="14">
        <f>[34]entradas!$H120</f>
        <v>3467</v>
      </c>
    </row>
    <row r="99" spans="1:36" x14ac:dyDescent="0.2">
      <c r="A99" s="424"/>
      <c r="B99" s="65" t="s">
        <v>104</v>
      </c>
      <c r="C99" s="55">
        <f>[1]entradas!$H121</f>
        <v>7618</v>
      </c>
      <c r="D99" s="55">
        <f>[2]entradas!$H121</f>
        <v>7380</v>
      </c>
      <c r="E99" s="55">
        <f>[3]entradas!$H121</f>
        <v>7425</v>
      </c>
      <c r="F99" s="55">
        <f>[4]entradas!$H121</f>
        <v>7581</v>
      </c>
      <c r="G99" s="55">
        <f>[5]entradas!$H121</f>
        <v>5556</v>
      </c>
      <c r="H99" s="55">
        <f>[6]entradas!$H121</f>
        <v>2581</v>
      </c>
      <c r="I99" s="55">
        <f>[7]entradas!$H121</f>
        <v>7545</v>
      </c>
      <c r="J99" s="55">
        <f>[8]entradas!$H121</f>
        <v>7731</v>
      </c>
      <c r="K99" s="55">
        <f>[9]entradas!$H121</f>
        <v>7553</v>
      </c>
      <c r="L99" s="55">
        <f>[10]entradas!$H121</f>
        <v>7609</v>
      </c>
      <c r="M99" s="55">
        <f>[11]entradas!$H121</f>
        <v>7541</v>
      </c>
      <c r="N99" s="55">
        <f>[12]entradas!$H121</f>
        <v>5393</v>
      </c>
      <c r="O99" s="55">
        <f>[13]entradas!$H121</f>
        <v>2544</v>
      </c>
      <c r="P99" s="55">
        <f>[14]entradas!$H121</f>
        <v>7542</v>
      </c>
      <c r="Q99" s="55">
        <f>[15]entradas!$H121</f>
        <v>7712</v>
      </c>
      <c r="R99" s="55">
        <f>[16]entradas!$H121</f>
        <v>7676</v>
      </c>
      <c r="S99" s="55">
        <f>[17]entradas!$H121</f>
        <v>7682</v>
      </c>
      <c r="T99" s="55">
        <f>[18]entradas!$H121</f>
        <v>7917</v>
      </c>
      <c r="U99" s="55">
        <f>[19]entradas!$H121</f>
        <v>5545</v>
      </c>
      <c r="V99" s="55">
        <f>[20]entradas!$H121</f>
        <v>2604</v>
      </c>
      <c r="W99" s="55">
        <f>[21]entradas!$H121</f>
        <v>7629</v>
      </c>
      <c r="X99" s="55">
        <f>[22]entradas!$H121</f>
        <v>7773</v>
      </c>
      <c r="Y99" s="55">
        <f>[23]entradas!$H121</f>
        <v>7676</v>
      </c>
      <c r="Z99" s="55">
        <f>[24]entradas!$H121</f>
        <v>7527</v>
      </c>
      <c r="AA99" s="55">
        <f>[25]entradas!$H121</f>
        <v>7694</v>
      </c>
      <c r="AB99" s="55">
        <f>[26]entradas!$H121</f>
        <v>4844</v>
      </c>
      <c r="AC99" s="55">
        <f>[27]entradas!$H121</f>
        <v>2601</v>
      </c>
      <c r="AD99" s="55">
        <f>[28]entradas!$H121</f>
        <v>7730</v>
      </c>
      <c r="AE99" s="55">
        <f>[29]entradas!$H121</f>
        <v>7832</v>
      </c>
      <c r="AF99" s="55">
        <f>[30]entradas!$H121</f>
        <v>7900</v>
      </c>
      <c r="AG99" s="55">
        <f>[31]entradas!$H121</f>
        <v>8019</v>
      </c>
      <c r="AH99" s="55">
        <f>[32]entradas!$H121</f>
        <v>7747</v>
      </c>
      <c r="AI99" s="55">
        <f>[33]entradas!$H121</f>
        <v>5799</v>
      </c>
      <c r="AJ99" s="55">
        <f>[34]entradas!$H121</f>
        <v>2609</v>
      </c>
    </row>
    <row r="100" spans="1:36" x14ac:dyDescent="0.2">
      <c r="A100" s="424"/>
      <c r="B100" s="39" t="s">
        <v>295</v>
      </c>
      <c r="C100" s="14">
        <f>[1]entradas!$H122</f>
        <v>4729</v>
      </c>
      <c r="D100" s="14">
        <f>[2]entradas!$H122</f>
        <v>4724</v>
      </c>
      <c r="E100" s="14">
        <f>[3]entradas!$H122</f>
        <v>4783</v>
      </c>
      <c r="F100" s="14">
        <f>[4]entradas!$H122</f>
        <v>4720</v>
      </c>
      <c r="G100" s="14">
        <f>[5]entradas!$H122</f>
        <v>4159</v>
      </c>
      <c r="H100" s="14">
        <f>[6]entradas!$H122</f>
        <v>2167</v>
      </c>
      <c r="I100" s="14">
        <f>[7]entradas!$H122</f>
        <v>4867</v>
      </c>
      <c r="J100" s="14">
        <f>[8]entradas!$H122</f>
        <v>4818</v>
      </c>
      <c r="K100" s="14">
        <f>[9]entradas!$H122</f>
        <v>4835</v>
      </c>
      <c r="L100" s="14">
        <f>[10]entradas!$H122</f>
        <v>4809</v>
      </c>
      <c r="M100" s="14">
        <f>[11]entradas!$H122</f>
        <v>4820</v>
      </c>
      <c r="N100" s="14">
        <f>[12]entradas!$H122</f>
        <v>4110</v>
      </c>
      <c r="O100" s="14">
        <f>[13]entradas!$H122</f>
        <v>2111</v>
      </c>
      <c r="P100" s="14">
        <f>[14]entradas!$H122</f>
        <v>4759</v>
      </c>
      <c r="Q100" s="14">
        <f>[15]entradas!$H122</f>
        <v>4800</v>
      </c>
      <c r="R100" s="14">
        <f>[16]entradas!$H122</f>
        <v>4855</v>
      </c>
      <c r="S100" s="14">
        <f>[17]entradas!$H122</f>
        <v>4816</v>
      </c>
      <c r="T100" s="14">
        <f>[18]entradas!$H122</f>
        <v>4901</v>
      </c>
      <c r="U100" s="14">
        <f>[19]entradas!$H122</f>
        <v>4182</v>
      </c>
      <c r="V100" s="14">
        <f>[20]entradas!$H122</f>
        <v>2122</v>
      </c>
      <c r="W100" s="14">
        <f>[21]entradas!$H122</f>
        <v>4946</v>
      </c>
      <c r="X100" s="14">
        <f>[22]entradas!$H122</f>
        <v>4821</v>
      </c>
      <c r="Y100" s="14">
        <f>[23]entradas!$H122</f>
        <v>4714</v>
      </c>
      <c r="Z100" s="14">
        <f>[24]entradas!$H122</f>
        <v>4665</v>
      </c>
      <c r="AA100" s="14">
        <f>[25]entradas!$H122</f>
        <v>4885</v>
      </c>
      <c r="AB100" s="14">
        <f>[26]entradas!$H122</f>
        <v>4125</v>
      </c>
      <c r="AC100" s="14">
        <f>[27]entradas!$H122</f>
        <v>2106</v>
      </c>
      <c r="AD100" s="14">
        <f>[28]entradas!$H122</f>
        <v>4863</v>
      </c>
      <c r="AE100" s="14">
        <f>[29]entradas!$H122</f>
        <v>5024</v>
      </c>
      <c r="AF100" s="14">
        <f>[30]entradas!$H122</f>
        <v>4944</v>
      </c>
      <c r="AG100" s="14">
        <f>[31]entradas!$H122</f>
        <v>4921</v>
      </c>
      <c r="AH100" s="14">
        <f>[32]entradas!$H122</f>
        <v>5100</v>
      </c>
      <c r="AI100" s="14">
        <f>[33]entradas!$H122</f>
        <v>4172</v>
      </c>
      <c r="AJ100" s="14">
        <f>[34]entradas!$H122</f>
        <v>2128</v>
      </c>
    </row>
    <row r="101" spans="1:36" x14ac:dyDescent="0.2">
      <c r="A101" s="424"/>
      <c r="B101" s="39" t="s">
        <v>296</v>
      </c>
      <c r="C101" s="14">
        <f>[1]entradas!$H123</f>
        <v>4731</v>
      </c>
      <c r="D101" s="14">
        <f>[2]entradas!$H123</f>
        <v>4786</v>
      </c>
      <c r="E101" s="14">
        <f>[3]entradas!$H123</f>
        <v>4731</v>
      </c>
      <c r="F101" s="14">
        <f>[4]entradas!$H123</f>
        <v>4771</v>
      </c>
      <c r="G101" s="14">
        <f>[5]entradas!$H123</f>
        <v>4089</v>
      </c>
      <c r="H101" s="14">
        <f>[6]entradas!$H123</f>
        <v>2261</v>
      </c>
      <c r="I101" s="14">
        <f>[7]entradas!$H123</f>
        <v>4845</v>
      </c>
      <c r="J101" s="14">
        <f>[8]entradas!$H123</f>
        <v>4769</v>
      </c>
      <c r="K101" s="14">
        <f>[9]entradas!$H123</f>
        <v>4705</v>
      </c>
      <c r="L101" s="14">
        <f>[10]entradas!$H123</f>
        <v>4708</v>
      </c>
      <c r="M101" s="14">
        <f>[11]entradas!$H123</f>
        <v>4901</v>
      </c>
      <c r="N101" s="14">
        <f>[12]entradas!$H123</f>
        <v>3979</v>
      </c>
      <c r="O101" s="14">
        <f>[13]entradas!$H123</f>
        <v>2158</v>
      </c>
      <c r="P101" s="14">
        <f>[14]entradas!$H123</f>
        <v>5011</v>
      </c>
      <c r="Q101" s="14">
        <f>[15]entradas!$H123</f>
        <v>4958</v>
      </c>
      <c r="R101" s="14">
        <f>[16]entradas!$H123</f>
        <v>4952</v>
      </c>
      <c r="S101" s="14">
        <f>[17]entradas!$H123</f>
        <v>4921</v>
      </c>
      <c r="T101" s="14">
        <f>[18]entradas!$H123</f>
        <v>5002</v>
      </c>
      <c r="U101" s="14">
        <f>[19]entradas!$H123</f>
        <v>4207</v>
      </c>
      <c r="V101" s="14">
        <f>[20]entradas!$H123</f>
        <v>2322</v>
      </c>
      <c r="W101" s="14">
        <f>[21]entradas!$H123</f>
        <v>4926</v>
      </c>
      <c r="X101" s="14">
        <f>[22]entradas!$H123</f>
        <v>4891</v>
      </c>
      <c r="Y101" s="14">
        <f>[23]entradas!$H123</f>
        <v>4790</v>
      </c>
      <c r="Z101" s="14">
        <f>[24]entradas!$H123</f>
        <v>4815</v>
      </c>
      <c r="AA101" s="14">
        <f>[25]entradas!$H123</f>
        <v>4835</v>
      </c>
      <c r="AB101" s="14">
        <f>[26]entradas!$H123</f>
        <v>4093</v>
      </c>
      <c r="AC101" s="14">
        <f>[27]entradas!$H123</f>
        <v>2286</v>
      </c>
      <c r="AD101" s="14">
        <f>[28]entradas!$H123</f>
        <v>4945</v>
      </c>
      <c r="AE101" s="14">
        <f>[29]entradas!$H123</f>
        <v>4952</v>
      </c>
      <c r="AF101" s="14">
        <f>[30]entradas!$H123</f>
        <v>4986</v>
      </c>
      <c r="AG101" s="14">
        <f>[31]entradas!$H123</f>
        <v>5086</v>
      </c>
      <c r="AH101" s="14">
        <f>[32]entradas!$H123</f>
        <v>5013</v>
      </c>
      <c r="AI101" s="14">
        <f>[33]entradas!$H123</f>
        <v>4237</v>
      </c>
      <c r="AJ101" s="14">
        <f>[34]entradas!$H123</f>
        <v>2285</v>
      </c>
    </row>
    <row r="102" spans="1:36" x14ac:dyDescent="0.2">
      <c r="A102" s="424"/>
      <c r="B102" s="39" t="s">
        <v>41</v>
      </c>
      <c r="C102" s="14">
        <f>[1]entradas!$H124</f>
        <v>3130</v>
      </c>
      <c r="D102" s="14">
        <f>[2]entradas!$H124</f>
        <v>3046</v>
      </c>
      <c r="E102" s="14">
        <f>[3]entradas!$H124</f>
        <v>3064</v>
      </c>
      <c r="F102" s="14">
        <f>[4]entradas!$H124</f>
        <v>3051</v>
      </c>
      <c r="G102" s="14">
        <f>[5]entradas!$H124</f>
        <v>2537</v>
      </c>
      <c r="H102" s="14">
        <f>[6]entradas!$H124</f>
        <v>1188</v>
      </c>
      <c r="I102" s="14">
        <f>[7]entradas!$H124</f>
        <v>3045</v>
      </c>
      <c r="J102" s="14">
        <f>[8]entradas!$H124</f>
        <v>3167</v>
      </c>
      <c r="K102" s="14">
        <f>[9]entradas!$H124</f>
        <v>3099</v>
      </c>
      <c r="L102" s="14">
        <f>[10]entradas!$H124</f>
        <v>2978</v>
      </c>
      <c r="M102" s="14">
        <f>[11]entradas!$H124</f>
        <v>3018</v>
      </c>
      <c r="N102" s="14">
        <f>[12]entradas!$H124</f>
        <v>2436</v>
      </c>
      <c r="O102" s="14">
        <f>[13]entradas!$H124</f>
        <v>1229</v>
      </c>
      <c r="P102" s="14">
        <f>[14]entradas!$H124</f>
        <v>3121</v>
      </c>
      <c r="Q102" s="14">
        <f>[15]entradas!$H124</f>
        <v>3215</v>
      </c>
      <c r="R102" s="14">
        <f>[16]entradas!$H124</f>
        <v>3051</v>
      </c>
      <c r="S102" s="14">
        <f>[17]entradas!$H124</f>
        <v>3099</v>
      </c>
      <c r="T102" s="14">
        <f>[18]entradas!$H124</f>
        <v>3253</v>
      </c>
      <c r="U102" s="14">
        <f>[19]entradas!$H124</f>
        <v>2578</v>
      </c>
      <c r="V102" s="14">
        <f>[20]entradas!$H124</f>
        <v>1250</v>
      </c>
      <c r="W102" s="14">
        <f>[21]entradas!$H124</f>
        <v>3101</v>
      </c>
      <c r="X102" s="14">
        <f>[22]entradas!$H124</f>
        <v>3143</v>
      </c>
      <c r="Y102" s="14">
        <f>[23]entradas!$H124</f>
        <v>3050</v>
      </c>
      <c r="Z102" s="14">
        <f>[24]entradas!$H124</f>
        <v>3039</v>
      </c>
      <c r="AA102" s="14">
        <f>[25]entradas!$H124</f>
        <v>2983</v>
      </c>
      <c r="AB102" s="14">
        <f>[26]entradas!$H124</f>
        <v>2484</v>
      </c>
      <c r="AC102" s="14">
        <f>[27]entradas!$H124</f>
        <v>1274</v>
      </c>
      <c r="AD102" s="14">
        <f>[28]entradas!$H124</f>
        <v>3169</v>
      </c>
      <c r="AE102" s="14">
        <f>[29]entradas!$H124</f>
        <v>3223</v>
      </c>
      <c r="AF102" s="14">
        <f>[30]entradas!$H124</f>
        <v>3135</v>
      </c>
      <c r="AG102" s="14">
        <f>[31]entradas!$H124</f>
        <v>3180</v>
      </c>
      <c r="AH102" s="14">
        <f>[32]entradas!$H124</f>
        <v>3194</v>
      </c>
      <c r="AI102" s="14">
        <f>[33]entradas!$H124</f>
        <v>2498</v>
      </c>
      <c r="AJ102" s="14">
        <f>[34]entradas!$H124</f>
        <v>1226</v>
      </c>
    </row>
    <row r="103" spans="1:36" x14ac:dyDescent="0.2">
      <c r="A103" s="424"/>
      <c r="B103" s="39" t="s">
        <v>42</v>
      </c>
      <c r="C103" s="14">
        <f>[1]entradas!$H125</f>
        <v>1791</v>
      </c>
      <c r="D103" s="14">
        <f>[2]entradas!$H125</f>
        <v>1760</v>
      </c>
      <c r="E103" s="14">
        <f>[3]entradas!$H125</f>
        <v>1781</v>
      </c>
      <c r="F103" s="14">
        <f>[4]entradas!$H125</f>
        <v>1716</v>
      </c>
      <c r="G103" s="14">
        <f>[5]entradas!$H125</f>
        <v>1365</v>
      </c>
      <c r="H103" s="14">
        <f>[6]entradas!$H125</f>
        <v>628</v>
      </c>
      <c r="I103" s="14">
        <f>[7]entradas!$H125</f>
        <v>1707</v>
      </c>
      <c r="J103" s="14">
        <f>[8]entradas!$H125</f>
        <v>1782</v>
      </c>
      <c r="K103" s="14">
        <f>[9]entradas!$H125</f>
        <v>1768</v>
      </c>
      <c r="L103" s="14">
        <f>[10]entradas!$H125</f>
        <v>1687</v>
      </c>
      <c r="M103" s="14">
        <f>[11]entradas!$H125</f>
        <v>1734</v>
      </c>
      <c r="N103" s="14">
        <f>[12]entradas!$H125</f>
        <v>1270</v>
      </c>
      <c r="O103" s="14">
        <f>[13]entradas!$H125</f>
        <v>643</v>
      </c>
      <c r="P103" s="14">
        <f>[14]entradas!$H125</f>
        <v>1781</v>
      </c>
      <c r="Q103" s="14">
        <f>[15]entradas!$H125</f>
        <v>1859</v>
      </c>
      <c r="R103" s="14">
        <f>[16]entradas!$H125</f>
        <v>1781</v>
      </c>
      <c r="S103" s="14">
        <f>[17]entradas!$H125</f>
        <v>1758</v>
      </c>
      <c r="T103" s="14">
        <f>[18]entradas!$H125</f>
        <v>1768</v>
      </c>
      <c r="U103" s="14">
        <f>[19]entradas!$H125</f>
        <v>1347</v>
      </c>
      <c r="V103" s="14">
        <f>[20]entradas!$H125</f>
        <v>614</v>
      </c>
      <c r="W103" s="14">
        <f>[21]entradas!$H125</f>
        <v>1813</v>
      </c>
      <c r="X103" s="14">
        <f>[22]entradas!$H125</f>
        <v>1744</v>
      </c>
      <c r="Y103" s="14">
        <f>[23]entradas!$H125</f>
        <v>1763</v>
      </c>
      <c r="Z103" s="14">
        <f>[24]entradas!$H125</f>
        <v>1785</v>
      </c>
      <c r="AA103" s="14">
        <f>[25]entradas!$H125</f>
        <v>1708</v>
      </c>
      <c r="AB103" s="14">
        <f>[26]entradas!$H125</f>
        <v>1370</v>
      </c>
      <c r="AC103" s="14">
        <f>[27]entradas!$H125</f>
        <v>593</v>
      </c>
      <c r="AD103" s="14">
        <f>[28]entradas!$H125</f>
        <v>1858</v>
      </c>
      <c r="AE103" s="14">
        <f>[29]entradas!$H125</f>
        <v>1852</v>
      </c>
      <c r="AF103" s="14">
        <f>[30]entradas!$H125</f>
        <v>1854</v>
      </c>
      <c r="AG103" s="14">
        <f>[31]entradas!$H125</f>
        <v>1827</v>
      </c>
      <c r="AH103" s="14">
        <f>[32]entradas!$H125</f>
        <v>1780</v>
      </c>
      <c r="AI103" s="14">
        <f>[33]entradas!$H125</f>
        <v>1343</v>
      </c>
      <c r="AJ103" s="14">
        <f>[34]entradas!$H125</f>
        <v>597</v>
      </c>
    </row>
    <row r="104" spans="1:36" x14ac:dyDescent="0.2">
      <c r="A104" s="424"/>
      <c r="B104" s="39" t="s">
        <v>107</v>
      </c>
      <c r="C104" s="14">
        <f>[1]entradas!$H126</f>
        <v>5702</v>
      </c>
      <c r="D104" s="14">
        <f>[2]entradas!$H126</f>
        <v>5635</v>
      </c>
      <c r="E104" s="14">
        <f>[3]entradas!$H126</f>
        <v>5587</v>
      </c>
      <c r="F104" s="14">
        <f>[4]entradas!$H126</f>
        <v>5620</v>
      </c>
      <c r="G104" s="14">
        <f>[5]entradas!$H126</f>
        <v>4537</v>
      </c>
      <c r="H104" s="14">
        <f>[6]entradas!$H126</f>
        <v>1962</v>
      </c>
      <c r="I104" s="14">
        <f>[7]entradas!$H126</f>
        <v>5598</v>
      </c>
      <c r="J104" s="14">
        <f>[8]entradas!$H126</f>
        <v>5705</v>
      </c>
      <c r="K104" s="14">
        <f>[9]entradas!$H126</f>
        <v>5810</v>
      </c>
      <c r="L104" s="14">
        <f>[10]entradas!$H126</f>
        <v>5754</v>
      </c>
      <c r="M104" s="14">
        <f>[11]entradas!$H126</f>
        <v>5731</v>
      </c>
      <c r="N104" s="14">
        <f>[12]entradas!$H126</f>
        <v>4506</v>
      </c>
      <c r="O104" s="14">
        <f>[13]entradas!$H126</f>
        <v>1937</v>
      </c>
      <c r="P104" s="14">
        <f>[14]entradas!$H126</f>
        <v>5655</v>
      </c>
      <c r="Q104" s="14">
        <f>[15]entradas!$H126</f>
        <v>5733</v>
      </c>
      <c r="R104" s="14">
        <f>[16]entradas!$H126</f>
        <v>5795</v>
      </c>
      <c r="S104" s="14">
        <f>[17]entradas!$H126</f>
        <v>5829</v>
      </c>
      <c r="T104" s="14">
        <f>[18]entradas!$H126</f>
        <v>5880</v>
      </c>
      <c r="U104" s="14">
        <f>[19]entradas!$H126</f>
        <v>4586</v>
      </c>
      <c r="V104" s="14">
        <f>[20]entradas!$H126</f>
        <v>1982</v>
      </c>
      <c r="W104" s="14">
        <f>[21]entradas!$H126</f>
        <v>5803</v>
      </c>
      <c r="X104" s="14">
        <f>[22]entradas!$H126</f>
        <v>5734</v>
      </c>
      <c r="Y104" s="14">
        <f>[23]entradas!$H126</f>
        <v>5751</v>
      </c>
      <c r="Z104" s="14">
        <f>[24]entradas!$H126</f>
        <v>5716</v>
      </c>
      <c r="AA104" s="14">
        <f>[25]entradas!$H126</f>
        <v>5796</v>
      </c>
      <c r="AB104" s="14">
        <f>[26]entradas!$H126</f>
        <v>4687</v>
      </c>
      <c r="AC104" s="14">
        <f>[27]entradas!$H126</f>
        <v>2015</v>
      </c>
      <c r="AD104" s="14">
        <f>[28]entradas!$H126</f>
        <v>5844</v>
      </c>
      <c r="AE104" s="14">
        <f>[29]entradas!$H126</f>
        <v>6120</v>
      </c>
      <c r="AF104" s="14">
        <f>[30]entradas!$H126</f>
        <v>6094</v>
      </c>
      <c r="AG104" s="14">
        <f>[31]entradas!$H126</f>
        <v>6102</v>
      </c>
      <c r="AH104" s="14">
        <f>[32]entradas!$H126</f>
        <v>6182</v>
      </c>
      <c r="AI104" s="14">
        <f>[33]entradas!$H126</f>
        <v>4865</v>
      </c>
      <c r="AJ104" s="14">
        <f>[34]entradas!$H126</f>
        <v>1952</v>
      </c>
    </row>
    <row r="105" spans="1:36" x14ac:dyDescent="0.2">
      <c r="A105" s="424"/>
      <c r="B105" s="39" t="s">
        <v>108</v>
      </c>
      <c r="C105" s="14">
        <f>[1]entradas!$H127</f>
        <v>11723</v>
      </c>
      <c r="D105" s="14">
        <f>[2]entradas!$H127</f>
        <v>11751</v>
      </c>
      <c r="E105" s="14">
        <f>[3]entradas!$H127</f>
        <v>11435</v>
      </c>
      <c r="F105" s="14">
        <f>[4]entradas!$H127</f>
        <v>12298</v>
      </c>
      <c r="G105" s="14">
        <f>[5]entradas!$H127</f>
        <v>9940</v>
      </c>
      <c r="H105" s="14">
        <f>[6]entradas!$H127</f>
        <v>5535</v>
      </c>
      <c r="I105" s="14">
        <f>[7]entradas!$H127</f>
        <v>12359</v>
      </c>
      <c r="J105" s="14">
        <f>[8]entradas!$H127</f>
        <v>12302</v>
      </c>
      <c r="K105" s="14">
        <f>[9]entradas!$H127</f>
        <v>12541</v>
      </c>
      <c r="L105" s="14">
        <f>[10]entradas!$H127</f>
        <v>12303</v>
      </c>
      <c r="M105" s="14">
        <f>[11]entradas!$H127</f>
        <v>12616</v>
      </c>
      <c r="N105" s="14">
        <f>[12]entradas!$H127</f>
        <v>9979</v>
      </c>
      <c r="O105" s="14">
        <f>[13]entradas!$H127</f>
        <v>5321</v>
      </c>
      <c r="P105" s="14">
        <f>[14]entradas!$H127</f>
        <v>12364</v>
      </c>
      <c r="Q105" s="14">
        <f>[15]entradas!$H127</f>
        <v>11962</v>
      </c>
      <c r="R105" s="14">
        <f>[16]entradas!$H127</f>
        <v>12290</v>
      </c>
      <c r="S105" s="14">
        <f>[17]entradas!$H127</f>
        <v>12213</v>
      </c>
      <c r="T105" s="14">
        <f>[18]entradas!$H127</f>
        <v>12706</v>
      </c>
      <c r="U105" s="14">
        <f>[19]entradas!$H127</f>
        <v>10036</v>
      </c>
      <c r="V105" s="14">
        <f>[20]entradas!$H127</f>
        <v>5492</v>
      </c>
      <c r="W105" s="14">
        <f>[21]entradas!$H127</f>
        <v>12327</v>
      </c>
      <c r="X105" s="14">
        <f>[22]entradas!$H127</f>
        <v>12594</v>
      </c>
      <c r="Y105" s="14">
        <f>[23]entradas!$H127</f>
        <v>12389</v>
      </c>
      <c r="Z105" s="14">
        <f>[24]entradas!$H127</f>
        <v>12355</v>
      </c>
      <c r="AA105" s="14">
        <f>[25]entradas!$H127</f>
        <v>12621</v>
      </c>
      <c r="AB105" s="14">
        <f>[26]entradas!$H127</f>
        <v>10315</v>
      </c>
      <c r="AC105" s="14">
        <f>[27]entradas!$H127</f>
        <v>5538</v>
      </c>
      <c r="AD105" s="14">
        <f>[28]entradas!$H127</f>
        <v>12417</v>
      </c>
      <c r="AE105" s="14">
        <f>[29]entradas!$H127</f>
        <v>12781</v>
      </c>
      <c r="AF105" s="14">
        <f>[30]entradas!$H127</f>
        <v>12783</v>
      </c>
      <c r="AG105" s="14">
        <f>[31]entradas!$H127</f>
        <v>13054</v>
      </c>
      <c r="AH105" s="14">
        <f>[32]entradas!$H127</f>
        <v>13082</v>
      </c>
      <c r="AI105" s="14">
        <f>[33]entradas!$H127</f>
        <v>10280</v>
      </c>
      <c r="AJ105" s="14">
        <f>[34]entradas!$H127</f>
        <v>5550</v>
      </c>
    </row>
    <row r="106" spans="1:36" x14ac:dyDescent="0.2">
      <c r="A106" s="424"/>
      <c r="B106" s="65" t="s">
        <v>109</v>
      </c>
      <c r="C106" s="55">
        <f>[1]entradas!$H128</f>
        <v>7770</v>
      </c>
      <c r="D106" s="55">
        <f>[2]entradas!$H128</f>
        <v>7703</v>
      </c>
      <c r="E106" s="55">
        <f>[3]entradas!$H128</f>
        <v>7407</v>
      </c>
      <c r="F106" s="55">
        <f>[4]entradas!$H128</f>
        <v>7994</v>
      </c>
      <c r="G106" s="55">
        <f>[5]entradas!$H128</f>
        <v>6723</v>
      </c>
      <c r="H106" s="55">
        <f>[6]entradas!$H128</f>
        <v>3455</v>
      </c>
      <c r="I106" s="55">
        <f>[7]entradas!$H128</f>
        <v>8136</v>
      </c>
      <c r="J106" s="55">
        <f>[8]entradas!$H128</f>
        <v>8281</v>
      </c>
      <c r="K106" s="55">
        <f>[9]entradas!$H128</f>
        <v>8327</v>
      </c>
      <c r="L106" s="55">
        <f>[10]entradas!$H128</f>
        <v>8288</v>
      </c>
      <c r="M106" s="55">
        <f>[11]entradas!$H128</f>
        <v>8298</v>
      </c>
      <c r="N106" s="55">
        <f>[12]entradas!$H128</f>
        <v>6522</v>
      </c>
      <c r="O106" s="55">
        <f>[13]entradas!$H128</f>
        <v>3184</v>
      </c>
      <c r="P106" s="55">
        <f>[14]entradas!$H128</f>
        <v>8107</v>
      </c>
      <c r="Q106" s="55">
        <f>[15]entradas!$H128</f>
        <v>8040</v>
      </c>
      <c r="R106" s="55">
        <f>[16]entradas!$H128</f>
        <v>8186</v>
      </c>
      <c r="S106" s="55">
        <f>[17]entradas!$H128</f>
        <v>8054</v>
      </c>
      <c r="T106" s="55">
        <f>[18]entradas!$H128</f>
        <v>8427</v>
      </c>
      <c r="U106" s="55">
        <f>[19]entradas!$H128</f>
        <v>6611</v>
      </c>
      <c r="V106" s="55">
        <f>[20]entradas!$H128</f>
        <v>3280</v>
      </c>
      <c r="W106" s="55">
        <f>[21]entradas!$H128</f>
        <v>8034</v>
      </c>
      <c r="X106" s="55">
        <f>[22]entradas!$H128</f>
        <v>8405</v>
      </c>
      <c r="Y106" s="55">
        <f>[23]entradas!$H128</f>
        <v>8234</v>
      </c>
      <c r="Z106" s="55">
        <f>[24]entradas!$H128</f>
        <v>8187</v>
      </c>
      <c r="AA106" s="55">
        <f>[25]entradas!$H128</f>
        <v>8271</v>
      </c>
      <c r="AB106" s="55">
        <f>[26]entradas!$H128</f>
        <v>6699</v>
      </c>
      <c r="AC106" s="55">
        <f>[27]entradas!$H128</f>
        <v>3234</v>
      </c>
      <c r="AD106" s="55">
        <f>[28]entradas!$H128</f>
        <v>8011</v>
      </c>
      <c r="AE106" s="55">
        <f>[29]entradas!$H128</f>
        <v>8144</v>
      </c>
      <c r="AF106" s="55">
        <f>[30]entradas!$H128</f>
        <v>8098</v>
      </c>
      <c r="AG106" s="55">
        <f>[31]entradas!$H128</f>
        <v>8389</v>
      </c>
      <c r="AH106" s="55">
        <f>[32]entradas!$H128</f>
        <v>8545</v>
      </c>
      <c r="AI106" s="55">
        <f>[33]entradas!$H128</f>
        <v>6592</v>
      </c>
      <c r="AJ106" s="55">
        <f>[34]entradas!$H128</f>
        <v>3307</v>
      </c>
    </row>
    <row r="107" spans="1:36" x14ac:dyDescent="0.2">
      <c r="A107" s="424"/>
      <c r="B107" s="65" t="s">
        <v>53</v>
      </c>
      <c r="C107" s="55">
        <f>[1]entradas!$H129</f>
        <v>43723</v>
      </c>
      <c r="D107" s="55">
        <f>[2]entradas!$H129</f>
        <v>43833</v>
      </c>
      <c r="E107" s="55">
        <f>[3]entradas!$H129</f>
        <v>43236</v>
      </c>
      <c r="F107" s="55">
        <f>[4]entradas!$H129</f>
        <v>44876</v>
      </c>
      <c r="G107" s="55">
        <f>[5]entradas!$H129</f>
        <v>34576</v>
      </c>
      <c r="H107" s="55">
        <f>[6]entradas!$H129</f>
        <v>15475</v>
      </c>
      <c r="I107" s="55">
        <f>[7]entradas!$H129</f>
        <v>45190</v>
      </c>
      <c r="J107" s="55">
        <f>[8]entradas!$H129</f>
        <v>45076</v>
      </c>
      <c r="K107" s="55">
        <f>[9]entradas!$H129</f>
        <v>44740</v>
      </c>
      <c r="L107" s="55">
        <f>[10]entradas!$H129</f>
        <v>44721</v>
      </c>
      <c r="M107" s="55">
        <f>[11]entradas!$H129</f>
        <v>45364</v>
      </c>
      <c r="N107" s="55">
        <f>[12]entradas!$H129</f>
        <v>34886</v>
      </c>
      <c r="O107" s="55">
        <f>[13]entradas!$H129</f>
        <v>15291</v>
      </c>
      <c r="P107" s="55">
        <f>[14]entradas!$H129</f>
        <v>45940</v>
      </c>
      <c r="Q107" s="55">
        <f>[15]entradas!$H129</f>
        <v>46022</v>
      </c>
      <c r="R107" s="55">
        <f>[16]entradas!$H129</f>
        <v>46029</v>
      </c>
      <c r="S107" s="55">
        <f>[17]entradas!$H129</f>
        <v>46450</v>
      </c>
      <c r="T107" s="55">
        <f>[18]entradas!$H129</f>
        <v>47110</v>
      </c>
      <c r="U107" s="55">
        <f>[19]entradas!$H129</f>
        <v>35578</v>
      </c>
      <c r="V107" s="55">
        <f>[20]entradas!$H129</f>
        <v>15588</v>
      </c>
      <c r="W107" s="55">
        <f>[21]entradas!$H129</f>
        <v>46433</v>
      </c>
      <c r="X107" s="55">
        <f>[22]entradas!$H129</f>
        <v>46740</v>
      </c>
      <c r="Y107" s="55">
        <f>[23]entradas!$H129</f>
        <v>45925</v>
      </c>
      <c r="Z107" s="55">
        <f>[24]entradas!$H129</f>
        <v>45930</v>
      </c>
      <c r="AA107" s="55">
        <f>[25]entradas!$H129</f>
        <v>46873</v>
      </c>
      <c r="AB107" s="55">
        <f>[26]entradas!$H129</f>
        <v>35607</v>
      </c>
      <c r="AC107" s="55">
        <f>[27]entradas!$H129</f>
        <v>14909</v>
      </c>
      <c r="AD107" s="55">
        <f>[28]entradas!$H129</f>
        <v>47026</v>
      </c>
      <c r="AE107" s="55">
        <f>[29]entradas!$H129</f>
        <v>47856</v>
      </c>
      <c r="AF107" s="55">
        <f>[30]entradas!$H129</f>
        <v>48233</v>
      </c>
      <c r="AG107" s="55">
        <f>[31]entradas!$H129</f>
        <v>47698</v>
      </c>
      <c r="AH107" s="55">
        <f>[32]entradas!$H129</f>
        <v>48956</v>
      </c>
      <c r="AI107" s="55">
        <f>[33]entradas!$H129</f>
        <v>36888</v>
      </c>
      <c r="AJ107" s="55">
        <f>[34]entradas!$H129</f>
        <v>15631</v>
      </c>
    </row>
    <row r="108" spans="1:36" s="12" customFormat="1" x14ac:dyDescent="0.2">
      <c r="A108" s="424"/>
      <c r="B108" s="42" t="s">
        <v>114</v>
      </c>
      <c r="C108" s="14">
        <f>[1]entradas!$H138</f>
        <v>218</v>
      </c>
      <c r="D108" s="14">
        <f>[2]entradas!$H138</f>
        <v>264</v>
      </c>
      <c r="E108" s="14">
        <f>[3]entradas!$H138</f>
        <v>270</v>
      </c>
      <c r="F108" s="14">
        <f>[4]entradas!$H138</f>
        <v>267</v>
      </c>
      <c r="G108" s="14">
        <f>[5]entradas!$H138</f>
        <v>159</v>
      </c>
      <c r="H108" s="14">
        <f>[6]entradas!$H138</f>
        <v>137</v>
      </c>
      <c r="I108" s="14">
        <f>[7]entradas!$H138</f>
        <v>274</v>
      </c>
      <c r="J108" s="14">
        <f>[8]entradas!$H138</f>
        <v>262</v>
      </c>
      <c r="K108" s="14">
        <f>[9]entradas!$H138</f>
        <v>244</v>
      </c>
      <c r="L108" s="14">
        <f>[10]entradas!$H138</f>
        <v>230</v>
      </c>
      <c r="M108" s="14">
        <f>[11]entradas!$H138</f>
        <v>249</v>
      </c>
      <c r="N108" s="14">
        <f>[12]entradas!$H138</f>
        <v>171</v>
      </c>
      <c r="O108" s="14">
        <f>[13]entradas!$H138</f>
        <v>125</v>
      </c>
      <c r="P108" s="14">
        <f>[14]entradas!$H138</f>
        <v>213</v>
      </c>
      <c r="Q108" s="14">
        <f>[15]entradas!$H138</f>
        <v>267</v>
      </c>
      <c r="R108" s="14">
        <f>[16]entradas!$H138</f>
        <v>249</v>
      </c>
      <c r="S108" s="14">
        <f>[17]entradas!$H138</f>
        <v>252</v>
      </c>
      <c r="T108" s="14">
        <f>[18]entradas!$H138</f>
        <v>272</v>
      </c>
      <c r="U108" s="14">
        <f>[19]entradas!$H138</f>
        <v>183</v>
      </c>
      <c r="V108" s="14">
        <f>[20]entradas!$H138</f>
        <v>141</v>
      </c>
      <c r="W108" s="14">
        <f>[21]entradas!$H138</f>
        <v>244</v>
      </c>
      <c r="X108" s="14">
        <f>[22]entradas!$H138</f>
        <v>235</v>
      </c>
      <c r="Y108" s="14">
        <f>[23]entradas!$H138</f>
        <v>252</v>
      </c>
      <c r="Z108" s="14">
        <f>[24]entradas!$H138</f>
        <v>229</v>
      </c>
      <c r="AA108" s="14">
        <f>[25]entradas!$H138</f>
        <v>237</v>
      </c>
      <c r="AB108" s="14">
        <f>[26]entradas!$H138</f>
        <v>151</v>
      </c>
      <c r="AC108" s="14">
        <f>[27]entradas!$H138</f>
        <v>124</v>
      </c>
      <c r="AD108" s="14">
        <f>[28]entradas!$H138</f>
        <v>255</v>
      </c>
      <c r="AE108" s="14">
        <f>[29]entradas!$H138</f>
        <v>227</v>
      </c>
      <c r="AF108" s="14">
        <f>[30]entradas!$H138</f>
        <v>250</v>
      </c>
      <c r="AG108" s="14">
        <f>[31]entradas!$H138</f>
        <v>261</v>
      </c>
      <c r="AH108" s="14">
        <f>[32]entradas!$H138</f>
        <v>250</v>
      </c>
      <c r="AI108" s="14">
        <f>[33]entradas!$H138</f>
        <v>201</v>
      </c>
      <c r="AJ108" s="14">
        <f>[34]entradas!$H138</f>
        <v>107</v>
      </c>
    </row>
    <row r="109" spans="1:36" s="12" customFormat="1" x14ac:dyDescent="0.2">
      <c r="A109" s="424"/>
      <c r="B109" s="39" t="s">
        <v>115</v>
      </c>
      <c r="C109" s="14">
        <f>[1]entradas!$H139</f>
        <v>1944</v>
      </c>
      <c r="D109" s="14">
        <f>[2]entradas!$H139</f>
        <v>1966</v>
      </c>
      <c r="E109" s="14">
        <f>[3]entradas!$H139</f>
        <v>1951</v>
      </c>
      <c r="F109" s="14">
        <f>[4]entradas!$H139</f>
        <v>2062</v>
      </c>
      <c r="G109" s="14">
        <f>[5]entradas!$H139</f>
        <v>1479</v>
      </c>
      <c r="H109" s="14">
        <f>[6]entradas!$H139</f>
        <v>698</v>
      </c>
      <c r="I109" s="14">
        <f>[7]entradas!$H139</f>
        <v>1994</v>
      </c>
      <c r="J109" s="14">
        <f>[8]entradas!$H139</f>
        <v>1983</v>
      </c>
      <c r="K109" s="14">
        <f>[9]entradas!$H139</f>
        <v>2059</v>
      </c>
      <c r="L109" s="14">
        <f>[10]entradas!$H139</f>
        <v>1970</v>
      </c>
      <c r="M109" s="14">
        <f>[11]entradas!$H139</f>
        <v>2029</v>
      </c>
      <c r="N109" s="14">
        <f>[12]entradas!$H139</f>
        <v>1406</v>
      </c>
      <c r="O109" s="14">
        <f>[13]entradas!$H139</f>
        <v>654</v>
      </c>
      <c r="P109" s="14">
        <f>[14]entradas!$H139</f>
        <v>2172</v>
      </c>
      <c r="Q109" s="14">
        <f>[15]entradas!$H139</f>
        <v>1942</v>
      </c>
      <c r="R109" s="14">
        <f>[16]entradas!$H139</f>
        <v>2006</v>
      </c>
      <c r="S109" s="14">
        <f>[17]entradas!$H139</f>
        <v>1944</v>
      </c>
      <c r="T109" s="14">
        <f>[18]entradas!$H139</f>
        <v>2001</v>
      </c>
      <c r="U109" s="14">
        <f>[19]entradas!$H139</f>
        <v>1479</v>
      </c>
      <c r="V109" s="14">
        <f>[20]entradas!$H139</f>
        <v>726</v>
      </c>
      <c r="W109" s="14">
        <f>[21]entradas!$H139</f>
        <v>2046</v>
      </c>
      <c r="X109" s="14">
        <f>[22]entradas!$H139</f>
        <v>2131</v>
      </c>
      <c r="Y109" s="14">
        <f>[23]entradas!$H139</f>
        <v>2044</v>
      </c>
      <c r="Z109" s="14">
        <f>[24]entradas!$H139</f>
        <v>2020</v>
      </c>
      <c r="AA109" s="14">
        <f>[25]entradas!$H139</f>
        <v>2034</v>
      </c>
      <c r="AB109" s="14">
        <f>[26]entradas!$H139</f>
        <v>1416</v>
      </c>
      <c r="AC109" s="14">
        <f>[27]entradas!$H139</f>
        <v>685</v>
      </c>
      <c r="AD109" s="14">
        <f>[28]entradas!$H139</f>
        <v>2154</v>
      </c>
      <c r="AE109" s="14">
        <f>[29]entradas!$H139</f>
        <v>2071</v>
      </c>
      <c r="AF109" s="14">
        <f>[30]entradas!$H139</f>
        <v>2173</v>
      </c>
      <c r="AG109" s="14">
        <f>[31]entradas!$H139</f>
        <v>2125</v>
      </c>
      <c r="AH109" s="14">
        <f>[32]entradas!$H139</f>
        <v>2121</v>
      </c>
      <c r="AI109" s="14">
        <f>[33]entradas!$H139</f>
        <v>1502</v>
      </c>
      <c r="AJ109" s="14">
        <f>[34]entradas!$H139</f>
        <v>666</v>
      </c>
    </row>
    <row r="110" spans="1:36" s="12" customFormat="1" x14ac:dyDescent="0.2">
      <c r="A110" s="424"/>
      <c r="B110" s="39" t="s">
        <v>116</v>
      </c>
      <c r="C110" s="14">
        <f>[1]entradas!$H140</f>
        <v>236</v>
      </c>
      <c r="D110" s="14">
        <f>[2]entradas!$H140</f>
        <v>204</v>
      </c>
      <c r="E110" s="14">
        <f>[3]entradas!$H140</f>
        <v>229</v>
      </c>
      <c r="F110" s="14">
        <f>[4]entradas!$H140</f>
        <v>240</v>
      </c>
      <c r="G110" s="14">
        <f>[5]entradas!$H140</f>
        <v>140</v>
      </c>
      <c r="H110" s="14">
        <f>[6]entradas!$H140</f>
        <v>82</v>
      </c>
      <c r="I110" s="14">
        <f>[7]entradas!$H140</f>
        <v>216</v>
      </c>
      <c r="J110" s="14">
        <f>[8]entradas!$H140</f>
        <v>246</v>
      </c>
      <c r="K110" s="14">
        <f>[9]entradas!$H140</f>
        <v>234</v>
      </c>
      <c r="L110" s="14">
        <f>[10]entradas!$H140</f>
        <v>226</v>
      </c>
      <c r="M110" s="14">
        <f>[11]entradas!$H140</f>
        <v>257</v>
      </c>
      <c r="N110" s="14">
        <f>[12]entradas!$H140</f>
        <v>139</v>
      </c>
      <c r="O110" s="14">
        <f>[13]entradas!$H140</f>
        <v>75</v>
      </c>
      <c r="P110" s="14">
        <f>[14]entradas!$H140</f>
        <v>248</v>
      </c>
      <c r="Q110" s="14">
        <f>[15]entradas!$H140</f>
        <v>255</v>
      </c>
      <c r="R110" s="14">
        <f>[16]entradas!$H140</f>
        <v>275</v>
      </c>
      <c r="S110" s="14">
        <f>[17]entradas!$H140</f>
        <v>248</v>
      </c>
      <c r="T110" s="14">
        <f>[18]entradas!$H140</f>
        <v>269</v>
      </c>
      <c r="U110" s="14">
        <f>[19]entradas!$H140</f>
        <v>139</v>
      </c>
      <c r="V110" s="14">
        <f>[20]entradas!$H140</f>
        <v>81</v>
      </c>
      <c r="W110" s="14">
        <f>[21]entradas!$H140</f>
        <v>231</v>
      </c>
      <c r="X110" s="14">
        <f>[22]entradas!$H140</f>
        <v>294</v>
      </c>
      <c r="Y110" s="14">
        <f>[23]entradas!$H140</f>
        <v>250</v>
      </c>
      <c r="Z110" s="14">
        <f>[24]entradas!$H140</f>
        <v>242</v>
      </c>
      <c r="AA110" s="14">
        <f>[25]entradas!$H140</f>
        <v>263</v>
      </c>
      <c r="AB110" s="14">
        <f>[26]entradas!$H140</f>
        <v>146</v>
      </c>
      <c r="AC110" s="14">
        <f>[27]entradas!$H140</f>
        <v>87</v>
      </c>
      <c r="AD110" s="14">
        <f>[28]entradas!$H140</f>
        <v>263</v>
      </c>
      <c r="AE110" s="14">
        <f>[29]entradas!$H140</f>
        <v>249</v>
      </c>
      <c r="AF110" s="14">
        <f>[30]entradas!$H140</f>
        <v>248</v>
      </c>
      <c r="AG110" s="14">
        <f>[31]entradas!$H140</f>
        <v>260</v>
      </c>
      <c r="AH110" s="14">
        <f>[32]entradas!$H140</f>
        <v>257</v>
      </c>
      <c r="AI110" s="14">
        <f>[33]entradas!$H140</f>
        <v>140</v>
      </c>
      <c r="AJ110" s="14">
        <f>[34]entradas!$H140</f>
        <v>71</v>
      </c>
    </row>
    <row r="111" spans="1:36" s="12" customFormat="1" x14ac:dyDescent="0.2">
      <c r="A111" s="424"/>
      <c r="B111" s="39" t="s">
        <v>117</v>
      </c>
      <c r="C111" s="14">
        <f>[1]entradas!$H141</f>
        <v>1758</v>
      </c>
      <c r="D111" s="14">
        <f>[2]entradas!$H141</f>
        <v>1895</v>
      </c>
      <c r="E111" s="14">
        <f>[3]entradas!$H141</f>
        <v>1943</v>
      </c>
      <c r="F111" s="14">
        <f>[4]entradas!$H141</f>
        <v>2177</v>
      </c>
      <c r="G111" s="14">
        <f>[5]entradas!$H141</f>
        <v>1468</v>
      </c>
      <c r="H111" s="14">
        <f>[6]entradas!$H141</f>
        <v>605</v>
      </c>
      <c r="I111" s="14">
        <f>[7]entradas!$H141</f>
        <v>2044</v>
      </c>
      <c r="J111" s="14">
        <f>[8]entradas!$H141</f>
        <v>2008</v>
      </c>
      <c r="K111" s="14">
        <f>[9]entradas!$H141</f>
        <v>1964</v>
      </c>
      <c r="L111" s="14">
        <f>[10]entradas!$H141</f>
        <v>1932</v>
      </c>
      <c r="M111" s="14">
        <f>[11]entradas!$H141</f>
        <v>1877</v>
      </c>
      <c r="N111" s="14">
        <f>[12]entradas!$H141</f>
        <v>1463</v>
      </c>
      <c r="O111" s="14">
        <f>[13]entradas!$H141</f>
        <v>585</v>
      </c>
      <c r="P111" s="14">
        <f>[14]entradas!$H141</f>
        <v>2201</v>
      </c>
      <c r="Q111" s="14">
        <f>[15]entradas!$H141</f>
        <v>1981</v>
      </c>
      <c r="R111" s="14">
        <f>[16]entradas!$H141</f>
        <v>2043</v>
      </c>
      <c r="S111" s="14">
        <f>[17]entradas!$H141</f>
        <v>2009</v>
      </c>
      <c r="T111" s="14">
        <f>[18]entradas!$H141</f>
        <v>2066</v>
      </c>
      <c r="U111" s="14">
        <f>[19]entradas!$H141</f>
        <v>1517</v>
      </c>
      <c r="V111" s="14">
        <f>[20]entradas!$H141</f>
        <v>684</v>
      </c>
      <c r="W111" s="14">
        <f>[21]entradas!$H141</f>
        <v>2002</v>
      </c>
      <c r="X111" s="14">
        <f>[22]entradas!$H141</f>
        <v>2030</v>
      </c>
      <c r="Y111" s="14">
        <f>[23]entradas!$H141</f>
        <v>1975</v>
      </c>
      <c r="Z111" s="14">
        <f>[24]entradas!$H141</f>
        <v>2258</v>
      </c>
      <c r="AA111" s="14">
        <f>[25]entradas!$H141</f>
        <v>2008</v>
      </c>
      <c r="AB111" s="14">
        <f>[26]entradas!$H141</f>
        <v>1520</v>
      </c>
      <c r="AC111" s="14">
        <f>[27]entradas!$H141</f>
        <v>616</v>
      </c>
      <c r="AD111" s="14">
        <f>[28]entradas!$H141</f>
        <v>2042</v>
      </c>
      <c r="AE111" s="14">
        <f>[29]entradas!$H141</f>
        <v>2037</v>
      </c>
      <c r="AF111" s="14">
        <f>[30]entradas!$H141</f>
        <v>2015</v>
      </c>
      <c r="AG111" s="14">
        <f>[31]entradas!$H141</f>
        <v>2028</v>
      </c>
      <c r="AH111" s="14">
        <f>[32]entradas!$H141</f>
        <v>2018</v>
      </c>
      <c r="AI111" s="14">
        <f>[33]entradas!$H141</f>
        <v>1615</v>
      </c>
      <c r="AJ111" s="14">
        <f>[34]entradas!$H141</f>
        <v>609</v>
      </c>
    </row>
    <row r="112" spans="1:36" s="141" customFormat="1" ht="13.5" thickBot="1" x14ac:dyDescent="0.25">
      <c r="A112" s="425"/>
      <c r="B112" s="73" t="s">
        <v>132</v>
      </c>
      <c r="C112" s="55">
        <f>[1]entradas!$H142</f>
        <v>46819</v>
      </c>
      <c r="D112" s="55">
        <f>[2]entradas!$H142</f>
        <v>46926</v>
      </c>
      <c r="E112" s="55">
        <f>[3]entradas!$H142</f>
        <v>45700</v>
      </c>
      <c r="F112" s="55">
        <f>[4]entradas!$H142</f>
        <v>47907</v>
      </c>
      <c r="G112" s="55">
        <f>[5]entradas!$H142</f>
        <v>36455</v>
      </c>
      <c r="H112" s="55">
        <f>[6]entradas!$H142</f>
        <v>17183</v>
      </c>
      <c r="I112" s="55">
        <f>[7]entradas!$H142</f>
        <v>48147</v>
      </c>
      <c r="J112" s="55">
        <f>[8]entradas!$H142</f>
        <v>47398</v>
      </c>
      <c r="K112" s="55">
        <f>[9]entradas!$H142</f>
        <v>48339</v>
      </c>
      <c r="L112" s="55">
        <f>[10]entradas!$H142</f>
        <v>48703</v>
      </c>
      <c r="M112" s="55">
        <f>[11]entradas!$H142</f>
        <v>48999</v>
      </c>
      <c r="N112" s="55">
        <f>[12]entradas!$H142</f>
        <v>36372</v>
      </c>
      <c r="O112" s="55">
        <f>[13]entradas!$H142</f>
        <v>15778</v>
      </c>
      <c r="P112" s="55">
        <f>[14]entradas!$H142</f>
        <v>47734</v>
      </c>
      <c r="Q112" s="55">
        <f>[15]entradas!$H142</f>
        <v>49807</v>
      </c>
      <c r="R112" s="55">
        <f>[16]entradas!$H142</f>
        <v>50804</v>
      </c>
      <c r="S112" s="55">
        <f>[17]entradas!$H142</f>
        <v>50150</v>
      </c>
      <c r="T112" s="55">
        <f>[18]entradas!$H142</f>
        <v>50571</v>
      </c>
      <c r="U112" s="55">
        <f>[19]entradas!$H142</f>
        <v>37709</v>
      </c>
      <c r="V112" s="55">
        <f>[20]entradas!$H142</f>
        <v>16722</v>
      </c>
      <c r="W112" s="55">
        <f>[21]entradas!$H142</f>
        <v>49277</v>
      </c>
      <c r="X112" s="55">
        <f>[22]entradas!$H142</f>
        <v>50029</v>
      </c>
      <c r="Y112" s="55">
        <f>[23]entradas!$H142</f>
        <v>49342</v>
      </c>
      <c r="Z112" s="55">
        <f>[24]entradas!$H142</f>
        <v>47627</v>
      </c>
      <c r="AA112" s="55">
        <f>[25]entradas!$H142</f>
        <v>50333</v>
      </c>
      <c r="AB112" s="55">
        <f>[26]entradas!$H142</f>
        <v>37408</v>
      </c>
      <c r="AC112" s="55">
        <f>[27]entradas!$H142</f>
        <v>16618</v>
      </c>
      <c r="AD112" s="55">
        <f>[28]entradas!$H142</f>
        <v>51010</v>
      </c>
      <c r="AE112" s="55">
        <f>[29]entradas!$H142</f>
        <v>51272</v>
      </c>
      <c r="AF112" s="55">
        <f>[30]entradas!$H142</f>
        <v>50877</v>
      </c>
      <c r="AG112" s="55">
        <f>[31]entradas!$H142</f>
        <v>50293</v>
      </c>
      <c r="AH112" s="55">
        <f>[32]entradas!$H142</f>
        <v>51668</v>
      </c>
      <c r="AI112" s="55">
        <f>[33]entradas!$H142</f>
        <v>38851</v>
      </c>
      <c r="AJ112" s="55">
        <f>[34]entradas!$H142</f>
        <v>16783</v>
      </c>
    </row>
    <row r="113" spans="1:36" s="12" customFormat="1" ht="12.75" customHeight="1" x14ac:dyDescent="0.2">
      <c r="A113" s="431" t="s">
        <v>345</v>
      </c>
      <c r="B113" s="74" t="s">
        <v>167</v>
      </c>
      <c r="C113" s="55">
        <f>[35]entradas!$H$11</f>
        <v>58718</v>
      </c>
      <c r="D113" s="55">
        <f>[36]entradas!$H$11</f>
        <v>59283</v>
      </c>
      <c r="E113" s="55">
        <f>[37]entradas!$H$11</f>
        <v>57238</v>
      </c>
      <c r="F113" s="55">
        <f>[38]entradas!$H$11</f>
        <v>59300</v>
      </c>
      <c r="G113" s="55">
        <f>[39]entradas!$H$11</f>
        <v>43086</v>
      </c>
      <c r="H113" s="55">
        <f>[40]entradas!$H$11</f>
        <v>17862</v>
      </c>
      <c r="I113" s="55">
        <f>[41]entradas!$H$11</f>
        <v>60132</v>
      </c>
      <c r="J113" s="55">
        <f>[42]entradas!$H$11</f>
        <v>60468</v>
      </c>
      <c r="K113" s="55">
        <f>[43]entradas!$H$11</f>
        <v>60802</v>
      </c>
      <c r="L113" s="55">
        <f>[44]entradas!$H$11</f>
        <v>60179</v>
      </c>
      <c r="M113" s="55">
        <f>[45]entradas!$H$11</f>
        <v>60354</v>
      </c>
      <c r="N113" s="55">
        <f>[46]entradas!$H$11</f>
        <v>43388</v>
      </c>
      <c r="O113" s="55">
        <f>[47]entradas!$H$11</f>
        <v>17185</v>
      </c>
      <c r="P113" s="55">
        <f>[48]entradas!$H$11</f>
        <v>53166</v>
      </c>
      <c r="Q113" s="55">
        <f>[49]entradas!$H$11</f>
        <v>8361</v>
      </c>
      <c r="R113" s="55">
        <f>[50]entradas!$H$11</f>
        <v>33195</v>
      </c>
      <c r="S113" s="55">
        <f>[51]entradas!$H$11</f>
        <v>39624</v>
      </c>
      <c r="T113" s="55">
        <f>[52]entradas!$H$11</f>
        <v>58610</v>
      </c>
      <c r="U113" s="55">
        <f>[53]entradas!$H$11</f>
        <v>42909</v>
      </c>
      <c r="V113" s="55">
        <f>[54]entradas!$H$11</f>
        <v>17255</v>
      </c>
      <c r="W113" s="55">
        <f>[55]entradas!$H$11</f>
        <v>60358</v>
      </c>
      <c r="X113" s="55">
        <f>[56]entradas!$H$11</f>
        <v>60210</v>
      </c>
      <c r="Y113" s="55">
        <f>[57]entradas!$H$11</f>
        <v>59927</v>
      </c>
      <c r="Z113" s="55">
        <f>[58]entradas!$H$11</f>
        <v>59314</v>
      </c>
      <c r="AA113" s="55">
        <f>[59]entradas!$H$11</f>
        <v>61091</v>
      </c>
      <c r="AB113" s="55">
        <f>[60]entradas!$H$11</f>
        <v>43469</v>
      </c>
      <c r="AC113" s="55">
        <f>[61]entradas!$H$11</f>
        <v>16959</v>
      </c>
      <c r="AD113" s="55">
        <f>[62]entradas!$H$11</f>
        <v>60725</v>
      </c>
      <c r="AE113" s="55">
        <f>[63]entradas!$H$11</f>
        <v>61720</v>
      </c>
      <c r="AF113" s="55">
        <f>[64]entradas!$H$11</f>
        <v>62918</v>
      </c>
      <c r="AG113" s="55">
        <f>[65]entradas!$H$11</f>
        <v>62022</v>
      </c>
      <c r="AH113" s="55">
        <f>[66]entradas!$H$11</f>
        <v>63155</v>
      </c>
      <c r="AI113" s="55">
        <f>[67]entradas!$H$11</f>
        <v>45275</v>
      </c>
      <c r="AJ113" s="55">
        <f>[68]entradas!$H$11</f>
        <v>17939</v>
      </c>
    </row>
    <row r="114" spans="1:36" s="12" customFormat="1" x14ac:dyDescent="0.2">
      <c r="A114" s="432"/>
      <c r="B114" s="75" t="s">
        <v>194</v>
      </c>
      <c r="C114" s="13">
        <f>+[35]entradas!$H23</f>
        <v>4900</v>
      </c>
      <c r="D114" s="13">
        <f>+[36]entradas!$H23</f>
        <v>4975</v>
      </c>
      <c r="E114" s="13">
        <f>+[37]entradas!$H23</f>
        <v>4879</v>
      </c>
      <c r="F114" s="13">
        <f>+[38]entradas!$H23</f>
        <v>4993</v>
      </c>
      <c r="G114" s="13">
        <f>+[39]entradas!$H23</f>
        <v>4155</v>
      </c>
      <c r="H114" s="13">
        <f>+[40]entradas!$H23</f>
        <v>1445</v>
      </c>
      <c r="I114" s="13">
        <f>+[41]entradas!$H23</f>
        <v>5137</v>
      </c>
      <c r="J114" s="13">
        <f>+[42]entradas!$H23</f>
        <v>5121</v>
      </c>
      <c r="K114" s="13">
        <f>+[43]entradas!$H23</f>
        <v>5059</v>
      </c>
      <c r="L114" s="13">
        <f>+[44]entradas!$H23</f>
        <v>4986</v>
      </c>
      <c r="M114" s="13">
        <f>+[45]entradas!$H23</f>
        <v>4949</v>
      </c>
      <c r="N114" s="13">
        <f>+[46]entradas!$H23</f>
        <v>4119</v>
      </c>
      <c r="O114" s="13">
        <f>+[47]entradas!$H23</f>
        <v>1433</v>
      </c>
      <c r="P114" s="13">
        <f>+[48]entradas!$H23</f>
        <v>4181</v>
      </c>
      <c r="Q114" s="13">
        <f>+[49]entradas!$H23</f>
        <v>66</v>
      </c>
      <c r="R114" s="13">
        <f>+[50]entradas!$H23</f>
        <v>2455</v>
      </c>
      <c r="S114" s="13">
        <f>+[51]entradas!$H23</f>
        <v>4079</v>
      </c>
      <c r="T114" s="13">
        <f>+[52]entradas!$H23</f>
        <v>5059</v>
      </c>
      <c r="U114" s="13">
        <f>+[53]entradas!$H23</f>
        <v>3952</v>
      </c>
      <c r="V114" s="13">
        <f>+[54]entradas!$H23</f>
        <v>1476</v>
      </c>
      <c r="W114" s="13">
        <f>+[55]entradas!$H23</f>
        <v>5065</v>
      </c>
      <c r="X114" s="13">
        <f>+[56]entradas!$H23</f>
        <v>4955</v>
      </c>
      <c r="Y114" s="13">
        <f>+[57]entradas!$H23</f>
        <v>5074</v>
      </c>
      <c r="Z114" s="13">
        <f>+[58]entradas!$H23</f>
        <v>4969</v>
      </c>
      <c r="AA114" s="13">
        <f>+[59]entradas!$H23</f>
        <v>5089</v>
      </c>
      <c r="AB114" s="13">
        <f>+[60]entradas!$H23</f>
        <v>4064</v>
      </c>
      <c r="AC114" s="13">
        <f>+[61]entradas!$H23</f>
        <v>1435</v>
      </c>
      <c r="AD114" s="13">
        <f>+[62]entradas!$H23</f>
        <v>5048</v>
      </c>
      <c r="AE114" s="13">
        <f>+[63]entradas!$H23</f>
        <v>5089</v>
      </c>
      <c r="AF114" s="13">
        <f>+[64]entradas!$H23</f>
        <v>5264</v>
      </c>
      <c r="AG114" s="13">
        <f>+[65]entradas!$H23</f>
        <v>5223</v>
      </c>
      <c r="AH114" s="13">
        <f>+[66]entradas!$H23</f>
        <v>5231</v>
      </c>
      <c r="AI114" s="13">
        <f>+[67]entradas!$H23</f>
        <v>4304</v>
      </c>
      <c r="AJ114" s="13">
        <f>+[68]entradas!$H23</f>
        <v>1450</v>
      </c>
    </row>
    <row r="115" spans="1:36" s="12" customFormat="1" x14ac:dyDescent="0.2">
      <c r="A115" s="432"/>
      <c r="B115" s="75" t="s">
        <v>195</v>
      </c>
      <c r="C115" s="13">
        <f>+[35]entradas!$H24</f>
        <v>3452</v>
      </c>
      <c r="D115" s="13">
        <f>+[36]entradas!$H24</f>
        <v>3453</v>
      </c>
      <c r="E115" s="13">
        <f>+[37]entradas!$H24</f>
        <v>3390</v>
      </c>
      <c r="F115" s="13">
        <f>+[38]entradas!$H24</f>
        <v>3511</v>
      </c>
      <c r="G115" s="13">
        <f>+[39]entradas!$H24</f>
        <v>3077</v>
      </c>
      <c r="H115" s="13">
        <f>+[40]entradas!$H24</f>
        <v>1402</v>
      </c>
      <c r="I115" s="13">
        <f>+[41]entradas!$H24</f>
        <v>3494</v>
      </c>
      <c r="J115" s="13">
        <f>+[42]entradas!$H24</f>
        <v>3504</v>
      </c>
      <c r="K115" s="13">
        <f>+[43]entradas!$H24</f>
        <v>3555</v>
      </c>
      <c r="L115" s="13">
        <f>+[44]entradas!$H24</f>
        <v>3477</v>
      </c>
      <c r="M115" s="13">
        <f>+[45]entradas!$H24</f>
        <v>3488</v>
      </c>
      <c r="N115" s="13">
        <f>+[46]entradas!$H24</f>
        <v>2963</v>
      </c>
      <c r="O115" s="13">
        <f>+[47]entradas!$H24</f>
        <v>1321</v>
      </c>
      <c r="P115" s="13">
        <f>+[48]entradas!$H24</f>
        <v>3050</v>
      </c>
      <c r="Q115" s="13">
        <f>+[49]entradas!$H24</f>
        <v>23</v>
      </c>
      <c r="R115" s="13">
        <f>+[50]entradas!$H24</f>
        <v>911</v>
      </c>
      <c r="S115" s="13">
        <f>+[51]entradas!$H24</f>
        <v>1383</v>
      </c>
      <c r="T115" s="13">
        <f>+[52]entradas!$H24</f>
        <v>3215</v>
      </c>
      <c r="U115" s="13">
        <f>+[53]entradas!$H24</f>
        <v>2936</v>
      </c>
      <c r="V115" s="13">
        <f>+[54]entradas!$H24</f>
        <v>1227</v>
      </c>
      <c r="W115" s="13">
        <f>+[55]entradas!$H24</f>
        <v>3322</v>
      </c>
      <c r="X115" s="13">
        <f>+[56]entradas!$H24</f>
        <v>3403</v>
      </c>
      <c r="Y115" s="13">
        <f>+[57]entradas!$H24</f>
        <v>3326</v>
      </c>
      <c r="Z115" s="13">
        <f>+[58]entradas!$H24</f>
        <v>3320</v>
      </c>
      <c r="AA115" s="13">
        <f>+[59]entradas!$H24</f>
        <v>3428</v>
      </c>
      <c r="AB115" s="13">
        <f>+[60]entradas!$H24</f>
        <v>2990</v>
      </c>
      <c r="AC115" s="13">
        <f>+[61]entradas!$H24</f>
        <v>1280</v>
      </c>
      <c r="AD115" s="13">
        <f>+[62]entradas!$H24</f>
        <v>3568</v>
      </c>
      <c r="AE115" s="13">
        <f>+[63]entradas!$H24</f>
        <v>3541</v>
      </c>
      <c r="AF115" s="13">
        <f>+[64]entradas!$H24</f>
        <v>3531</v>
      </c>
      <c r="AG115" s="13">
        <f>+[65]entradas!$H24</f>
        <v>3590</v>
      </c>
      <c r="AH115" s="13">
        <f>+[66]entradas!$H24</f>
        <v>3608</v>
      </c>
      <c r="AI115" s="13">
        <f>+[67]entradas!$H24</f>
        <v>3096</v>
      </c>
      <c r="AJ115" s="13">
        <f>+[68]entradas!$H24</f>
        <v>1196</v>
      </c>
    </row>
    <row r="116" spans="1:36" s="12" customFormat="1" x14ac:dyDescent="0.2">
      <c r="A116" s="432"/>
      <c r="B116" s="75" t="s">
        <v>192</v>
      </c>
      <c r="C116" s="13">
        <f>+[35]entradas!$H25</f>
        <v>9584</v>
      </c>
      <c r="D116" s="13">
        <f>+[36]entradas!$H25</f>
        <v>9577</v>
      </c>
      <c r="E116" s="13">
        <f>+[37]entradas!$H25</f>
        <v>9339</v>
      </c>
      <c r="F116" s="13">
        <f>+[38]entradas!$H25</f>
        <v>9697</v>
      </c>
      <c r="G116" s="13">
        <f>+[39]entradas!$H25</f>
        <v>6673</v>
      </c>
      <c r="H116" s="13">
        <f>+[40]entradas!$H25</f>
        <v>2794</v>
      </c>
      <c r="I116" s="13">
        <f>+[41]entradas!$H25</f>
        <v>9918</v>
      </c>
      <c r="J116" s="13">
        <f>+[42]entradas!$H25</f>
        <v>9927</v>
      </c>
      <c r="K116" s="13">
        <f>+[43]entradas!$H25</f>
        <v>10336</v>
      </c>
      <c r="L116" s="13">
        <f>+[44]entradas!$H25</f>
        <v>9980</v>
      </c>
      <c r="M116" s="13">
        <f>+[45]entradas!$H25</f>
        <v>9984</v>
      </c>
      <c r="N116" s="13">
        <f>+[46]entradas!$H25</f>
        <v>6610</v>
      </c>
      <c r="O116" s="13">
        <f>+[47]entradas!$H25</f>
        <v>2542</v>
      </c>
      <c r="P116" s="13">
        <f>+[48]entradas!$H25</f>
        <v>8884</v>
      </c>
      <c r="Q116" s="13">
        <f>+[49]entradas!$H25</f>
        <v>0</v>
      </c>
      <c r="R116" s="13">
        <f>+[50]entradas!$H25</f>
        <v>0</v>
      </c>
      <c r="S116" s="13">
        <f>+[51]entradas!$H25</f>
        <v>0</v>
      </c>
      <c r="T116" s="13">
        <f>+[52]entradas!$H25</f>
        <v>9524</v>
      </c>
      <c r="U116" s="13">
        <f>+[53]entradas!$H25</f>
        <v>6700</v>
      </c>
      <c r="V116" s="13">
        <f>+[54]entradas!$H25</f>
        <v>2618</v>
      </c>
      <c r="W116" s="13">
        <f>+[55]entradas!$H25</f>
        <v>10172</v>
      </c>
      <c r="X116" s="13">
        <f>+[56]entradas!$H25</f>
        <v>10046</v>
      </c>
      <c r="Y116" s="13">
        <f>+[57]entradas!$H25</f>
        <v>9981</v>
      </c>
      <c r="Z116" s="13">
        <f>+[58]entradas!$H25</f>
        <v>10104</v>
      </c>
      <c r="AA116" s="13">
        <f>+[59]entradas!$H25</f>
        <v>10018</v>
      </c>
      <c r="AB116" s="13">
        <f>+[60]entradas!$H25</f>
        <v>6606</v>
      </c>
      <c r="AC116" s="13">
        <f>+[61]entradas!$H25</f>
        <v>2737</v>
      </c>
      <c r="AD116" s="13">
        <f>+[62]entradas!$H25</f>
        <v>10295</v>
      </c>
      <c r="AE116" s="13">
        <f>+[63]entradas!$H25</f>
        <v>10578</v>
      </c>
      <c r="AF116" s="13">
        <f>+[64]entradas!$H25</f>
        <v>10752</v>
      </c>
      <c r="AG116" s="13">
        <f>+[65]entradas!$H25</f>
        <v>10511</v>
      </c>
      <c r="AH116" s="13">
        <f>+[66]entradas!$H25</f>
        <v>10785</v>
      </c>
      <c r="AI116" s="13">
        <f>+[67]entradas!$H25</f>
        <v>7214</v>
      </c>
      <c r="AJ116" s="13">
        <f>+[68]entradas!$H25</f>
        <v>2815</v>
      </c>
    </row>
    <row r="117" spans="1:36" s="12" customFormat="1" x14ac:dyDescent="0.2">
      <c r="A117" s="432"/>
      <c r="B117" s="75" t="s">
        <v>193</v>
      </c>
      <c r="C117" s="13">
        <f>+[35]entradas!$H26</f>
        <v>3940</v>
      </c>
      <c r="D117" s="13">
        <f>+[36]entradas!$H26</f>
        <v>3832</v>
      </c>
      <c r="E117" s="13">
        <f>+[37]entradas!$H26</f>
        <v>3817</v>
      </c>
      <c r="F117" s="13">
        <f>+[38]entradas!$H26</f>
        <v>3954</v>
      </c>
      <c r="G117" s="13">
        <f>+[39]entradas!$H26</f>
        <v>2947</v>
      </c>
      <c r="H117" s="13">
        <f>+[40]entradas!$H26</f>
        <v>1265</v>
      </c>
      <c r="I117" s="13">
        <f>+[41]entradas!$H26</f>
        <v>4076</v>
      </c>
      <c r="J117" s="13">
        <f>+[42]entradas!$H26</f>
        <v>4070</v>
      </c>
      <c r="K117" s="13">
        <f>+[43]entradas!$H26</f>
        <v>4176</v>
      </c>
      <c r="L117" s="13">
        <f>+[44]entradas!$H26</f>
        <v>3995</v>
      </c>
      <c r="M117" s="13">
        <f>+[45]entradas!$H26</f>
        <v>4050</v>
      </c>
      <c r="N117" s="13">
        <f>+[46]entradas!$H26</f>
        <v>2947</v>
      </c>
      <c r="O117" s="13">
        <f>+[47]entradas!$H26</f>
        <v>1182</v>
      </c>
      <c r="P117" s="13">
        <f>+[48]entradas!$H26</f>
        <v>3647</v>
      </c>
      <c r="Q117" s="13">
        <f>+[49]entradas!$H26</f>
        <v>0</v>
      </c>
      <c r="R117" s="13">
        <f>+[50]entradas!$H26</f>
        <v>0</v>
      </c>
      <c r="S117" s="13">
        <f>+[51]entradas!$H26</f>
        <v>0</v>
      </c>
      <c r="T117" s="13">
        <f>+[52]entradas!$H26</f>
        <v>3707</v>
      </c>
      <c r="U117" s="13">
        <f>+[53]entradas!$H26</f>
        <v>2902</v>
      </c>
      <c r="V117" s="13">
        <f>+[54]entradas!$H26</f>
        <v>1240</v>
      </c>
      <c r="W117" s="13">
        <f>+[55]entradas!$H26</f>
        <v>3979</v>
      </c>
      <c r="X117" s="13">
        <f>+[56]entradas!$H26</f>
        <v>3981</v>
      </c>
      <c r="Y117" s="13">
        <f>+[57]entradas!$H26</f>
        <v>4009</v>
      </c>
      <c r="Z117" s="13">
        <f>+[58]entradas!$H26</f>
        <v>4154</v>
      </c>
      <c r="AA117" s="13">
        <f>+[59]entradas!$H26</f>
        <v>4160</v>
      </c>
      <c r="AB117" s="13">
        <f>+[60]entradas!$H26</f>
        <v>2961</v>
      </c>
      <c r="AC117" s="13">
        <f>+[61]entradas!$H26</f>
        <v>1229</v>
      </c>
      <c r="AD117" s="13">
        <f>+[62]entradas!$H26</f>
        <v>4263</v>
      </c>
      <c r="AE117" s="13">
        <f>+[63]entradas!$H26</f>
        <v>4296</v>
      </c>
      <c r="AF117" s="13">
        <f>+[64]entradas!$H26</f>
        <v>4319</v>
      </c>
      <c r="AG117" s="13">
        <f>+[65]entradas!$H26</f>
        <v>4294</v>
      </c>
      <c r="AH117" s="13">
        <f>+[66]entradas!$H26</f>
        <v>4369</v>
      </c>
      <c r="AI117" s="13">
        <f>+[67]entradas!$H26</f>
        <v>3071</v>
      </c>
      <c r="AJ117" s="13">
        <f>+[68]entradas!$H26</f>
        <v>1346</v>
      </c>
    </row>
    <row r="118" spans="1:36" s="12" customFormat="1" x14ac:dyDescent="0.2">
      <c r="A118" s="432"/>
      <c r="B118" s="75" t="s">
        <v>156</v>
      </c>
      <c r="C118" s="13">
        <f>+[35]entradas!$H27</f>
        <v>2688</v>
      </c>
      <c r="D118" s="13">
        <f>+[36]entradas!$H27</f>
        <v>2691</v>
      </c>
      <c r="E118" s="13">
        <f>+[37]entradas!$H27</f>
        <v>2729</v>
      </c>
      <c r="F118" s="13">
        <f>+[38]entradas!$H27</f>
        <v>2680</v>
      </c>
      <c r="G118" s="13">
        <f>+[39]entradas!$H27</f>
        <v>1766</v>
      </c>
      <c r="H118" s="13">
        <f>+[40]entradas!$H27</f>
        <v>695</v>
      </c>
      <c r="I118" s="13">
        <f>+[41]entradas!$H27</f>
        <v>2752</v>
      </c>
      <c r="J118" s="13">
        <f>+[42]entradas!$H27</f>
        <v>2759</v>
      </c>
      <c r="K118" s="13">
        <f>+[43]entradas!$H27</f>
        <v>2856</v>
      </c>
      <c r="L118" s="13">
        <f>+[44]entradas!$H27</f>
        <v>2818</v>
      </c>
      <c r="M118" s="13">
        <f>+[45]entradas!$H27</f>
        <v>2738</v>
      </c>
      <c r="N118" s="13">
        <f>+[46]entradas!$H27</f>
        <v>1756</v>
      </c>
      <c r="O118" s="13">
        <f>+[47]entradas!$H27</f>
        <v>634</v>
      </c>
      <c r="P118" s="13">
        <f>+[48]entradas!$H27</f>
        <v>2584</v>
      </c>
      <c r="Q118" s="13">
        <f>+[49]entradas!$H27</f>
        <v>9922</v>
      </c>
      <c r="R118" s="13">
        <f>+[50]entradas!$H27</f>
        <v>11253</v>
      </c>
      <c r="S118" s="13">
        <f>+[51]entradas!$H27</f>
        <v>11661</v>
      </c>
      <c r="T118" s="13">
        <f>+[52]entradas!$H27</f>
        <v>2907</v>
      </c>
      <c r="U118" s="13">
        <f>+[53]entradas!$H27</f>
        <v>1847</v>
      </c>
      <c r="V118" s="13">
        <f>+[54]entradas!$H27</f>
        <v>665</v>
      </c>
      <c r="W118" s="13">
        <f>+[55]entradas!$H27</f>
        <v>2765</v>
      </c>
      <c r="X118" s="13">
        <f>+[56]entradas!$H27</f>
        <v>2791</v>
      </c>
      <c r="Y118" s="13">
        <f>+[57]entradas!$H27</f>
        <v>2774</v>
      </c>
      <c r="Z118" s="13">
        <f>+[58]entradas!$H27</f>
        <v>2713</v>
      </c>
      <c r="AA118" s="13">
        <f>+[59]entradas!$H27</f>
        <v>2803</v>
      </c>
      <c r="AB118" s="13">
        <f>+[60]entradas!$H27</f>
        <v>1805</v>
      </c>
      <c r="AC118" s="13">
        <f>+[61]entradas!$H27</f>
        <v>681</v>
      </c>
      <c r="AD118" s="13">
        <f>+[62]entradas!$H27</f>
        <v>2874</v>
      </c>
      <c r="AE118" s="13">
        <f>+[63]entradas!$H27</f>
        <v>2941</v>
      </c>
      <c r="AF118" s="13">
        <f>+[64]entradas!$H27</f>
        <v>2775</v>
      </c>
      <c r="AG118" s="13">
        <f>+[65]entradas!$H27</f>
        <v>2911</v>
      </c>
      <c r="AH118" s="13">
        <f>+[66]entradas!$H27</f>
        <v>2842</v>
      </c>
      <c r="AI118" s="13">
        <f>+[67]entradas!$H27</f>
        <v>1955</v>
      </c>
      <c r="AJ118" s="13">
        <f>+[68]entradas!$H27</f>
        <v>653</v>
      </c>
    </row>
    <row r="119" spans="1:36" s="12" customFormat="1" x14ac:dyDescent="0.2">
      <c r="A119" s="432"/>
      <c r="B119" s="75" t="s">
        <v>157</v>
      </c>
      <c r="C119" s="13">
        <f>+[35]entradas!$H28</f>
        <v>10517</v>
      </c>
      <c r="D119" s="13">
        <f>+[36]entradas!$H28</f>
        <v>10590</v>
      </c>
      <c r="E119" s="13">
        <f>+[37]entradas!$H28</f>
        <v>10251</v>
      </c>
      <c r="F119" s="13">
        <f>+[38]entradas!$H28</f>
        <v>10457</v>
      </c>
      <c r="G119" s="13">
        <f>+[39]entradas!$H28</f>
        <v>6180</v>
      </c>
      <c r="H119" s="13">
        <f>+[40]entradas!$H28</f>
        <v>2271</v>
      </c>
      <c r="I119" s="13">
        <f>+[41]entradas!$H28</f>
        <v>10652</v>
      </c>
      <c r="J119" s="13">
        <f>+[42]entradas!$H28</f>
        <v>11014</v>
      </c>
      <c r="K119" s="13">
        <f>+[43]entradas!$H28</f>
        <v>11867</v>
      </c>
      <c r="L119" s="13">
        <f>+[44]entradas!$H28</f>
        <v>10872</v>
      </c>
      <c r="M119" s="13">
        <f>+[45]entradas!$H28</f>
        <v>10805</v>
      </c>
      <c r="N119" s="13">
        <f>+[46]entradas!$H28</f>
        <v>6243</v>
      </c>
      <c r="O119" s="13">
        <f>+[47]entradas!$H28</f>
        <v>2116</v>
      </c>
      <c r="P119" s="13">
        <f>+[48]entradas!$H28</f>
        <v>12054</v>
      </c>
      <c r="Q119" s="13">
        <f>+[49]entradas!$H28</f>
        <v>21154</v>
      </c>
      <c r="R119" s="13">
        <f>+[50]entradas!$H28</f>
        <v>17608</v>
      </c>
      <c r="S119" s="13">
        <f>+[51]entradas!$H28</f>
        <v>15706</v>
      </c>
      <c r="T119" s="13">
        <f>+[52]entradas!$H28</f>
        <v>11321</v>
      </c>
      <c r="U119" s="13">
        <f>+[53]entradas!$H28</f>
        <v>6348</v>
      </c>
      <c r="V119" s="13">
        <f>+[54]entradas!$H28</f>
        <v>2260</v>
      </c>
      <c r="W119" s="13">
        <f>+[55]entradas!$H28</f>
        <v>10907</v>
      </c>
      <c r="X119" s="13">
        <f>+[56]entradas!$H28</f>
        <v>11145</v>
      </c>
      <c r="Y119" s="13">
        <f>+[57]entradas!$H28</f>
        <v>11198</v>
      </c>
      <c r="Z119" s="13">
        <f>+[58]entradas!$H28</f>
        <v>11257</v>
      </c>
      <c r="AA119" s="13">
        <f>+[59]entradas!$H28</f>
        <v>11343</v>
      </c>
      <c r="AB119" s="13">
        <f>+[60]entradas!$H28</f>
        <v>6302</v>
      </c>
      <c r="AC119" s="13">
        <f>+[61]entradas!$H28</f>
        <v>2321</v>
      </c>
      <c r="AD119" s="13">
        <f>+[62]entradas!$H28</f>
        <v>11133</v>
      </c>
      <c r="AE119" s="13">
        <f>+[63]entradas!$H28</f>
        <v>11357</v>
      </c>
      <c r="AF119" s="13">
        <f>+[64]entradas!$H28</f>
        <v>11591</v>
      </c>
      <c r="AG119" s="13">
        <f>+[65]entradas!$H28</f>
        <v>11366</v>
      </c>
      <c r="AH119" s="13">
        <f>+[66]entradas!$H28</f>
        <v>11650</v>
      </c>
      <c r="AI119" s="13">
        <f>+[67]entradas!$H28</f>
        <v>6851</v>
      </c>
      <c r="AJ119" s="13">
        <f>+[68]entradas!$H28</f>
        <v>2387</v>
      </c>
    </row>
    <row r="120" spans="1:36" s="12" customFormat="1" x14ac:dyDescent="0.2">
      <c r="A120" s="432"/>
      <c r="B120" s="76" t="s">
        <v>291</v>
      </c>
      <c r="C120" s="55">
        <f>SUM([35]entradas!$H$29:$H$30)</f>
        <v>26040</v>
      </c>
      <c r="D120" s="55">
        <f>SUM([36]entradas!$H$29:$H$30)</f>
        <v>26306</v>
      </c>
      <c r="E120" s="55">
        <f>SUM([37]entradas!$H$29:$H$30)</f>
        <v>25971</v>
      </c>
      <c r="F120" s="55">
        <f>SUM([38]entradas!$H$29:$H$30)</f>
        <v>26263</v>
      </c>
      <c r="G120" s="55">
        <f>SUM([39]entradas!$H$29:$H$30)</f>
        <v>17819</v>
      </c>
      <c r="H120" s="55">
        <f>SUM([40]entradas!$H$29:$H$30)</f>
        <v>7016</v>
      </c>
      <c r="I120" s="55">
        <f>SUM([41]entradas!$H$29:$H$30)</f>
        <v>25936</v>
      </c>
      <c r="J120" s="55">
        <f>SUM([42]entradas!$H$29:$H$30)</f>
        <v>26574</v>
      </c>
      <c r="K120" s="55">
        <f>SUM([43]entradas!$H$29:$H$30)</f>
        <v>25389</v>
      </c>
      <c r="L120" s="55">
        <f>SUM([44]entradas!$H$29:$H$30)</f>
        <v>26703</v>
      </c>
      <c r="M120" s="55">
        <f>SUM([45]entradas!$H$29:$H$30)</f>
        <v>26579</v>
      </c>
      <c r="N120" s="55">
        <f>SUM([46]entradas!$H$29:$H$30)</f>
        <v>18250</v>
      </c>
      <c r="O120" s="55">
        <f>SUM([47]entradas!$H$29:$H$30)</f>
        <v>6758</v>
      </c>
      <c r="P120" s="55">
        <f>SUM([48]entradas!$H$29:$H$30)</f>
        <v>23218</v>
      </c>
      <c r="Q120" s="55">
        <f>SUM([49]entradas!$H$29:$H$30)</f>
        <v>35784</v>
      </c>
      <c r="R120" s="55">
        <f>SUM([50]entradas!$H$29:$H$30)</f>
        <v>30084</v>
      </c>
      <c r="S120" s="55">
        <f>SUM([51]entradas!$H$29:$H$30)</f>
        <v>30432</v>
      </c>
      <c r="T120" s="55">
        <f>SUM([52]entradas!$H$29:$H$30)</f>
        <v>26775</v>
      </c>
      <c r="U120" s="55">
        <f>SUM([53]entradas!$H$29:$H$30)</f>
        <v>18607</v>
      </c>
      <c r="V120" s="55">
        <f>SUM([54]entradas!$H$29:$H$30)</f>
        <v>6821</v>
      </c>
      <c r="W120" s="55">
        <f>SUM([55]entradas!$H$29:$H$30)</f>
        <v>26734</v>
      </c>
      <c r="X120" s="55">
        <f>SUM([56]entradas!$H$29:$H$30)</f>
        <v>27068</v>
      </c>
      <c r="Y120" s="55">
        <f>SUM([57]entradas!$H$29:$H$30)</f>
        <v>26757</v>
      </c>
      <c r="Z120" s="55">
        <f>SUM([58]entradas!$H$29:$H$30)</f>
        <v>26359</v>
      </c>
      <c r="AA120" s="55">
        <f>SUM([59]entradas!$H$29:$H$30)</f>
        <v>26766</v>
      </c>
      <c r="AB120" s="55">
        <f>SUM([60]entradas!$H$29:$H$30)</f>
        <v>18906</v>
      </c>
      <c r="AC120" s="55">
        <f>SUM([61]entradas!$H$29:$H$30)</f>
        <v>6740</v>
      </c>
      <c r="AD120" s="55">
        <f>SUM([62]entradas!$H$29:$H$30)</f>
        <v>26373</v>
      </c>
      <c r="AE120" s="55">
        <f>SUM([63]entradas!$H$29:$H$30)</f>
        <v>27144</v>
      </c>
      <c r="AF120" s="55">
        <f>SUM([64]entradas!$H$29:$H$30)</f>
        <v>27256</v>
      </c>
      <c r="AG120" s="55">
        <f>SUM([65]entradas!$H$29:$H$30)</f>
        <v>27392</v>
      </c>
      <c r="AH120" s="55">
        <f>SUM([66]entradas!$H$29:$H$30)</f>
        <v>27505</v>
      </c>
      <c r="AI120" s="55">
        <f>SUM([67]entradas!$H$29:$H$30)</f>
        <v>19513</v>
      </c>
      <c r="AJ120" s="55">
        <f>SUM([68]entradas!$H$29:$H$30)</f>
        <v>7026</v>
      </c>
    </row>
    <row r="121" spans="1:36" s="12" customFormat="1" x14ac:dyDescent="0.2">
      <c r="A121" s="432"/>
      <c r="B121" s="75" t="s">
        <v>158</v>
      </c>
      <c r="C121" s="13">
        <f>+[35]entradas!$H31</f>
        <v>2647</v>
      </c>
      <c r="D121" s="13">
        <f>+[36]entradas!$H31</f>
        <v>2665</v>
      </c>
      <c r="E121" s="13">
        <f>+[37]entradas!$H31</f>
        <v>2763</v>
      </c>
      <c r="F121" s="13">
        <f>+[38]entradas!$H31</f>
        <v>2623</v>
      </c>
      <c r="G121" s="13">
        <f>+[39]entradas!$H31</f>
        <v>1618</v>
      </c>
      <c r="H121" s="13">
        <f>+[40]entradas!$H31</f>
        <v>520</v>
      </c>
      <c r="I121" s="13">
        <f>+[41]entradas!$H31</f>
        <v>2633</v>
      </c>
      <c r="J121" s="13">
        <f>+[42]entradas!$H31</f>
        <v>2686</v>
      </c>
      <c r="K121" s="13">
        <f>+[43]entradas!$H31</f>
        <v>2695</v>
      </c>
      <c r="L121" s="13">
        <f>+[44]entradas!$H31</f>
        <v>2694</v>
      </c>
      <c r="M121" s="13">
        <f>+[45]entradas!$H31</f>
        <v>2668</v>
      </c>
      <c r="N121" s="13">
        <f>+[46]entradas!$H31</f>
        <v>1632</v>
      </c>
      <c r="O121" s="13">
        <f>+[47]entradas!$H31</f>
        <v>528</v>
      </c>
      <c r="P121" s="13">
        <f>+[48]entradas!$H31</f>
        <v>3037</v>
      </c>
      <c r="Q121" s="13">
        <f>+[49]entradas!$H31</f>
        <v>2638</v>
      </c>
      <c r="R121" s="13">
        <f>+[50]entradas!$H31</f>
        <v>2654</v>
      </c>
      <c r="S121" s="13">
        <f>+[51]entradas!$H31</f>
        <v>2654</v>
      </c>
      <c r="T121" s="13">
        <f>+[52]entradas!$H31</f>
        <v>2810</v>
      </c>
      <c r="U121" s="13">
        <f>+[53]entradas!$H31</f>
        <v>1746</v>
      </c>
      <c r="V121" s="13">
        <f>+[54]entradas!$H31</f>
        <v>539</v>
      </c>
      <c r="W121" s="13">
        <f>+[55]entradas!$H31</f>
        <v>2757</v>
      </c>
      <c r="X121" s="13">
        <f>+[56]entradas!$H31</f>
        <v>2752</v>
      </c>
      <c r="Y121" s="13">
        <f>+[57]entradas!$H31</f>
        <v>2737</v>
      </c>
      <c r="Z121" s="13">
        <f>+[58]entradas!$H31</f>
        <v>2715</v>
      </c>
      <c r="AA121" s="13">
        <f>+[59]entradas!$H31</f>
        <v>2792</v>
      </c>
      <c r="AB121" s="13">
        <f>+[60]entradas!$H31</f>
        <v>1671</v>
      </c>
      <c r="AC121" s="13">
        <f>+[61]entradas!$H31</f>
        <v>492</v>
      </c>
      <c r="AD121" s="13">
        <f>+[62]entradas!$H31</f>
        <v>2780</v>
      </c>
      <c r="AE121" s="13">
        <f>+[63]entradas!$H31</f>
        <v>2878</v>
      </c>
      <c r="AF121" s="13">
        <f>+[64]entradas!$H31</f>
        <v>2741</v>
      </c>
      <c r="AG121" s="13">
        <f>+[65]entradas!$H31</f>
        <v>2749</v>
      </c>
      <c r="AH121" s="13">
        <f>+[66]entradas!$H31</f>
        <v>2819</v>
      </c>
      <c r="AI121" s="13">
        <f>+[67]entradas!$H31</f>
        <v>1763</v>
      </c>
      <c r="AJ121" s="13">
        <f>+[68]entradas!$H31</f>
        <v>555</v>
      </c>
    </row>
    <row r="122" spans="1:36" s="12" customFormat="1" x14ac:dyDescent="0.2">
      <c r="A122" s="432"/>
      <c r="B122" s="75" t="s">
        <v>159</v>
      </c>
      <c r="C122" s="13">
        <f>+[35]entradas!$H32</f>
        <v>4036</v>
      </c>
      <c r="D122" s="13">
        <f>+[36]entradas!$H32</f>
        <v>4168</v>
      </c>
      <c r="E122" s="13">
        <f>+[37]entradas!$H32</f>
        <v>4066</v>
      </c>
      <c r="F122" s="13">
        <f>+[38]entradas!$H32</f>
        <v>3979</v>
      </c>
      <c r="G122" s="13">
        <f>+[39]entradas!$H32</f>
        <v>2852</v>
      </c>
      <c r="H122" s="13">
        <f>+[40]entradas!$H32</f>
        <v>1216</v>
      </c>
      <c r="I122" s="13">
        <f>+[41]entradas!$H32</f>
        <v>4294</v>
      </c>
      <c r="J122" s="13">
        <f>+[42]entradas!$H32</f>
        <v>4200</v>
      </c>
      <c r="K122" s="13">
        <f>+[43]entradas!$H32</f>
        <v>4108</v>
      </c>
      <c r="L122" s="13">
        <f>+[44]entradas!$H32</f>
        <v>4169</v>
      </c>
      <c r="M122" s="13">
        <f>+[45]entradas!$H32</f>
        <v>4144</v>
      </c>
      <c r="N122" s="13">
        <f>+[46]entradas!$H32</f>
        <v>2830</v>
      </c>
      <c r="O122" s="13">
        <f>+[47]entradas!$H32</f>
        <v>1225</v>
      </c>
      <c r="P122" s="13">
        <f>+[48]entradas!$H32</f>
        <v>4743</v>
      </c>
      <c r="Q122" s="13">
        <f>+[49]entradas!$H32</f>
        <v>3581</v>
      </c>
      <c r="R122" s="13">
        <f>+[50]entradas!$H32</f>
        <v>3732</v>
      </c>
      <c r="S122" s="13">
        <f>+[51]entradas!$H32</f>
        <v>3893</v>
      </c>
      <c r="T122" s="13">
        <f>+[52]entradas!$H32</f>
        <v>4226</v>
      </c>
      <c r="U122" s="13">
        <f>+[53]entradas!$H32</f>
        <v>2815</v>
      </c>
      <c r="V122" s="13">
        <f>+[54]entradas!$H32</f>
        <v>1160</v>
      </c>
      <c r="W122" s="13">
        <f>+[55]entradas!$H32</f>
        <v>4087</v>
      </c>
      <c r="X122" s="13">
        <f>+[56]entradas!$H32</f>
        <v>4199</v>
      </c>
      <c r="Y122" s="13">
        <f>+[57]entradas!$H32</f>
        <v>4148</v>
      </c>
      <c r="Z122" s="13">
        <f>+[58]entradas!$H32</f>
        <v>4039</v>
      </c>
      <c r="AA122" s="13">
        <f>+[59]entradas!$H32</f>
        <v>4255</v>
      </c>
      <c r="AB122" s="13">
        <f>+[60]entradas!$H32</f>
        <v>2957</v>
      </c>
      <c r="AC122" s="13">
        <f>+[61]entradas!$H32</f>
        <v>1340</v>
      </c>
      <c r="AD122" s="13">
        <f>+[62]entradas!$H32</f>
        <v>4286</v>
      </c>
      <c r="AE122" s="13">
        <f>+[63]entradas!$H32</f>
        <v>4332</v>
      </c>
      <c r="AF122" s="13">
        <f>+[64]entradas!$H32</f>
        <v>4363</v>
      </c>
      <c r="AG122" s="13">
        <f>+[65]entradas!$H32</f>
        <v>4368</v>
      </c>
      <c r="AH122" s="13">
        <f>+[66]entradas!$H32</f>
        <v>4307</v>
      </c>
      <c r="AI122" s="13">
        <f>+[67]entradas!$H32</f>
        <v>3233</v>
      </c>
      <c r="AJ122" s="13">
        <f>+[68]entradas!$H32</f>
        <v>1315</v>
      </c>
    </row>
    <row r="123" spans="1:36" s="12" customFormat="1" x14ac:dyDescent="0.2">
      <c r="A123" s="432"/>
      <c r="B123" s="75" t="s">
        <v>160</v>
      </c>
      <c r="C123" s="13">
        <f>+[35]entradas!$H33</f>
        <v>6996</v>
      </c>
      <c r="D123" s="13">
        <f>+[36]entradas!$H33</f>
        <v>7009</v>
      </c>
      <c r="E123" s="13">
        <f>+[37]entradas!$H33</f>
        <v>7199</v>
      </c>
      <c r="F123" s="13">
        <f>+[38]entradas!$H33</f>
        <v>7031</v>
      </c>
      <c r="G123" s="13">
        <f>+[39]entradas!$H33</f>
        <v>4563</v>
      </c>
      <c r="H123" s="13">
        <f>+[40]entradas!$H33</f>
        <v>1868</v>
      </c>
      <c r="I123" s="13">
        <f>+[41]entradas!$H33</f>
        <v>7185</v>
      </c>
      <c r="J123" s="13">
        <f>+[42]entradas!$H33</f>
        <v>7200</v>
      </c>
      <c r="K123" s="13">
        <f>+[43]entradas!$H33</f>
        <v>7022</v>
      </c>
      <c r="L123" s="13">
        <f>+[44]entradas!$H33</f>
        <v>7143</v>
      </c>
      <c r="M123" s="13">
        <f>+[45]entradas!$H33</f>
        <v>7141</v>
      </c>
      <c r="N123" s="13">
        <f>+[46]entradas!$H33</f>
        <v>4727</v>
      </c>
      <c r="O123" s="13">
        <f>+[47]entradas!$H33</f>
        <v>1769</v>
      </c>
      <c r="P123" s="13">
        <f>+[48]entradas!$H33</f>
        <v>7670</v>
      </c>
      <c r="Q123" s="13">
        <f>+[49]entradas!$H33</f>
        <v>6821</v>
      </c>
      <c r="R123" s="13">
        <f>+[50]entradas!$H33</f>
        <v>6935</v>
      </c>
      <c r="S123" s="13">
        <f>+[51]entradas!$H33</f>
        <v>7212</v>
      </c>
      <c r="T123" s="13">
        <f>+[52]entradas!$H33</f>
        <v>7503</v>
      </c>
      <c r="U123" s="13">
        <f>+[53]entradas!$H33</f>
        <v>4705</v>
      </c>
      <c r="V123" s="13">
        <f>+[54]entradas!$H33</f>
        <v>1841</v>
      </c>
      <c r="W123" s="13">
        <f>+[55]entradas!$H33</f>
        <v>7208</v>
      </c>
      <c r="X123" s="13">
        <f>+[56]entradas!$H33</f>
        <v>7360</v>
      </c>
      <c r="Y123" s="13">
        <f>+[57]entradas!$H33</f>
        <v>7249</v>
      </c>
      <c r="Z123" s="13">
        <f>+[58]entradas!$H33</f>
        <v>7364</v>
      </c>
      <c r="AA123" s="13">
        <f>+[59]entradas!$H33</f>
        <v>7415</v>
      </c>
      <c r="AB123" s="13">
        <f>+[60]entradas!$H33</f>
        <v>4950</v>
      </c>
      <c r="AC123" s="13">
        <f>+[61]entradas!$H33</f>
        <v>1752</v>
      </c>
      <c r="AD123" s="13">
        <f>+[62]entradas!$H33</f>
        <v>7335</v>
      </c>
      <c r="AE123" s="13">
        <f>+[63]entradas!$H33</f>
        <v>7627</v>
      </c>
      <c r="AF123" s="13">
        <f>+[64]entradas!$H33</f>
        <v>7294</v>
      </c>
      <c r="AG123" s="13">
        <f>+[65]entradas!$H33</f>
        <v>7238</v>
      </c>
      <c r="AH123" s="13">
        <f>+[66]entradas!$H33</f>
        <v>7352</v>
      </c>
      <c r="AI123" s="13">
        <f>+[67]entradas!$H33</f>
        <v>5224</v>
      </c>
      <c r="AJ123" s="13">
        <f>+[68]entradas!$H33</f>
        <v>1750</v>
      </c>
    </row>
    <row r="124" spans="1:36" s="12" customFormat="1" x14ac:dyDescent="0.2">
      <c r="A124" s="432"/>
      <c r="B124" s="75" t="s">
        <v>161</v>
      </c>
      <c r="C124" s="13">
        <f>+[35]entradas!$H34</f>
        <v>7941</v>
      </c>
      <c r="D124" s="13">
        <f>+[36]entradas!$H34</f>
        <v>7491</v>
      </c>
      <c r="E124" s="13">
        <f>+[37]entradas!$H34</f>
        <v>7390</v>
      </c>
      <c r="F124" s="13">
        <f>+[38]entradas!$H34</f>
        <v>7429</v>
      </c>
      <c r="G124" s="13">
        <f>+[39]entradas!$H34</f>
        <v>5012</v>
      </c>
      <c r="H124" s="13">
        <f>+[40]entradas!$H34</f>
        <v>1930</v>
      </c>
      <c r="I124" s="13">
        <f>+[41]entradas!$H34</f>
        <v>7504</v>
      </c>
      <c r="J124" s="13">
        <f>+[42]entradas!$H34</f>
        <v>7550</v>
      </c>
      <c r="K124" s="13">
        <f>+[43]entradas!$H34</f>
        <v>7518</v>
      </c>
      <c r="L124" s="13">
        <f>+[44]entradas!$H34</f>
        <v>7460</v>
      </c>
      <c r="M124" s="13">
        <f>+[45]entradas!$H34</f>
        <v>7617</v>
      </c>
      <c r="N124" s="13">
        <f>+[46]entradas!$H34</f>
        <v>4765</v>
      </c>
      <c r="O124" s="13">
        <f>+[47]entradas!$H34</f>
        <v>1670</v>
      </c>
      <c r="P124" s="13">
        <f>+[48]entradas!$H34</f>
        <v>7815</v>
      </c>
      <c r="Q124" s="13">
        <f>+[49]entradas!$H34</f>
        <v>6060</v>
      </c>
      <c r="R124" s="13">
        <f>+[50]entradas!$H34</f>
        <v>6535</v>
      </c>
      <c r="S124" s="13">
        <f>+[51]entradas!$H34</f>
        <v>6935</v>
      </c>
      <c r="T124" s="13">
        <f>+[52]entradas!$H34</f>
        <v>7469</v>
      </c>
      <c r="U124" s="13">
        <f>+[53]entradas!$H34</f>
        <v>4905</v>
      </c>
      <c r="V124" s="13">
        <f>+[54]entradas!$H34</f>
        <v>1678</v>
      </c>
      <c r="W124" s="13">
        <f>+[55]entradas!$H34</f>
        <v>7650</v>
      </c>
      <c r="X124" s="13">
        <f>+[56]entradas!$H34</f>
        <v>7591</v>
      </c>
      <c r="Y124" s="13">
        <f>+[57]entradas!$H34</f>
        <v>7427</v>
      </c>
      <c r="Z124" s="13">
        <f>+[58]entradas!$H34</f>
        <v>7309</v>
      </c>
      <c r="AA124" s="13">
        <f>+[59]entradas!$H34</f>
        <v>7546</v>
      </c>
      <c r="AB124" s="13">
        <f>+[60]entradas!$H34</f>
        <v>4876</v>
      </c>
      <c r="AC124" s="13">
        <f>+[61]entradas!$H34</f>
        <v>1788</v>
      </c>
      <c r="AD124" s="13">
        <f>+[62]entradas!$H34</f>
        <v>7630</v>
      </c>
      <c r="AE124" s="13">
        <f>+[63]entradas!$H34</f>
        <v>7728</v>
      </c>
      <c r="AF124" s="13">
        <f>+[64]entradas!$H34</f>
        <v>7888</v>
      </c>
      <c r="AG124" s="13">
        <f>+[65]entradas!$H34</f>
        <v>7617</v>
      </c>
      <c r="AH124" s="13">
        <f>+[66]entradas!$H34</f>
        <v>7816</v>
      </c>
      <c r="AI124" s="13">
        <f>+[67]entradas!$H34</f>
        <v>5041</v>
      </c>
      <c r="AJ124" s="13">
        <f>+[68]entradas!$H34</f>
        <v>1693</v>
      </c>
    </row>
    <row r="125" spans="1:36" s="12" customFormat="1" x14ac:dyDescent="0.2">
      <c r="A125" s="432"/>
      <c r="B125" s="75" t="s">
        <v>169</v>
      </c>
      <c r="C125" s="13">
        <f>+[35]entradas!$H35</f>
        <v>6918</v>
      </c>
      <c r="D125" s="13">
        <f>+[36]entradas!$H35</f>
        <v>7116</v>
      </c>
      <c r="E125" s="13">
        <f>+[37]entradas!$H35</f>
        <v>6830</v>
      </c>
      <c r="F125" s="13">
        <f>+[38]entradas!$H35</f>
        <v>6843</v>
      </c>
      <c r="G125" s="13">
        <f>+[39]entradas!$H35</f>
        <v>4658</v>
      </c>
      <c r="H125" s="13">
        <f>+[40]entradas!$H35</f>
        <v>1947</v>
      </c>
      <c r="I125" s="13">
        <f>+[41]entradas!$H35</f>
        <v>7062</v>
      </c>
      <c r="J125" s="13">
        <f>+[42]entradas!$H35</f>
        <v>7107</v>
      </c>
      <c r="K125" s="13">
        <f>+[43]entradas!$H35</f>
        <v>6935</v>
      </c>
      <c r="L125" s="13">
        <f>+[44]entradas!$H35</f>
        <v>6895</v>
      </c>
      <c r="M125" s="13">
        <f>+[45]entradas!$H35</f>
        <v>6967</v>
      </c>
      <c r="N125" s="13">
        <f>+[46]entradas!$H35</f>
        <v>4339</v>
      </c>
      <c r="O125" s="13">
        <f>+[47]entradas!$H35</f>
        <v>2048</v>
      </c>
      <c r="P125" s="13">
        <f>+[48]entradas!$H35</f>
        <v>6762</v>
      </c>
      <c r="Q125" s="13">
        <f>+[49]entradas!$H35</f>
        <v>4991</v>
      </c>
      <c r="R125" s="13">
        <f>+[50]entradas!$H35</f>
        <v>5490</v>
      </c>
      <c r="S125" s="13">
        <f>+[51]entradas!$H35</f>
        <v>6050</v>
      </c>
      <c r="T125" s="13">
        <f>+[52]entradas!$H35</f>
        <v>6700</v>
      </c>
      <c r="U125" s="13">
        <f>+[53]entradas!$H35</f>
        <v>4388</v>
      </c>
      <c r="V125" s="13">
        <f>+[54]entradas!$H35</f>
        <v>1853</v>
      </c>
      <c r="W125" s="13">
        <f>+[55]entradas!$H35</f>
        <v>7082</v>
      </c>
      <c r="X125" s="13">
        <f>+[56]entradas!$H35</f>
        <v>6890</v>
      </c>
      <c r="Y125" s="13">
        <f>+[57]entradas!$H35</f>
        <v>6974</v>
      </c>
      <c r="Z125" s="13">
        <f>+[58]entradas!$H35</f>
        <v>6824</v>
      </c>
      <c r="AA125" s="13">
        <f>+[59]entradas!$H35</f>
        <v>7141</v>
      </c>
      <c r="AB125" s="13">
        <f>+[60]entradas!$H35</f>
        <v>4550</v>
      </c>
      <c r="AC125" s="13">
        <f>+[61]entradas!$H35</f>
        <v>1858</v>
      </c>
      <c r="AD125" s="13">
        <f>+[62]entradas!$H35</f>
        <v>7018</v>
      </c>
      <c r="AE125" s="13">
        <f>+[63]entradas!$H35</f>
        <v>7092</v>
      </c>
      <c r="AF125" s="13">
        <f>+[64]entradas!$H35</f>
        <v>7163</v>
      </c>
      <c r="AG125" s="13">
        <f>+[65]entradas!$H35</f>
        <v>7126</v>
      </c>
      <c r="AH125" s="13">
        <f>+[66]entradas!$H35</f>
        <v>7088</v>
      </c>
      <c r="AI125" s="13">
        <f>+[67]entradas!$H35</f>
        <v>4798</v>
      </c>
      <c r="AJ125" s="13">
        <f>+[68]entradas!$H35</f>
        <v>1861</v>
      </c>
    </row>
    <row r="126" spans="1:36" s="12" customFormat="1" x14ac:dyDescent="0.2">
      <c r="A126" s="432"/>
      <c r="B126" s="75" t="s">
        <v>217</v>
      </c>
      <c r="C126" s="13">
        <f>+[35]entradas!$H36</f>
        <v>2230</v>
      </c>
      <c r="D126" s="13">
        <f>+[36]entradas!$H36</f>
        <v>2146</v>
      </c>
      <c r="E126" s="13">
        <f>+[37]entradas!$H36</f>
        <v>2066</v>
      </c>
      <c r="F126" s="13">
        <f>+[38]entradas!$H36</f>
        <v>2128</v>
      </c>
      <c r="G126" s="13">
        <f>+[39]entradas!$H36</f>
        <v>1210</v>
      </c>
      <c r="H126" s="13">
        <f>+[40]entradas!$H36</f>
        <v>413</v>
      </c>
      <c r="I126" s="13">
        <f>+[41]entradas!$H36</f>
        <v>2073</v>
      </c>
      <c r="J126" s="13">
        <f>+[42]entradas!$H36</f>
        <v>2187</v>
      </c>
      <c r="K126" s="13">
        <f>+[43]entradas!$H36</f>
        <v>2326</v>
      </c>
      <c r="L126" s="13">
        <f>+[44]entradas!$H36</f>
        <v>2275</v>
      </c>
      <c r="M126" s="13">
        <f>+[45]entradas!$H36</f>
        <v>2196</v>
      </c>
      <c r="N126" s="13">
        <f>+[46]entradas!$H36</f>
        <v>1099</v>
      </c>
      <c r="O126" s="13">
        <f>+[47]entradas!$H36</f>
        <v>361</v>
      </c>
      <c r="P126" s="13">
        <f>+[48]entradas!$H36</f>
        <v>2060</v>
      </c>
      <c r="Q126" s="13">
        <f>+[49]entradas!$H36</f>
        <v>2381</v>
      </c>
      <c r="R126" s="13">
        <f>+[50]entradas!$H36</f>
        <v>2146</v>
      </c>
      <c r="S126" s="13">
        <f>+[51]entradas!$H36</f>
        <v>2117</v>
      </c>
      <c r="T126" s="13">
        <f>+[52]entradas!$H36</f>
        <v>2026</v>
      </c>
      <c r="U126" s="13">
        <f>+[53]entradas!$H36</f>
        <v>1047</v>
      </c>
      <c r="V126" s="13">
        <f>+[54]entradas!$H36</f>
        <v>395</v>
      </c>
      <c r="W126" s="13">
        <f>+[55]entradas!$H36</f>
        <v>1958</v>
      </c>
      <c r="X126" s="13">
        <f>+[56]entradas!$H36</f>
        <v>2091</v>
      </c>
      <c r="Y126" s="13">
        <f>+[57]entradas!$H36</f>
        <v>2050</v>
      </c>
      <c r="Z126" s="13">
        <f>+[58]entradas!$H36</f>
        <v>1983</v>
      </c>
      <c r="AA126" s="13">
        <f>+[59]entradas!$H36</f>
        <v>1914</v>
      </c>
      <c r="AB126" s="13">
        <f>+[60]entradas!$H36</f>
        <v>1094</v>
      </c>
      <c r="AC126" s="13">
        <f>+[61]entradas!$H36</f>
        <v>352</v>
      </c>
      <c r="AD126" s="13">
        <f>+[62]entradas!$H36</f>
        <v>2087</v>
      </c>
      <c r="AE126" s="13">
        <f>+[63]entradas!$H36</f>
        <v>2128</v>
      </c>
      <c r="AF126" s="13">
        <f>+[64]entradas!$H36</f>
        <v>2165</v>
      </c>
      <c r="AG126" s="13">
        <f>+[65]entradas!$H36</f>
        <v>1999</v>
      </c>
      <c r="AH126" s="13">
        <f>+[66]entradas!$H36</f>
        <v>2016</v>
      </c>
      <c r="AI126" s="13">
        <f>+[67]entradas!$H36</f>
        <v>1101</v>
      </c>
      <c r="AJ126" s="13">
        <f>+[68]entradas!$H36</f>
        <v>372</v>
      </c>
    </row>
    <row r="127" spans="1:36" s="12" customFormat="1" x14ac:dyDescent="0.2">
      <c r="A127" s="432"/>
      <c r="B127" s="75" t="s">
        <v>237</v>
      </c>
      <c r="C127" s="13">
        <f>+[35]entradas!$H37</f>
        <v>4611</v>
      </c>
      <c r="D127" s="13">
        <f>+[36]entradas!$H37</f>
        <v>4584</v>
      </c>
      <c r="E127" s="13">
        <f>+[37]entradas!$H37</f>
        <v>4423</v>
      </c>
      <c r="F127" s="13">
        <f>+[38]entradas!$H37</f>
        <v>4483</v>
      </c>
      <c r="G127" s="13">
        <f>+[39]entradas!$H37</f>
        <v>3091</v>
      </c>
      <c r="H127" s="13">
        <f>+[40]entradas!$H37</f>
        <v>809</v>
      </c>
      <c r="I127" s="13">
        <f>+[41]entradas!$H37</f>
        <v>4507</v>
      </c>
      <c r="J127" s="13">
        <f>+[42]entradas!$H37</f>
        <v>4568</v>
      </c>
      <c r="K127" s="13">
        <f>+[43]entradas!$H37</f>
        <v>4531</v>
      </c>
      <c r="L127" s="13">
        <f>+[44]entradas!$H37</f>
        <v>4562</v>
      </c>
      <c r="M127" s="13">
        <f>+[45]entradas!$H37</f>
        <v>4513</v>
      </c>
      <c r="N127" s="13">
        <f>+[46]entradas!$H37</f>
        <v>3068</v>
      </c>
      <c r="O127" s="13">
        <f>+[47]entradas!$H37</f>
        <v>872</v>
      </c>
      <c r="P127" s="13">
        <f>+[48]entradas!$H37</f>
        <v>4464</v>
      </c>
      <c r="Q127" s="13">
        <f>+[49]entradas!$H37</f>
        <v>4697</v>
      </c>
      <c r="R127" s="13">
        <f>+[50]entradas!$H37</f>
        <v>4617</v>
      </c>
      <c r="S127" s="13">
        <f>+[51]entradas!$H37</f>
        <v>4627</v>
      </c>
      <c r="T127" s="13">
        <f>+[52]entradas!$H37</f>
        <v>4659</v>
      </c>
      <c r="U127" s="13">
        <f>+[53]entradas!$H37</f>
        <v>3067</v>
      </c>
      <c r="V127" s="13">
        <f>+[54]entradas!$H37</f>
        <v>801</v>
      </c>
      <c r="W127" s="13">
        <f>+[55]entradas!$H37</f>
        <v>4480</v>
      </c>
      <c r="X127" s="13">
        <f>+[56]entradas!$H37</f>
        <v>4682</v>
      </c>
      <c r="Y127" s="13">
        <f>+[57]entradas!$H37</f>
        <v>4598</v>
      </c>
      <c r="Z127" s="13">
        <f>+[58]entradas!$H37</f>
        <v>4667</v>
      </c>
      <c r="AA127" s="13">
        <f>+[59]entradas!$H37</f>
        <v>4595</v>
      </c>
      <c r="AB127" s="13">
        <f>+[60]entradas!$H37</f>
        <v>3136</v>
      </c>
      <c r="AC127" s="13">
        <f>+[61]entradas!$H37</f>
        <v>854</v>
      </c>
      <c r="AD127" s="13">
        <f>+[62]entradas!$H37</f>
        <v>4821</v>
      </c>
      <c r="AE127" s="13">
        <f>+[63]entradas!$H37</f>
        <v>4951</v>
      </c>
      <c r="AF127" s="13">
        <f>+[64]entradas!$H37</f>
        <v>5004</v>
      </c>
      <c r="AG127" s="13">
        <f>+[65]entradas!$H37</f>
        <v>4912</v>
      </c>
      <c r="AH127" s="13">
        <f>+[66]entradas!$H37</f>
        <v>4863</v>
      </c>
      <c r="AI127" s="13">
        <f>+[67]entradas!$H37</f>
        <v>3191</v>
      </c>
      <c r="AJ127" s="13">
        <f>+[68]entradas!$H37</f>
        <v>798</v>
      </c>
    </row>
    <row r="128" spans="1:36" s="12" customFormat="1" x14ac:dyDescent="0.2">
      <c r="A128" s="432"/>
      <c r="B128" s="75" t="s">
        <v>219</v>
      </c>
      <c r="C128" s="13">
        <f>+[35]entradas!$H38</f>
        <v>3423</v>
      </c>
      <c r="D128" s="13">
        <f>+[36]entradas!$H38</f>
        <v>3234</v>
      </c>
      <c r="E128" s="13">
        <f>+[37]entradas!$H38</f>
        <v>3203</v>
      </c>
      <c r="F128" s="13">
        <f>+[38]entradas!$H38</f>
        <v>3251</v>
      </c>
      <c r="G128" s="13">
        <f>+[39]entradas!$H38</f>
        <v>2485</v>
      </c>
      <c r="H128" s="13">
        <f>+[40]entradas!$H38</f>
        <v>810</v>
      </c>
      <c r="I128" s="13">
        <f>+[41]entradas!$H38</f>
        <v>3472</v>
      </c>
      <c r="J128" s="13">
        <f>+[42]entradas!$H38</f>
        <v>3405</v>
      </c>
      <c r="K128" s="13">
        <f>+[43]entradas!$H38</f>
        <v>3379</v>
      </c>
      <c r="L128" s="13">
        <f>+[44]entradas!$H38</f>
        <v>3397</v>
      </c>
      <c r="M128" s="13">
        <f>+[45]entradas!$H38</f>
        <v>3362</v>
      </c>
      <c r="N128" s="13">
        <f>+[46]entradas!$H38</f>
        <v>2428</v>
      </c>
      <c r="O128" s="13">
        <f>+[47]entradas!$H38</f>
        <v>861</v>
      </c>
      <c r="P128" s="13">
        <f>+[48]entradas!$H38</f>
        <v>3396</v>
      </c>
      <c r="Q128" s="13">
        <f>+[49]entradas!$H38</f>
        <v>6472</v>
      </c>
      <c r="R128" s="13">
        <f>+[50]entradas!$H38</f>
        <v>6782</v>
      </c>
      <c r="S128" s="13">
        <f>+[51]entradas!$H38</f>
        <v>7145</v>
      </c>
      <c r="T128" s="13">
        <f>+[52]entradas!$H38</f>
        <v>6955</v>
      </c>
      <c r="U128" s="13">
        <f>+[53]entradas!$H38</f>
        <v>4961</v>
      </c>
      <c r="V128" s="13">
        <f>+[54]entradas!$H38</f>
        <v>1875</v>
      </c>
      <c r="W128" s="13">
        <f>+[55]entradas!$H38</f>
        <v>7167</v>
      </c>
      <c r="X128" s="13">
        <f>+[56]entradas!$H38</f>
        <v>6945</v>
      </c>
      <c r="Y128" s="13">
        <f>+[57]entradas!$H38</f>
        <v>7029</v>
      </c>
      <c r="Z128" s="13">
        <f>+[58]entradas!$H38</f>
        <v>7140</v>
      </c>
      <c r="AA128" s="13">
        <f>+[59]entradas!$H38</f>
        <v>6857</v>
      </c>
      <c r="AB128" s="13">
        <f>+[60]entradas!$H38</f>
        <v>5000</v>
      </c>
      <c r="AC128" s="13">
        <f>+[61]entradas!$H38</f>
        <v>1736</v>
      </c>
      <c r="AD128" s="13">
        <f>+[62]entradas!$H38</f>
        <v>6983</v>
      </c>
      <c r="AE128" s="13">
        <f>+[63]entradas!$H38</f>
        <v>6991</v>
      </c>
      <c r="AF128" s="13">
        <f>+[64]entradas!$H38</f>
        <v>7101</v>
      </c>
      <c r="AG128" s="13">
        <f>+[65]entradas!$H38</f>
        <v>7001</v>
      </c>
      <c r="AH128" s="13">
        <f>+[66]entradas!$H38</f>
        <v>6942</v>
      </c>
      <c r="AI128" s="13">
        <f>+[67]entradas!$H38</f>
        <v>5130</v>
      </c>
      <c r="AJ128" s="13">
        <f>+[68]entradas!$H38</f>
        <v>1842</v>
      </c>
    </row>
    <row r="129" spans="1:36" s="12" customFormat="1" x14ac:dyDescent="0.2">
      <c r="A129" s="432"/>
      <c r="B129" s="75" t="s">
        <v>220</v>
      </c>
      <c r="C129" s="13">
        <f>+[35]entradas!$H39</f>
        <v>4647</v>
      </c>
      <c r="D129" s="13">
        <f>+[36]entradas!$H39</f>
        <v>4535</v>
      </c>
      <c r="E129" s="13">
        <f>+[37]entradas!$H39</f>
        <v>4570</v>
      </c>
      <c r="F129" s="13">
        <f>+[38]entradas!$H39</f>
        <v>4388</v>
      </c>
      <c r="G129" s="13">
        <f>+[39]entradas!$H39</f>
        <v>3203</v>
      </c>
      <c r="H129" s="13">
        <f>+[40]entradas!$H39</f>
        <v>1078</v>
      </c>
      <c r="I129" s="13">
        <f>+[41]entradas!$H39</f>
        <v>4676</v>
      </c>
      <c r="J129" s="13">
        <f>+[42]entradas!$H39</f>
        <v>4662</v>
      </c>
      <c r="K129" s="13">
        <f>+[43]entradas!$H39</f>
        <v>4589</v>
      </c>
      <c r="L129" s="13">
        <f>+[44]entradas!$H39</f>
        <v>4518</v>
      </c>
      <c r="M129" s="13">
        <f>+[45]entradas!$H39</f>
        <v>4310</v>
      </c>
      <c r="N129" s="13">
        <f>+[46]entradas!$H39</f>
        <v>3135</v>
      </c>
      <c r="O129" s="13">
        <f>+[47]entradas!$H39</f>
        <v>1220</v>
      </c>
      <c r="P129" s="13">
        <f>+[48]entradas!$H39</f>
        <v>4488</v>
      </c>
      <c r="Q129" s="13">
        <f>+[49]entradas!$H39</f>
        <v>460</v>
      </c>
      <c r="R129" s="13">
        <f>+[50]entradas!$H39</f>
        <v>3</v>
      </c>
      <c r="S129" s="13">
        <f>+[51]entradas!$H39</f>
        <v>0</v>
      </c>
      <c r="T129" s="13">
        <f>+[52]entradas!$H39</f>
        <v>0</v>
      </c>
      <c r="U129" s="13">
        <f>+[53]entradas!$H39</f>
        <v>0</v>
      </c>
      <c r="V129" s="13">
        <f>+[54]entradas!$H39</f>
        <v>0</v>
      </c>
      <c r="W129" s="13">
        <f>+[55]entradas!$H39</f>
        <v>0</v>
      </c>
      <c r="X129" s="13">
        <f>+[56]entradas!$H39</f>
        <v>0</v>
      </c>
      <c r="Y129" s="13">
        <f>+[57]entradas!$H39</f>
        <v>0</v>
      </c>
      <c r="Z129" s="13">
        <f>+[58]entradas!$H39</f>
        <v>0</v>
      </c>
      <c r="AA129" s="13">
        <f>+[59]entradas!$H39</f>
        <v>0</v>
      </c>
      <c r="AB129" s="13">
        <f>+[60]entradas!$H39</f>
        <v>0</v>
      </c>
      <c r="AC129" s="13">
        <f>+[61]entradas!$H39</f>
        <v>0</v>
      </c>
      <c r="AD129" s="13">
        <f>+[62]entradas!$H39</f>
        <v>0</v>
      </c>
      <c r="AE129" s="13">
        <f>+[63]entradas!$H39</f>
        <v>0</v>
      </c>
      <c r="AF129" s="13">
        <f>+[64]entradas!$H39</f>
        <v>0</v>
      </c>
      <c r="AG129" s="13">
        <f>+[65]entradas!$H39</f>
        <v>0</v>
      </c>
      <c r="AH129" s="13">
        <f>+[66]entradas!$H39</f>
        <v>0</v>
      </c>
      <c r="AI129" s="13">
        <f>+[67]entradas!$H39</f>
        <v>0</v>
      </c>
      <c r="AJ129" s="13">
        <f>+[68]entradas!$H39</f>
        <v>0</v>
      </c>
    </row>
    <row r="130" spans="1:36" s="12" customFormat="1" x14ac:dyDescent="0.2">
      <c r="A130" s="432"/>
      <c r="B130" s="75" t="s">
        <v>221</v>
      </c>
      <c r="C130" s="13">
        <f>+[35]entradas!$H40</f>
        <v>7032</v>
      </c>
      <c r="D130" s="13">
        <f>+[36]entradas!$H40</f>
        <v>7046</v>
      </c>
      <c r="E130" s="13">
        <f>+[37]entradas!$H40</f>
        <v>6603</v>
      </c>
      <c r="F130" s="13">
        <f>+[38]entradas!$H40</f>
        <v>6549</v>
      </c>
      <c r="G130" s="13">
        <f>+[39]entradas!$H40</f>
        <v>4584</v>
      </c>
      <c r="H130" s="13">
        <f>+[40]entradas!$H40</f>
        <v>1272</v>
      </c>
      <c r="I130" s="13">
        <f>+[41]entradas!$H40</f>
        <v>6831</v>
      </c>
      <c r="J130" s="13">
        <f>+[42]entradas!$H40</f>
        <v>6988</v>
      </c>
      <c r="K130" s="13">
        <f>+[43]entradas!$H40</f>
        <v>6646</v>
      </c>
      <c r="L130" s="13">
        <f>+[44]entradas!$H40</f>
        <v>6873</v>
      </c>
      <c r="M130" s="13">
        <f>+[45]entradas!$H40</f>
        <v>6476</v>
      </c>
      <c r="N130" s="13">
        <f>+[46]entradas!$H40</f>
        <v>4417</v>
      </c>
      <c r="O130" s="13">
        <f>+[47]entradas!$H40</f>
        <v>1253</v>
      </c>
      <c r="P130" s="13">
        <f>+[48]entradas!$H40</f>
        <v>6609</v>
      </c>
      <c r="Q130" s="13">
        <f>+[49]entradas!$H40</f>
        <v>6884</v>
      </c>
      <c r="R130" s="13">
        <f>+[50]entradas!$H40</f>
        <v>6747</v>
      </c>
      <c r="S130" s="13">
        <f>+[51]entradas!$H40</f>
        <v>6779</v>
      </c>
      <c r="T130" s="13">
        <f>+[52]entradas!$H40</f>
        <v>6794</v>
      </c>
      <c r="U130" s="13">
        <f>+[53]entradas!$H40</f>
        <v>4853</v>
      </c>
      <c r="V130" s="13">
        <f>+[54]entradas!$H40</f>
        <v>1331</v>
      </c>
      <c r="W130" s="13">
        <f>+[55]entradas!$H40</f>
        <v>6901</v>
      </c>
      <c r="X130" s="13">
        <f>+[56]entradas!$H40</f>
        <v>7159</v>
      </c>
      <c r="Y130" s="13">
        <f>+[57]entradas!$H40</f>
        <v>7111</v>
      </c>
      <c r="Z130" s="13">
        <f>+[58]entradas!$H40</f>
        <v>7063</v>
      </c>
      <c r="AA130" s="13">
        <f>+[59]entradas!$H40</f>
        <v>6904</v>
      </c>
      <c r="AB130" s="13">
        <f>+[60]entradas!$H40</f>
        <v>4976</v>
      </c>
      <c r="AC130" s="13">
        <f>+[61]entradas!$H40</f>
        <v>1386</v>
      </c>
      <c r="AD130" s="13">
        <f>+[62]entradas!$H40</f>
        <v>6920</v>
      </c>
      <c r="AE130" s="13">
        <f>+[63]entradas!$H40</f>
        <v>7287</v>
      </c>
      <c r="AF130" s="13">
        <f>+[64]entradas!$H40</f>
        <v>7449</v>
      </c>
      <c r="AG130" s="13">
        <f>+[65]entradas!$H40</f>
        <v>7206</v>
      </c>
      <c r="AH130" s="13">
        <f>+[66]entradas!$H40</f>
        <v>7111</v>
      </c>
      <c r="AI130" s="13">
        <f>+[67]entradas!$H40</f>
        <v>4921</v>
      </c>
      <c r="AJ130" s="13">
        <f>+[68]entradas!$H40</f>
        <v>1417</v>
      </c>
    </row>
    <row r="131" spans="1:36" s="12" customFormat="1" x14ac:dyDescent="0.2">
      <c r="A131" s="432"/>
      <c r="B131" s="75" t="s">
        <v>222</v>
      </c>
      <c r="C131" s="13">
        <f>+[35]entradas!$H41</f>
        <v>4205</v>
      </c>
      <c r="D131" s="13">
        <f>+[36]entradas!$H41</f>
        <v>4022</v>
      </c>
      <c r="E131" s="13">
        <f>+[37]entradas!$H41</f>
        <v>4652</v>
      </c>
      <c r="F131" s="13">
        <f>+[38]entradas!$H41</f>
        <v>3965</v>
      </c>
      <c r="G131" s="13">
        <f>+[39]entradas!$H41</f>
        <v>2877</v>
      </c>
      <c r="H131" s="13">
        <f>+[40]entradas!$H41</f>
        <v>1345</v>
      </c>
      <c r="I131" s="13">
        <f>+[41]entradas!$H41</f>
        <v>3874</v>
      </c>
      <c r="J131" s="13">
        <f>+[42]entradas!$H41</f>
        <v>4039</v>
      </c>
      <c r="K131" s="13">
        <f>+[43]entradas!$H41</f>
        <v>4101</v>
      </c>
      <c r="L131" s="13">
        <f>+[44]entradas!$H41</f>
        <v>5125</v>
      </c>
      <c r="M131" s="13">
        <f>+[45]entradas!$H41</f>
        <v>5499</v>
      </c>
      <c r="N131" s="13">
        <f>+[46]entradas!$H41</f>
        <v>4268</v>
      </c>
      <c r="O131" s="13">
        <f>+[47]entradas!$H41</f>
        <v>2263</v>
      </c>
      <c r="P131" s="13">
        <f>+[48]entradas!$H41</f>
        <v>4176</v>
      </c>
      <c r="Q131" s="13">
        <f>+[49]entradas!$H41</f>
        <v>4032</v>
      </c>
      <c r="R131" s="13">
        <f>+[50]entradas!$H41</f>
        <v>3983</v>
      </c>
      <c r="S131" s="13">
        <f>+[51]entradas!$H41</f>
        <v>4118</v>
      </c>
      <c r="T131" s="13">
        <f>+[52]entradas!$H41</f>
        <v>4224</v>
      </c>
      <c r="U131" s="13">
        <f>+[53]entradas!$H41</f>
        <v>2921</v>
      </c>
      <c r="V131" s="13">
        <f>+[54]entradas!$H41</f>
        <v>1119</v>
      </c>
      <c r="W131" s="13">
        <f>+[55]entradas!$H41</f>
        <v>4007</v>
      </c>
      <c r="X131" s="13">
        <f>+[56]entradas!$H41</f>
        <v>4253</v>
      </c>
      <c r="Y131" s="13">
        <f>+[57]entradas!$H41</f>
        <v>4093</v>
      </c>
      <c r="Z131" s="13">
        <f>+[58]entradas!$H41</f>
        <v>4209</v>
      </c>
      <c r="AA131" s="13">
        <f>+[59]entradas!$H41</f>
        <v>4067</v>
      </c>
      <c r="AB131" s="13">
        <f>+[60]entradas!$H41</f>
        <v>2918</v>
      </c>
      <c r="AC131" s="13">
        <f>+[61]entradas!$H41</f>
        <v>2147</v>
      </c>
      <c r="AD131" s="13">
        <f>+[62]entradas!$H41</f>
        <v>4038</v>
      </c>
      <c r="AE131" s="13">
        <f>+[63]entradas!$H41</f>
        <v>4436</v>
      </c>
      <c r="AF131" s="13">
        <f>+[64]entradas!$H41</f>
        <v>4201</v>
      </c>
      <c r="AG131" s="13">
        <f>+[65]entradas!$H41</f>
        <v>4232</v>
      </c>
      <c r="AH131" s="13">
        <f>+[66]entradas!$H41</f>
        <v>3955</v>
      </c>
      <c r="AI131" s="13">
        <f>+[67]entradas!$H41</f>
        <v>3547</v>
      </c>
      <c r="AJ131" s="13">
        <f>+[68]entradas!$H41</f>
        <v>1151</v>
      </c>
    </row>
    <row r="132" spans="1:36" s="12" customFormat="1" x14ac:dyDescent="0.2">
      <c r="A132" s="432"/>
      <c r="B132" s="75" t="s">
        <v>223</v>
      </c>
      <c r="C132" s="13">
        <f>+[35]entradas!$H42</f>
        <v>8196</v>
      </c>
      <c r="D132" s="13">
        <f>+[36]entradas!$H42</f>
        <v>8081</v>
      </c>
      <c r="E132" s="13">
        <f>+[37]entradas!$H42</f>
        <v>8015</v>
      </c>
      <c r="F132" s="13">
        <f>+[38]entradas!$H42</f>
        <v>8318</v>
      </c>
      <c r="G132" s="13">
        <f>+[39]entradas!$H42</f>
        <v>6129</v>
      </c>
      <c r="H132" s="13">
        <f>+[40]entradas!$H42</f>
        <v>3936</v>
      </c>
      <c r="I132" s="13">
        <f>+[41]entradas!$H42</f>
        <v>7931</v>
      </c>
      <c r="J132" s="13">
        <f>+[42]entradas!$H42</f>
        <v>8425</v>
      </c>
      <c r="K132" s="13">
        <f>+[43]entradas!$H42</f>
        <v>7920</v>
      </c>
      <c r="L132" s="13">
        <f>+[44]entradas!$H42</f>
        <v>8470</v>
      </c>
      <c r="M132" s="13">
        <f>+[45]entradas!$H42</f>
        <v>8436</v>
      </c>
      <c r="N132" s="13">
        <f>+[46]entradas!$H42</f>
        <v>7792</v>
      </c>
      <c r="O132" s="13">
        <f>+[47]entradas!$H42</f>
        <v>3509</v>
      </c>
      <c r="P132" s="13">
        <f>+[48]entradas!$H42</f>
        <v>8494</v>
      </c>
      <c r="Q132" s="13">
        <f>+[49]entradas!$H42</f>
        <v>8068</v>
      </c>
      <c r="R132" s="13">
        <f>+[50]entradas!$H42</f>
        <v>7810</v>
      </c>
      <c r="S132" s="13">
        <f>+[51]entradas!$H42</f>
        <v>8175</v>
      </c>
      <c r="T132" s="13">
        <f>+[52]entradas!$H42</f>
        <v>8427</v>
      </c>
      <c r="U132" s="13">
        <f>+[53]entradas!$H42</f>
        <v>7793</v>
      </c>
      <c r="V132" s="13">
        <f>+[54]entradas!$H42</f>
        <v>2553</v>
      </c>
      <c r="W132" s="13">
        <f>+[55]entradas!$H42</f>
        <v>8194</v>
      </c>
      <c r="X132" s="13">
        <f>+[56]entradas!$H42</f>
        <v>8369</v>
      </c>
      <c r="Y132" s="13">
        <f>+[57]entradas!$H42</f>
        <v>7842</v>
      </c>
      <c r="Z132" s="13">
        <f>+[58]entradas!$H42</f>
        <v>7901</v>
      </c>
      <c r="AA132" s="13">
        <f>+[59]entradas!$H42</f>
        <v>8326</v>
      </c>
      <c r="AB132" s="13">
        <f>+[60]entradas!$H42</f>
        <v>6616</v>
      </c>
      <c r="AC132" s="13">
        <f>+[61]entradas!$H42</f>
        <v>5869</v>
      </c>
      <c r="AD132" s="13">
        <f>+[62]entradas!$H42</f>
        <v>8144</v>
      </c>
      <c r="AE132" s="13">
        <f>+[63]entradas!$H42</f>
        <v>8719</v>
      </c>
      <c r="AF132" s="13">
        <f>+[64]entradas!$H42</f>
        <v>8140</v>
      </c>
      <c r="AG132" s="13">
        <f>+[65]entradas!$H42</f>
        <v>8417</v>
      </c>
      <c r="AH132" s="13">
        <f>+[66]entradas!$H42</f>
        <v>8601</v>
      </c>
      <c r="AI132" s="13">
        <f>+[67]entradas!$H42</f>
        <v>7632</v>
      </c>
      <c r="AJ132" s="13">
        <f>+[68]entradas!$H42</f>
        <v>3810</v>
      </c>
    </row>
    <row r="133" spans="1:36" s="12" customFormat="1" x14ac:dyDescent="0.2">
      <c r="A133" s="432"/>
      <c r="B133" s="75" t="s">
        <v>224</v>
      </c>
      <c r="C133" s="13">
        <f>+[35]entradas!$H43</f>
        <v>3088</v>
      </c>
      <c r="D133" s="13">
        <f>+[36]entradas!$H43</f>
        <v>2888</v>
      </c>
      <c r="E133" s="13">
        <f>+[37]entradas!$H43</f>
        <v>2831</v>
      </c>
      <c r="F133" s="13">
        <f>+[38]entradas!$H43</f>
        <v>2834</v>
      </c>
      <c r="G133" s="13">
        <f>+[39]entradas!$H43</f>
        <v>1538</v>
      </c>
      <c r="H133" s="13">
        <f>+[40]entradas!$H43</f>
        <v>470</v>
      </c>
      <c r="I133" s="13">
        <f>+[41]entradas!$H43</f>
        <v>2921</v>
      </c>
      <c r="J133" s="13">
        <f>+[42]entradas!$H43</f>
        <v>3069</v>
      </c>
      <c r="K133" s="13">
        <f>+[43]entradas!$H43</f>
        <v>2933</v>
      </c>
      <c r="L133" s="13">
        <f>+[44]entradas!$H43</f>
        <v>2992</v>
      </c>
      <c r="M133" s="13">
        <f>+[45]entradas!$H43</f>
        <v>2940</v>
      </c>
      <c r="N133" s="13">
        <f>+[46]entradas!$H43</f>
        <v>1628</v>
      </c>
      <c r="O133" s="13">
        <f>+[47]entradas!$H43</f>
        <v>455</v>
      </c>
      <c r="P133" s="13">
        <f>+[48]entradas!$H43</f>
        <v>3045</v>
      </c>
      <c r="Q133" s="13">
        <f>+[49]entradas!$H43</f>
        <v>3045</v>
      </c>
      <c r="R133" s="13">
        <f>+[50]entradas!$H43</f>
        <v>2967</v>
      </c>
      <c r="S133" s="13">
        <f>+[51]entradas!$H43</f>
        <v>3157</v>
      </c>
      <c r="T133" s="13">
        <f>+[52]entradas!$H43</f>
        <v>2958</v>
      </c>
      <c r="U133" s="13">
        <f>+[53]entradas!$H43</f>
        <v>1722</v>
      </c>
      <c r="V133" s="13">
        <f>+[54]entradas!$H43</f>
        <v>418</v>
      </c>
      <c r="W133" s="13">
        <f>+[55]entradas!$H43</f>
        <v>2947</v>
      </c>
      <c r="X133" s="13">
        <f>+[56]entradas!$H43</f>
        <v>3256</v>
      </c>
      <c r="Y133" s="13">
        <f>+[57]entradas!$H43</f>
        <v>2964</v>
      </c>
      <c r="Z133" s="13">
        <f>+[58]entradas!$H43</f>
        <v>3131</v>
      </c>
      <c r="AA133" s="13">
        <f>+[59]entradas!$H43</f>
        <v>3070</v>
      </c>
      <c r="AB133" s="13">
        <f>+[60]entradas!$H43</f>
        <v>1611</v>
      </c>
      <c r="AC133" s="13">
        <f>+[61]entradas!$H43</f>
        <v>553</v>
      </c>
      <c r="AD133" s="13">
        <f>+[62]entradas!$H43</f>
        <v>3148</v>
      </c>
      <c r="AE133" s="13">
        <f>+[63]entradas!$H43</f>
        <v>3358</v>
      </c>
      <c r="AF133" s="13">
        <f>+[64]entradas!$H43</f>
        <v>3093</v>
      </c>
      <c r="AG133" s="13">
        <f>+[65]entradas!$H43</f>
        <v>3197</v>
      </c>
      <c r="AH133" s="13">
        <f>+[66]entradas!$H43</f>
        <v>3311</v>
      </c>
      <c r="AI133" s="13">
        <f>+[67]entradas!$H43</f>
        <v>1883</v>
      </c>
      <c r="AJ133" s="13">
        <f>+[68]entradas!$H43</f>
        <v>493</v>
      </c>
    </row>
    <row r="134" spans="1:36" s="12" customFormat="1" x14ac:dyDescent="0.2">
      <c r="A134" s="432"/>
      <c r="B134" s="75" t="s">
        <v>225</v>
      </c>
      <c r="C134" s="13">
        <f>+[35]entradas!$H44</f>
        <v>8963</v>
      </c>
      <c r="D134" s="13">
        <f>+[36]entradas!$H44</f>
        <v>9129</v>
      </c>
      <c r="E134" s="13">
        <f>+[37]entradas!$H44</f>
        <v>9067</v>
      </c>
      <c r="F134" s="13">
        <f>+[38]entradas!$H44</f>
        <v>9542</v>
      </c>
      <c r="G134" s="13">
        <f>+[39]entradas!$H44</f>
        <v>3913</v>
      </c>
      <c r="H134" s="13">
        <f>+[40]entradas!$H44</f>
        <v>833</v>
      </c>
      <c r="I134" s="13">
        <f>+[41]entradas!$H44</f>
        <v>13015</v>
      </c>
      <c r="J134" s="13">
        <f>+[42]entradas!$H44</f>
        <v>14034</v>
      </c>
      <c r="K134" s="13">
        <f>+[43]entradas!$H44</f>
        <v>13872</v>
      </c>
      <c r="L134" s="13">
        <f>+[44]entradas!$H44</f>
        <v>14016</v>
      </c>
      <c r="M134" s="13">
        <f>+[45]entradas!$H44</f>
        <v>13856</v>
      </c>
      <c r="N134" s="13">
        <f>+[46]entradas!$H44</f>
        <v>4826</v>
      </c>
      <c r="O134" s="13">
        <f>+[47]entradas!$H44</f>
        <v>1017</v>
      </c>
      <c r="P134" s="13">
        <f>+[48]entradas!$H44</f>
        <v>13740</v>
      </c>
      <c r="Q134" s="13">
        <f>+[49]entradas!$H44</f>
        <v>14499</v>
      </c>
      <c r="R134" s="13">
        <f>+[50]entradas!$H44</f>
        <v>14662</v>
      </c>
      <c r="S134" s="13">
        <f>+[51]entradas!$H44</f>
        <v>14766</v>
      </c>
      <c r="T134" s="13">
        <f>+[52]entradas!$H44</f>
        <v>14109</v>
      </c>
      <c r="U134" s="13">
        <f>+[53]entradas!$H44</f>
        <v>5384</v>
      </c>
      <c r="V134" s="13">
        <f>+[54]entradas!$H44</f>
        <v>880</v>
      </c>
      <c r="W134" s="13">
        <f>+[55]entradas!$H44</f>
        <v>13453</v>
      </c>
      <c r="X134" s="13">
        <f>+[56]entradas!$H44</f>
        <v>14665</v>
      </c>
      <c r="Y134" s="13">
        <f>+[57]entradas!$H44</f>
        <v>14585</v>
      </c>
      <c r="Z134" s="13">
        <f>+[58]entradas!$H44</f>
        <v>14990</v>
      </c>
      <c r="AA134" s="13">
        <f>+[59]entradas!$H44</f>
        <v>14058</v>
      </c>
      <c r="AB134" s="13">
        <f>+[60]entradas!$H44</f>
        <v>5659</v>
      </c>
      <c r="AC134" s="13">
        <f>+[61]entradas!$H44</f>
        <v>943</v>
      </c>
      <c r="AD134" s="13">
        <f>+[62]entradas!$H44</f>
        <v>13852</v>
      </c>
      <c r="AE134" s="13">
        <f>+[63]entradas!$H44</f>
        <v>14745</v>
      </c>
      <c r="AF134" s="13">
        <f>+[64]entradas!$H44</f>
        <v>14878</v>
      </c>
      <c r="AG134" s="13">
        <f>+[65]entradas!$H44</f>
        <v>15109</v>
      </c>
      <c r="AH134" s="13">
        <f>+[66]entradas!$H44</f>
        <v>14939</v>
      </c>
      <c r="AI134" s="13">
        <f>+[67]entradas!$H44</f>
        <v>6252</v>
      </c>
      <c r="AJ134" s="13">
        <f>+[68]entradas!$H44</f>
        <v>908</v>
      </c>
    </row>
    <row r="135" spans="1:36" s="12" customFormat="1" x14ac:dyDescent="0.2">
      <c r="A135" s="432"/>
      <c r="B135" s="75" t="s">
        <v>226</v>
      </c>
      <c r="C135" s="13">
        <f>+[35]entradas!$H45</f>
        <v>6248</v>
      </c>
      <c r="D135" s="13">
        <f>+[36]entradas!$H45</f>
        <v>6244</v>
      </c>
      <c r="E135" s="13">
        <f>+[37]entradas!$H45</f>
        <v>6238</v>
      </c>
      <c r="F135" s="13">
        <f>+[38]entradas!$H45</f>
        <v>6119</v>
      </c>
      <c r="G135" s="13">
        <f>+[39]entradas!$H45</f>
        <v>3666</v>
      </c>
      <c r="H135" s="13">
        <f>+[40]entradas!$H45</f>
        <v>1414</v>
      </c>
      <c r="I135" s="13">
        <f>+[41]entradas!$H45</f>
        <v>6291</v>
      </c>
      <c r="J135" s="13">
        <f>+[42]entradas!$H45</f>
        <v>6422</v>
      </c>
      <c r="K135" s="13">
        <f>+[43]entradas!$H45</f>
        <v>6343</v>
      </c>
      <c r="L135" s="13">
        <f>+[44]entradas!$H45</f>
        <v>6389</v>
      </c>
      <c r="M135" s="13">
        <f>+[45]entradas!$H45</f>
        <v>6368</v>
      </c>
      <c r="N135" s="13">
        <f>+[46]entradas!$H45</f>
        <v>3702</v>
      </c>
      <c r="O135" s="13">
        <f>+[47]entradas!$H45</f>
        <v>1324</v>
      </c>
      <c r="P135" s="13">
        <f>+[48]entradas!$H45</f>
        <v>8820</v>
      </c>
      <c r="Q135" s="13">
        <f>+[49]entradas!$H45</f>
        <v>6556</v>
      </c>
      <c r="R135" s="13">
        <f>+[50]entradas!$H45</f>
        <v>6617</v>
      </c>
      <c r="S135" s="13">
        <f>+[51]entradas!$H45</f>
        <v>6669</v>
      </c>
      <c r="T135" s="13">
        <f>+[52]entradas!$H45</f>
        <v>6662</v>
      </c>
      <c r="U135" s="13">
        <f>+[53]entradas!$H45</f>
        <v>3844</v>
      </c>
      <c r="V135" s="13">
        <f>+[54]entradas!$H45</f>
        <v>1447</v>
      </c>
      <c r="W135" s="13">
        <f>+[55]entradas!$H45</f>
        <v>6422</v>
      </c>
      <c r="X135" s="13">
        <f>+[56]entradas!$H45</f>
        <v>6681</v>
      </c>
      <c r="Y135" s="13">
        <f>+[57]entradas!$H45</f>
        <v>6565</v>
      </c>
      <c r="Z135" s="13">
        <f>+[58]entradas!$H45</f>
        <v>6518</v>
      </c>
      <c r="AA135" s="13">
        <f>+[59]entradas!$H45</f>
        <v>6671</v>
      </c>
      <c r="AB135" s="13">
        <f>+[60]entradas!$H45</f>
        <v>3995</v>
      </c>
      <c r="AC135" s="13">
        <f>+[61]entradas!$H45</f>
        <v>1577</v>
      </c>
      <c r="AD135" s="13">
        <f>+[62]entradas!$H45</f>
        <v>6489</v>
      </c>
      <c r="AE135" s="13">
        <f>+[63]entradas!$H45</f>
        <v>6534</v>
      </c>
      <c r="AF135" s="13">
        <f>+[64]entradas!$H45</f>
        <v>6542</v>
      </c>
      <c r="AG135" s="13">
        <f>+[65]entradas!$H45</f>
        <v>6400</v>
      </c>
      <c r="AH135" s="13">
        <f>+[66]entradas!$H45</f>
        <v>6300</v>
      </c>
      <c r="AI135" s="13">
        <f>+[67]entradas!$H45</f>
        <v>4161</v>
      </c>
      <c r="AJ135" s="13">
        <f>+[68]entradas!$H45</f>
        <v>1389</v>
      </c>
    </row>
    <row r="136" spans="1:36" s="12" customFormat="1" x14ac:dyDescent="0.2">
      <c r="A136" s="432"/>
      <c r="B136" s="75" t="s">
        <v>227</v>
      </c>
      <c r="C136" s="13">
        <f>+[35]entradas!$H46</f>
        <v>9972</v>
      </c>
      <c r="D136" s="13">
        <f>+[36]entradas!$H46</f>
        <v>9778</v>
      </c>
      <c r="E136" s="13">
        <f>+[37]entradas!$H46</f>
        <v>9778</v>
      </c>
      <c r="F136" s="13">
        <f>+[38]entradas!$H46</f>
        <v>9330</v>
      </c>
      <c r="G136" s="13">
        <f>+[39]entradas!$H46</f>
        <v>4426</v>
      </c>
      <c r="H136" s="13">
        <f>+[40]entradas!$H46</f>
        <v>3195</v>
      </c>
      <c r="I136" s="13">
        <f>+[41]entradas!$H46</f>
        <v>8486</v>
      </c>
      <c r="J136" s="13">
        <f>+[42]entradas!$H46</f>
        <v>8828</v>
      </c>
      <c r="K136" s="13">
        <f>+[43]entradas!$H46</f>
        <v>8631</v>
      </c>
      <c r="L136" s="13">
        <f>+[44]entradas!$H46</f>
        <v>8376</v>
      </c>
      <c r="M136" s="13">
        <f>+[45]entradas!$H46</f>
        <v>8811</v>
      </c>
      <c r="N136" s="13">
        <f>+[46]entradas!$H46</f>
        <v>4530</v>
      </c>
      <c r="O136" s="13">
        <f>+[47]entradas!$H46</f>
        <v>3165</v>
      </c>
      <c r="P136" s="13">
        <f>+[48]entradas!$H46</f>
        <v>9849</v>
      </c>
      <c r="Q136" s="13">
        <f>+[49]entradas!$H46</f>
        <v>8976</v>
      </c>
      <c r="R136" s="13">
        <f>+[50]entradas!$H46</f>
        <v>9028</v>
      </c>
      <c r="S136" s="13">
        <f>+[51]entradas!$H46</f>
        <v>9592</v>
      </c>
      <c r="T136" s="13">
        <f>+[52]entradas!$H46</f>
        <v>9396</v>
      </c>
      <c r="U136" s="13">
        <f>+[53]entradas!$H46</f>
        <v>4649</v>
      </c>
      <c r="V136" s="13">
        <f>+[54]entradas!$H46</f>
        <v>3308</v>
      </c>
      <c r="W136" s="13">
        <f>+[55]entradas!$H46</f>
        <v>8376</v>
      </c>
      <c r="X136" s="13">
        <f>+[56]entradas!$H46</f>
        <v>8625</v>
      </c>
      <c r="Y136" s="13">
        <f>+[57]entradas!$H46</f>
        <v>8669</v>
      </c>
      <c r="Z136" s="13">
        <f>+[58]entradas!$H46</f>
        <v>9081</v>
      </c>
      <c r="AA136" s="13">
        <f>+[59]entradas!$H46</f>
        <v>9728</v>
      </c>
      <c r="AB136" s="13">
        <f>+[60]entradas!$H46</f>
        <v>5121</v>
      </c>
      <c r="AC136" s="13">
        <f>+[61]entradas!$H46</f>
        <v>3326</v>
      </c>
      <c r="AD136" s="13">
        <f>+[62]entradas!$H46</f>
        <v>8814</v>
      </c>
      <c r="AE136" s="13">
        <f>+[63]entradas!$H46</f>
        <v>8894</v>
      </c>
      <c r="AF136" s="13">
        <f>+[64]entradas!$H46</f>
        <v>9246</v>
      </c>
      <c r="AG136" s="13">
        <f>+[65]entradas!$H46</f>
        <v>8914</v>
      </c>
      <c r="AH136" s="13">
        <f>+[66]entradas!$H46</f>
        <v>9069</v>
      </c>
      <c r="AI136" s="13">
        <f>+[67]entradas!$H46</f>
        <v>5120</v>
      </c>
      <c r="AJ136" s="13">
        <f>+[68]entradas!$H46</f>
        <v>3387</v>
      </c>
    </row>
    <row r="137" spans="1:36" s="12" customFormat="1" x14ac:dyDescent="0.2">
      <c r="A137" s="432"/>
      <c r="B137" s="75" t="s">
        <v>228</v>
      </c>
      <c r="C137" s="13">
        <f>+[35]entradas!$H47</f>
        <v>2003</v>
      </c>
      <c r="D137" s="13">
        <f>+[36]entradas!$H47</f>
        <v>2060</v>
      </c>
      <c r="E137" s="13">
        <f>+[37]entradas!$H47</f>
        <v>1876</v>
      </c>
      <c r="F137" s="13">
        <f>+[38]entradas!$H47</f>
        <v>1984</v>
      </c>
      <c r="G137" s="13">
        <f>+[39]entradas!$H47</f>
        <v>1340</v>
      </c>
      <c r="H137" s="13">
        <f>+[40]entradas!$H47</f>
        <v>623</v>
      </c>
      <c r="I137" s="13">
        <f>+[41]entradas!$H47</f>
        <v>1891</v>
      </c>
      <c r="J137" s="13">
        <f>+[42]entradas!$H47</f>
        <v>1994</v>
      </c>
      <c r="K137" s="13">
        <f>+[43]entradas!$H47</f>
        <v>1948</v>
      </c>
      <c r="L137" s="13">
        <f>+[44]entradas!$H47</f>
        <v>1941</v>
      </c>
      <c r="M137" s="13">
        <f>+[45]entradas!$H47</f>
        <v>1964</v>
      </c>
      <c r="N137" s="13">
        <f>+[46]entradas!$H47</f>
        <v>1378</v>
      </c>
      <c r="O137" s="13">
        <f>+[47]entradas!$H47</f>
        <v>638</v>
      </c>
      <c r="P137" s="13">
        <f>+[48]entradas!$H47</f>
        <v>2013</v>
      </c>
      <c r="Q137" s="13">
        <f>+[49]entradas!$H47</f>
        <v>2038</v>
      </c>
      <c r="R137" s="13">
        <f>+[50]entradas!$H47</f>
        <v>2005</v>
      </c>
      <c r="S137" s="13">
        <f>+[51]entradas!$H47</f>
        <v>2034</v>
      </c>
      <c r="T137" s="13">
        <f>+[52]entradas!$H47</f>
        <v>1964</v>
      </c>
      <c r="U137" s="13">
        <f>+[53]entradas!$H47</f>
        <v>1393</v>
      </c>
      <c r="V137" s="13">
        <f>+[54]entradas!$H47</f>
        <v>637</v>
      </c>
      <c r="W137" s="13">
        <f>+[55]entradas!$H47</f>
        <v>1829</v>
      </c>
      <c r="X137" s="13">
        <f>+[56]entradas!$H47</f>
        <v>2062</v>
      </c>
      <c r="Y137" s="13">
        <f>+[57]entradas!$H47</f>
        <v>2022</v>
      </c>
      <c r="Z137" s="13">
        <f>+[58]entradas!$H47</f>
        <v>2072</v>
      </c>
      <c r="AA137" s="13">
        <f>+[59]entradas!$H47</f>
        <v>1992</v>
      </c>
      <c r="AB137" s="13">
        <f>+[60]entradas!$H47</f>
        <v>1528</v>
      </c>
      <c r="AC137" s="13">
        <f>+[61]entradas!$H47</f>
        <v>675</v>
      </c>
      <c r="AD137" s="13">
        <f>+[62]entradas!$H47</f>
        <v>1832</v>
      </c>
      <c r="AE137" s="13">
        <f>+[63]entradas!$H47</f>
        <v>2195</v>
      </c>
      <c r="AF137" s="13">
        <f>+[64]entradas!$H47</f>
        <v>2211</v>
      </c>
      <c r="AG137" s="13">
        <f>+[65]entradas!$H47</f>
        <v>2183</v>
      </c>
      <c r="AH137" s="13">
        <f>+[66]entradas!$H47</f>
        <v>2174</v>
      </c>
      <c r="AI137" s="13">
        <f>+[67]entradas!$H47</f>
        <v>1628</v>
      </c>
      <c r="AJ137" s="13">
        <f>+[68]entradas!$H47</f>
        <v>658</v>
      </c>
    </row>
    <row r="138" spans="1:36" s="12" customFormat="1" x14ac:dyDescent="0.2">
      <c r="A138" s="432"/>
      <c r="B138" s="75" t="s">
        <v>229</v>
      </c>
      <c r="C138" s="13">
        <f>+[35]entradas!$H48</f>
        <v>7568</v>
      </c>
      <c r="D138" s="13">
        <f>+[36]entradas!$H48</f>
        <v>7170</v>
      </c>
      <c r="E138" s="13">
        <f>+[37]entradas!$H48</f>
        <v>7047</v>
      </c>
      <c r="F138" s="13">
        <f>+[38]entradas!$H48</f>
        <v>7074</v>
      </c>
      <c r="G138" s="13">
        <f>+[39]entradas!$H48</f>
        <v>3066</v>
      </c>
      <c r="H138" s="13">
        <f>+[40]entradas!$H48</f>
        <v>841</v>
      </c>
      <c r="I138" s="13">
        <f>+[41]entradas!$H48</f>
        <v>7044</v>
      </c>
      <c r="J138" s="13">
        <f>+[42]entradas!$H48</f>
        <v>7273</v>
      </c>
      <c r="K138" s="13">
        <f>+[43]entradas!$H48</f>
        <v>6990</v>
      </c>
      <c r="L138" s="13">
        <f>+[44]entradas!$H48</f>
        <v>7141</v>
      </c>
      <c r="M138" s="13">
        <f>+[45]entradas!$H48</f>
        <v>7018</v>
      </c>
      <c r="N138" s="13">
        <f>+[46]entradas!$H48</f>
        <v>3006</v>
      </c>
      <c r="O138" s="13">
        <f>+[47]entradas!$H48</f>
        <v>864</v>
      </c>
      <c r="P138" s="13">
        <f>+[48]entradas!$H48</f>
        <v>7421</v>
      </c>
      <c r="Q138" s="13">
        <f>+[49]entradas!$H48</f>
        <v>7370</v>
      </c>
      <c r="R138" s="13">
        <f>+[50]entradas!$H48</f>
        <v>7137</v>
      </c>
      <c r="S138" s="13">
        <f>+[51]entradas!$H48</f>
        <v>7229</v>
      </c>
      <c r="T138" s="13">
        <f>+[52]entradas!$H48</f>
        <v>6923</v>
      </c>
      <c r="U138" s="13">
        <f>+[53]entradas!$H48</f>
        <v>2911</v>
      </c>
      <c r="V138" s="13">
        <f>+[54]entradas!$H48</f>
        <v>861</v>
      </c>
      <c r="W138" s="13">
        <f>+[55]entradas!$H48</f>
        <v>6967</v>
      </c>
      <c r="X138" s="13">
        <f>+[56]entradas!$H48</f>
        <v>7048</v>
      </c>
      <c r="Y138" s="13">
        <f>+[57]entradas!$H48</f>
        <v>6902</v>
      </c>
      <c r="Z138" s="13">
        <f>+[58]entradas!$H48</f>
        <v>7116</v>
      </c>
      <c r="AA138" s="13">
        <f>+[59]entradas!$H48</f>
        <v>6980</v>
      </c>
      <c r="AB138" s="13">
        <f>+[60]entradas!$H48</f>
        <v>3004</v>
      </c>
      <c r="AC138" s="13">
        <f>+[61]entradas!$H48</f>
        <v>939</v>
      </c>
      <c r="AD138" s="13">
        <f>+[62]entradas!$H48</f>
        <v>7116</v>
      </c>
      <c r="AE138" s="13">
        <f>+[63]entradas!$H48</f>
        <v>7397</v>
      </c>
      <c r="AF138" s="13">
        <f>+[64]entradas!$H48</f>
        <v>7305</v>
      </c>
      <c r="AG138" s="13">
        <f>+[65]entradas!$H48</f>
        <v>7237</v>
      </c>
      <c r="AH138" s="13">
        <f>+[66]entradas!$H48</f>
        <v>7009</v>
      </c>
      <c r="AI138" s="13">
        <f>+[67]entradas!$H48</f>
        <v>3224</v>
      </c>
      <c r="AJ138" s="13">
        <f>+[68]entradas!$H48</f>
        <v>949</v>
      </c>
    </row>
    <row r="139" spans="1:36" s="12" customFormat="1" x14ac:dyDescent="0.2">
      <c r="A139" s="432"/>
      <c r="B139" s="76" t="s">
        <v>230</v>
      </c>
      <c r="C139" s="55">
        <f>+[35]entradas!$H49</f>
        <v>9277</v>
      </c>
      <c r="D139" s="55">
        <f>+[36]entradas!$H49</f>
        <v>9316</v>
      </c>
      <c r="E139" s="55">
        <f>+[37]entradas!$H49</f>
        <v>9162</v>
      </c>
      <c r="F139" s="55">
        <f>+[38]entradas!$H49</f>
        <v>9379</v>
      </c>
      <c r="G139" s="55">
        <f>+[39]entradas!$H49</f>
        <v>6750</v>
      </c>
      <c r="H139" s="55">
        <f>+[40]entradas!$H49</f>
        <v>1861</v>
      </c>
      <c r="I139" s="55">
        <f>+[41]entradas!$H49</f>
        <v>9131</v>
      </c>
      <c r="J139" s="55">
        <f>+[42]entradas!$H49</f>
        <v>9480</v>
      </c>
      <c r="K139" s="55">
        <f>+[43]entradas!$H49</f>
        <v>9198</v>
      </c>
      <c r="L139" s="55">
        <f>+[44]entradas!$H49</f>
        <v>9180</v>
      </c>
      <c r="M139" s="55">
        <f>+[45]entradas!$H49</f>
        <v>9236</v>
      </c>
      <c r="N139" s="55">
        <f>+[46]entradas!$H49</f>
        <v>6600</v>
      </c>
      <c r="O139" s="55">
        <f>+[47]entradas!$H49</f>
        <v>1641</v>
      </c>
      <c r="P139" s="55">
        <f>+[48]entradas!$H49</f>
        <v>9494</v>
      </c>
      <c r="Q139" s="55">
        <f>+[49]entradas!$H49</f>
        <v>9262</v>
      </c>
      <c r="R139" s="55">
        <f>+[50]entradas!$H49</f>
        <v>9122</v>
      </c>
      <c r="S139" s="55">
        <f>+[51]entradas!$H49</f>
        <v>9286</v>
      </c>
      <c r="T139" s="55">
        <f>+[52]entradas!$H49</f>
        <v>9291</v>
      </c>
      <c r="U139" s="55">
        <f>+[53]entradas!$H49</f>
        <v>6818</v>
      </c>
      <c r="V139" s="55">
        <f>+[54]entradas!$H49</f>
        <v>1689</v>
      </c>
      <c r="W139" s="55">
        <f>+[55]entradas!$H49</f>
        <v>9141</v>
      </c>
      <c r="X139" s="55">
        <f>+[56]entradas!$H49</f>
        <v>9173</v>
      </c>
      <c r="Y139" s="55">
        <f>+[57]entradas!$H49</f>
        <v>9141</v>
      </c>
      <c r="Z139" s="55">
        <f>+[58]entradas!$H49</f>
        <v>9396</v>
      </c>
      <c r="AA139" s="55">
        <f>+[59]entradas!$H49</f>
        <v>9085</v>
      </c>
      <c r="AB139" s="55">
        <f>+[60]entradas!$H49</f>
        <v>6803</v>
      </c>
      <c r="AC139" s="55">
        <f>+[61]entradas!$H49</f>
        <v>1727</v>
      </c>
      <c r="AD139" s="55">
        <f>+[62]entradas!$H49</f>
        <v>9055</v>
      </c>
      <c r="AE139" s="55">
        <f>+[63]entradas!$H49</f>
        <v>9431</v>
      </c>
      <c r="AF139" s="55">
        <f>+[64]entradas!$H49</f>
        <v>9698</v>
      </c>
      <c r="AG139" s="55">
        <f>+[65]entradas!$H49</f>
        <v>9435</v>
      </c>
      <c r="AH139" s="55">
        <f>+[66]entradas!$H49</f>
        <v>9843</v>
      </c>
      <c r="AI139" s="55">
        <f>+[67]entradas!$H49</f>
        <v>7083</v>
      </c>
      <c r="AJ139" s="55">
        <f>+[68]entradas!$H49</f>
        <v>1725</v>
      </c>
    </row>
    <row r="140" spans="1:36" s="12" customFormat="1" x14ac:dyDescent="0.2">
      <c r="A140" s="432"/>
      <c r="B140" s="76" t="s">
        <v>231</v>
      </c>
      <c r="C140" s="55">
        <f>+[35]entradas!$H50</f>
        <v>3003</v>
      </c>
      <c r="D140" s="55">
        <f>+[36]entradas!$H50</f>
        <v>3023</v>
      </c>
      <c r="E140" s="55">
        <f>+[37]entradas!$H50</f>
        <v>2986</v>
      </c>
      <c r="F140" s="55">
        <f>+[38]entradas!$H50</f>
        <v>3169</v>
      </c>
      <c r="G140" s="55">
        <f>+[39]entradas!$H50</f>
        <v>1555</v>
      </c>
      <c r="H140" s="55">
        <f>+[40]entradas!$H50</f>
        <v>304</v>
      </c>
      <c r="I140" s="55">
        <f>+[41]entradas!$H50</f>
        <v>2941</v>
      </c>
      <c r="J140" s="55">
        <f>+[42]entradas!$H50</f>
        <v>2940</v>
      </c>
      <c r="K140" s="55">
        <f>+[43]entradas!$H50</f>
        <v>2974</v>
      </c>
      <c r="L140" s="55">
        <f>+[44]entradas!$H50</f>
        <v>2889</v>
      </c>
      <c r="M140" s="55">
        <f>+[45]entradas!$H50</f>
        <v>2844</v>
      </c>
      <c r="N140" s="55">
        <f>+[46]entradas!$H50</f>
        <v>1526</v>
      </c>
      <c r="O140" s="55">
        <f>+[47]entradas!$H50</f>
        <v>332</v>
      </c>
      <c r="P140" s="55">
        <f>+[48]entradas!$H50</f>
        <v>3145</v>
      </c>
      <c r="Q140" s="55">
        <f>+[49]entradas!$H50</f>
        <v>2759</v>
      </c>
      <c r="R140" s="55">
        <f>+[50]entradas!$H50</f>
        <v>2713</v>
      </c>
      <c r="S140" s="55">
        <f>+[51]entradas!$H50</f>
        <v>2913</v>
      </c>
      <c r="T140" s="55">
        <f>+[52]entradas!$H50</f>
        <v>3050</v>
      </c>
      <c r="U140" s="55">
        <f>+[53]entradas!$H50</f>
        <v>1809</v>
      </c>
      <c r="V140" s="55">
        <f>+[54]entradas!$H50</f>
        <v>359</v>
      </c>
      <c r="W140" s="55">
        <f>+[55]entradas!$H50</f>
        <v>3099</v>
      </c>
      <c r="X140" s="55">
        <f>+[56]entradas!$H50</f>
        <v>2921</v>
      </c>
      <c r="Y140" s="55">
        <f>+[57]entradas!$H50</f>
        <v>2991</v>
      </c>
      <c r="Z140" s="55">
        <f>+[58]entradas!$H50</f>
        <v>3051</v>
      </c>
      <c r="AA140" s="55">
        <f>+[59]entradas!$H50</f>
        <v>2980</v>
      </c>
      <c r="AB140" s="55">
        <f>+[60]entradas!$H50</f>
        <v>1669</v>
      </c>
      <c r="AC140" s="55">
        <f>+[61]entradas!$H50</f>
        <v>317</v>
      </c>
      <c r="AD140" s="55">
        <f>+[62]entradas!$H50</f>
        <v>2990</v>
      </c>
      <c r="AE140" s="55">
        <f>+[63]entradas!$H50</f>
        <v>3055</v>
      </c>
      <c r="AF140" s="55">
        <f>+[64]entradas!$H50</f>
        <v>3140</v>
      </c>
      <c r="AG140" s="55">
        <f>+[65]entradas!$H50</f>
        <v>3088</v>
      </c>
      <c r="AH140" s="55">
        <f>+[66]entradas!$H50</f>
        <v>3105</v>
      </c>
      <c r="AI140" s="55">
        <f>+[67]entradas!$H50</f>
        <v>1754</v>
      </c>
      <c r="AJ140" s="55">
        <f>+[68]entradas!$H50</f>
        <v>300</v>
      </c>
    </row>
    <row r="141" spans="1:36" s="12" customFormat="1" x14ac:dyDescent="0.2">
      <c r="A141" s="432"/>
      <c r="B141" s="75" t="s">
        <v>232</v>
      </c>
      <c r="C141" s="13">
        <f>+[35]entradas!$H51</f>
        <v>5696</v>
      </c>
      <c r="D141" s="13">
        <f>+[36]entradas!$H51</f>
        <v>5638</v>
      </c>
      <c r="E141" s="13">
        <f>+[37]entradas!$H51</f>
        <v>5536</v>
      </c>
      <c r="F141" s="13">
        <f>+[38]entradas!$H51</f>
        <v>5794</v>
      </c>
      <c r="G141" s="13">
        <f>+[39]entradas!$H51</f>
        <v>4391</v>
      </c>
      <c r="H141" s="13">
        <f>+[40]entradas!$H51</f>
        <v>1696</v>
      </c>
      <c r="I141" s="13">
        <f>+[41]entradas!$H51</f>
        <v>5594</v>
      </c>
      <c r="J141" s="13">
        <f>+[42]entradas!$H51</f>
        <v>5699</v>
      </c>
      <c r="K141" s="13">
        <f>+[43]entradas!$H51</f>
        <v>5833</v>
      </c>
      <c r="L141" s="13">
        <f>+[44]entradas!$H51</f>
        <v>5661</v>
      </c>
      <c r="M141" s="13">
        <f>+[45]entradas!$H51</f>
        <v>5931</v>
      </c>
      <c r="N141" s="13">
        <f>+[46]entradas!$H51</f>
        <v>4423</v>
      </c>
      <c r="O141" s="13">
        <f>+[47]entradas!$H51</f>
        <v>1749</v>
      </c>
      <c r="P141" s="13">
        <f>+[48]entradas!$H51</f>
        <v>5623</v>
      </c>
      <c r="Q141" s="13">
        <f>+[49]entradas!$H51</f>
        <v>5939</v>
      </c>
      <c r="R141" s="13">
        <f>+[50]entradas!$H51</f>
        <v>5782</v>
      </c>
      <c r="S141" s="13">
        <f>+[51]entradas!$H51</f>
        <v>5703</v>
      </c>
      <c r="T141" s="13">
        <f>+[52]entradas!$H51</f>
        <v>5919</v>
      </c>
      <c r="U141" s="13">
        <f>+[53]entradas!$H51</f>
        <v>4524</v>
      </c>
      <c r="V141" s="13">
        <f>+[54]entradas!$H51</f>
        <v>1788</v>
      </c>
      <c r="W141" s="13">
        <f>+[55]entradas!$H51</f>
        <v>5604</v>
      </c>
      <c r="X141" s="13">
        <f>+[56]entradas!$H51</f>
        <v>5677</v>
      </c>
      <c r="Y141" s="13">
        <f>+[57]entradas!$H51</f>
        <v>5613</v>
      </c>
      <c r="Z141" s="13">
        <f>+[58]entradas!$H51</f>
        <v>5676</v>
      </c>
      <c r="AA141" s="13">
        <f>+[59]entradas!$H51</f>
        <v>5785</v>
      </c>
      <c r="AB141" s="13">
        <f>+[60]entradas!$H51</f>
        <v>4454</v>
      </c>
      <c r="AC141" s="13">
        <f>+[61]entradas!$H51</f>
        <v>1783</v>
      </c>
      <c r="AD141" s="13">
        <f>+[62]entradas!$H51</f>
        <v>5558</v>
      </c>
      <c r="AE141" s="13">
        <f>+[63]entradas!$H51</f>
        <v>5906</v>
      </c>
      <c r="AF141" s="13">
        <f>+[64]entradas!$H51</f>
        <v>5946</v>
      </c>
      <c r="AG141" s="13">
        <f>+[65]entradas!$H51</f>
        <v>5876</v>
      </c>
      <c r="AH141" s="13">
        <f>+[66]entradas!$H51</f>
        <v>6049</v>
      </c>
      <c r="AI141" s="13">
        <f>+[67]entradas!$H51</f>
        <v>4632</v>
      </c>
      <c r="AJ141" s="13">
        <f>+[68]entradas!$H51</f>
        <v>1716</v>
      </c>
    </row>
    <row r="142" spans="1:36" s="12" customFormat="1" x14ac:dyDescent="0.2">
      <c r="A142" s="432"/>
      <c r="B142" s="75" t="s">
        <v>233</v>
      </c>
      <c r="C142" s="13">
        <f>+[35]entradas!$H52</f>
        <v>1969</v>
      </c>
      <c r="D142" s="13">
        <f>+[36]entradas!$H52</f>
        <v>1973</v>
      </c>
      <c r="E142" s="13">
        <f>+[37]entradas!$H52</f>
        <v>1851</v>
      </c>
      <c r="F142" s="13">
        <f>+[38]entradas!$H52</f>
        <v>1972</v>
      </c>
      <c r="G142" s="13">
        <f>+[39]entradas!$H52</f>
        <v>1353</v>
      </c>
      <c r="H142" s="13">
        <f>+[40]entradas!$H52</f>
        <v>468</v>
      </c>
      <c r="I142" s="13">
        <f>+[41]entradas!$H52</f>
        <v>1947</v>
      </c>
      <c r="J142" s="13">
        <f>+[42]entradas!$H52</f>
        <v>1970</v>
      </c>
      <c r="K142" s="13">
        <f>+[43]entradas!$H52</f>
        <v>1924</v>
      </c>
      <c r="L142" s="13">
        <f>+[44]entradas!$H52</f>
        <v>2000</v>
      </c>
      <c r="M142" s="13">
        <f>+[45]entradas!$H52</f>
        <v>1963</v>
      </c>
      <c r="N142" s="13">
        <f>+[46]entradas!$H52</f>
        <v>1346</v>
      </c>
      <c r="O142" s="13">
        <f>+[47]entradas!$H52</f>
        <v>404</v>
      </c>
      <c r="P142" s="13">
        <f>+[48]entradas!$H52</f>
        <v>1908</v>
      </c>
      <c r="Q142" s="13">
        <f>+[49]entradas!$H52</f>
        <v>1922</v>
      </c>
      <c r="R142" s="13">
        <f>+[50]entradas!$H52</f>
        <v>1896</v>
      </c>
      <c r="S142" s="13">
        <f>+[51]entradas!$H52</f>
        <v>1906</v>
      </c>
      <c r="T142" s="13">
        <f>+[52]entradas!$H52</f>
        <v>1957</v>
      </c>
      <c r="U142" s="13">
        <f>+[53]entradas!$H52</f>
        <v>1338</v>
      </c>
      <c r="V142" s="13">
        <f>+[54]entradas!$H52</f>
        <v>430</v>
      </c>
      <c r="W142" s="13">
        <f>+[55]entradas!$H52</f>
        <v>1899</v>
      </c>
      <c r="X142" s="13">
        <f>+[56]entradas!$H52</f>
        <v>1926</v>
      </c>
      <c r="Y142" s="13">
        <f>+[57]entradas!$H52</f>
        <v>1812</v>
      </c>
      <c r="Z142" s="13">
        <f>+[58]entradas!$H52</f>
        <v>1840</v>
      </c>
      <c r="AA142" s="13">
        <f>+[59]entradas!$H52</f>
        <v>1879</v>
      </c>
      <c r="AB142" s="13">
        <f>+[60]entradas!$H52</f>
        <v>1293</v>
      </c>
      <c r="AC142" s="13">
        <f>+[61]entradas!$H52</f>
        <v>491</v>
      </c>
      <c r="AD142" s="13">
        <f>+[62]entradas!$H52</f>
        <v>1898</v>
      </c>
      <c r="AE142" s="13">
        <f>+[63]entradas!$H52</f>
        <v>1874</v>
      </c>
      <c r="AF142" s="13">
        <f>+[64]entradas!$H52</f>
        <v>1962</v>
      </c>
      <c r="AG142" s="13">
        <f>+[65]entradas!$H52</f>
        <v>1971</v>
      </c>
      <c r="AH142" s="13">
        <f>+[66]entradas!$H52</f>
        <v>1991</v>
      </c>
      <c r="AI142" s="13">
        <f>+[67]entradas!$H52</f>
        <v>1330</v>
      </c>
      <c r="AJ142" s="13">
        <f>+[68]entradas!$H52</f>
        <v>476</v>
      </c>
    </row>
    <row r="143" spans="1:36" s="12" customFormat="1" x14ac:dyDescent="0.2">
      <c r="A143" s="432"/>
      <c r="B143" s="75" t="s">
        <v>234</v>
      </c>
      <c r="C143" s="13">
        <f>+[35]entradas!$H53</f>
        <v>5691</v>
      </c>
      <c r="D143" s="13">
        <f>+[36]entradas!$H53</f>
        <v>5728</v>
      </c>
      <c r="E143" s="13">
        <f>+[37]entradas!$H53</f>
        <v>5422</v>
      </c>
      <c r="F143" s="13">
        <f>+[38]entradas!$H53</f>
        <v>5967</v>
      </c>
      <c r="G143" s="13">
        <f>+[39]entradas!$H53</f>
        <v>4561</v>
      </c>
      <c r="H143" s="13">
        <f>+[40]entradas!$H53</f>
        <v>2221</v>
      </c>
      <c r="I143" s="13">
        <f>+[41]entradas!$H53</f>
        <v>5634</v>
      </c>
      <c r="J143" s="13">
        <f>+[42]entradas!$H53</f>
        <v>5890</v>
      </c>
      <c r="K143" s="13">
        <f>+[43]entradas!$H53</f>
        <v>5850</v>
      </c>
      <c r="L143" s="13">
        <f>+[44]entradas!$H53</f>
        <v>5816</v>
      </c>
      <c r="M143" s="13">
        <f>+[45]entradas!$H53</f>
        <v>6006</v>
      </c>
      <c r="N143" s="13">
        <f>+[46]entradas!$H53</f>
        <v>4464</v>
      </c>
      <c r="O143" s="13">
        <f>+[47]entradas!$H53</f>
        <v>1961</v>
      </c>
      <c r="P143" s="13">
        <f>+[48]entradas!$H53</f>
        <v>5678</v>
      </c>
      <c r="Q143" s="13">
        <f>+[49]entradas!$H53</f>
        <v>5806</v>
      </c>
      <c r="R143" s="13">
        <f>+[50]entradas!$H53</f>
        <v>5773</v>
      </c>
      <c r="S143" s="13">
        <f>+[51]entradas!$H53</f>
        <v>5757</v>
      </c>
      <c r="T143" s="13">
        <f>+[52]entradas!$H53</f>
        <v>6029</v>
      </c>
      <c r="U143" s="13">
        <f>+[53]entradas!$H53</f>
        <v>4513</v>
      </c>
      <c r="V143" s="13">
        <f>+[54]entradas!$H53</f>
        <v>2145</v>
      </c>
      <c r="W143" s="13">
        <f>+[55]entradas!$H53</f>
        <v>5647</v>
      </c>
      <c r="X143" s="13">
        <f>+[56]entradas!$H53</f>
        <v>5805</v>
      </c>
      <c r="Y143" s="13">
        <f>+[57]entradas!$H53</f>
        <v>5834</v>
      </c>
      <c r="Z143" s="13">
        <f>+[58]entradas!$H53</f>
        <v>5788</v>
      </c>
      <c r="AA143" s="13">
        <f>+[59]entradas!$H53</f>
        <v>5970</v>
      </c>
      <c r="AB143" s="13">
        <f>+[60]entradas!$H53</f>
        <v>4520</v>
      </c>
      <c r="AC143" s="13">
        <f>+[61]entradas!$H53</f>
        <v>2107</v>
      </c>
      <c r="AD143" s="13">
        <f>+[62]entradas!$H53</f>
        <v>5635</v>
      </c>
      <c r="AE143" s="13">
        <f>+[63]entradas!$H53</f>
        <v>5963</v>
      </c>
      <c r="AF143" s="13">
        <f>+[64]entradas!$H53</f>
        <v>5869</v>
      </c>
      <c r="AG143" s="13">
        <f>+[65]entradas!$H53</f>
        <v>6021</v>
      </c>
      <c r="AH143" s="13">
        <f>+[66]entradas!$H53</f>
        <v>6041</v>
      </c>
      <c r="AI143" s="13">
        <f>+[67]entradas!$H53</f>
        <v>4686</v>
      </c>
      <c r="AJ143" s="13">
        <f>+[68]entradas!$H53</f>
        <v>2063</v>
      </c>
    </row>
    <row r="144" spans="1:36" s="12" customFormat="1" x14ac:dyDescent="0.2">
      <c r="A144" s="432"/>
      <c r="B144" s="36" t="s">
        <v>238</v>
      </c>
      <c r="C144" s="13">
        <f>+[35]entradas!$H54</f>
        <v>6909</v>
      </c>
      <c r="D144" s="13">
        <f>+[36]entradas!$H54</f>
        <v>7044</v>
      </c>
      <c r="E144" s="13">
        <f>+[37]entradas!$H54</f>
        <v>6628</v>
      </c>
      <c r="F144" s="13">
        <f>+[38]entradas!$H54</f>
        <v>6770</v>
      </c>
      <c r="G144" s="13">
        <f>+[39]entradas!$H54</f>
        <v>4635</v>
      </c>
      <c r="H144" s="13">
        <f>+[40]entradas!$H54</f>
        <v>1937</v>
      </c>
      <c r="I144" s="13">
        <f>+[41]entradas!$H54</f>
        <v>6721</v>
      </c>
      <c r="J144" s="13">
        <f>+[42]entradas!$H54</f>
        <v>7096</v>
      </c>
      <c r="K144" s="13">
        <f>+[43]entradas!$H54</f>
        <v>6660</v>
      </c>
      <c r="L144" s="13">
        <f>+[44]entradas!$H54</f>
        <v>6824</v>
      </c>
      <c r="M144" s="13">
        <f>+[45]entradas!$H54</f>
        <v>6641</v>
      </c>
      <c r="N144" s="13">
        <f>+[46]entradas!$H54</f>
        <v>4647</v>
      </c>
      <c r="O144" s="13">
        <f>+[47]entradas!$H54</f>
        <v>1846</v>
      </c>
      <c r="P144" s="13">
        <f>+[48]entradas!$H54</f>
        <v>6606</v>
      </c>
      <c r="Q144" s="13">
        <f>+[49]entradas!$H54</f>
        <v>7142</v>
      </c>
      <c r="R144" s="13">
        <f>+[50]entradas!$H54</f>
        <v>6694</v>
      </c>
      <c r="S144" s="13">
        <f>+[51]entradas!$H54</f>
        <v>6696</v>
      </c>
      <c r="T144" s="13">
        <f>+[52]entradas!$H54</f>
        <v>6685</v>
      </c>
      <c r="U144" s="13">
        <f>+[53]entradas!$H54</f>
        <v>4738</v>
      </c>
      <c r="V144" s="13">
        <f>+[54]entradas!$H54</f>
        <v>1893</v>
      </c>
      <c r="W144" s="13">
        <f>+[55]entradas!$H54</f>
        <v>6562</v>
      </c>
      <c r="X144" s="13">
        <f>+[56]entradas!$H54</f>
        <v>6706</v>
      </c>
      <c r="Y144" s="13">
        <f>+[57]entradas!$H54</f>
        <v>6577</v>
      </c>
      <c r="Z144" s="13">
        <f>+[58]entradas!$H54</f>
        <v>6522</v>
      </c>
      <c r="AA144" s="13">
        <f>+[59]entradas!$H54</f>
        <v>6656</v>
      </c>
      <c r="AB144" s="13">
        <f>+[60]entradas!$H54</f>
        <v>4860</v>
      </c>
      <c r="AC144" s="13">
        <f>+[61]entradas!$H54</f>
        <v>2075</v>
      </c>
      <c r="AD144" s="13">
        <f>+[62]entradas!$H54</f>
        <v>6325</v>
      </c>
      <c r="AE144" s="13">
        <f>+[63]entradas!$H54</f>
        <v>6827</v>
      </c>
      <c r="AF144" s="13">
        <f>+[64]entradas!$H54</f>
        <v>6601</v>
      </c>
      <c r="AG144" s="13">
        <f>+[65]entradas!$H54</f>
        <v>6622</v>
      </c>
      <c r="AH144" s="13">
        <f>+[66]entradas!$H54</f>
        <v>6632</v>
      </c>
      <c r="AI144" s="13">
        <f>+[67]entradas!$H54</f>
        <v>4737</v>
      </c>
      <c r="AJ144" s="13">
        <f>+[68]entradas!$H54</f>
        <v>1786</v>
      </c>
    </row>
    <row r="145" spans="1:36" s="12" customFormat="1" x14ac:dyDescent="0.2">
      <c r="A145" s="432"/>
      <c r="B145" s="36" t="s">
        <v>239</v>
      </c>
      <c r="C145" s="13">
        <f>+[35]entradas!$H55</f>
        <v>3246</v>
      </c>
      <c r="D145" s="13">
        <f>+[36]entradas!$H55</f>
        <v>3238</v>
      </c>
      <c r="E145" s="13">
        <f>+[37]entradas!$H55</f>
        <v>3345</v>
      </c>
      <c r="F145" s="13">
        <f>+[38]entradas!$H55</f>
        <v>3324</v>
      </c>
      <c r="G145" s="13">
        <f>+[39]entradas!$H55</f>
        <v>2194</v>
      </c>
      <c r="H145" s="13">
        <f>+[40]entradas!$H55</f>
        <v>1020</v>
      </c>
      <c r="I145" s="13">
        <f>+[41]entradas!$H55</f>
        <v>3214</v>
      </c>
      <c r="J145" s="13">
        <f>+[42]entradas!$H55</f>
        <v>3363</v>
      </c>
      <c r="K145" s="13">
        <f>+[43]entradas!$H55</f>
        <v>3308</v>
      </c>
      <c r="L145" s="13">
        <f>+[44]entradas!$H55</f>
        <v>3467</v>
      </c>
      <c r="M145" s="13">
        <f>+[45]entradas!$H55</f>
        <v>3400</v>
      </c>
      <c r="N145" s="13">
        <f>+[46]entradas!$H55</f>
        <v>2299</v>
      </c>
      <c r="O145" s="13">
        <f>+[47]entradas!$H55</f>
        <v>945</v>
      </c>
      <c r="P145" s="13">
        <f>+[48]entradas!$H55</f>
        <v>3429</v>
      </c>
      <c r="Q145" s="13">
        <f>+[49]entradas!$H55</f>
        <v>3460</v>
      </c>
      <c r="R145" s="13">
        <f>+[50]entradas!$H55</f>
        <v>3337</v>
      </c>
      <c r="S145" s="13">
        <f>+[51]entradas!$H55</f>
        <v>3412</v>
      </c>
      <c r="T145" s="13">
        <f>+[52]entradas!$H55</f>
        <v>3391</v>
      </c>
      <c r="U145" s="13">
        <f>+[53]entradas!$H55</f>
        <v>2382</v>
      </c>
      <c r="V145" s="13">
        <f>+[54]entradas!$H55</f>
        <v>939</v>
      </c>
      <c r="W145" s="13">
        <f>+[55]entradas!$H55</f>
        <v>3351</v>
      </c>
      <c r="X145" s="13">
        <f>+[56]entradas!$H55</f>
        <v>3335</v>
      </c>
      <c r="Y145" s="13">
        <f>+[57]entradas!$H55</f>
        <v>3300</v>
      </c>
      <c r="Z145" s="13">
        <f>+[58]entradas!$H55</f>
        <v>3301</v>
      </c>
      <c r="AA145" s="13">
        <f>+[59]entradas!$H55</f>
        <v>3334</v>
      </c>
      <c r="AB145" s="13">
        <f>+[60]entradas!$H55</f>
        <v>2310</v>
      </c>
      <c r="AC145" s="13">
        <f>+[61]entradas!$H55</f>
        <v>1062</v>
      </c>
      <c r="AD145" s="13">
        <f>+[62]entradas!$H55</f>
        <v>3307</v>
      </c>
      <c r="AE145" s="13">
        <f>+[63]entradas!$H55</f>
        <v>3325</v>
      </c>
      <c r="AF145" s="13">
        <f>+[64]entradas!$H55</f>
        <v>3411</v>
      </c>
      <c r="AG145" s="13">
        <f>+[65]entradas!$H55</f>
        <v>3472</v>
      </c>
      <c r="AH145" s="13">
        <f>+[66]entradas!$H55</f>
        <v>3350</v>
      </c>
      <c r="AI145" s="13">
        <f>+[67]entradas!$H55</f>
        <v>2414</v>
      </c>
      <c r="AJ145" s="13">
        <f>+[68]entradas!$H55</f>
        <v>866</v>
      </c>
    </row>
    <row r="146" spans="1:36" s="12" customFormat="1" x14ac:dyDescent="0.2">
      <c r="A146" s="432"/>
      <c r="B146" s="37" t="s">
        <v>240</v>
      </c>
      <c r="C146" s="13">
        <f>+[35]entradas!$H56</f>
        <v>4323</v>
      </c>
      <c r="D146" s="13">
        <f>+[36]entradas!$H56</f>
        <v>4335</v>
      </c>
      <c r="E146" s="13">
        <f>+[37]entradas!$H56</f>
        <v>4198</v>
      </c>
      <c r="F146" s="13">
        <f>+[38]entradas!$H56</f>
        <v>4587</v>
      </c>
      <c r="G146" s="13">
        <f>+[39]entradas!$H56</f>
        <v>5221</v>
      </c>
      <c r="H146" s="13">
        <f>+[40]entradas!$H56</f>
        <v>3833</v>
      </c>
      <c r="I146" s="13">
        <f>+[41]entradas!$H56</f>
        <v>3922</v>
      </c>
      <c r="J146" s="13">
        <f>+[42]entradas!$H56</f>
        <v>4013</v>
      </c>
      <c r="K146" s="13">
        <f>+[43]entradas!$H56</f>
        <v>3897</v>
      </c>
      <c r="L146" s="13">
        <f>+[44]entradas!$H56</f>
        <v>3817</v>
      </c>
      <c r="M146" s="13">
        <f>+[45]entradas!$H56</f>
        <v>4129</v>
      </c>
      <c r="N146" s="13">
        <f>+[46]entradas!$H56</f>
        <v>4957</v>
      </c>
      <c r="O146" s="13">
        <f>+[47]entradas!$H56</f>
        <v>3505</v>
      </c>
      <c r="P146" s="13">
        <f>+[48]entradas!$H56</f>
        <v>3747</v>
      </c>
      <c r="Q146" s="13">
        <f>+[49]entradas!$H56</f>
        <v>3881</v>
      </c>
      <c r="R146" s="13">
        <f>+[50]entradas!$H56</f>
        <v>4134</v>
      </c>
      <c r="S146" s="13">
        <f>+[51]entradas!$H56</f>
        <v>4051</v>
      </c>
      <c r="T146" s="13">
        <f>+[52]entradas!$H56</f>
        <v>4338</v>
      </c>
      <c r="U146" s="13">
        <f>+[53]entradas!$H56</f>
        <v>5034</v>
      </c>
      <c r="V146" s="13">
        <f>+[54]entradas!$H56</f>
        <v>3542</v>
      </c>
      <c r="W146" s="13">
        <f>+[55]entradas!$H56</f>
        <v>3967</v>
      </c>
      <c r="X146" s="13">
        <f>+[56]entradas!$H56</f>
        <v>3868</v>
      </c>
      <c r="Y146" s="13">
        <f>+[57]entradas!$H56</f>
        <v>3916</v>
      </c>
      <c r="Z146" s="13">
        <f>+[58]entradas!$H56</f>
        <v>3742</v>
      </c>
      <c r="AA146" s="13">
        <f>+[59]entradas!$H56</f>
        <v>4316</v>
      </c>
      <c r="AB146" s="13">
        <f>+[60]entradas!$H56</f>
        <v>4815</v>
      </c>
      <c r="AC146" s="13">
        <f>+[61]entradas!$H56</f>
        <v>3878</v>
      </c>
      <c r="AD146" s="13">
        <f>+[62]entradas!$H56</f>
        <v>4052</v>
      </c>
      <c r="AE146" s="13">
        <f>+[63]entradas!$H56</f>
        <v>4323</v>
      </c>
      <c r="AF146" s="13">
        <f>+[64]entradas!$H56</f>
        <v>4225</v>
      </c>
      <c r="AG146" s="13">
        <f>+[65]entradas!$H56</f>
        <v>4129</v>
      </c>
      <c r="AH146" s="13">
        <f>+[66]entradas!$H56</f>
        <v>4562</v>
      </c>
      <c r="AI146" s="13">
        <f>+[67]entradas!$H56</f>
        <v>5369</v>
      </c>
      <c r="AJ146" s="13">
        <f>+[68]entradas!$H56</f>
        <v>3799</v>
      </c>
    </row>
    <row r="147" spans="1:36" s="142" customFormat="1" x14ac:dyDescent="0.2">
      <c r="A147" s="432"/>
      <c r="B147" s="36" t="s">
        <v>241</v>
      </c>
      <c r="C147" s="13">
        <f>+[35]entradas!$H57</f>
        <v>3855</v>
      </c>
      <c r="D147" s="13">
        <f>+[36]entradas!$H57</f>
        <v>3702</v>
      </c>
      <c r="E147" s="13">
        <f>+[37]entradas!$H57</f>
        <v>3658</v>
      </c>
      <c r="F147" s="13">
        <f>+[38]entradas!$H57</f>
        <v>3767</v>
      </c>
      <c r="G147" s="13">
        <f>+[39]entradas!$H57</f>
        <v>2537</v>
      </c>
      <c r="H147" s="13">
        <f>+[40]entradas!$H57</f>
        <v>1183</v>
      </c>
      <c r="I147" s="13">
        <f>+[41]entradas!$H57</f>
        <v>3813</v>
      </c>
      <c r="J147" s="13">
        <f>+[42]entradas!$H57</f>
        <v>3955</v>
      </c>
      <c r="K147" s="13">
        <f>+[43]entradas!$H57</f>
        <v>3875</v>
      </c>
      <c r="L147" s="13">
        <f>+[44]entradas!$H57</f>
        <v>3922</v>
      </c>
      <c r="M147" s="13">
        <f>+[45]entradas!$H57</f>
        <v>4029</v>
      </c>
      <c r="N147" s="13">
        <f>+[46]entradas!$H57</f>
        <v>2509</v>
      </c>
      <c r="O147" s="13">
        <f>+[47]entradas!$H57</f>
        <v>1148</v>
      </c>
      <c r="P147" s="13">
        <f>+[48]entradas!$H57</f>
        <v>3844</v>
      </c>
      <c r="Q147" s="13">
        <f>+[49]entradas!$H57</f>
        <v>4070</v>
      </c>
      <c r="R147" s="13">
        <f>+[50]entradas!$H57</f>
        <v>3968</v>
      </c>
      <c r="S147" s="13">
        <f>+[51]entradas!$H57</f>
        <v>3950</v>
      </c>
      <c r="T147" s="13">
        <f>+[52]entradas!$H57</f>
        <v>4081</v>
      </c>
      <c r="U147" s="13">
        <f>+[53]entradas!$H57</f>
        <v>2628</v>
      </c>
      <c r="V147" s="13">
        <f>+[54]entradas!$H57</f>
        <v>1040</v>
      </c>
      <c r="W147" s="13">
        <f>+[55]entradas!$H57</f>
        <v>3830</v>
      </c>
      <c r="X147" s="13">
        <f>+[56]entradas!$H57</f>
        <v>3967</v>
      </c>
      <c r="Y147" s="13">
        <f>+[57]entradas!$H57</f>
        <v>3973</v>
      </c>
      <c r="Z147" s="13">
        <f>+[58]entradas!$H57</f>
        <v>3962</v>
      </c>
      <c r="AA147" s="13">
        <f>+[59]entradas!$H57</f>
        <v>4125</v>
      </c>
      <c r="AB147" s="13">
        <f>+[60]entradas!$H57</f>
        <v>2495</v>
      </c>
      <c r="AC147" s="13">
        <f>+[61]entradas!$H57</f>
        <v>1095</v>
      </c>
      <c r="AD147" s="13">
        <f>+[62]entradas!$H57</f>
        <v>3914</v>
      </c>
      <c r="AE147" s="13">
        <f>+[63]entradas!$H57</f>
        <v>4084</v>
      </c>
      <c r="AF147" s="13">
        <f>+[64]entradas!$H57</f>
        <v>4072</v>
      </c>
      <c r="AG147" s="13">
        <f>+[65]entradas!$H57</f>
        <v>4179</v>
      </c>
      <c r="AH147" s="13">
        <f>+[66]entradas!$H57</f>
        <v>4163</v>
      </c>
      <c r="AI147" s="13">
        <f>+[67]entradas!$H57</f>
        <v>2685</v>
      </c>
      <c r="AJ147" s="13">
        <f>+[68]entradas!$H57</f>
        <v>1106</v>
      </c>
    </row>
    <row r="148" spans="1:36" s="142" customFormat="1" x14ac:dyDescent="0.2">
      <c r="A148" s="432"/>
      <c r="B148" s="56" t="s">
        <v>288</v>
      </c>
      <c r="C148" s="55">
        <f>+[35]entradas!$H58</f>
        <v>2762</v>
      </c>
      <c r="D148" s="55">
        <f>+[36]entradas!$H58</f>
        <v>2679</v>
      </c>
      <c r="E148" s="55">
        <f>+[37]entradas!$H58</f>
        <v>2705</v>
      </c>
      <c r="F148" s="55">
        <f>+[38]entradas!$H58</f>
        <v>2751</v>
      </c>
      <c r="G148" s="55">
        <f>+[39]entradas!$H58</f>
        <v>1658</v>
      </c>
      <c r="H148" s="55">
        <f>+[40]entradas!$H58</f>
        <v>565</v>
      </c>
      <c r="I148" s="55">
        <f>+[41]entradas!$H58</f>
        <v>2801</v>
      </c>
      <c r="J148" s="55">
        <f>+[42]entradas!$H58</f>
        <v>2819</v>
      </c>
      <c r="K148" s="55">
        <f>+[43]entradas!$H58</f>
        <v>2898</v>
      </c>
      <c r="L148" s="55">
        <f>+[44]entradas!$H58</f>
        <v>2822</v>
      </c>
      <c r="M148" s="55">
        <f>+[45]entradas!$H58</f>
        <v>2857</v>
      </c>
      <c r="N148" s="55">
        <f>+[46]entradas!$H58</f>
        <v>1760</v>
      </c>
      <c r="O148" s="55">
        <f>+[47]entradas!$H58</f>
        <v>540</v>
      </c>
      <c r="P148" s="55">
        <f>+[48]entradas!$H58</f>
        <v>2803</v>
      </c>
      <c r="Q148" s="55">
        <f>+[49]entradas!$H58</f>
        <v>2936</v>
      </c>
      <c r="R148" s="55">
        <f>+[50]entradas!$H58</f>
        <v>2934</v>
      </c>
      <c r="S148" s="55">
        <f>+[51]entradas!$H58</f>
        <v>2960</v>
      </c>
      <c r="T148" s="55">
        <f>+[52]entradas!$H58</f>
        <v>2904</v>
      </c>
      <c r="U148" s="55">
        <f>+[53]entradas!$H58</f>
        <v>1749</v>
      </c>
      <c r="V148" s="55">
        <f>+[54]entradas!$H58</f>
        <v>538</v>
      </c>
      <c r="W148" s="55">
        <f>+[55]entradas!$H58</f>
        <v>2801</v>
      </c>
      <c r="X148" s="55">
        <f>+[56]entradas!$H58</f>
        <v>2898</v>
      </c>
      <c r="Y148" s="55">
        <f>+[57]entradas!$H58</f>
        <v>2904</v>
      </c>
      <c r="Z148" s="55">
        <f>+[58]entradas!$H58</f>
        <v>2869</v>
      </c>
      <c r="AA148" s="55">
        <f>+[59]entradas!$H58</f>
        <v>2936</v>
      </c>
      <c r="AB148" s="55">
        <f>+[60]entradas!$H58</f>
        <v>1810</v>
      </c>
      <c r="AC148" s="55">
        <f>+[61]entradas!$H58</f>
        <v>545</v>
      </c>
      <c r="AD148" s="55">
        <f>+[62]entradas!$H58</f>
        <v>2780</v>
      </c>
      <c r="AE148" s="55">
        <f>+[63]entradas!$H58</f>
        <v>2908</v>
      </c>
      <c r="AF148" s="55">
        <f>+[64]entradas!$H58</f>
        <v>2838</v>
      </c>
      <c r="AG148" s="55">
        <f>+[65]entradas!$H58</f>
        <v>2767</v>
      </c>
      <c r="AH148" s="55">
        <f>+[66]entradas!$H58</f>
        <v>2939</v>
      </c>
      <c r="AI148" s="55">
        <f>+[67]entradas!$H58</f>
        <v>1797</v>
      </c>
      <c r="AJ148" s="55">
        <f>+[68]entradas!$H58</f>
        <v>568</v>
      </c>
    </row>
    <row r="149" spans="1:36" s="142" customFormat="1" x14ac:dyDescent="0.2">
      <c r="A149" s="432"/>
      <c r="B149" s="56" t="s">
        <v>289</v>
      </c>
      <c r="C149" s="55">
        <f>+[35]entradas!$H59</f>
        <v>1</v>
      </c>
      <c r="D149" s="55">
        <f>+[36]entradas!$H59</f>
        <v>1</v>
      </c>
      <c r="E149" s="55">
        <f>+[37]entradas!$H59</f>
        <v>0</v>
      </c>
      <c r="F149" s="55">
        <f>+[38]entradas!$H59</f>
        <v>0</v>
      </c>
      <c r="G149" s="55">
        <f>+[39]entradas!$H59</f>
        <v>2</v>
      </c>
      <c r="H149" s="55">
        <f>+[40]entradas!$H59</f>
        <v>1</v>
      </c>
      <c r="I149" s="55">
        <f>+[41]entradas!$H59</f>
        <v>3</v>
      </c>
      <c r="J149" s="55">
        <f>+[42]entradas!$H59</f>
        <v>1</v>
      </c>
      <c r="K149" s="55">
        <f>+[43]entradas!$H59</f>
        <v>4</v>
      </c>
      <c r="L149" s="55">
        <f>+[44]entradas!$H59</f>
        <v>4</v>
      </c>
      <c r="M149" s="55">
        <f>+[45]entradas!$H59</f>
        <v>1</v>
      </c>
      <c r="N149" s="55">
        <f>+[46]entradas!$H59</f>
        <v>3</v>
      </c>
      <c r="O149" s="55">
        <f>+[47]entradas!$H59</f>
        <v>0</v>
      </c>
      <c r="P149" s="55">
        <f>+[48]entradas!$H59</f>
        <v>0</v>
      </c>
      <c r="Q149" s="55">
        <f>+[49]entradas!$H59</f>
        <v>7</v>
      </c>
      <c r="R149" s="55">
        <f>+[50]entradas!$H59</f>
        <v>1</v>
      </c>
      <c r="S149" s="55">
        <f>+[51]entradas!$H59</f>
        <v>6</v>
      </c>
      <c r="T149" s="55">
        <f>+[52]entradas!$H59</f>
        <v>4</v>
      </c>
      <c r="U149" s="55">
        <f>+[53]entradas!$H59</f>
        <v>4</v>
      </c>
      <c r="V149" s="55">
        <f>+[54]entradas!$H59</f>
        <v>0</v>
      </c>
      <c r="W149" s="55">
        <f>+[55]entradas!$H59</f>
        <v>0</v>
      </c>
      <c r="X149" s="55">
        <f>+[56]entradas!$H59</f>
        <v>1</v>
      </c>
      <c r="Y149" s="55">
        <f>+[57]entradas!$H59</f>
        <v>2</v>
      </c>
      <c r="Z149" s="55">
        <f>+[58]entradas!$H59</f>
        <v>0</v>
      </c>
      <c r="AA149" s="55">
        <f>+[59]entradas!$H59</f>
        <v>2</v>
      </c>
      <c r="AB149" s="55">
        <f>+[60]entradas!$H59</f>
        <v>1</v>
      </c>
      <c r="AC149" s="55">
        <f>+[61]entradas!$H59</f>
        <v>1</v>
      </c>
      <c r="AD149" s="55">
        <f>+[62]entradas!$H59</f>
        <v>2</v>
      </c>
      <c r="AE149" s="55">
        <f>+[63]entradas!$H59</f>
        <v>0</v>
      </c>
      <c r="AF149" s="55">
        <f>+[64]entradas!$H59</f>
        <v>1</v>
      </c>
      <c r="AG149" s="55">
        <f>+[65]entradas!$H59</f>
        <v>3</v>
      </c>
      <c r="AH149" s="55">
        <f>+[66]entradas!$H59</f>
        <v>1</v>
      </c>
      <c r="AI149" s="55">
        <f>+[67]entradas!$H59</f>
        <v>3</v>
      </c>
      <c r="AJ149" s="55">
        <f>+[68]entradas!$H59</f>
        <v>2</v>
      </c>
    </row>
    <row r="150" spans="1:36" s="12" customFormat="1" x14ac:dyDescent="0.2">
      <c r="A150" s="432"/>
      <c r="B150" s="77" t="s">
        <v>245</v>
      </c>
      <c r="C150" s="13">
        <f>+[35]entradas!$H60</f>
        <v>4748</v>
      </c>
      <c r="D150" s="13">
        <f>+[36]entradas!$H60</f>
        <v>4662</v>
      </c>
      <c r="E150" s="13">
        <f>+[37]entradas!$H60</f>
        <v>4666</v>
      </c>
      <c r="F150" s="13">
        <f>+[38]entradas!$H60</f>
        <v>4751</v>
      </c>
      <c r="G150" s="13">
        <f>+[39]entradas!$H60</f>
        <v>3876</v>
      </c>
      <c r="H150" s="13">
        <f>+[40]entradas!$H60</f>
        <v>1548</v>
      </c>
      <c r="I150" s="13">
        <f>+[41]entradas!$H60</f>
        <v>4682</v>
      </c>
      <c r="J150" s="13">
        <f>+[42]entradas!$H60</f>
        <v>4968</v>
      </c>
      <c r="K150" s="13">
        <f>+[43]entradas!$H60</f>
        <v>4673</v>
      </c>
      <c r="L150" s="13">
        <f>+[44]entradas!$H60</f>
        <v>4820</v>
      </c>
      <c r="M150" s="13">
        <f>+[45]entradas!$H60</f>
        <v>4757</v>
      </c>
      <c r="N150" s="13">
        <f>+[46]entradas!$H60</f>
        <v>3644</v>
      </c>
      <c r="O150" s="13">
        <f>+[47]entradas!$H60</f>
        <v>1503</v>
      </c>
      <c r="P150" s="13">
        <f>+[48]entradas!$H60</f>
        <v>4814</v>
      </c>
      <c r="Q150" s="13">
        <f>+[49]entradas!$H60</f>
        <v>4787</v>
      </c>
      <c r="R150" s="13">
        <f>+[50]entradas!$H60</f>
        <v>4771</v>
      </c>
      <c r="S150" s="13">
        <f>+[51]entradas!$H60</f>
        <v>4722</v>
      </c>
      <c r="T150" s="13">
        <f>+[52]entradas!$H60</f>
        <v>4834</v>
      </c>
      <c r="U150" s="13">
        <f>+[53]entradas!$H60</f>
        <v>3735</v>
      </c>
      <c r="V150" s="13">
        <f>+[54]entradas!$H60</f>
        <v>1521</v>
      </c>
      <c r="W150" s="13">
        <f>+[55]entradas!$H60</f>
        <v>4692</v>
      </c>
      <c r="X150" s="13">
        <f>+[56]entradas!$H60</f>
        <v>4801</v>
      </c>
      <c r="Y150" s="13">
        <f>+[57]entradas!$H60</f>
        <v>4721</v>
      </c>
      <c r="Z150" s="13">
        <f>+[58]entradas!$H60</f>
        <v>4752</v>
      </c>
      <c r="AA150" s="13">
        <f>+[59]entradas!$H60</f>
        <v>4789</v>
      </c>
      <c r="AB150" s="13">
        <f>+[60]entradas!$H60</f>
        <v>3759</v>
      </c>
      <c r="AC150" s="13">
        <f>+[61]entradas!$H60</f>
        <v>1591</v>
      </c>
      <c r="AD150" s="13">
        <f>+[62]entradas!$H60</f>
        <v>4634</v>
      </c>
      <c r="AE150" s="13">
        <f>+[63]entradas!$H60</f>
        <v>4889</v>
      </c>
      <c r="AF150" s="13">
        <f>+[64]entradas!$H60</f>
        <v>4797</v>
      </c>
      <c r="AG150" s="13">
        <f>+[65]entradas!$H60</f>
        <v>5009</v>
      </c>
      <c r="AH150" s="13">
        <f>+[66]entradas!$H60</f>
        <v>4955</v>
      </c>
      <c r="AI150" s="13">
        <f>+[67]entradas!$H60</f>
        <v>3782</v>
      </c>
      <c r="AJ150" s="13">
        <f>+[68]entradas!$H60</f>
        <v>1491</v>
      </c>
    </row>
    <row r="151" spans="1:36" s="12" customFormat="1" x14ac:dyDescent="0.2">
      <c r="A151" s="432"/>
      <c r="B151" s="36" t="s">
        <v>246</v>
      </c>
      <c r="C151" s="13">
        <f>+[35]entradas!$H61</f>
        <v>5770</v>
      </c>
      <c r="D151" s="13">
        <f>+[36]entradas!$H61</f>
        <v>5757</v>
      </c>
      <c r="E151" s="13">
        <f>+[37]entradas!$H61</f>
        <v>5610</v>
      </c>
      <c r="F151" s="13">
        <f>+[38]entradas!$H61</f>
        <v>5740</v>
      </c>
      <c r="G151" s="13">
        <f>+[39]entradas!$H61</f>
        <v>4182</v>
      </c>
      <c r="H151" s="13">
        <f>+[40]entradas!$H61</f>
        <v>2041</v>
      </c>
      <c r="I151" s="13">
        <f>+[41]entradas!$H61</f>
        <v>5839</v>
      </c>
      <c r="J151" s="13">
        <f>+[42]entradas!$H61</f>
        <v>5795</v>
      </c>
      <c r="K151" s="13">
        <f>+[43]entradas!$H61</f>
        <v>5843</v>
      </c>
      <c r="L151" s="13">
        <f>+[44]entradas!$H61</f>
        <v>5862</v>
      </c>
      <c r="M151" s="13">
        <f>+[45]entradas!$H61</f>
        <v>5787</v>
      </c>
      <c r="N151" s="13">
        <f>+[46]entradas!$H61</f>
        <v>4308</v>
      </c>
      <c r="O151" s="13">
        <f>+[47]entradas!$H61</f>
        <v>1899</v>
      </c>
      <c r="P151" s="13">
        <f>+[48]entradas!$H61</f>
        <v>5852</v>
      </c>
      <c r="Q151" s="13">
        <f>+[49]entradas!$H61</f>
        <v>6003</v>
      </c>
      <c r="R151" s="13">
        <f>+[50]entradas!$H61</f>
        <v>6219</v>
      </c>
      <c r="S151" s="13">
        <f>+[51]entradas!$H61</f>
        <v>6199</v>
      </c>
      <c r="T151" s="13">
        <f>+[52]entradas!$H61</f>
        <v>6050</v>
      </c>
      <c r="U151" s="13">
        <f>+[53]entradas!$H61</f>
        <v>4314</v>
      </c>
      <c r="V151" s="13">
        <f>+[54]entradas!$H61</f>
        <v>1977</v>
      </c>
      <c r="W151" s="13">
        <f>+[55]entradas!$H61</f>
        <v>5886</v>
      </c>
      <c r="X151" s="13">
        <f>+[56]entradas!$H61</f>
        <v>5905</v>
      </c>
      <c r="Y151" s="13">
        <f>+[57]entradas!$H61</f>
        <v>6023</v>
      </c>
      <c r="Z151" s="13">
        <f>+[58]entradas!$H61</f>
        <v>6022</v>
      </c>
      <c r="AA151" s="13">
        <f>+[59]entradas!$H61</f>
        <v>6069</v>
      </c>
      <c r="AB151" s="13">
        <f>+[60]entradas!$H61</f>
        <v>4316</v>
      </c>
      <c r="AC151" s="13">
        <f>+[61]entradas!$H61</f>
        <v>2147</v>
      </c>
      <c r="AD151" s="13">
        <f>+[62]entradas!$H61</f>
        <v>6013</v>
      </c>
      <c r="AE151" s="13">
        <f>+[63]entradas!$H61</f>
        <v>6087</v>
      </c>
      <c r="AF151" s="13">
        <f>+[64]entradas!$H61</f>
        <v>6185</v>
      </c>
      <c r="AG151" s="13">
        <f>+[65]entradas!$H61</f>
        <v>6183</v>
      </c>
      <c r="AH151" s="13">
        <f>+[66]entradas!$H61</f>
        <v>6154</v>
      </c>
      <c r="AI151" s="13">
        <f>+[67]entradas!$H61</f>
        <v>4585</v>
      </c>
      <c r="AJ151" s="13">
        <f>+[68]entradas!$H61</f>
        <v>2040</v>
      </c>
    </row>
    <row r="152" spans="1:36" s="12" customFormat="1" x14ac:dyDescent="0.2">
      <c r="A152" s="432"/>
      <c r="B152" s="36" t="s">
        <v>247</v>
      </c>
      <c r="C152" s="13">
        <f>+[35]entradas!$H62</f>
        <v>2144</v>
      </c>
      <c r="D152" s="13">
        <f>+[36]entradas!$H62</f>
        <v>2272</v>
      </c>
      <c r="E152" s="13">
        <f>+[37]entradas!$H62</f>
        <v>2330</v>
      </c>
      <c r="F152" s="13">
        <f>+[38]entradas!$H62</f>
        <v>2214</v>
      </c>
      <c r="G152" s="13">
        <f>+[39]entradas!$H62</f>
        <v>1498</v>
      </c>
      <c r="H152" s="13">
        <f>+[40]entradas!$H62</f>
        <v>601</v>
      </c>
      <c r="I152" s="13">
        <f>+[41]entradas!$H62</f>
        <v>2258</v>
      </c>
      <c r="J152" s="13">
        <f>+[42]entradas!$H62</f>
        <v>2389</v>
      </c>
      <c r="K152" s="13">
        <f>+[43]entradas!$H62</f>
        <v>2309</v>
      </c>
      <c r="L152" s="13">
        <f>+[44]entradas!$H62</f>
        <v>2387</v>
      </c>
      <c r="M152" s="13">
        <f>+[45]entradas!$H62</f>
        <v>2266</v>
      </c>
      <c r="N152" s="13">
        <f>+[46]entradas!$H62</f>
        <v>1521</v>
      </c>
      <c r="O152" s="13">
        <f>+[47]entradas!$H62</f>
        <v>590</v>
      </c>
      <c r="P152" s="13">
        <f>+[48]entradas!$H62</f>
        <v>2411</v>
      </c>
      <c r="Q152" s="13">
        <f>+[49]entradas!$H62</f>
        <v>2647</v>
      </c>
      <c r="R152" s="13">
        <f>+[50]entradas!$H62</f>
        <v>2514</v>
      </c>
      <c r="S152" s="13">
        <f>+[51]entradas!$H62</f>
        <v>2547</v>
      </c>
      <c r="T152" s="13">
        <f>+[52]entradas!$H62</f>
        <v>2466</v>
      </c>
      <c r="U152" s="13">
        <f>+[53]entradas!$H62</f>
        <v>1508</v>
      </c>
      <c r="V152" s="13">
        <f>+[54]entradas!$H62</f>
        <v>549</v>
      </c>
      <c r="W152" s="13">
        <f>+[55]entradas!$H62</f>
        <v>2433</v>
      </c>
      <c r="X152" s="13">
        <f>+[56]entradas!$H62</f>
        <v>2425</v>
      </c>
      <c r="Y152" s="13">
        <f>+[57]entradas!$H62</f>
        <v>2467</v>
      </c>
      <c r="Z152" s="13">
        <f>+[58]entradas!$H62</f>
        <v>2407</v>
      </c>
      <c r="AA152" s="13">
        <f>+[59]entradas!$H62</f>
        <v>2461</v>
      </c>
      <c r="AB152" s="13">
        <f>+[60]entradas!$H62</f>
        <v>1470</v>
      </c>
      <c r="AC152" s="13">
        <f>+[61]entradas!$H62</f>
        <v>571</v>
      </c>
      <c r="AD152" s="13">
        <f>+[62]entradas!$H62</f>
        <v>2473</v>
      </c>
      <c r="AE152" s="13">
        <f>+[63]entradas!$H62</f>
        <v>2465</v>
      </c>
      <c r="AF152" s="13">
        <f>+[64]entradas!$H62</f>
        <v>2415</v>
      </c>
      <c r="AG152" s="13">
        <f>+[65]entradas!$H62</f>
        <v>2494</v>
      </c>
      <c r="AH152" s="13">
        <f>+[66]entradas!$H62</f>
        <v>2411</v>
      </c>
      <c r="AI152" s="13">
        <f>+[67]entradas!$H62</f>
        <v>1571</v>
      </c>
      <c r="AJ152" s="13">
        <f>+[68]entradas!$H62</f>
        <v>545</v>
      </c>
    </row>
    <row r="153" spans="1:36" s="12" customFormat="1" x14ac:dyDescent="0.2">
      <c r="A153" s="432"/>
      <c r="B153" s="36" t="s">
        <v>248</v>
      </c>
      <c r="C153" s="13">
        <f>+[35]entradas!$H63</f>
        <v>4476</v>
      </c>
      <c r="D153" s="13">
        <f>+[36]entradas!$H63</f>
        <v>4625</v>
      </c>
      <c r="E153" s="13">
        <f>+[37]entradas!$H63</f>
        <v>4401</v>
      </c>
      <c r="F153" s="13">
        <f>+[38]entradas!$H63</f>
        <v>4572</v>
      </c>
      <c r="G153" s="13">
        <f>+[39]entradas!$H63</f>
        <v>3242</v>
      </c>
      <c r="H153" s="13">
        <f>+[40]entradas!$H63</f>
        <v>1291</v>
      </c>
      <c r="I153" s="13">
        <f>+[41]entradas!$H63</f>
        <v>4618</v>
      </c>
      <c r="J153" s="13">
        <f>+[42]entradas!$H63</f>
        <v>4578</v>
      </c>
      <c r="K153" s="13">
        <f>+[43]entradas!$H63</f>
        <v>4495</v>
      </c>
      <c r="L153" s="13">
        <f>+[44]entradas!$H63</f>
        <v>4558</v>
      </c>
      <c r="M153" s="13">
        <f>+[45]entradas!$H63</f>
        <v>4651</v>
      </c>
      <c r="N153" s="13">
        <f>+[46]entradas!$H63</f>
        <v>3343</v>
      </c>
      <c r="O153" s="13">
        <f>+[47]entradas!$H63</f>
        <v>1240</v>
      </c>
      <c r="P153" s="13">
        <f>+[48]entradas!$H63</f>
        <v>4717</v>
      </c>
      <c r="Q153" s="13">
        <f>+[49]entradas!$H63</f>
        <v>4793</v>
      </c>
      <c r="R153" s="13">
        <f>+[50]entradas!$H63</f>
        <v>4865</v>
      </c>
      <c r="S153" s="13">
        <f>+[51]entradas!$H63</f>
        <v>4765</v>
      </c>
      <c r="T153" s="13">
        <f>+[52]entradas!$H63</f>
        <v>4886</v>
      </c>
      <c r="U153" s="13">
        <f>+[53]entradas!$H63</f>
        <v>3399</v>
      </c>
      <c r="V153" s="13">
        <f>+[54]entradas!$H63</f>
        <v>1236</v>
      </c>
      <c r="W153" s="13">
        <f>+[55]entradas!$H63</f>
        <v>4868</v>
      </c>
      <c r="X153" s="13">
        <f>+[56]entradas!$H63</f>
        <v>4806</v>
      </c>
      <c r="Y153" s="13">
        <f>+[57]entradas!$H63</f>
        <v>4775</v>
      </c>
      <c r="Z153" s="13">
        <f>+[58]entradas!$H63</f>
        <v>4551</v>
      </c>
      <c r="AA153" s="13">
        <f>+[59]entradas!$H63</f>
        <v>4857</v>
      </c>
      <c r="AB153" s="13">
        <f>+[60]entradas!$H63</f>
        <v>3273</v>
      </c>
      <c r="AC153" s="13">
        <f>+[61]entradas!$H63</f>
        <v>1283</v>
      </c>
      <c r="AD153" s="13">
        <f>+[62]entradas!$H63</f>
        <v>4720</v>
      </c>
      <c r="AE153" s="13">
        <f>+[63]entradas!$H63</f>
        <v>4705</v>
      </c>
      <c r="AF153" s="13">
        <f>+[64]entradas!$H63</f>
        <v>4796</v>
      </c>
      <c r="AG153" s="13">
        <f>+[65]entradas!$H63</f>
        <v>4915</v>
      </c>
      <c r="AH153" s="13">
        <f>+[66]entradas!$H63</f>
        <v>5076</v>
      </c>
      <c r="AI153" s="13">
        <f>+[67]entradas!$H63</f>
        <v>3542</v>
      </c>
      <c r="AJ153" s="13">
        <f>+[68]entradas!$H63</f>
        <v>1364</v>
      </c>
    </row>
    <row r="154" spans="1:36" s="12" customFormat="1" ht="13.5" thickBot="1" x14ac:dyDescent="0.25">
      <c r="A154" s="432"/>
      <c r="B154" s="37" t="s">
        <v>249</v>
      </c>
      <c r="C154" s="13">
        <f>+[35]entradas!$H64</f>
        <v>9011</v>
      </c>
      <c r="D154" s="13">
        <f>+[36]entradas!$H64</f>
        <v>9141</v>
      </c>
      <c r="E154" s="13">
        <f>+[37]entradas!$H64</f>
        <v>8573</v>
      </c>
      <c r="F154" s="13">
        <f>+[38]entradas!$H64</f>
        <v>9335</v>
      </c>
      <c r="G154" s="13">
        <f>+[39]entradas!$H64</f>
        <v>6680</v>
      </c>
      <c r="H154" s="13">
        <f>+[40]entradas!$H64</f>
        <v>2211</v>
      </c>
      <c r="I154" s="13">
        <f>+[41]entradas!$H64</f>
        <v>9173</v>
      </c>
      <c r="J154" s="13">
        <f>+[42]entradas!$H64</f>
        <v>9414</v>
      </c>
      <c r="K154" s="13">
        <f>+[43]entradas!$H64</f>
        <v>9427</v>
      </c>
      <c r="L154" s="13">
        <f>+[44]entradas!$H64</f>
        <v>9339</v>
      </c>
      <c r="M154" s="13">
        <f>+[45]entradas!$H64</f>
        <v>9635</v>
      </c>
      <c r="N154" s="13">
        <f>+[46]entradas!$H64</f>
        <v>6649</v>
      </c>
      <c r="O154" s="13">
        <f>+[47]entradas!$H64</f>
        <v>2188</v>
      </c>
      <c r="P154" s="13">
        <f>+[48]entradas!$H64</f>
        <v>9425</v>
      </c>
      <c r="Q154" s="13">
        <f>+[49]entradas!$H64</f>
        <v>8685</v>
      </c>
      <c r="R154" s="13">
        <f>+[50]entradas!$H64</f>
        <v>9338</v>
      </c>
      <c r="S154" s="13">
        <f>+[51]entradas!$H64</f>
        <v>9497</v>
      </c>
      <c r="T154" s="13">
        <f>+[52]entradas!$H64</f>
        <v>9618</v>
      </c>
      <c r="U154" s="13">
        <f>+[53]entradas!$H64</f>
        <v>6898</v>
      </c>
      <c r="V154" s="13">
        <f>+[54]entradas!$H64</f>
        <v>2319</v>
      </c>
      <c r="W154" s="13">
        <f>+[55]entradas!$H64</f>
        <v>9389</v>
      </c>
      <c r="X154" s="13">
        <f>+[56]entradas!$H64</f>
        <v>9455</v>
      </c>
      <c r="Y154" s="13">
        <f>+[57]entradas!$H64</f>
        <v>9312</v>
      </c>
      <c r="Z154" s="13">
        <f>+[58]entradas!$H64</f>
        <v>9172</v>
      </c>
      <c r="AA154" s="13">
        <f>+[59]entradas!$H64</f>
        <v>9601</v>
      </c>
      <c r="AB154" s="13">
        <f>+[60]entradas!$H64</f>
        <v>6917</v>
      </c>
      <c r="AC154" s="13">
        <f>+[61]entradas!$H64</f>
        <v>2303</v>
      </c>
      <c r="AD154" s="13">
        <f>+[62]entradas!$H64</f>
        <v>9412</v>
      </c>
      <c r="AE154" s="13">
        <f>+[63]entradas!$H64</f>
        <v>9208</v>
      </c>
      <c r="AF154" s="13">
        <f>+[64]entradas!$H64</f>
        <v>9654</v>
      </c>
      <c r="AG154" s="13">
        <f>+[65]entradas!$H64</f>
        <v>10036</v>
      </c>
      <c r="AH154" s="13">
        <f>+[66]entradas!$H64</f>
        <v>9916</v>
      </c>
      <c r="AI154" s="13">
        <f>+[67]entradas!$H64</f>
        <v>7392</v>
      </c>
      <c r="AJ154" s="13">
        <f>+[68]entradas!$H64</f>
        <v>2346</v>
      </c>
    </row>
    <row r="155" spans="1:36" s="12" customFormat="1" ht="13.5" thickBot="1" x14ac:dyDescent="0.25">
      <c r="A155" s="432"/>
      <c r="B155" s="78" t="s">
        <v>250</v>
      </c>
      <c r="C155" s="55">
        <f>+[35]entradas!$H65</f>
        <v>53530</v>
      </c>
      <c r="D155" s="55">
        <f>+[36]entradas!$H65</f>
        <v>53181</v>
      </c>
      <c r="E155" s="55">
        <f>+[37]entradas!$H65</f>
        <v>51617</v>
      </c>
      <c r="F155" s="55">
        <f>+[38]entradas!$H65</f>
        <v>54279</v>
      </c>
      <c r="G155" s="55">
        <f>+[39]entradas!$H65</f>
        <v>38682</v>
      </c>
      <c r="H155" s="55">
        <f>+[40]entradas!$H65</f>
        <v>16954</v>
      </c>
      <c r="I155" s="55">
        <f>+[41]entradas!$H65</f>
        <v>54324</v>
      </c>
      <c r="J155" s="55">
        <f>+[42]entradas!$H65</f>
        <v>54685</v>
      </c>
      <c r="K155" s="55">
        <f>+[43]entradas!$H65</f>
        <v>54371</v>
      </c>
      <c r="L155" s="55">
        <f>+[44]entradas!$H65</f>
        <v>55122</v>
      </c>
      <c r="M155" s="55">
        <f>+[45]entradas!$H65</f>
        <v>55895</v>
      </c>
      <c r="N155" s="55">
        <f>+[46]entradas!$H65</f>
        <v>39019</v>
      </c>
      <c r="O155" s="55">
        <f>+[47]entradas!$H65</f>
        <v>15892</v>
      </c>
      <c r="P155" s="55">
        <f>+[48]entradas!$H65</f>
        <v>56077</v>
      </c>
      <c r="Q155" s="55">
        <f>+[49]entradas!$H65</f>
        <v>58595</v>
      </c>
      <c r="R155" s="55">
        <f>+[50]entradas!$H65</f>
        <v>57535</v>
      </c>
      <c r="S155" s="55">
        <f>+[51]entradas!$H65</f>
        <v>57574</v>
      </c>
      <c r="T155" s="55">
        <f>+[52]entradas!$H65</f>
        <v>57518</v>
      </c>
      <c r="U155" s="55">
        <f>+[53]entradas!$H65</f>
        <v>40270</v>
      </c>
      <c r="V155" s="55">
        <f>+[54]entradas!$H65</f>
        <v>16657</v>
      </c>
      <c r="W155" s="55">
        <f>+[55]entradas!$H65</f>
        <v>56327</v>
      </c>
      <c r="X155" s="55">
        <f>+[56]entradas!$H65</f>
        <v>56096</v>
      </c>
      <c r="Y155" s="55">
        <f>+[57]entradas!$H65</f>
        <v>55482</v>
      </c>
      <c r="Z155" s="55">
        <f>+[58]entradas!$H65</f>
        <v>55222</v>
      </c>
      <c r="AA155" s="55">
        <f>+[59]entradas!$H65</f>
        <v>57134</v>
      </c>
      <c r="AB155" s="55">
        <f>+[60]entradas!$H65</f>
        <v>40502</v>
      </c>
      <c r="AC155" s="55">
        <f>+[61]entradas!$H65</f>
        <v>16458</v>
      </c>
      <c r="AD155" s="55">
        <f>+[62]entradas!$H65</f>
        <v>56678</v>
      </c>
      <c r="AE155" s="55">
        <f>+[63]entradas!$H65</f>
        <v>57151</v>
      </c>
      <c r="AF155" s="55">
        <f>+[64]entradas!$H65</f>
        <v>56843</v>
      </c>
      <c r="AG155" s="55">
        <f>+[65]entradas!$H65</f>
        <v>58453</v>
      </c>
      <c r="AH155" s="55">
        <f>+[66]entradas!$H65</f>
        <v>58084</v>
      </c>
      <c r="AI155" s="55">
        <f>+[67]entradas!$H65</f>
        <v>41387</v>
      </c>
      <c r="AJ155" s="55">
        <f>+[68]entradas!$H65</f>
        <v>16910</v>
      </c>
    </row>
    <row r="156" spans="1:36" s="12" customFormat="1" ht="13.5" thickBot="1" x14ac:dyDescent="0.25">
      <c r="A156" s="432"/>
      <c r="B156" s="79" t="s">
        <v>272</v>
      </c>
      <c r="C156" s="55">
        <f>+[35]entradas!$H$73</f>
        <v>63852</v>
      </c>
      <c r="D156" s="55">
        <f>+[36]entradas!$H$73</f>
        <v>63006</v>
      </c>
      <c r="E156" s="55">
        <f>+[37]entradas!$H$73</f>
        <v>61404</v>
      </c>
      <c r="F156" s="55">
        <f>+[38]entradas!$H$73</f>
        <v>64357</v>
      </c>
      <c r="G156" s="55">
        <f>+[39]entradas!$H$73</f>
        <v>44432</v>
      </c>
      <c r="H156" s="55">
        <f>+[40]entradas!$H$73</f>
        <v>19735</v>
      </c>
      <c r="I156" s="55">
        <f>+[41]entradas!$H$73</f>
        <v>64825</v>
      </c>
      <c r="J156" s="55">
        <f>+[42]entradas!$H$73</f>
        <v>65666</v>
      </c>
      <c r="K156" s="55">
        <f>+[43]entradas!$H$73</f>
        <v>65386</v>
      </c>
      <c r="L156" s="55">
        <f>+[44]entradas!$H$73</f>
        <v>66305</v>
      </c>
      <c r="M156" s="55">
        <f>+[45]entradas!$H$73</f>
        <v>66824</v>
      </c>
      <c r="N156" s="55">
        <f>+[46]entradas!$H$73</f>
        <v>44837</v>
      </c>
      <c r="O156" s="55">
        <f>+[47]entradas!$H$73</f>
        <v>18518</v>
      </c>
      <c r="P156" s="55">
        <f>+[48]entradas!$H$73</f>
        <v>65886</v>
      </c>
      <c r="Q156" s="55">
        <f>+[49]entradas!$H$73</f>
        <v>66772</v>
      </c>
      <c r="R156" s="55">
        <f>+[50]entradas!$H$73</f>
        <v>67529</v>
      </c>
      <c r="S156" s="55">
        <f>+[51]entradas!$H$73</f>
        <v>67267</v>
      </c>
      <c r="T156" s="55">
        <f>+[52]entradas!$H$73</f>
        <v>68077</v>
      </c>
      <c r="U156" s="55">
        <f>+[53]entradas!$H$73</f>
        <v>46130</v>
      </c>
      <c r="V156" s="55">
        <f>+[54]entradas!$H$73</f>
        <v>19342</v>
      </c>
      <c r="W156" s="55">
        <f>+[55]entradas!$H$73</f>
        <v>66801</v>
      </c>
      <c r="X156" s="55">
        <f>+[56]entradas!$H$73</f>
        <v>66927</v>
      </c>
      <c r="Y156" s="55">
        <f>+[57]entradas!$H$73</f>
        <v>66431</v>
      </c>
      <c r="Z156" s="55">
        <f>+[58]entradas!$H$73</f>
        <v>66145</v>
      </c>
      <c r="AA156" s="55">
        <f>+[59]entradas!$H$73</f>
        <v>67431</v>
      </c>
      <c r="AB156" s="55">
        <f>+[60]entradas!$H$73</f>
        <v>45485</v>
      </c>
      <c r="AC156" s="55">
        <f>+[61]entradas!$H$73</f>
        <v>19083</v>
      </c>
      <c r="AD156" s="55">
        <f>+[62]entradas!$H$73</f>
        <v>66336</v>
      </c>
      <c r="AE156" s="55">
        <f>+[63]entradas!$H$73</f>
        <v>68289</v>
      </c>
      <c r="AF156" s="55">
        <f>+[64]entradas!$H$73</f>
        <v>68690</v>
      </c>
      <c r="AG156" s="55">
        <f>+[65]entradas!$H$73</f>
        <v>68365</v>
      </c>
      <c r="AH156" s="55">
        <f>+[66]entradas!$H$73</f>
        <v>69538</v>
      </c>
      <c r="AI156" s="55">
        <f>+[67]entradas!$H$73</f>
        <v>47908</v>
      </c>
      <c r="AJ156" s="55">
        <f>+[68]entradas!$H$73</f>
        <v>19599</v>
      </c>
    </row>
    <row r="157" spans="1:36" s="12" customFormat="1" x14ac:dyDescent="0.2">
      <c r="A157" s="432"/>
      <c r="B157" s="34" t="s">
        <v>257</v>
      </c>
      <c r="C157" s="13">
        <f>+[35]entradas!$H81</f>
        <v>8017</v>
      </c>
      <c r="D157" s="13">
        <f>+[36]entradas!$H81</f>
        <v>8319</v>
      </c>
      <c r="E157" s="13">
        <f>+[37]entradas!$H81</f>
        <v>7925</v>
      </c>
      <c r="F157" s="13">
        <f>+[38]entradas!$H81</f>
        <v>8546</v>
      </c>
      <c r="G157" s="13">
        <f>+[39]entradas!$H81</f>
        <v>5146</v>
      </c>
      <c r="H157" s="13">
        <f>+[40]entradas!$H81</f>
        <v>1767</v>
      </c>
      <c r="I157" s="13">
        <f>+[41]entradas!$H81</f>
        <v>8031</v>
      </c>
      <c r="J157" s="13">
        <f>+[42]entradas!$H81</f>
        <v>8512</v>
      </c>
      <c r="K157" s="13">
        <f>+[43]entradas!$H81</f>
        <v>8742</v>
      </c>
      <c r="L157" s="13">
        <f>+[44]entradas!$H81</f>
        <v>8555</v>
      </c>
      <c r="M157" s="13">
        <f>+[45]entradas!$H81</f>
        <v>8586</v>
      </c>
      <c r="N157" s="13">
        <f>+[46]entradas!$H81</f>
        <v>5283</v>
      </c>
      <c r="O157" s="13">
        <f>+[47]entradas!$H81</f>
        <v>1665</v>
      </c>
      <c r="P157" s="13">
        <f>+[48]entradas!$H81</f>
        <v>8486</v>
      </c>
      <c r="Q157" s="13">
        <f>+[49]entradas!$H81</f>
        <v>8544</v>
      </c>
      <c r="R157" s="13">
        <f>+[50]entradas!$H81</f>
        <v>8628</v>
      </c>
      <c r="S157" s="13">
        <f>+[51]entradas!$H81</f>
        <v>8712</v>
      </c>
      <c r="T157" s="13">
        <f>+[52]entradas!$H81</f>
        <v>8727</v>
      </c>
      <c r="U157" s="13">
        <f>+[53]entradas!$H81</f>
        <v>5274</v>
      </c>
      <c r="V157" s="13">
        <f>+[54]entradas!$H81</f>
        <v>1677</v>
      </c>
      <c r="W157" s="13">
        <f>+[55]entradas!$H81</f>
        <v>8429</v>
      </c>
      <c r="X157" s="13">
        <f>+[56]entradas!$H81</f>
        <v>8685</v>
      </c>
      <c r="Y157" s="13">
        <f>+[57]entradas!$H81</f>
        <v>8701</v>
      </c>
      <c r="Z157" s="13">
        <f>+[58]entradas!$H81</f>
        <v>8642</v>
      </c>
      <c r="AA157" s="13">
        <f>+[59]entradas!$H81</f>
        <v>8651</v>
      </c>
      <c r="AB157" s="13">
        <f>+[60]entradas!$H81</f>
        <v>5366</v>
      </c>
      <c r="AC157" s="13">
        <f>+[61]entradas!$H81</f>
        <v>1732</v>
      </c>
      <c r="AD157" s="13">
        <f>+[62]entradas!$H81</f>
        <v>8526</v>
      </c>
      <c r="AE157" s="13">
        <f>+[63]entradas!$H81</f>
        <v>8691</v>
      </c>
      <c r="AF157" s="13">
        <f>+[64]entradas!$H81</f>
        <v>8867</v>
      </c>
      <c r="AG157" s="13">
        <f>+[65]entradas!$H81</f>
        <v>8850</v>
      </c>
      <c r="AH157" s="13">
        <f>+[66]entradas!$H81</f>
        <v>9095</v>
      </c>
      <c r="AI157" s="13">
        <f>+[67]entradas!$H81</f>
        <v>5765</v>
      </c>
      <c r="AJ157" s="13">
        <f>+[68]entradas!$H81</f>
        <v>1703</v>
      </c>
    </row>
    <row r="158" spans="1:36" s="12" customFormat="1" x14ac:dyDescent="0.2">
      <c r="A158" s="432"/>
      <c r="B158" s="34" t="s">
        <v>273</v>
      </c>
      <c r="C158" s="13">
        <f>+[35]entradas!$H82</f>
        <v>8479</v>
      </c>
      <c r="D158" s="13">
        <f>+[36]entradas!$H82</f>
        <v>8466</v>
      </c>
      <c r="E158" s="13">
        <f>+[37]entradas!$H82</f>
        <v>8036</v>
      </c>
      <c r="F158" s="13">
        <f>+[38]entradas!$H82</f>
        <v>8708</v>
      </c>
      <c r="G158" s="13">
        <f>+[39]entradas!$H82</f>
        <v>5798</v>
      </c>
      <c r="H158" s="13">
        <f>+[40]entradas!$H82</f>
        <v>2654</v>
      </c>
      <c r="I158" s="13">
        <f>+[41]entradas!$H82</f>
        <v>8714</v>
      </c>
      <c r="J158" s="13">
        <f>+[42]entradas!$H82</f>
        <v>8585</v>
      </c>
      <c r="K158" s="13">
        <f>+[43]entradas!$H82</f>
        <v>8887</v>
      </c>
      <c r="L158" s="13">
        <f>+[44]entradas!$H82</f>
        <v>8567</v>
      </c>
      <c r="M158" s="13">
        <f>+[45]entradas!$H82</f>
        <v>8614</v>
      </c>
      <c r="N158" s="13">
        <f>+[46]entradas!$H82</f>
        <v>5755</v>
      </c>
      <c r="O158" s="13">
        <f>+[47]entradas!$H82</f>
        <v>2505</v>
      </c>
      <c r="P158" s="13">
        <f>+[48]entradas!$H82</f>
        <v>8610</v>
      </c>
      <c r="Q158" s="13">
        <f>+[49]entradas!$H82</f>
        <v>8643</v>
      </c>
      <c r="R158" s="13">
        <f>+[50]entradas!$H82</f>
        <v>8684</v>
      </c>
      <c r="S158" s="13">
        <f>+[51]entradas!$H82</f>
        <v>8666</v>
      </c>
      <c r="T158" s="13">
        <f>+[52]entradas!$H82</f>
        <v>8776</v>
      </c>
      <c r="U158" s="13">
        <f>+[53]entradas!$H82</f>
        <v>5949</v>
      </c>
      <c r="V158" s="13">
        <f>+[54]entradas!$H82</f>
        <v>2601</v>
      </c>
      <c r="W158" s="13">
        <f>+[55]entradas!$H82</f>
        <v>8631</v>
      </c>
      <c r="X158" s="13">
        <f>+[56]entradas!$H82</f>
        <v>8516</v>
      </c>
      <c r="Y158" s="13">
        <f>+[57]entradas!$H82</f>
        <v>8421</v>
      </c>
      <c r="Z158" s="13">
        <f>+[58]entradas!$H82</f>
        <v>8359</v>
      </c>
      <c r="AA158" s="13">
        <f>+[59]entradas!$H82</f>
        <v>8485</v>
      </c>
      <c r="AB158" s="13">
        <f>+[60]entradas!$H82</f>
        <v>6117</v>
      </c>
      <c r="AC158" s="13">
        <f>+[61]entradas!$H82</f>
        <v>2508</v>
      </c>
      <c r="AD158" s="13">
        <f>+[62]entradas!$H82</f>
        <v>8763</v>
      </c>
      <c r="AE158" s="13">
        <f>+[63]entradas!$H82</f>
        <v>9094</v>
      </c>
      <c r="AF158" s="13">
        <f>+[64]entradas!$H82</f>
        <v>9038</v>
      </c>
      <c r="AG158" s="13">
        <f>+[65]entradas!$H82</f>
        <v>9120</v>
      </c>
      <c r="AH158" s="13">
        <f>+[66]entradas!$H82</f>
        <v>9124</v>
      </c>
      <c r="AI158" s="13">
        <f>+[67]entradas!$H82</f>
        <v>6498</v>
      </c>
      <c r="AJ158" s="13">
        <f>+[68]entradas!$H82</f>
        <v>2504</v>
      </c>
    </row>
    <row r="159" spans="1:36" s="12" customFormat="1" x14ac:dyDescent="0.2">
      <c r="A159" s="432"/>
      <c r="B159" s="34" t="s">
        <v>259</v>
      </c>
      <c r="C159" s="13">
        <f>+[35]entradas!$H83</f>
        <v>1950</v>
      </c>
      <c r="D159" s="13">
        <f>+[36]entradas!$H83</f>
        <v>1919</v>
      </c>
      <c r="E159" s="13">
        <f>+[37]entradas!$H83</f>
        <v>1849</v>
      </c>
      <c r="F159" s="13">
        <f>+[38]entradas!$H83</f>
        <v>1898</v>
      </c>
      <c r="G159" s="13">
        <f>+[39]entradas!$H83</f>
        <v>1260</v>
      </c>
      <c r="H159" s="13">
        <f>+[40]entradas!$H83</f>
        <v>490</v>
      </c>
      <c r="I159" s="13">
        <f>+[41]entradas!$H83</f>
        <v>1821</v>
      </c>
      <c r="J159" s="13">
        <f>+[42]entradas!$H83</f>
        <v>1856</v>
      </c>
      <c r="K159" s="13">
        <f>+[43]entradas!$H83</f>
        <v>2568</v>
      </c>
      <c r="L159" s="13">
        <f>+[44]entradas!$H83</f>
        <v>1857</v>
      </c>
      <c r="M159" s="13">
        <f>+[45]entradas!$H83</f>
        <v>1993</v>
      </c>
      <c r="N159" s="13">
        <f>+[46]entradas!$H83</f>
        <v>1170</v>
      </c>
      <c r="O159" s="13">
        <f>+[47]entradas!$H83</f>
        <v>528</v>
      </c>
      <c r="P159" s="13">
        <f>+[48]entradas!$H83</f>
        <v>2012</v>
      </c>
      <c r="Q159" s="13">
        <f>+[49]entradas!$H83</f>
        <v>1883</v>
      </c>
      <c r="R159" s="13">
        <f>+[50]entradas!$H83</f>
        <v>1905</v>
      </c>
      <c r="S159" s="13">
        <f>+[51]entradas!$H83</f>
        <v>1872</v>
      </c>
      <c r="T159" s="13">
        <f>+[52]entradas!$H83</f>
        <v>1875</v>
      </c>
      <c r="U159" s="13">
        <f>+[53]entradas!$H83</f>
        <v>1176</v>
      </c>
      <c r="V159" s="13">
        <f>+[54]entradas!$H83</f>
        <v>476</v>
      </c>
      <c r="W159" s="13">
        <f>+[55]entradas!$H83</f>
        <v>1727</v>
      </c>
      <c r="X159" s="13">
        <f>+[56]entradas!$H83</f>
        <v>1815</v>
      </c>
      <c r="Y159" s="13">
        <f>+[57]entradas!$H83</f>
        <v>1862</v>
      </c>
      <c r="Z159" s="13">
        <f>+[58]entradas!$H83</f>
        <v>1808</v>
      </c>
      <c r="AA159" s="13">
        <f>+[59]entradas!$H83</f>
        <v>1901</v>
      </c>
      <c r="AB159" s="13">
        <f>+[60]entradas!$H83</f>
        <v>1252</v>
      </c>
      <c r="AC159" s="13">
        <f>+[61]entradas!$H83</f>
        <v>464</v>
      </c>
      <c r="AD159" s="13">
        <f>+[62]entradas!$H83</f>
        <v>1842</v>
      </c>
      <c r="AE159" s="13">
        <f>+[63]entradas!$H83</f>
        <v>2071</v>
      </c>
      <c r="AF159" s="13">
        <f>+[64]entradas!$H83</f>
        <v>2050</v>
      </c>
      <c r="AG159" s="13">
        <f>+[65]entradas!$H83</f>
        <v>1880</v>
      </c>
      <c r="AH159" s="13">
        <f>+[66]entradas!$H83</f>
        <v>2023</v>
      </c>
      <c r="AI159" s="13">
        <f>+[67]entradas!$H83</f>
        <v>1261</v>
      </c>
      <c r="AJ159" s="13">
        <f>+[68]entradas!$H83</f>
        <v>478</v>
      </c>
    </row>
    <row r="160" spans="1:36" s="12" customFormat="1" x14ac:dyDescent="0.2">
      <c r="A160" s="432"/>
      <c r="B160" s="34" t="s">
        <v>260</v>
      </c>
      <c r="C160" s="13">
        <f>+[35]entradas!$H84</f>
        <v>1255</v>
      </c>
      <c r="D160" s="13">
        <f>+[36]entradas!$H84</f>
        <v>1116</v>
      </c>
      <c r="E160" s="13">
        <f>+[37]entradas!$H84</f>
        <v>1295</v>
      </c>
      <c r="F160" s="13">
        <f>+[38]entradas!$H84</f>
        <v>1107</v>
      </c>
      <c r="G160" s="13">
        <f>+[39]entradas!$H84</f>
        <v>1023</v>
      </c>
      <c r="H160" s="13">
        <f>+[40]entradas!$H84</f>
        <v>350</v>
      </c>
      <c r="I160" s="13">
        <f>+[41]entradas!$H84</f>
        <v>1052</v>
      </c>
      <c r="J160" s="13">
        <f>+[42]entradas!$H84</f>
        <v>1195</v>
      </c>
      <c r="K160" s="13">
        <f>+[43]entradas!$H84</f>
        <v>1468</v>
      </c>
      <c r="L160" s="13">
        <f>+[44]entradas!$H84</f>
        <v>1270</v>
      </c>
      <c r="M160" s="13">
        <f>+[45]entradas!$H84</f>
        <v>1191</v>
      </c>
      <c r="N160" s="13">
        <f>+[46]entradas!$H84</f>
        <v>978</v>
      </c>
      <c r="O160" s="13">
        <f>+[47]entradas!$H84</f>
        <v>408</v>
      </c>
      <c r="P160" s="13">
        <f>+[48]entradas!$H84</f>
        <v>1195</v>
      </c>
      <c r="Q160" s="13">
        <f>+[49]entradas!$H84</f>
        <v>1289</v>
      </c>
      <c r="R160" s="13">
        <f>+[50]entradas!$H84</f>
        <v>1166</v>
      </c>
      <c r="S160" s="13">
        <f>+[51]entradas!$H84</f>
        <v>1369</v>
      </c>
      <c r="T160" s="13">
        <f>+[52]entradas!$H84</f>
        <v>1187</v>
      </c>
      <c r="U160" s="13">
        <f>+[53]entradas!$H84</f>
        <v>1072</v>
      </c>
      <c r="V160" s="13">
        <f>+[54]entradas!$H84</f>
        <v>387</v>
      </c>
      <c r="W160" s="13">
        <f>+[55]entradas!$H84</f>
        <v>1045</v>
      </c>
      <c r="X160" s="13">
        <f>+[56]entradas!$H84</f>
        <v>1180</v>
      </c>
      <c r="Y160" s="13">
        <f>+[57]entradas!$H84</f>
        <v>1150</v>
      </c>
      <c r="Z160" s="13">
        <f>+[58]entradas!$H84</f>
        <v>1277</v>
      </c>
      <c r="AA160" s="13">
        <f>+[59]entradas!$H84</f>
        <v>1157</v>
      </c>
      <c r="AB160" s="13">
        <f>+[60]entradas!$H84</f>
        <v>1062</v>
      </c>
      <c r="AC160" s="13">
        <f>+[61]entradas!$H84</f>
        <v>472</v>
      </c>
      <c r="AD160" s="13">
        <f>+[62]entradas!$H84</f>
        <v>1157</v>
      </c>
      <c r="AE160" s="13">
        <f>+[63]entradas!$H84</f>
        <v>1527</v>
      </c>
      <c r="AF160" s="13">
        <f>+[64]entradas!$H84</f>
        <v>1420</v>
      </c>
      <c r="AG160" s="13">
        <f>+[65]entradas!$H84</f>
        <v>1291</v>
      </c>
      <c r="AH160" s="13">
        <f>+[66]entradas!$H84</f>
        <v>1301</v>
      </c>
      <c r="AI160" s="13">
        <f>+[67]entradas!$H84</f>
        <v>969</v>
      </c>
      <c r="AJ160" s="13">
        <f>+[68]entradas!$H84</f>
        <v>393</v>
      </c>
    </row>
    <row r="161" spans="1:37" s="12" customFormat="1" x14ac:dyDescent="0.2">
      <c r="A161" s="432"/>
      <c r="B161" s="34" t="s">
        <v>261</v>
      </c>
      <c r="C161" s="13">
        <f>+[35]entradas!$H85</f>
        <v>2235</v>
      </c>
      <c r="D161" s="13">
        <f>+[36]entradas!$H85</f>
        <v>2205</v>
      </c>
      <c r="E161" s="13">
        <f>+[37]entradas!$H85</f>
        <v>2391</v>
      </c>
      <c r="F161" s="13">
        <f>+[38]entradas!$H85</f>
        <v>2208</v>
      </c>
      <c r="G161" s="13">
        <f>+[39]entradas!$H85</f>
        <v>1279</v>
      </c>
      <c r="H161" s="13">
        <f>+[40]entradas!$H85</f>
        <v>481</v>
      </c>
      <c r="I161" s="13">
        <f>+[41]entradas!$H85</f>
        <v>2187</v>
      </c>
      <c r="J161" s="13">
        <f>+[42]entradas!$H85</f>
        <v>2185</v>
      </c>
      <c r="K161" s="13">
        <f>+[43]entradas!$H85</f>
        <v>2409</v>
      </c>
      <c r="L161" s="13">
        <f>+[44]entradas!$H85</f>
        <v>2142</v>
      </c>
      <c r="M161" s="13">
        <f>+[45]entradas!$H85</f>
        <v>2261</v>
      </c>
      <c r="N161" s="13">
        <f>+[46]entradas!$H85</f>
        <v>1309</v>
      </c>
      <c r="O161" s="13">
        <f>+[47]entradas!$H85</f>
        <v>520</v>
      </c>
      <c r="P161" s="13">
        <f>+[48]entradas!$H85</f>
        <v>2303</v>
      </c>
      <c r="Q161" s="13">
        <f>+[49]entradas!$H85</f>
        <v>2379</v>
      </c>
      <c r="R161" s="13">
        <f>+[50]entradas!$H85</f>
        <v>2296</v>
      </c>
      <c r="S161" s="13">
        <f>+[51]entradas!$H85</f>
        <v>2278</v>
      </c>
      <c r="T161" s="13">
        <f>+[52]entradas!$H85</f>
        <v>2299</v>
      </c>
      <c r="U161" s="13">
        <f>+[53]entradas!$H85</f>
        <v>1436</v>
      </c>
      <c r="V161" s="13">
        <f>+[54]entradas!$H85</f>
        <v>468</v>
      </c>
      <c r="W161" s="13">
        <f>+[55]entradas!$H85</f>
        <v>2233</v>
      </c>
      <c r="X161" s="13">
        <f>+[56]entradas!$H85</f>
        <v>2325</v>
      </c>
      <c r="Y161" s="13">
        <f>+[57]entradas!$H85</f>
        <v>2230</v>
      </c>
      <c r="Z161" s="13">
        <f>+[58]entradas!$H85</f>
        <v>2239</v>
      </c>
      <c r="AA161" s="13">
        <f>+[59]entradas!$H85</f>
        <v>2380</v>
      </c>
      <c r="AB161" s="13">
        <f>+[60]entradas!$H85</f>
        <v>1358</v>
      </c>
      <c r="AC161" s="13">
        <f>+[61]entradas!$H85</f>
        <v>427</v>
      </c>
      <c r="AD161" s="13">
        <f>+[62]entradas!$H85</f>
        <v>2260</v>
      </c>
      <c r="AE161" s="13">
        <f>+[63]entradas!$H85</f>
        <v>2404</v>
      </c>
      <c r="AF161" s="13">
        <f>+[64]entradas!$H85</f>
        <v>2354</v>
      </c>
      <c r="AG161" s="13">
        <f>+[65]entradas!$H85</f>
        <v>2314</v>
      </c>
      <c r="AH161" s="13">
        <f>+[66]entradas!$H85</f>
        <v>2421</v>
      </c>
      <c r="AI161" s="13">
        <f>+[67]entradas!$H85</f>
        <v>1424</v>
      </c>
      <c r="AJ161" s="13">
        <f>+[68]entradas!$H85</f>
        <v>440</v>
      </c>
    </row>
    <row r="162" spans="1:37" s="12" customFormat="1" x14ac:dyDescent="0.2">
      <c r="A162" s="432"/>
      <c r="B162" s="34" t="s">
        <v>262</v>
      </c>
      <c r="C162" s="13">
        <f>+[35]entradas!$H86</f>
        <v>2860</v>
      </c>
      <c r="D162" s="13">
        <f>+[36]entradas!$H86</f>
        <v>2768</v>
      </c>
      <c r="E162" s="13">
        <f>+[37]entradas!$H86</f>
        <v>2734</v>
      </c>
      <c r="F162" s="13">
        <f>+[38]entradas!$H86</f>
        <v>2798</v>
      </c>
      <c r="G162" s="13">
        <f>+[39]entradas!$H86</f>
        <v>2059</v>
      </c>
      <c r="H162" s="13">
        <f>+[40]entradas!$H86</f>
        <v>822</v>
      </c>
      <c r="I162" s="13">
        <f>+[41]entradas!$H86</f>
        <v>2906</v>
      </c>
      <c r="J162" s="13">
        <f>+[42]entradas!$H86</f>
        <v>2969</v>
      </c>
      <c r="K162" s="13">
        <f>+[43]entradas!$H86</f>
        <v>2906</v>
      </c>
      <c r="L162" s="13">
        <f>+[44]entradas!$H86</f>
        <v>2868</v>
      </c>
      <c r="M162" s="13">
        <f>+[45]entradas!$H86</f>
        <v>2794</v>
      </c>
      <c r="N162" s="13">
        <f>+[46]entradas!$H86</f>
        <v>1903</v>
      </c>
      <c r="O162" s="13">
        <f>+[47]entradas!$H86</f>
        <v>800</v>
      </c>
      <c r="P162" s="13">
        <f>+[48]entradas!$H86</f>
        <v>3009</v>
      </c>
      <c r="Q162" s="13">
        <f>+[49]entradas!$H86</f>
        <v>2952</v>
      </c>
      <c r="R162" s="13">
        <f>+[50]entradas!$H86</f>
        <v>2969</v>
      </c>
      <c r="S162" s="13">
        <f>+[51]entradas!$H86</f>
        <v>2969</v>
      </c>
      <c r="T162" s="13">
        <f>+[52]entradas!$H86</f>
        <v>2924</v>
      </c>
      <c r="U162" s="13">
        <f>+[53]entradas!$H86</f>
        <v>2047</v>
      </c>
      <c r="V162" s="13">
        <f>+[54]entradas!$H86</f>
        <v>788</v>
      </c>
      <c r="W162" s="13">
        <f>+[55]entradas!$H86</f>
        <v>2864</v>
      </c>
      <c r="X162" s="13">
        <f>+[56]entradas!$H86</f>
        <v>2945</v>
      </c>
      <c r="Y162" s="13">
        <f>+[57]entradas!$H86</f>
        <v>2903</v>
      </c>
      <c r="Z162" s="13">
        <f>+[58]entradas!$H86</f>
        <v>2995</v>
      </c>
      <c r="AA162" s="13">
        <f>+[59]entradas!$H86</f>
        <v>2924</v>
      </c>
      <c r="AB162" s="13">
        <f>+[60]entradas!$H86</f>
        <v>2112</v>
      </c>
      <c r="AC162" s="13">
        <f>+[61]entradas!$H86</f>
        <v>788</v>
      </c>
      <c r="AD162" s="13">
        <f>+[62]entradas!$H86</f>
        <v>3003</v>
      </c>
      <c r="AE162" s="13">
        <f>+[63]entradas!$H86</f>
        <v>2984</v>
      </c>
      <c r="AF162" s="13">
        <f>+[64]entradas!$H86</f>
        <v>3010</v>
      </c>
      <c r="AG162" s="13">
        <f>+[65]entradas!$H86</f>
        <v>3007</v>
      </c>
      <c r="AH162" s="13">
        <f>+[66]entradas!$H86</f>
        <v>3015</v>
      </c>
      <c r="AI162" s="13">
        <f>+[67]entradas!$H86</f>
        <v>2162</v>
      </c>
      <c r="AJ162" s="13">
        <f>+[68]entradas!$H86</f>
        <v>799</v>
      </c>
    </row>
    <row r="163" spans="1:37" s="12" customFormat="1" x14ac:dyDescent="0.2">
      <c r="A163" s="432"/>
      <c r="B163" s="34" t="s">
        <v>274</v>
      </c>
      <c r="C163" s="13">
        <f>+[35]entradas!$H87</f>
        <v>3784</v>
      </c>
      <c r="D163" s="13">
        <f>+[36]entradas!$H87</f>
        <v>3647</v>
      </c>
      <c r="E163" s="13">
        <f>+[37]entradas!$H87</f>
        <v>3553</v>
      </c>
      <c r="F163" s="13">
        <f>+[38]entradas!$H87</f>
        <v>3603</v>
      </c>
      <c r="G163" s="13">
        <f>+[39]entradas!$H87</f>
        <v>2541</v>
      </c>
      <c r="H163" s="13">
        <f>+[40]entradas!$H87</f>
        <v>682</v>
      </c>
      <c r="I163" s="13">
        <f>+[41]entradas!$H87</f>
        <v>3547</v>
      </c>
      <c r="J163" s="13">
        <f>+[42]entradas!$H87</f>
        <v>3695</v>
      </c>
      <c r="K163" s="13">
        <f>+[43]entradas!$H87</f>
        <v>3707</v>
      </c>
      <c r="L163" s="13">
        <f>+[44]entradas!$H87</f>
        <v>3568</v>
      </c>
      <c r="M163" s="13">
        <f>+[45]entradas!$H87</f>
        <v>3554</v>
      </c>
      <c r="N163" s="13">
        <f>+[46]entradas!$H87</f>
        <v>2396</v>
      </c>
      <c r="O163" s="13">
        <f>+[47]entradas!$H87</f>
        <v>654</v>
      </c>
      <c r="P163" s="13">
        <f>+[48]entradas!$H87</f>
        <v>3804</v>
      </c>
      <c r="Q163" s="13">
        <f>+[49]entradas!$H87</f>
        <v>3703</v>
      </c>
      <c r="R163" s="13">
        <f>+[50]entradas!$H87</f>
        <v>3533</v>
      </c>
      <c r="S163" s="13">
        <f>+[51]entradas!$H87</f>
        <v>3556</v>
      </c>
      <c r="T163" s="13">
        <f>+[52]entradas!$H87</f>
        <v>3790</v>
      </c>
      <c r="U163" s="13">
        <f>+[53]entradas!$H87</f>
        <v>2538</v>
      </c>
      <c r="V163" s="13">
        <f>+[54]entradas!$H87</f>
        <v>707</v>
      </c>
      <c r="W163" s="13">
        <f>+[55]entradas!$H87</f>
        <v>3496</v>
      </c>
      <c r="X163" s="13">
        <f>+[56]entradas!$H87</f>
        <v>3642</v>
      </c>
      <c r="Y163" s="13">
        <f>+[57]entradas!$H87</f>
        <v>3458</v>
      </c>
      <c r="Z163" s="13">
        <f>+[58]entradas!$H87</f>
        <v>3507</v>
      </c>
      <c r="AA163" s="13">
        <f>+[59]entradas!$H87</f>
        <v>3758</v>
      </c>
      <c r="AB163" s="13">
        <f>+[60]entradas!$H87</f>
        <v>2549</v>
      </c>
      <c r="AC163" s="13">
        <f>+[61]entradas!$H87</f>
        <v>660</v>
      </c>
      <c r="AD163" s="13">
        <f>+[62]entradas!$H87</f>
        <v>3668</v>
      </c>
      <c r="AE163" s="13">
        <f>+[63]entradas!$H87</f>
        <v>3751</v>
      </c>
      <c r="AF163" s="13">
        <f>+[64]entradas!$H87</f>
        <v>3786</v>
      </c>
      <c r="AG163" s="13">
        <f>+[65]entradas!$H87</f>
        <v>3763</v>
      </c>
      <c r="AH163" s="13">
        <f>+[66]entradas!$H87</f>
        <v>3917</v>
      </c>
      <c r="AI163" s="13">
        <f>+[67]entradas!$H87</f>
        <v>2672</v>
      </c>
      <c r="AJ163" s="13">
        <f>+[68]entradas!$H87</f>
        <v>646</v>
      </c>
    </row>
    <row r="164" spans="1:37" s="12" customFormat="1" x14ac:dyDescent="0.2">
      <c r="A164" s="432"/>
      <c r="B164" s="34" t="s">
        <v>275</v>
      </c>
      <c r="C164" s="13">
        <f>+[35]entradas!$H88</f>
        <v>4312</v>
      </c>
      <c r="D164" s="13">
        <f>+[36]entradas!$H88</f>
        <v>4074</v>
      </c>
      <c r="E164" s="13">
        <f>+[37]entradas!$H88</f>
        <v>4161</v>
      </c>
      <c r="F164" s="13">
        <f>+[38]entradas!$H88</f>
        <v>4327</v>
      </c>
      <c r="G164" s="13">
        <f>+[39]entradas!$H88</f>
        <v>3062</v>
      </c>
      <c r="H164" s="13">
        <f>+[40]entradas!$H88</f>
        <v>1148</v>
      </c>
      <c r="I164" s="13">
        <f>+[41]entradas!$H88</f>
        <v>3857</v>
      </c>
      <c r="J164" s="13">
        <f>+[42]entradas!$H88</f>
        <v>3868</v>
      </c>
      <c r="K164" s="13">
        <f>+[43]entradas!$H88</f>
        <v>3871</v>
      </c>
      <c r="L164" s="13">
        <f>+[44]entradas!$H88</f>
        <v>3769</v>
      </c>
      <c r="M164" s="13">
        <f>+[45]entradas!$H88</f>
        <v>4098</v>
      </c>
      <c r="N164" s="13">
        <f>+[46]entradas!$H88</f>
        <v>2905</v>
      </c>
      <c r="O164" s="13">
        <f>+[47]entradas!$H88</f>
        <v>1102</v>
      </c>
      <c r="P164" s="13">
        <f>+[48]entradas!$H88</f>
        <v>3942</v>
      </c>
      <c r="Q164" s="13">
        <f>+[49]entradas!$H88</f>
        <v>4121</v>
      </c>
      <c r="R164" s="13">
        <f>+[50]entradas!$H88</f>
        <v>4040</v>
      </c>
      <c r="S164" s="13">
        <f>+[51]entradas!$H88</f>
        <v>4001</v>
      </c>
      <c r="T164" s="13">
        <f>+[52]entradas!$H88</f>
        <v>4332</v>
      </c>
      <c r="U164" s="13">
        <f>+[53]entradas!$H88</f>
        <v>3023</v>
      </c>
      <c r="V164" s="13">
        <f>+[54]entradas!$H88</f>
        <v>1044</v>
      </c>
      <c r="W164" s="13">
        <f>+[55]entradas!$H88</f>
        <v>3962</v>
      </c>
      <c r="X164" s="13">
        <f>+[56]entradas!$H88</f>
        <v>3808</v>
      </c>
      <c r="Y164" s="13">
        <f>+[57]entradas!$H88</f>
        <v>3931</v>
      </c>
      <c r="Z164" s="13">
        <f>+[58]entradas!$H88</f>
        <v>3929</v>
      </c>
      <c r="AA164" s="13">
        <f>+[59]entradas!$H88</f>
        <v>4155</v>
      </c>
      <c r="AB164" s="13">
        <f>+[60]entradas!$H88</f>
        <v>2993</v>
      </c>
      <c r="AC164" s="13">
        <f>+[61]entradas!$H88</f>
        <v>1108</v>
      </c>
      <c r="AD164" s="13">
        <f>+[62]entradas!$H88</f>
        <v>4012</v>
      </c>
      <c r="AE164" s="13">
        <f>+[63]entradas!$H88</f>
        <v>4401</v>
      </c>
      <c r="AF164" s="13">
        <f>+[64]entradas!$H88</f>
        <v>4173</v>
      </c>
      <c r="AG164" s="13">
        <f>+[65]entradas!$H88</f>
        <v>4112</v>
      </c>
      <c r="AH164" s="13">
        <f>+[66]entradas!$H88</f>
        <v>4431</v>
      </c>
      <c r="AI164" s="13">
        <f>+[67]entradas!$H88</f>
        <v>3195</v>
      </c>
      <c r="AJ164" s="13">
        <f>+[68]entradas!$H88</f>
        <v>1073</v>
      </c>
    </row>
    <row r="165" spans="1:37" s="12" customFormat="1" x14ac:dyDescent="0.2">
      <c r="A165" s="432"/>
      <c r="B165" s="34" t="s">
        <v>265</v>
      </c>
      <c r="C165" s="13">
        <f>+[35]entradas!$H89</f>
        <v>2373</v>
      </c>
      <c r="D165" s="13">
        <f>+[36]entradas!$H89</f>
        <v>2530</v>
      </c>
      <c r="E165" s="13">
        <f>+[37]entradas!$H89</f>
        <v>2645</v>
      </c>
      <c r="F165" s="13">
        <f>+[38]entradas!$H89</f>
        <v>2438</v>
      </c>
      <c r="G165" s="13">
        <f>+[39]entradas!$H89</f>
        <v>1414</v>
      </c>
      <c r="H165" s="13">
        <f>+[40]entradas!$H89</f>
        <v>408</v>
      </c>
      <c r="I165" s="13">
        <f>+[41]entradas!$H89</f>
        <v>2380</v>
      </c>
      <c r="J165" s="13">
        <f>+[42]entradas!$H89</f>
        <v>2401</v>
      </c>
      <c r="K165" s="13">
        <f>+[43]entradas!$H89</f>
        <v>2497</v>
      </c>
      <c r="L165" s="13">
        <f>+[44]entradas!$H89</f>
        <v>2393</v>
      </c>
      <c r="M165" s="13">
        <f>+[45]entradas!$H89</f>
        <v>2340</v>
      </c>
      <c r="N165" s="13">
        <f>+[46]entradas!$H89</f>
        <v>1424</v>
      </c>
      <c r="O165" s="13">
        <f>+[47]entradas!$H89</f>
        <v>404</v>
      </c>
      <c r="P165" s="13">
        <f>+[48]entradas!$H89</f>
        <v>2400</v>
      </c>
      <c r="Q165" s="13">
        <f>+[49]entradas!$H89</f>
        <v>2457</v>
      </c>
      <c r="R165" s="13">
        <f>+[50]entradas!$H89</f>
        <v>2363</v>
      </c>
      <c r="S165" s="13">
        <f>+[51]entradas!$H89</f>
        <v>2396</v>
      </c>
      <c r="T165" s="13">
        <f>+[52]entradas!$H89</f>
        <v>2449</v>
      </c>
      <c r="U165" s="13">
        <f>+[53]entradas!$H89</f>
        <v>1417</v>
      </c>
      <c r="V165" s="13">
        <f>+[54]entradas!$H89</f>
        <v>463</v>
      </c>
      <c r="W165" s="13">
        <f>+[55]entradas!$H89</f>
        <v>2318</v>
      </c>
      <c r="X165" s="13">
        <f>+[56]entradas!$H89</f>
        <v>2477</v>
      </c>
      <c r="Y165" s="13">
        <f>+[57]entradas!$H89</f>
        <v>2439</v>
      </c>
      <c r="Z165" s="13">
        <f>+[58]entradas!$H89</f>
        <v>2428</v>
      </c>
      <c r="AA165" s="13">
        <f>+[59]entradas!$H89</f>
        <v>2416</v>
      </c>
      <c r="AB165" s="13">
        <f>+[60]entradas!$H89</f>
        <v>1515</v>
      </c>
      <c r="AC165" s="13">
        <f>+[61]entradas!$H89</f>
        <v>446</v>
      </c>
      <c r="AD165" s="13">
        <f>+[62]entradas!$H89</f>
        <v>2350</v>
      </c>
      <c r="AE165" s="13">
        <f>+[63]entradas!$H89</f>
        <v>2497</v>
      </c>
      <c r="AF165" s="13">
        <f>+[64]entradas!$H89</f>
        <v>2498</v>
      </c>
      <c r="AG165" s="13">
        <f>+[65]entradas!$H89</f>
        <v>2449</v>
      </c>
      <c r="AH165" s="13">
        <f>+[66]entradas!$H89</f>
        <v>2442</v>
      </c>
      <c r="AI165" s="13">
        <f>+[67]entradas!$H89</f>
        <v>1459</v>
      </c>
      <c r="AJ165" s="13">
        <f>+[68]entradas!$H89</f>
        <v>471</v>
      </c>
    </row>
    <row r="166" spans="1:37" s="12" customFormat="1" x14ac:dyDescent="0.2">
      <c r="A166" s="432"/>
      <c r="B166" s="34" t="s">
        <v>266</v>
      </c>
      <c r="C166" s="13">
        <f>+[35]entradas!$H90</f>
        <v>8187</v>
      </c>
      <c r="D166" s="13">
        <f>+[36]entradas!$H90</f>
        <v>8165</v>
      </c>
      <c r="E166" s="13">
        <f>+[37]entradas!$H90</f>
        <v>8230</v>
      </c>
      <c r="F166" s="13">
        <f>+[38]entradas!$H90</f>
        <v>7817</v>
      </c>
      <c r="G166" s="13">
        <f>+[39]entradas!$H90</f>
        <v>3889</v>
      </c>
      <c r="H166" s="13">
        <f>+[40]entradas!$H90</f>
        <v>1532</v>
      </c>
      <c r="I166" s="13">
        <f>+[41]entradas!$H90</f>
        <v>8019</v>
      </c>
      <c r="J166" s="13">
        <f>+[42]entradas!$H90</f>
        <v>8120</v>
      </c>
      <c r="K166" s="13">
        <f>+[43]entradas!$H90</f>
        <v>8040</v>
      </c>
      <c r="L166" s="13">
        <f>+[44]entradas!$H90</f>
        <v>8093</v>
      </c>
      <c r="M166" s="13">
        <f>+[45]entradas!$H90</f>
        <v>7843</v>
      </c>
      <c r="N166" s="13">
        <f>+[46]entradas!$H90</f>
        <v>4063</v>
      </c>
      <c r="O166" s="13">
        <f>+[47]entradas!$H90</f>
        <v>1476</v>
      </c>
      <c r="P166" s="13">
        <f>+[48]entradas!$H90</f>
        <v>8149</v>
      </c>
      <c r="Q166" s="13">
        <f>+[49]entradas!$H90</f>
        <v>8123</v>
      </c>
      <c r="R166" s="13">
        <f>+[50]entradas!$H90</f>
        <v>8306</v>
      </c>
      <c r="S166" s="13">
        <f>+[51]entradas!$H90</f>
        <v>8084</v>
      </c>
      <c r="T166" s="13">
        <f>+[52]entradas!$H90</f>
        <v>8117</v>
      </c>
      <c r="U166" s="13">
        <f>+[53]entradas!$H90</f>
        <v>4046</v>
      </c>
      <c r="V166" s="13">
        <f>+[54]entradas!$H90</f>
        <v>1388</v>
      </c>
      <c r="W166" s="13">
        <f>+[55]entradas!$H90</f>
        <v>8296</v>
      </c>
      <c r="X166" s="13">
        <f>+[56]entradas!$H90</f>
        <v>8369</v>
      </c>
      <c r="Y166" s="13">
        <f>+[57]entradas!$H90</f>
        <v>8331</v>
      </c>
      <c r="Z166" s="13">
        <f>+[58]entradas!$H90</f>
        <v>8148</v>
      </c>
      <c r="AA166" s="13">
        <f>+[59]entradas!$H90</f>
        <v>7989</v>
      </c>
      <c r="AB166" s="13">
        <f>+[60]entradas!$H90</f>
        <v>4517</v>
      </c>
      <c r="AC166" s="13">
        <f>+[61]entradas!$H90</f>
        <v>1436</v>
      </c>
      <c r="AD166" s="13">
        <f>+[62]entradas!$H90</f>
        <v>8151</v>
      </c>
      <c r="AE166" s="13">
        <f>+[63]entradas!$H90</f>
        <v>8062</v>
      </c>
      <c r="AF166" s="13">
        <f>+[64]entradas!$H90</f>
        <v>8423</v>
      </c>
      <c r="AG166" s="13">
        <f>+[65]entradas!$H90</f>
        <v>8152</v>
      </c>
      <c r="AH166" s="13">
        <f>+[66]entradas!$H90</f>
        <v>8198</v>
      </c>
      <c r="AI166" s="13">
        <f>+[67]entradas!$H90</f>
        <v>4351</v>
      </c>
      <c r="AJ166" s="13">
        <f>+[68]entradas!$H90</f>
        <v>1498</v>
      </c>
    </row>
    <row r="167" spans="1:37" s="12" customFormat="1" x14ac:dyDescent="0.2">
      <c r="A167" s="432"/>
      <c r="B167" s="34" t="s">
        <v>276</v>
      </c>
      <c r="C167" s="13">
        <f>+[35]entradas!$H91</f>
        <v>6353</v>
      </c>
      <c r="D167" s="13">
        <f>+[36]entradas!$H91</f>
        <v>6367</v>
      </c>
      <c r="E167" s="13">
        <f>+[37]entradas!$H91</f>
        <v>6441</v>
      </c>
      <c r="F167" s="13">
        <f>+[38]entradas!$H91</f>
        <v>6407</v>
      </c>
      <c r="G167" s="13">
        <f>+[39]entradas!$H91</f>
        <v>3274</v>
      </c>
      <c r="H167" s="13">
        <f>+[40]entradas!$H91</f>
        <v>968</v>
      </c>
      <c r="I167" s="13">
        <f>+[41]entradas!$H91</f>
        <v>6200</v>
      </c>
      <c r="J167" s="13">
        <f>+[42]entradas!$H91</f>
        <v>6432</v>
      </c>
      <c r="K167" s="13">
        <f>+[43]entradas!$H91</f>
        <v>6413</v>
      </c>
      <c r="L167" s="13">
        <f>+[44]entradas!$H91</f>
        <v>6522</v>
      </c>
      <c r="M167" s="13">
        <f>+[45]entradas!$H91</f>
        <v>6345</v>
      </c>
      <c r="N167" s="13">
        <f>+[46]entradas!$H91</f>
        <v>3238</v>
      </c>
      <c r="O167" s="13">
        <f>+[47]entradas!$H91</f>
        <v>1069</v>
      </c>
      <c r="P167" s="13">
        <f>+[48]entradas!$H91</f>
        <v>6368</v>
      </c>
      <c r="Q167" s="13">
        <f>+[49]entradas!$H91</f>
        <v>6479</v>
      </c>
      <c r="R167" s="13">
        <f>+[50]entradas!$H91</f>
        <v>6489</v>
      </c>
      <c r="S167" s="13">
        <f>+[51]entradas!$H91</f>
        <v>6579</v>
      </c>
      <c r="T167" s="13">
        <f>+[52]entradas!$H91</f>
        <v>6587</v>
      </c>
      <c r="U167" s="13">
        <f>+[53]entradas!$H91</f>
        <v>3618</v>
      </c>
      <c r="V167" s="13">
        <f>+[54]entradas!$H91</f>
        <v>1085</v>
      </c>
      <c r="W167" s="13">
        <f>+[55]entradas!$H91</f>
        <v>6272</v>
      </c>
      <c r="X167" s="13">
        <f>+[56]entradas!$H91</f>
        <v>6489</v>
      </c>
      <c r="Y167" s="13">
        <f>+[57]entradas!$H91</f>
        <v>6571</v>
      </c>
      <c r="Z167" s="13">
        <f>+[58]entradas!$H91</f>
        <v>6586</v>
      </c>
      <c r="AA167" s="13">
        <f>+[59]entradas!$H91</f>
        <v>6471</v>
      </c>
      <c r="AB167" s="13">
        <f>+[60]entradas!$H91</f>
        <v>3490</v>
      </c>
      <c r="AC167" s="13">
        <f>+[61]entradas!$H91</f>
        <v>1011</v>
      </c>
      <c r="AD167" s="13">
        <f>+[62]entradas!$H91</f>
        <v>6338</v>
      </c>
      <c r="AE167" s="13">
        <f>+[63]entradas!$H91</f>
        <v>6812</v>
      </c>
      <c r="AF167" s="13">
        <f>+[64]entradas!$H91</f>
        <v>6720</v>
      </c>
      <c r="AG167" s="13">
        <f>+[65]entradas!$H91</f>
        <v>6470</v>
      </c>
      <c r="AH167" s="13">
        <f>+[66]entradas!$H91</f>
        <v>6623</v>
      </c>
      <c r="AI167" s="13">
        <f>+[67]entradas!$H91</f>
        <v>3572</v>
      </c>
      <c r="AJ167" s="13">
        <f>+[68]entradas!$H91</f>
        <v>1033</v>
      </c>
    </row>
    <row r="168" spans="1:37" s="12" customFormat="1" x14ac:dyDescent="0.2">
      <c r="A168" s="432"/>
      <c r="B168" s="34" t="s">
        <v>277</v>
      </c>
      <c r="C168" s="13">
        <f>+[35]entradas!$H92</f>
        <v>4972</v>
      </c>
      <c r="D168" s="13">
        <f>+[36]entradas!$H92</f>
        <v>5102</v>
      </c>
      <c r="E168" s="13">
        <f>+[37]entradas!$H92</f>
        <v>4683</v>
      </c>
      <c r="F168" s="13">
        <f>+[38]entradas!$H92</f>
        <v>4924</v>
      </c>
      <c r="G168" s="13">
        <f>+[39]entradas!$H92</f>
        <v>3101</v>
      </c>
      <c r="H168" s="13">
        <f>+[40]entradas!$H92</f>
        <v>1104</v>
      </c>
      <c r="I168" s="13">
        <f>+[41]entradas!$H92</f>
        <v>4901</v>
      </c>
      <c r="J168" s="13">
        <f>+[42]entradas!$H92</f>
        <v>5032</v>
      </c>
      <c r="K168" s="13">
        <f>+[43]entradas!$H92</f>
        <v>4958</v>
      </c>
      <c r="L168" s="13">
        <f>+[44]entradas!$H92</f>
        <v>5088</v>
      </c>
      <c r="M168" s="13">
        <f>+[45]entradas!$H92</f>
        <v>4923</v>
      </c>
      <c r="N168" s="13">
        <f>+[46]entradas!$H92</f>
        <v>2974</v>
      </c>
      <c r="O168" s="13">
        <f>+[47]entradas!$H92</f>
        <v>1211</v>
      </c>
      <c r="P168" s="13">
        <f>+[48]entradas!$H92</f>
        <v>4947</v>
      </c>
      <c r="Q168" s="13">
        <f>+[49]entradas!$H92</f>
        <v>4897</v>
      </c>
      <c r="R168" s="13">
        <f>+[50]entradas!$H92</f>
        <v>5138</v>
      </c>
      <c r="S168" s="13">
        <f>+[51]entradas!$H92</f>
        <v>5043</v>
      </c>
      <c r="T168" s="13">
        <f>+[52]entradas!$H92</f>
        <v>5227</v>
      </c>
      <c r="U168" s="13">
        <f>+[53]entradas!$H92</f>
        <v>3119</v>
      </c>
      <c r="V168" s="13">
        <f>+[54]entradas!$H92</f>
        <v>1169</v>
      </c>
      <c r="W168" s="13">
        <f>+[55]entradas!$H92</f>
        <v>4850</v>
      </c>
      <c r="X168" s="13">
        <f>+[56]entradas!$H92</f>
        <v>4886</v>
      </c>
      <c r="Y168" s="13">
        <f>+[57]entradas!$H92</f>
        <v>4876</v>
      </c>
      <c r="Z168" s="13">
        <f>+[58]entradas!$H92</f>
        <v>4888</v>
      </c>
      <c r="AA168" s="13">
        <f>+[59]entradas!$H92</f>
        <v>5099</v>
      </c>
      <c r="AB168" s="13">
        <f>+[60]entradas!$H92</f>
        <v>3062</v>
      </c>
      <c r="AC168" s="13">
        <f>+[61]entradas!$H92</f>
        <v>1192</v>
      </c>
      <c r="AD168" s="13">
        <f>+[62]entradas!$H92</f>
        <v>4987</v>
      </c>
      <c r="AE168" s="13">
        <f>+[63]entradas!$H92</f>
        <v>5276</v>
      </c>
      <c r="AF168" s="13">
        <f>+[64]entradas!$H92</f>
        <v>5111</v>
      </c>
      <c r="AG168" s="13">
        <f>+[65]entradas!$H92</f>
        <v>5049</v>
      </c>
      <c r="AH168" s="13">
        <f>+[66]entradas!$H92</f>
        <v>5269</v>
      </c>
      <c r="AI168" s="13">
        <f>+[67]entradas!$H92</f>
        <v>3167</v>
      </c>
      <c r="AJ168" s="13">
        <f>+[68]entradas!$H92</f>
        <v>1164</v>
      </c>
    </row>
    <row r="169" spans="1:37" s="12" customFormat="1" x14ac:dyDescent="0.2">
      <c r="A169" s="432"/>
      <c r="B169" s="34" t="s">
        <v>278</v>
      </c>
      <c r="C169" s="13">
        <f>+[35]entradas!$H93</f>
        <v>4553</v>
      </c>
      <c r="D169" s="13">
        <f>+[36]entradas!$H93</f>
        <v>4839</v>
      </c>
      <c r="E169" s="13">
        <f>+[37]entradas!$H93</f>
        <v>4608</v>
      </c>
      <c r="F169" s="13">
        <f>+[38]entradas!$H93</f>
        <v>4492</v>
      </c>
      <c r="G169" s="13">
        <f>+[39]entradas!$H93</f>
        <v>3494</v>
      </c>
      <c r="H169" s="13">
        <f>+[40]entradas!$H93</f>
        <v>1836</v>
      </c>
      <c r="I169" s="13">
        <f>+[41]entradas!$H93</f>
        <v>4056</v>
      </c>
      <c r="J169" s="13">
        <f>+[42]entradas!$H93</f>
        <v>4620</v>
      </c>
      <c r="K169" s="13">
        <f>+[43]entradas!$H93</f>
        <v>5079</v>
      </c>
      <c r="L169" s="13">
        <f>+[44]entradas!$H93</f>
        <v>4663</v>
      </c>
      <c r="M169" s="13">
        <f>+[45]entradas!$H93</f>
        <v>4603</v>
      </c>
      <c r="N169" s="13">
        <f>+[46]entradas!$H93</f>
        <v>3458</v>
      </c>
      <c r="O169" s="13">
        <f>+[47]entradas!$H93</f>
        <v>1906</v>
      </c>
      <c r="P169" s="13">
        <f>+[48]entradas!$H93</f>
        <v>4248</v>
      </c>
      <c r="Q169" s="13">
        <f>+[49]entradas!$H93</f>
        <v>4704</v>
      </c>
      <c r="R169" s="13">
        <f>+[50]entradas!$H93</f>
        <v>5090</v>
      </c>
      <c r="S169" s="13">
        <f>+[51]entradas!$H93</f>
        <v>4779</v>
      </c>
      <c r="T169" s="13">
        <f>+[52]entradas!$H93</f>
        <v>4674</v>
      </c>
      <c r="U169" s="13">
        <f>+[53]entradas!$H93</f>
        <v>3438</v>
      </c>
      <c r="V169" s="13">
        <f>+[54]entradas!$H93</f>
        <v>1891</v>
      </c>
      <c r="W169" s="13">
        <f>+[55]entradas!$H93</f>
        <v>4080</v>
      </c>
      <c r="X169" s="13">
        <f>+[56]entradas!$H93</f>
        <v>4441</v>
      </c>
      <c r="Y169" s="13">
        <f>+[57]entradas!$H93</f>
        <v>4940</v>
      </c>
      <c r="Z169" s="13">
        <f>+[58]entradas!$H93</f>
        <v>4573</v>
      </c>
      <c r="AA169" s="13">
        <f>+[59]entradas!$H93</f>
        <v>4582</v>
      </c>
      <c r="AB169" s="13">
        <f>+[60]entradas!$H93</f>
        <v>3548</v>
      </c>
      <c r="AC169" s="13">
        <f>+[61]entradas!$H93</f>
        <v>1794</v>
      </c>
      <c r="AD169" s="13">
        <f>+[62]entradas!$H93</f>
        <v>4168</v>
      </c>
      <c r="AE169" s="13">
        <f>+[63]entradas!$H93</f>
        <v>4634</v>
      </c>
      <c r="AF169" s="13">
        <f>+[64]entradas!$H93</f>
        <v>5115</v>
      </c>
      <c r="AG169" s="13">
        <f>+[65]entradas!$H93</f>
        <v>4686</v>
      </c>
      <c r="AH169" s="13">
        <f>+[66]entradas!$H93</f>
        <v>4834</v>
      </c>
      <c r="AI169" s="13">
        <f>+[67]entradas!$H93</f>
        <v>3432</v>
      </c>
      <c r="AJ169" s="13">
        <f>+[68]entradas!$H93</f>
        <v>2001</v>
      </c>
    </row>
    <row r="170" spans="1:37" s="12" customFormat="1" x14ac:dyDescent="0.2">
      <c r="A170" s="432"/>
      <c r="B170" s="34" t="s">
        <v>279</v>
      </c>
      <c r="C170" s="13">
        <f>+[35]entradas!$H94</f>
        <v>4437</v>
      </c>
      <c r="D170" s="13">
        <f>+[36]entradas!$H94</f>
        <v>4403</v>
      </c>
      <c r="E170" s="13">
        <f>+[37]entradas!$H94</f>
        <v>4392</v>
      </c>
      <c r="F170" s="13">
        <f>+[38]entradas!$H94</f>
        <v>4526</v>
      </c>
      <c r="G170" s="13">
        <f>+[39]entradas!$H94</f>
        <v>2340</v>
      </c>
      <c r="H170" s="13">
        <f>+[40]entradas!$H94</f>
        <v>758</v>
      </c>
      <c r="I170" s="13">
        <f>+[41]entradas!$H94</f>
        <v>4353</v>
      </c>
      <c r="J170" s="13">
        <f>+[42]entradas!$H94</f>
        <v>4577</v>
      </c>
      <c r="K170" s="13">
        <f>+[43]entradas!$H94</f>
        <v>4577</v>
      </c>
      <c r="L170" s="13">
        <f>+[44]entradas!$H94</f>
        <v>4503</v>
      </c>
      <c r="M170" s="13">
        <f>+[45]entradas!$H94</f>
        <v>4536</v>
      </c>
      <c r="N170" s="13">
        <f>+[46]entradas!$H94</f>
        <v>2410</v>
      </c>
      <c r="O170" s="13">
        <f>+[47]entradas!$H94</f>
        <v>840</v>
      </c>
      <c r="P170" s="13">
        <f>+[48]entradas!$H94</f>
        <v>4443</v>
      </c>
      <c r="Q170" s="13">
        <f>+[49]entradas!$H94</f>
        <v>4394</v>
      </c>
      <c r="R170" s="13">
        <f>+[50]entradas!$H94</f>
        <v>4491</v>
      </c>
      <c r="S170" s="13">
        <f>+[51]entradas!$H94</f>
        <v>4446</v>
      </c>
      <c r="T170" s="13">
        <f>+[52]entradas!$H94</f>
        <v>4551</v>
      </c>
      <c r="U170" s="13">
        <f>+[53]entradas!$H94</f>
        <v>2391</v>
      </c>
      <c r="V170" s="13">
        <f>+[54]entradas!$H94</f>
        <v>752</v>
      </c>
      <c r="W170" s="13">
        <f>+[55]entradas!$H94</f>
        <v>4392</v>
      </c>
      <c r="X170" s="13">
        <f>+[56]entradas!$H94</f>
        <v>4510</v>
      </c>
      <c r="Y170" s="13">
        <f>+[57]entradas!$H94</f>
        <v>4430</v>
      </c>
      <c r="Z170" s="13">
        <f>+[58]entradas!$H94</f>
        <v>4399</v>
      </c>
      <c r="AA170" s="13">
        <f>+[59]entradas!$H94</f>
        <v>4459</v>
      </c>
      <c r="AB170" s="13">
        <f>+[60]entradas!$H94</f>
        <v>2352</v>
      </c>
      <c r="AC170" s="13">
        <f>+[61]entradas!$H94</f>
        <v>780</v>
      </c>
      <c r="AD170" s="13">
        <f>+[62]entradas!$H94</f>
        <v>4346</v>
      </c>
      <c r="AE170" s="13">
        <f>+[63]entradas!$H94</f>
        <v>4596</v>
      </c>
      <c r="AF170" s="13">
        <f>+[64]entradas!$H94</f>
        <v>4668</v>
      </c>
      <c r="AG170" s="13">
        <f>+[65]entradas!$H94</f>
        <v>4415</v>
      </c>
      <c r="AH170" s="13">
        <f>+[66]entradas!$H94</f>
        <v>4612</v>
      </c>
      <c r="AI170" s="13">
        <f>+[67]entradas!$H94</f>
        <v>2521</v>
      </c>
      <c r="AJ170" s="13">
        <f>+[68]entradas!$H94</f>
        <v>804</v>
      </c>
    </row>
    <row r="171" spans="1:37" s="12" customFormat="1" ht="13.5" thickBot="1" x14ac:dyDescent="0.25">
      <c r="A171" s="432"/>
      <c r="B171" s="80" t="s">
        <v>271</v>
      </c>
      <c r="C171" s="13">
        <f>+[35]entradas!$H95</f>
        <v>1392</v>
      </c>
      <c r="D171" s="13">
        <f>+[36]entradas!$H95</f>
        <v>1361</v>
      </c>
      <c r="E171" s="13">
        <f>+[37]entradas!$H95</f>
        <v>1209</v>
      </c>
      <c r="F171" s="13">
        <f>+[38]entradas!$H95</f>
        <v>1344</v>
      </c>
      <c r="G171" s="13">
        <f>+[39]entradas!$H95</f>
        <v>755</v>
      </c>
      <c r="H171" s="13">
        <f>+[40]entradas!$H95</f>
        <v>247</v>
      </c>
      <c r="I171" s="13">
        <f>+[41]entradas!$H95</f>
        <v>1339</v>
      </c>
      <c r="J171" s="13">
        <f>+[42]entradas!$H95</f>
        <v>1354</v>
      </c>
      <c r="K171" s="13">
        <f>+[43]entradas!$H95</f>
        <v>1420</v>
      </c>
      <c r="L171" s="13">
        <f>+[44]entradas!$H95</f>
        <v>1302</v>
      </c>
      <c r="M171" s="13">
        <f>+[45]entradas!$H95</f>
        <v>1277</v>
      </c>
      <c r="N171" s="13">
        <f>+[46]entradas!$H95</f>
        <v>698</v>
      </c>
      <c r="O171" s="13">
        <f>+[47]entradas!$H95</f>
        <v>225</v>
      </c>
      <c r="P171" s="13">
        <f>+[48]entradas!$H95</f>
        <v>1360</v>
      </c>
      <c r="Q171" s="13">
        <f>+[49]entradas!$H95</f>
        <v>1391</v>
      </c>
      <c r="R171" s="13">
        <f>+[50]entradas!$H95</f>
        <v>1390</v>
      </c>
      <c r="S171" s="13">
        <f>+[51]entradas!$H95</f>
        <v>1382</v>
      </c>
      <c r="T171" s="13">
        <f>+[52]entradas!$H95</f>
        <v>1328</v>
      </c>
      <c r="U171" s="13">
        <f>+[53]entradas!$H95</f>
        <v>720</v>
      </c>
      <c r="V171" s="13">
        <f>+[54]entradas!$H95</f>
        <v>254</v>
      </c>
      <c r="W171" s="13">
        <f>+[55]entradas!$H95</f>
        <v>1308</v>
      </c>
      <c r="X171" s="13">
        <f>+[56]entradas!$H95</f>
        <v>1316</v>
      </c>
      <c r="Y171" s="13">
        <f>+[57]entradas!$H95</f>
        <v>1384</v>
      </c>
      <c r="Z171" s="13">
        <f>+[58]entradas!$H95</f>
        <v>1414</v>
      </c>
      <c r="AA171" s="13">
        <f>+[59]entradas!$H95</f>
        <v>1381</v>
      </c>
      <c r="AB171" s="13">
        <f>+[60]entradas!$H95</f>
        <v>742</v>
      </c>
      <c r="AC171" s="13">
        <f>+[61]entradas!$H95</f>
        <v>229</v>
      </c>
      <c r="AD171" s="13">
        <f>+[62]entradas!$H95</f>
        <v>1342</v>
      </c>
      <c r="AE171" s="13">
        <f>+[63]entradas!$H95</f>
        <v>1331</v>
      </c>
      <c r="AF171" s="13">
        <f>+[64]entradas!$H95</f>
        <v>1402</v>
      </c>
      <c r="AG171" s="13">
        <f>+[65]entradas!$H95</f>
        <v>1366</v>
      </c>
      <c r="AH171" s="13">
        <f>+[66]entradas!$H95</f>
        <v>1357</v>
      </c>
      <c r="AI171" s="13">
        <f>+[67]entradas!$H95</f>
        <v>765</v>
      </c>
      <c r="AJ171" s="13">
        <f>+[68]entradas!$H95</f>
        <v>272</v>
      </c>
    </row>
    <row r="172" spans="1:37" s="12" customFormat="1" ht="13.5" thickBot="1" x14ac:dyDescent="0.25">
      <c r="A172" s="433"/>
      <c r="B172" s="30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</row>
    <row r="173" spans="1:37" s="12" customFormat="1" ht="15.75" thickBot="1" x14ac:dyDescent="0.3">
      <c r="A173" s="426" t="s">
        <v>185</v>
      </c>
      <c r="B173" s="427"/>
      <c r="C173" s="391">
        <f t="shared" ref="C173:H173" si="0">+SUM(C3:C112)-C7-C10-C11-C106-C99</f>
        <v>1125928</v>
      </c>
      <c r="D173" s="391">
        <f t="shared" si="0"/>
        <v>1143228</v>
      </c>
      <c r="E173" s="391">
        <f t="shared" si="0"/>
        <v>1135065</v>
      </c>
      <c r="F173" s="391">
        <f t="shared" si="0"/>
        <v>1145682</v>
      </c>
      <c r="G173" s="391">
        <f t="shared" si="0"/>
        <v>736063</v>
      </c>
      <c r="H173" s="391">
        <f t="shared" si="0"/>
        <v>300645</v>
      </c>
      <c r="I173" s="391">
        <f t="shared" ref="I173:O173" si="1">+SUM(I3:I112)-I7-I10-I11-I106-I99</f>
        <v>1154779</v>
      </c>
      <c r="J173" s="391">
        <f t="shared" si="1"/>
        <v>1172940</v>
      </c>
      <c r="K173" s="391">
        <f t="shared" si="1"/>
        <v>1153309</v>
      </c>
      <c r="L173" s="391">
        <f t="shared" si="1"/>
        <v>1161412</v>
      </c>
      <c r="M173" s="391">
        <f t="shared" si="1"/>
        <v>1157563</v>
      </c>
      <c r="N173" s="391">
        <f t="shared" si="1"/>
        <v>737958</v>
      </c>
      <c r="O173" s="391">
        <f t="shared" si="1"/>
        <v>288505</v>
      </c>
      <c r="P173" s="391">
        <f t="shared" ref="P173:V173" si="2">+SUM(P3:P112)-P7-P10-P11-P106-P99</f>
        <v>1168162</v>
      </c>
      <c r="Q173" s="391">
        <f t="shared" si="2"/>
        <v>1138900</v>
      </c>
      <c r="R173" s="391">
        <f t="shared" si="2"/>
        <v>1151703</v>
      </c>
      <c r="S173" s="391">
        <f t="shared" si="2"/>
        <v>1154451</v>
      </c>
      <c r="T173" s="391">
        <f t="shared" si="2"/>
        <v>1185559</v>
      </c>
      <c r="U173" s="391">
        <f t="shared" si="2"/>
        <v>756297</v>
      </c>
      <c r="V173" s="391">
        <f t="shared" si="2"/>
        <v>298949</v>
      </c>
      <c r="W173" s="391">
        <f t="shared" ref="W173:AC173" si="3">+SUM(W3:W112)-W7-W10-W11-W106-W99</f>
        <v>1178358</v>
      </c>
      <c r="X173" s="391">
        <f t="shared" si="3"/>
        <v>1185347</v>
      </c>
      <c r="Y173" s="391">
        <f t="shared" si="3"/>
        <v>1176766</v>
      </c>
      <c r="Z173" s="391">
        <f t="shared" si="3"/>
        <v>1162844</v>
      </c>
      <c r="AA173" s="391">
        <f>+SUM(AA3:AA112)-AA7-AA10-AA11-AA106-AA99</f>
        <v>1178022</v>
      </c>
      <c r="AB173" s="391">
        <f t="shared" si="3"/>
        <v>762418</v>
      </c>
      <c r="AC173" s="391">
        <f t="shared" si="3"/>
        <v>295686</v>
      </c>
      <c r="AD173" s="391">
        <f t="shared" ref="AD173:AF173" si="4">+SUM(AD3:AD112)-AD7-AD10-AD11-AD106-AD99</f>
        <v>1191259</v>
      </c>
      <c r="AE173" s="391">
        <f t="shared" si="4"/>
        <v>1215307</v>
      </c>
      <c r="AF173" s="391">
        <f t="shared" si="4"/>
        <v>1210565</v>
      </c>
      <c r="AG173" s="391">
        <f t="shared" ref="AG173:AJ173" si="5">+SUM(AG3:AG112)-AG7-AG10-AG11-AG106-AG99</f>
        <v>1207382</v>
      </c>
      <c r="AH173" s="391">
        <f t="shared" si="5"/>
        <v>1228059</v>
      </c>
      <c r="AI173" s="391">
        <f t="shared" si="5"/>
        <v>793513</v>
      </c>
      <c r="AJ173" s="391">
        <f t="shared" si="5"/>
        <v>298288</v>
      </c>
      <c r="AK173" s="17">
        <f>SUM(C173:AD173)</f>
        <v>27397798</v>
      </c>
    </row>
    <row r="174" spans="1:37" s="12" customFormat="1" ht="15.75" thickBot="1" x14ac:dyDescent="0.3">
      <c r="A174" s="428" t="s">
        <v>186</v>
      </c>
      <c r="B174" s="429"/>
      <c r="C174" s="392">
        <f t="shared" ref="C174:H174" si="6">+SUM(C113:C171)</f>
        <v>475985</v>
      </c>
      <c r="D174" s="392">
        <f t="shared" si="6"/>
        <v>474675</v>
      </c>
      <c r="E174" s="392">
        <f t="shared" si="6"/>
        <v>464475</v>
      </c>
      <c r="F174" s="392">
        <f t="shared" si="6"/>
        <v>476596</v>
      </c>
      <c r="G174" s="392">
        <f t="shared" si="6"/>
        <v>323818</v>
      </c>
      <c r="H174" s="392">
        <f t="shared" si="6"/>
        <v>133987</v>
      </c>
      <c r="I174" s="392">
        <f t="shared" ref="I174:O174" si="7">+SUM(I113:I171)</f>
        <v>478590</v>
      </c>
      <c r="J174" s="392">
        <f t="shared" si="7"/>
        <v>488196</v>
      </c>
      <c r="K174" s="392">
        <f t="shared" si="7"/>
        <v>486994</v>
      </c>
      <c r="L174" s="392">
        <f t="shared" si="7"/>
        <v>487401</v>
      </c>
      <c r="M174" s="392">
        <f t="shared" si="7"/>
        <v>489043</v>
      </c>
      <c r="N174" s="392">
        <f t="shared" si="7"/>
        <v>327665</v>
      </c>
      <c r="O174" s="392">
        <f t="shared" si="7"/>
        <v>129427</v>
      </c>
      <c r="P174" s="392">
        <f t="shared" ref="P174:V174" si="8">+SUM(P113:P171)</f>
        <v>480121</v>
      </c>
      <c r="Q174" s="392">
        <f t="shared" si="8"/>
        <v>440304</v>
      </c>
      <c r="R174" s="392">
        <f t="shared" si="8"/>
        <v>460969</v>
      </c>
      <c r="S174" s="392">
        <f t="shared" si="8"/>
        <v>471380</v>
      </c>
      <c r="T174" s="392">
        <f t="shared" si="8"/>
        <v>492864</v>
      </c>
      <c r="U174" s="392">
        <f t="shared" si="8"/>
        <v>332360</v>
      </c>
      <c r="V174" s="392">
        <f t="shared" si="8"/>
        <v>129372</v>
      </c>
      <c r="W174" s="392">
        <f t="shared" ref="W174:AC174" si="9">+SUM(W113:W171)</f>
        <v>484987</v>
      </c>
      <c r="X174" s="392">
        <f t="shared" si="9"/>
        <v>490323</v>
      </c>
      <c r="Y174" s="392">
        <f t="shared" si="9"/>
        <v>486912</v>
      </c>
      <c r="Z174" s="392">
        <f t="shared" si="9"/>
        <v>485922</v>
      </c>
      <c r="AA174" s="392">
        <f>+SUM(AA113:AA171)</f>
        <v>494227</v>
      </c>
      <c r="AB174" s="392">
        <f t="shared" si="9"/>
        <v>333552</v>
      </c>
      <c r="AC174" s="392">
        <f t="shared" si="9"/>
        <v>134533</v>
      </c>
      <c r="AD174" s="392">
        <f t="shared" ref="AD174:AF174" si="10">+SUM(AD113:AD171)</f>
        <v>488267</v>
      </c>
      <c r="AE174" s="392">
        <f t="shared" si="10"/>
        <v>502579</v>
      </c>
      <c r="AF174" s="392">
        <f t="shared" si="10"/>
        <v>504968</v>
      </c>
      <c r="AG174" s="392">
        <f t="shared" ref="AG174:AJ174" si="11">+SUM(AG113:AG171)</f>
        <v>503156</v>
      </c>
      <c r="AH174" s="392">
        <f t="shared" si="11"/>
        <v>508289</v>
      </c>
      <c r="AI174" s="392">
        <f t="shared" si="11"/>
        <v>348998</v>
      </c>
      <c r="AJ174" s="392">
        <f t="shared" si="11"/>
        <v>133141</v>
      </c>
      <c r="AK174" s="17">
        <f>SUM(C174:AD174)</f>
        <v>11442945</v>
      </c>
    </row>
    <row r="175" spans="1:37" s="12" customFormat="1" ht="15" x14ac:dyDescent="0.25">
      <c r="A175" s="430" t="s">
        <v>170</v>
      </c>
      <c r="B175" s="430"/>
      <c r="C175" s="63">
        <f t="shared" ref="C175:H175" si="12">+C173+C174</f>
        <v>1601913</v>
      </c>
      <c r="D175" s="63">
        <f t="shared" si="12"/>
        <v>1617903</v>
      </c>
      <c r="E175" s="63">
        <f t="shared" si="12"/>
        <v>1599540</v>
      </c>
      <c r="F175" s="63">
        <f t="shared" si="12"/>
        <v>1622278</v>
      </c>
      <c r="G175" s="63">
        <f t="shared" si="12"/>
        <v>1059881</v>
      </c>
      <c r="H175" s="63">
        <f t="shared" si="12"/>
        <v>434632</v>
      </c>
      <c r="I175" s="63">
        <f t="shared" ref="I175:O175" si="13">+I173+I174</f>
        <v>1633369</v>
      </c>
      <c r="J175" s="63">
        <f t="shared" si="13"/>
        <v>1661136</v>
      </c>
      <c r="K175" s="63">
        <f t="shared" si="13"/>
        <v>1640303</v>
      </c>
      <c r="L175" s="63">
        <f t="shared" si="13"/>
        <v>1648813</v>
      </c>
      <c r="M175" s="63">
        <f t="shared" si="13"/>
        <v>1646606</v>
      </c>
      <c r="N175" s="63">
        <f t="shared" si="13"/>
        <v>1065623</v>
      </c>
      <c r="O175" s="63">
        <f t="shared" si="13"/>
        <v>417932</v>
      </c>
      <c r="P175" s="63">
        <f t="shared" ref="P175:V175" si="14">+P173+P174</f>
        <v>1648283</v>
      </c>
      <c r="Q175" s="63">
        <f t="shared" si="14"/>
        <v>1579204</v>
      </c>
      <c r="R175" s="63">
        <f t="shared" si="14"/>
        <v>1612672</v>
      </c>
      <c r="S175" s="63">
        <f t="shared" si="14"/>
        <v>1625831</v>
      </c>
      <c r="T175" s="63">
        <f t="shared" si="14"/>
        <v>1678423</v>
      </c>
      <c r="U175" s="63">
        <f t="shared" si="14"/>
        <v>1088657</v>
      </c>
      <c r="V175" s="63">
        <f t="shared" si="14"/>
        <v>428321</v>
      </c>
      <c r="W175" s="63">
        <f t="shared" ref="W175:AC175" si="15">+W173+W174</f>
        <v>1663345</v>
      </c>
      <c r="X175" s="63">
        <f t="shared" si="15"/>
        <v>1675670</v>
      </c>
      <c r="Y175" s="63">
        <f t="shared" si="15"/>
        <v>1663678</v>
      </c>
      <c r="Z175" s="63">
        <f t="shared" si="15"/>
        <v>1648766</v>
      </c>
      <c r="AA175" s="63">
        <f>+AA173+AA174</f>
        <v>1672249</v>
      </c>
      <c r="AB175" s="63">
        <f t="shared" si="15"/>
        <v>1095970</v>
      </c>
      <c r="AC175" s="63">
        <f t="shared" si="15"/>
        <v>430219</v>
      </c>
      <c r="AD175" s="63">
        <f t="shared" ref="AD175:AF175" si="16">+AD173+AD174</f>
        <v>1679526</v>
      </c>
      <c r="AE175" s="63">
        <f t="shared" si="16"/>
        <v>1717886</v>
      </c>
      <c r="AF175" s="63">
        <f t="shared" si="16"/>
        <v>1715533</v>
      </c>
      <c r="AG175" s="63">
        <f t="shared" ref="AG175:AJ175" si="17">+AG173+AG174</f>
        <v>1710538</v>
      </c>
      <c r="AH175" s="63">
        <f t="shared" si="17"/>
        <v>1736348</v>
      </c>
      <c r="AI175" s="63">
        <f t="shared" si="17"/>
        <v>1142511</v>
      </c>
      <c r="AJ175" s="63">
        <f t="shared" si="17"/>
        <v>431429</v>
      </c>
    </row>
    <row r="176" spans="1:37" s="12" customFormat="1" x14ac:dyDescent="0.2">
      <c r="A176" s="20"/>
      <c r="B176" s="20"/>
    </row>
    <row r="177" spans="1:36" s="143" customFormat="1" ht="15.75" x14ac:dyDescent="0.25">
      <c r="A177" s="18" t="s">
        <v>205</v>
      </c>
      <c r="B177" s="18"/>
      <c r="C177" s="19">
        <f t="shared" ref="C177:AJ177" si="18">+C$7+C$10+C$11+C$99+C$106+C$189+C$194+C$198+C$203</f>
        <v>202623</v>
      </c>
      <c r="D177" s="19">
        <f t="shared" si="18"/>
        <v>207037</v>
      </c>
      <c r="E177" s="19">
        <f t="shared" si="18"/>
        <v>209311</v>
      </c>
      <c r="F177" s="19">
        <f t="shared" si="18"/>
        <v>212355</v>
      </c>
      <c r="G177" s="19">
        <f t="shared" si="18"/>
        <v>155307</v>
      </c>
      <c r="H177" s="19">
        <f t="shared" si="18"/>
        <v>74211</v>
      </c>
      <c r="I177" s="19">
        <f t="shared" si="18"/>
        <v>210899</v>
      </c>
      <c r="J177" s="19">
        <f t="shared" si="18"/>
        <v>213279</v>
      </c>
      <c r="K177" s="19">
        <f t="shared" si="18"/>
        <v>210992</v>
      </c>
      <c r="L177" s="19">
        <f t="shared" si="18"/>
        <v>214127</v>
      </c>
      <c r="M177" s="19">
        <f t="shared" si="18"/>
        <v>214703</v>
      </c>
      <c r="N177" s="19">
        <f t="shared" si="18"/>
        <v>155577</v>
      </c>
      <c r="O177" s="19">
        <f t="shared" si="18"/>
        <v>71232</v>
      </c>
      <c r="P177" s="19">
        <f t="shared" si="18"/>
        <v>213023</v>
      </c>
      <c r="Q177" s="19">
        <f t="shared" si="18"/>
        <v>213705</v>
      </c>
      <c r="R177" s="19">
        <f t="shared" si="18"/>
        <v>217688</v>
      </c>
      <c r="S177" s="19">
        <f t="shared" si="18"/>
        <v>218047</v>
      </c>
      <c r="T177" s="19">
        <f t="shared" si="18"/>
        <v>220704</v>
      </c>
      <c r="U177" s="19">
        <f t="shared" si="18"/>
        <v>160040</v>
      </c>
      <c r="V177" s="19">
        <f t="shared" si="18"/>
        <v>74133</v>
      </c>
      <c r="W177" s="19">
        <f t="shared" si="18"/>
        <v>214356</v>
      </c>
      <c r="X177" s="19">
        <f t="shared" si="18"/>
        <v>217600</v>
      </c>
      <c r="Y177" s="19">
        <f t="shared" si="18"/>
        <v>216107</v>
      </c>
      <c r="Z177" s="19">
        <f t="shared" si="18"/>
        <v>210540</v>
      </c>
      <c r="AA177" s="19">
        <f>+AA$7+AA$10+AA$11+AA$99+AA$106+AA$189+AA$194+AA$198+AA$203</f>
        <v>217402</v>
      </c>
      <c r="AB177" s="19">
        <f t="shared" si="18"/>
        <v>159024</v>
      </c>
      <c r="AC177" s="19">
        <f t="shared" si="18"/>
        <v>72591</v>
      </c>
      <c r="AD177" s="19">
        <f t="shared" si="18"/>
        <v>216677</v>
      </c>
      <c r="AE177" s="19">
        <f t="shared" si="18"/>
        <v>219335</v>
      </c>
      <c r="AF177" s="19">
        <f t="shared" si="18"/>
        <v>218635</v>
      </c>
      <c r="AG177" s="19">
        <f t="shared" si="18"/>
        <v>216667</v>
      </c>
      <c r="AH177" s="19">
        <f t="shared" si="18"/>
        <v>223019</v>
      </c>
      <c r="AI177" s="19">
        <f t="shared" si="18"/>
        <v>164771</v>
      </c>
      <c r="AJ177" s="19">
        <f t="shared" si="18"/>
        <v>73337</v>
      </c>
    </row>
    <row r="178" spans="1:36" s="143" customFormat="1" x14ac:dyDescent="0.2">
      <c r="A178" s="18" t="s">
        <v>212</v>
      </c>
      <c r="B178" s="18"/>
      <c r="C178" s="11">
        <f t="shared" ref="C178:H178" si="19">+C177/C173</f>
        <v>0.17996088559836865</v>
      </c>
      <c r="D178" s="11">
        <f t="shared" si="19"/>
        <v>0.18109860850154125</v>
      </c>
      <c r="E178" s="11">
        <f t="shared" si="19"/>
        <v>0.18440441736816834</v>
      </c>
      <c r="F178" s="11">
        <f t="shared" si="19"/>
        <v>0.18535248000754137</v>
      </c>
      <c r="G178" s="11">
        <f t="shared" si="19"/>
        <v>0.21099688477752584</v>
      </c>
      <c r="H178" s="11">
        <f t="shared" si="19"/>
        <v>0.24683929551464351</v>
      </c>
      <c r="I178" s="11">
        <f t="shared" ref="I178:O178" si="20">+I177/I173</f>
        <v>0.18263148186795916</v>
      </c>
      <c r="J178" s="11">
        <f t="shared" si="20"/>
        <v>0.18183283032380174</v>
      </c>
      <c r="K178" s="11">
        <f t="shared" si="20"/>
        <v>0.1829449002825782</v>
      </c>
      <c r="L178" s="11">
        <f t="shared" si="20"/>
        <v>0.18436782123828582</v>
      </c>
      <c r="M178" s="11">
        <f t="shared" si="20"/>
        <v>0.18547845775996641</v>
      </c>
      <c r="N178" s="11">
        <f t="shared" si="20"/>
        <v>0.21082094102916427</v>
      </c>
      <c r="O178" s="11">
        <f t="shared" si="20"/>
        <v>0.24690040033968216</v>
      </c>
      <c r="P178" s="11">
        <f t="shared" ref="P178:V178" si="21">+P177/P173</f>
        <v>0.18235741275610745</v>
      </c>
      <c r="Q178" s="11">
        <f t="shared" si="21"/>
        <v>0.1876415839845465</v>
      </c>
      <c r="R178" s="11">
        <f t="shared" si="21"/>
        <v>0.18901400795170284</v>
      </c>
      <c r="S178" s="11">
        <f t="shared" si="21"/>
        <v>0.18887505836107379</v>
      </c>
      <c r="T178" s="11">
        <f t="shared" si="21"/>
        <v>0.18616028388296155</v>
      </c>
      <c r="U178" s="11">
        <f t="shared" si="21"/>
        <v>0.21160998919736559</v>
      </c>
      <c r="V178" s="11">
        <f t="shared" si="21"/>
        <v>0.24797875222864102</v>
      </c>
      <c r="W178" s="11">
        <f t="shared" ref="W178:AC178" si="22">+W177/W173</f>
        <v>0.18191076056682265</v>
      </c>
      <c r="X178" s="11">
        <f t="shared" si="22"/>
        <v>0.18357493628448041</v>
      </c>
      <c r="Y178" s="11">
        <f t="shared" si="22"/>
        <v>0.18364483678148416</v>
      </c>
      <c r="Z178" s="11">
        <f t="shared" si="22"/>
        <v>0.1810561003883582</v>
      </c>
      <c r="AA178" s="11">
        <f>+AA177/AA173</f>
        <v>0.18454833610917284</v>
      </c>
      <c r="AB178" s="11">
        <f t="shared" si="22"/>
        <v>0.20857849631042288</v>
      </c>
      <c r="AC178" s="11">
        <f t="shared" si="22"/>
        <v>0.24550029423104239</v>
      </c>
      <c r="AD178" s="11">
        <f t="shared" ref="AD178:AF178" si="23">+AD177/AD173</f>
        <v>0.1818890770185157</v>
      </c>
      <c r="AE178" s="11">
        <f t="shared" si="23"/>
        <v>0.18047703172943133</v>
      </c>
      <c r="AF178" s="11">
        <f t="shared" si="23"/>
        <v>0.18060575020754771</v>
      </c>
      <c r="AG178" s="11">
        <f t="shared" ref="AG178:AJ178" si="24">+AG177/AG173</f>
        <v>0.17945190503088501</v>
      </c>
      <c r="AH178" s="11">
        <f t="shared" si="24"/>
        <v>0.18160283830011426</v>
      </c>
      <c r="AI178" s="11">
        <f t="shared" si="24"/>
        <v>0.20764751176099194</v>
      </c>
      <c r="AJ178" s="11">
        <f t="shared" si="24"/>
        <v>0.2458597060558923</v>
      </c>
    </row>
    <row r="179" spans="1:36" s="144" customFormat="1" ht="15.75" x14ac:dyDescent="0.25">
      <c r="A179" s="1" t="s">
        <v>206</v>
      </c>
      <c r="B179" s="1"/>
      <c r="C179" s="19">
        <f t="shared" ref="C179:H179" si="25">C$120+C$209+C$214+C219+C148+C149+C208</f>
        <v>165026</v>
      </c>
      <c r="D179" s="19">
        <f t="shared" si="25"/>
        <v>164362</v>
      </c>
      <c r="E179" s="19">
        <f t="shared" si="25"/>
        <v>160269</v>
      </c>
      <c r="F179" s="19">
        <f t="shared" si="25"/>
        <v>166805</v>
      </c>
      <c r="G179" s="19">
        <f t="shared" si="25"/>
        <v>117336</v>
      </c>
      <c r="H179" s="19">
        <f t="shared" si="25"/>
        <v>49228</v>
      </c>
      <c r="I179" s="19">
        <f t="shared" ref="I179:O179" si="26">I$120+I$209+I$214+I219+I148+I149+I208</f>
        <v>167262</v>
      </c>
      <c r="J179" s="19">
        <f t="shared" si="26"/>
        <v>169302</v>
      </c>
      <c r="K179" s="19">
        <f t="shared" si="26"/>
        <v>167495</v>
      </c>
      <c r="L179" s="19">
        <f t="shared" si="26"/>
        <v>169561</v>
      </c>
      <c r="M179" s="19">
        <f t="shared" si="26"/>
        <v>170650</v>
      </c>
      <c r="N179" s="19">
        <f t="shared" si="26"/>
        <v>118868</v>
      </c>
      <c r="O179" s="19">
        <f t="shared" si="26"/>
        <v>46890</v>
      </c>
      <c r="P179" s="19">
        <f t="shared" ref="P179:V179" si="27">P$120+P$209+P$214+P219+P148+P149+P208</f>
        <v>160434</v>
      </c>
      <c r="Q179" s="19">
        <f t="shared" si="27"/>
        <v>136068</v>
      </c>
      <c r="R179" s="19">
        <f t="shared" si="27"/>
        <v>151659</v>
      </c>
      <c r="S179" s="19">
        <f t="shared" si="27"/>
        <v>158555</v>
      </c>
      <c r="T179" s="19">
        <f t="shared" si="27"/>
        <v>171492</v>
      </c>
      <c r="U179" s="19">
        <f t="shared" si="27"/>
        <v>120074</v>
      </c>
      <c r="V179" s="19">
        <f t="shared" si="27"/>
        <v>48147</v>
      </c>
      <c r="W179" s="19">
        <f t="shared" ref="W179:AC179" si="28">W$120+W$209+W$214+W219+W148+W149+W208</f>
        <v>170579</v>
      </c>
      <c r="X179" s="19">
        <f t="shared" si="28"/>
        <v>170891</v>
      </c>
      <c r="Y179" s="19">
        <f t="shared" si="28"/>
        <v>169417</v>
      </c>
      <c r="Z179" s="19">
        <f t="shared" si="28"/>
        <v>168388</v>
      </c>
      <c r="AA179" s="19">
        <f>AA$120+AA$209+AA$214+AA219+AA148+AA149+AA208</f>
        <v>172521</v>
      </c>
      <c r="AB179" s="19">
        <f t="shared" si="28"/>
        <v>120251</v>
      </c>
      <c r="AC179" s="19">
        <f t="shared" si="28"/>
        <v>47448</v>
      </c>
      <c r="AD179" s="19">
        <f t="shared" ref="AD179:AF179" si="29">AD$120+AD$209+AD$214+AD219+AD148+AD149+AD208</f>
        <v>169325</v>
      </c>
      <c r="AE179" s="19">
        <f t="shared" si="29"/>
        <v>173252</v>
      </c>
      <c r="AF179" s="19">
        <f t="shared" si="29"/>
        <v>173753</v>
      </c>
      <c r="AG179" s="19">
        <f t="shared" ref="AG179:AJ179" si="30">AG$120+AG$209+AG$214+AG219+AG148+AG149+AG208</f>
        <v>173699</v>
      </c>
      <c r="AH179" s="19">
        <f t="shared" si="30"/>
        <v>176095</v>
      </c>
      <c r="AI179" s="19">
        <f t="shared" si="30"/>
        <v>124223</v>
      </c>
      <c r="AJ179" s="19">
        <f t="shared" si="30"/>
        <v>49292</v>
      </c>
    </row>
    <row r="180" spans="1:36" s="143" customFormat="1" x14ac:dyDescent="0.2">
      <c r="A180" s="18" t="s">
        <v>212</v>
      </c>
      <c r="B180" s="18"/>
      <c r="C180" s="22">
        <f t="shared" ref="C180:H180" si="31">+C179/C174</f>
        <v>0.34670420286353559</v>
      </c>
      <c r="D180" s="22">
        <f t="shared" si="31"/>
        <v>0.3462621793858956</v>
      </c>
      <c r="E180" s="22">
        <f t="shared" si="31"/>
        <v>0.34505409333118037</v>
      </c>
      <c r="F180" s="22">
        <f t="shared" si="31"/>
        <v>0.34999244643261801</v>
      </c>
      <c r="G180" s="22">
        <f t="shared" si="31"/>
        <v>0.36235169138219619</v>
      </c>
      <c r="H180" s="22">
        <f t="shared" si="31"/>
        <v>0.36740877846358228</v>
      </c>
      <c r="I180" s="22">
        <f t="shared" ref="I180:O180" si="32">+I179/I174</f>
        <v>0.34948912430263901</v>
      </c>
      <c r="J180" s="22">
        <f t="shared" si="32"/>
        <v>0.34679104294176927</v>
      </c>
      <c r="K180" s="22">
        <f t="shared" si="32"/>
        <v>0.34393647560339552</v>
      </c>
      <c r="L180" s="22">
        <f t="shared" si="32"/>
        <v>0.34788808393909737</v>
      </c>
      <c r="M180" s="22">
        <f t="shared" si="32"/>
        <v>0.34894682062722499</v>
      </c>
      <c r="N180" s="22">
        <f t="shared" si="32"/>
        <v>0.36277295408420185</v>
      </c>
      <c r="O180" s="22">
        <f t="shared" si="32"/>
        <v>0.36228916686626439</v>
      </c>
      <c r="P180" s="22">
        <f t="shared" ref="P180:V180" si="33">+P179/P174</f>
        <v>0.33415326553098074</v>
      </c>
      <c r="Q180" s="22">
        <f t="shared" si="33"/>
        <v>0.30903194156764419</v>
      </c>
      <c r="R180" s="22">
        <f t="shared" si="33"/>
        <v>0.32900043169931165</v>
      </c>
      <c r="S180" s="22">
        <f t="shared" si="33"/>
        <v>0.33636344350630065</v>
      </c>
      <c r="T180" s="22">
        <f t="shared" si="33"/>
        <v>0.34794994156603037</v>
      </c>
      <c r="U180" s="22">
        <f t="shared" si="33"/>
        <v>0.36127692863160427</v>
      </c>
      <c r="V180" s="22">
        <f t="shared" si="33"/>
        <v>0.37215935441981263</v>
      </c>
      <c r="W180" s="22">
        <f t="shared" ref="W180:AC180" si="34">+W179/W174</f>
        <v>0.35171870586221898</v>
      </c>
      <c r="X180" s="22">
        <f t="shared" si="34"/>
        <v>0.34852739928577692</v>
      </c>
      <c r="Y180" s="22">
        <f t="shared" si="34"/>
        <v>0.34794172252891692</v>
      </c>
      <c r="Z180" s="22">
        <f t="shared" si="34"/>
        <v>0.34653298265976845</v>
      </c>
      <c r="AA180" s="22">
        <f>+AA179/AA174</f>
        <v>0.34907238981277833</v>
      </c>
      <c r="AB180" s="22">
        <f t="shared" si="34"/>
        <v>0.36051650117522904</v>
      </c>
      <c r="AC180" s="22">
        <f t="shared" si="34"/>
        <v>0.35268670140411645</v>
      </c>
      <c r="AD180" s="22">
        <f t="shared" ref="AD180:AF180" si="35">+AD179/AD174</f>
        <v>0.34678772065283953</v>
      </c>
      <c r="AE180" s="22">
        <f t="shared" si="35"/>
        <v>0.34472590378826018</v>
      </c>
      <c r="AF180" s="22">
        <f t="shared" si="35"/>
        <v>0.34408715007683655</v>
      </c>
      <c r="AG180" s="22">
        <f t="shared" ref="AG180:AJ180" si="36">+AG179/AG174</f>
        <v>0.34521897781205035</v>
      </c>
      <c r="AH180" s="22">
        <f t="shared" si="36"/>
        <v>0.346446608130414</v>
      </c>
      <c r="AI180" s="22">
        <f t="shared" si="36"/>
        <v>0.35594186786170695</v>
      </c>
      <c r="AJ180" s="22">
        <f t="shared" si="36"/>
        <v>0.37022404818951338</v>
      </c>
    </row>
    <row r="181" spans="1:36" s="19" customFormat="1" ht="15.75" x14ac:dyDescent="0.25">
      <c r="A181" s="404" t="s">
        <v>204</v>
      </c>
      <c r="B181" s="404"/>
      <c r="C181" s="57">
        <f t="shared" ref="C181:H181" si="37">+C179+C177</f>
        <v>367649</v>
      </c>
      <c r="D181" s="57">
        <f t="shared" si="37"/>
        <v>371399</v>
      </c>
      <c r="E181" s="57">
        <f t="shared" si="37"/>
        <v>369580</v>
      </c>
      <c r="F181" s="57">
        <f t="shared" si="37"/>
        <v>379160</v>
      </c>
      <c r="G181" s="57">
        <f t="shared" si="37"/>
        <v>272643</v>
      </c>
      <c r="H181" s="57">
        <f t="shared" si="37"/>
        <v>123439</v>
      </c>
      <c r="I181" s="57">
        <f t="shared" ref="I181:O181" si="38">+I179+I177</f>
        <v>378161</v>
      </c>
      <c r="J181" s="57">
        <f t="shared" si="38"/>
        <v>382581</v>
      </c>
      <c r="K181" s="57">
        <f t="shared" si="38"/>
        <v>378487</v>
      </c>
      <c r="L181" s="57">
        <f t="shared" si="38"/>
        <v>383688</v>
      </c>
      <c r="M181" s="57">
        <f t="shared" si="38"/>
        <v>385353</v>
      </c>
      <c r="N181" s="57">
        <f t="shared" si="38"/>
        <v>274445</v>
      </c>
      <c r="O181" s="57">
        <f t="shared" si="38"/>
        <v>118122</v>
      </c>
      <c r="P181" s="57">
        <f t="shared" ref="P181:V181" si="39">+P179+P177</f>
        <v>373457</v>
      </c>
      <c r="Q181" s="57">
        <f t="shared" si="39"/>
        <v>349773</v>
      </c>
      <c r="R181" s="57">
        <f t="shared" si="39"/>
        <v>369347</v>
      </c>
      <c r="S181" s="57">
        <f t="shared" si="39"/>
        <v>376602</v>
      </c>
      <c r="T181" s="57">
        <f t="shared" si="39"/>
        <v>392196</v>
      </c>
      <c r="U181" s="57">
        <f t="shared" si="39"/>
        <v>280114</v>
      </c>
      <c r="V181" s="57">
        <f t="shared" si="39"/>
        <v>122280</v>
      </c>
      <c r="W181" s="57">
        <f t="shared" ref="W181:AC181" si="40">+W179+W177</f>
        <v>384935</v>
      </c>
      <c r="X181" s="57">
        <f t="shared" si="40"/>
        <v>388491</v>
      </c>
      <c r="Y181" s="57">
        <f t="shared" si="40"/>
        <v>385524</v>
      </c>
      <c r="Z181" s="57">
        <f t="shared" si="40"/>
        <v>378928</v>
      </c>
      <c r="AA181" s="57">
        <f>+AA179+AA177</f>
        <v>389923</v>
      </c>
      <c r="AB181" s="57">
        <f t="shared" si="40"/>
        <v>279275</v>
      </c>
      <c r="AC181" s="57">
        <f t="shared" si="40"/>
        <v>120039</v>
      </c>
      <c r="AD181" s="57">
        <f t="shared" ref="AD181:AF181" si="41">+AD179+AD177</f>
        <v>386002</v>
      </c>
      <c r="AE181" s="57">
        <f t="shared" si="41"/>
        <v>392587</v>
      </c>
      <c r="AF181" s="57">
        <f t="shared" si="41"/>
        <v>392388</v>
      </c>
      <c r="AG181" s="57">
        <f t="shared" ref="AG181:AJ181" si="42">+AG179+AG177</f>
        <v>390366</v>
      </c>
      <c r="AH181" s="57">
        <f t="shared" si="42"/>
        <v>399114</v>
      </c>
      <c r="AI181" s="57">
        <f t="shared" si="42"/>
        <v>288994</v>
      </c>
      <c r="AJ181" s="57">
        <f t="shared" si="42"/>
        <v>122629</v>
      </c>
    </row>
    <row r="182" spans="1:36" s="8" customFormat="1" x14ac:dyDescent="0.2">
      <c r="A182" s="4" t="s">
        <v>207</v>
      </c>
      <c r="B182" s="6"/>
      <c r="C182" s="11">
        <f t="shared" ref="C182:H182" si="43">+C181/C175</f>
        <v>0.22950622162377107</v>
      </c>
      <c r="D182" s="11">
        <f t="shared" si="43"/>
        <v>0.22955578919131742</v>
      </c>
      <c r="E182" s="11">
        <f t="shared" si="43"/>
        <v>0.23105392800430125</v>
      </c>
      <c r="F182" s="11">
        <f t="shared" si="43"/>
        <v>0.23372073097212684</v>
      </c>
      <c r="G182" s="11">
        <f t="shared" si="43"/>
        <v>0.25723925610516651</v>
      </c>
      <c r="H182" s="11">
        <f t="shared" si="43"/>
        <v>0.28400808039905023</v>
      </c>
      <c r="I182" s="11">
        <f t="shared" ref="I182:O182" si="44">+I181/I175</f>
        <v>0.23152208717074954</v>
      </c>
      <c r="J182" s="11">
        <f t="shared" si="44"/>
        <v>0.23031287022856647</v>
      </c>
      <c r="K182" s="11">
        <f t="shared" si="44"/>
        <v>0.23074212508298772</v>
      </c>
      <c r="L182" s="11">
        <f t="shared" si="44"/>
        <v>0.2327055888084337</v>
      </c>
      <c r="M182" s="11">
        <f t="shared" si="44"/>
        <v>0.23402866259445185</v>
      </c>
      <c r="N182" s="11">
        <f t="shared" si="44"/>
        <v>0.25754417838203569</v>
      </c>
      <c r="O182" s="11">
        <f t="shared" si="44"/>
        <v>0.28263449556387166</v>
      </c>
      <c r="P182" s="11">
        <f t="shared" ref="P182:V182" si="45">+P181/P175</f>
        <v>0.22657334935808959</v>
      </c>
      <c r="Q182" s="11">
        <f t="shared" si="45"/>
        <v>0.22148690099569149</v>
      </c>
      <c r="R182" s="11">
        <f t="shared" si="45"/>
        <v>0.22902797345027384</v>
      </c>
      <c r="S182" s="11">
        <f t="shared" si="45"/>
        <v>0.2316366215184727</v>
      </c>
      <c r="T182" s="11">
        <f t="shared" si="45"/>
        <v>0.23366934318702734</v>
      </c>
      <c r="U182" s="11">
        <f t="shared" si="45"/>
        <v>0.25730234591795215</v>
      </c>
      <c r="V182" s="11">
        <f t="shared" si="45"/>
        <v>0.28548681946484061</v>
      </c>
      <c r="W182" s="11">
        <f t="shared" ref="W182:AC182" si="46">+W181/W175</f>
        <v>0.23142222449341537</v>
      </c>
      <c r="X182" s="11">
        <f t="shared" si="46"/>
        <v>0.23184218849773525</v>
      </c>
      <c r="Y182" s="11">
        <f t="shared" si="46"/>
        <v>0.23172993812504583</v>
      </c>
      <c r="Z182" s="11">
        <f t="shared" si="46"/>
        <v>0.22982521473635434</v>
      </c>
      <c r="AA182" s="11">
        <f>+AA181/AA175</f>
        <v>0.23317281098688053</v>
      </c>
      <c r="AB182" s="11">
        <f t="shared" si="46"/>
        <v>0.25481993120249641</v>
      </c>
      <c r="AC182" s="11">
        <f t="shared" si="46"/>
        <v>0.27901836041643907</v>
      </c>
      <c r="AD182" s="11">
        <f t="shared" ref="AD182:AF182" si="47">+AD181/AD175</f>
        <v>0.22982793954961103</v>
      </c>
      <c r="AE182" s="11">
        <f t="shared" si="47"/>
        <v>0.22852913406361075</v>
      </c>
      <c r="AF182" s="11">
        <f t="shared" si="47"/>
        <v>0.22872658235079127</v>
      </c>
      <c r="AG182" s="11">
        <f t="shared" ref="AG182:AJ182" si="48">+AG181/AG175</f>
        <v>0.22821241036445844</v>
      </c>
      <c r="AH182" s="11">
        <f t="shared" si="48"/>
        <v>0.22985830029464141</v>
      </c>
      <c r="AI182" s="11">
        <f t="shared" si="48"/>
        <v>0.252946361129127</v>
      </c>
      <c r="AJ182" s="11">
        <f t="shared" si="48"/>
        <v>0.28423912161676662</v>
      </c>
    </row>
    <row r="183" spans="1:36" s="8" customFormat="1" x14ac:dyDescent="0.2">
      <c r="A183" s="4"/>
      <c r="B183" s="6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</row>
    <row r="184" spans="1:36" s="8" customFormat="1" x14ac:dyDescent="0.2">
      <c r="A184" s="351" t="s">
        <v>426</v>
      </c>
      <c r="B184" s="352"/>
      <c r="C184" s="353">
        <f>+[1]entradas!$H$171</f>
        <v>2350</v>
      </c>
      <c r="D184" s="353">
        <f>+[2]entradas!$H$171</f>
        <v>2367</v>
      </c>
      <c r="E184" s="353">
        <f>+[3]entradas!$H$171</f>
        <v>2885</v>
      </c>
      <c r="F184" s="353">
        <f>+[4]entradas!$H$171</f>
        <v>2219</v>
      </c>
      <c r="G184" s="353">
        <f>+[5]entradas!$H$171</f>
        <v>417</v>
      </c>
      <c r="H184" s="353">
        <f>+[6]entradas!$H$171</f>
        <v>0</v>
      </c>
      <c r="I184" s="353">
        <f>+[7]entradas!$H$171</f>
        <v>2409</v>
      </c>
      <c r="J184" s="353">
        <f>+[8]entradas!$H$171</f>
        <v>2524</v>
      </c>
      <c r="K184" s="353">
        <f>+[9]entradas!$H$171</f>
        <v>2675</v>
      </c>
      <c r="L184" s="353">
        <f>+[10]entradas!$H$171</f>
        <v>2449</v>
      </c>
      <c r="M184" s="353">
        <f>+[11]entradas!$H$171</f>
        <v>2254</v>
      </c>
      <c r="N184" s="353">
        <f>+[12]entradas!$H$171</f>
        <v>387</v>
      </c>
      <c r="O184" s="353">
        <f>+[13]entradas!$H$171</f>
        <v>0</v>
      </c>
      <c r="P184" s="353">
        <f>+[14]entradas!$H$171</f>
        <v>2493</v>
      </c>
      <c r="Q184" s="353">
        <f>+[15]entradas!$H$171</f>
        <v>2491</v>
      </c>
      <c r="R184" s="353">
        <f>+[16]entradas!$H$171</f>
        <v>2499</v>
      </c>
      <c r="S184" s="353">
        <f>+[17]entradas!$H$171</f>
        <v>2459</v>
      </c>
      <c r="T184" s="353">
        <f>+[18]entradas!$H$171</f>
        <v>2334</v>
      </c>
      <c r="U184" s="353">
        <f>+[19]entradas!$H$171</f>
        <v>421</v>
      </c>
      <c r="V184" s="353">
        <f>+[20]entradas!$H$171</f>
        <v>0</v>
      </c>
      <c r="W184" s="353">
        <f>+[21]entradas!$H$171</f>
        <v>2502</v>
      </c>
      <c r="X184" s="353">
        <f>+[22]entradas!$H$171</f>
        <v>2644</v>
      </c>
      <c r="Y184" s="353">
        <f>+[23]entradas!$H$171</f>
        <v>2563</v>
      </c>
      <c r="Z184" s="353">
        <f>+[24]entradas!$H$171</f>
        <v>2487</v>
      </c>
      <c r="AA184" s="353">
        <f>+[25]entradas!$H$171</f>
        <v>2326</v>
      </c>
      <c r="AB184" s="353">
        <f>+[26]entradas!$H$171</f>
        <v>492</v>
      </c>
      <c r="AC184" s="353">
        <f>+[27]entradas!$H$171</f>
        <v>0</v>
      </c>
      <c r="AD184" s="353">
        <f>+[28]entradas!$H$171</f>
        <v>2481</v>
      </c>
      <c r="AE184" s="353">
        <f>+[29]entradas!$H$171</f>
        <v>2639</v>
      </c>
      <c r="AF184" s="353">
        <f>+[30]entradas!$H$171</f>
        <v>2608</v>
      </c>
      <c r="AG184" s="353">
        <f>+[31]entradas!$H$171</f>
        <v>2660</v>
      </c>
      <c r="AH184" s="353">
        <f>+[32]entradas!$H$171</f>
        <v>2300</v>
      </c>
      <c r="AI184" s="353">
        <f>+[33]entradas!$H$171</f>
        <v>439</v>
      </c>
      <c r="AJ184" s="353">
        <f>+[34]entradas!$H$171</f>
        <v>0</v>
      </c>
    </row>
    <row r="185" spans="1:36" s="8" customFormat="1" x14ac:dyDescent="0.2">
      <c r="A185" s="4"/>
      <c r="B185" s="6"/>
    </row>
    <row r="186" spans="1:36" s="8" customFormat="1" ht="13.5" thickBot="1" x14ac:dyDescent="0.25">
      <c r="A186" s="4"/>
      <c r="B186" s="6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</row>
    <row r="187" spans="1:36" s="12" customFormat="1" ht="15" thickBot="1" x14ac:dyDescent="0.25">
      <c r="A187" s="417" t="s">
        <v>91</v>
      </c>
      <c r="B187" s="418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</row>
    <row r="188" spans="1:36" s="8" customFormat="1" ht="15" x14ac:dyDescent="0.25">
      <c r="A188" s="402" t="s">
        <v>54</v>
      </c>
      <c r="B188" s="403"/>
      <c r="C188" s="5">
        <f>+[1]entradas!$C$150</f>
        <v>15012</v>
      </c>
      <c r="D188" s="5">
        <f>+[2]entradas!$C$150</f>
        <v>15189</v>
      </c>
      <c r="E188" s="5">
        <f>+[3]entradas!$C$150</f>
        <v>14406</v>
      </c>
      <c r="F188" s="5">
        <f>+[4]entradas!$C$150</f>
        <v>15547</v>
      </c>
      <c r="G188" s="5">
        <f>+[5]entradas!$C$150</f>
        <v>12150</v>
      </c>
      <c r="H188" s="5">
        <f>+[6]entradas!$C$150</f>
        <v>6234</v>
      </c>
      <c r="I188" s="5">
        <f>+[7]entradas!$C$150</f>
        <v>14510</v>
      </c>
      <c r="J188" s="5">
        <f>+[8]entradas!$C$150</f>
        <v>14805</v>
      </c>
      <c r="K188" s="5">
        <f>+[9]entradas!$C$150</f>
        <v>14484</v>
      </c>
      <c r="L188" s="5">
        <f>+[10]entradas!$C$150</f>
        <v>14372</v>
      </c>
      <c r="M188" s="5">
        <f>+[11]entradas!$C$150</f>
        <v>15241</v>
      </c>
      <c r="N188" s="5">
        <f>+[12]entradas!$C$150</f>
        <v>11659</v>
      </c>
      <c r="O188" s="5">
        <f>+[13]entradas!$C$150</f>
        <v>5899</v>
      </c>
      <c r="P188" s="5">
        <f>+[14]entradas!$C$150</f>
        <v>16259</v>
      </c>
      <c r="Q188" s="5">
        <f>+[15]entradas!$C$150</f>
        <v>17167</v>
      </c>
      <c r="R188" s="5">
        <f>+[16]entradas!$C$150</f>
        <v>16029</v>
      </c>
      <c r="S188" s="5">
        <f>+[17]entradas!$C$150</f>
        <v>15567</v>
      </c>
      <c r="T188" s="5">
        <f>+[18]entradas!$C$150</f>
        <v>16701</v>
      </c>
      <c r="U188" s="5">
        <f>+[19]entradas!$C$150</f>
        <v>12479</v>
      </c>
      <c r="V188" s="5">
        <f>+[20]entradas!$C$150</f>
        <v>6435</v>
      </c>
      <c r="W188" s="5">
        <f>+[21]entradas!$C$150</f>
        <v>15158</v>
      </c>
      <c r="X188" s="5">
        <f>+[22]entradas!$C$150</f>
        <v>15148</v>
      </c>
      <c r="Y188" s="5">
        <f>+[23]entradas!$C$150</f>
        <v>15173</v>
      </c>
      <c r="Z188" s="5">
        <f>+[24]entradas!$C$150</f>
        <v>16158</v>
      </c>
      <c r="AA188" s="5">
        <f>+[25]entradas!$C$150</f>
        <v>16196</v>
      </c>
      <c r="AB188" s="5">
        <f>+[26]entradas!$C$150</f>
        <v>12389</v>
      </c>
      <c r="AC188" s="5">
        <f>+[27]entradas!$C$150</f>
        <v>6366</v>
      </c>
      <c r="AD188" s="5">
        <f>+[28]entradas!$C$150</f>
        <v>16200</v>
      </c>
      <c r="AE188" s="5">
        <f>+[29]entradas!$C$150</f>
        <v>16848</v>
      </c>
      <c r="AF188" s="5">
        <f>+[30]entradas!$C$150</f>
        <v>16071</v>
      </c>
      <c r="AG188" s="5">
        <f>+[31]entradas!$C$150</f>
        <v>16044</v>
      </c>
      <c r="AH188" s="5">
        <f>+[32]entradas!$C$150</f>
        <v>16929</v>
      </c>
      <c r="AI188" s="5">
        <f>+[33]entradas!$C$150</f>
        <v>13058</v>
      </c>
      <c r="AJ188" s="5">
        <f>+[34]entradas!$C$150</f>
        <v>6624</v>
      </c>
    </row>
    <row r="189" spans="1:36" s="8" customFormat="1" ht="15" x14ac:dyDescent="0.25">
      <c r="A189" s="405" t="s">
        <v>55</v>
      </c>
      <c r="B189" s="406"/>
      <c r="C189" s="5">
        <f>SUM([1]entradas!$C$151:$C$156)</f>
        <v>46277</v>
      </c>
      <c r="D189" s="5">
        <f>SUM([2]entradas!$C$151:$C$156)</f>
        <v>46138</v>
      </c>
      <c r="E189" s="5">
        <f>SUM([3]entradas!$C$151:$C$156)</f>
        <v>48149</v>
      </c>
      <c r="F189" s="5">
        <f>SUM([4]entradas!$C$151:$C$156)</f>
        <v>47085</v>
      </c>
      <c r="G189" s="5">
        <f>SUM([5]entradas!$C$151:$C$156)</f>
        <v>33404</v>
      </c>
      <c r="H189" s="5">
        <f>SUM([6]entradas!$C$151:$C$156)</f>
        <v>14453</v>
      </c>
      <c r="I189" s="5">
        <f>SUM([7]entradas!$C$151:$C$156)</f>
        <v>47144</v>
      </c>
      <c r="J189" s="5">
        <f>SUM([8]entradas!$C$151:$C$156)</f>
        <v>48369</v>
      </c>
      <c r="K189" s="5">
        <f>SUM([9]entradas!$C$151:$C$156)</f>
        <v>47774</v>
      </c>
      <c r="L189" s="5">
        <f>SUM([10]entradas!$C$151:$C$156)</f>
        <v>48380</v>
      </c>
      <c r="M189" s="5">
        <f>SUM([11]entradas!$C$151:$C$156)</f>
        <v>48709</v>
      </c>
      <c r="N189" s="5">
        <f>SUM([12]entradas!$C$151:$C$156)</f>
        <v>33502</v>
      </c>
      <c r="O189" s="5">
        <f>SUM([13]entradas!$C$151:$C$156)</f>
        <v>14262</v>
      </c>
      <c r="P189" s="5">
        <f>SUM([14]entradas!$C$151:$C$156)</f>
        <v>48811</v>
      </c>
      <c r="Q189" s="5">
        <f>SUM([15]entradas!$C$151:$C$156)</f>
        <v>47469</v>
      </c>
      <c r="R189" s="5">
        <f>SUM([16]entradas!$C$151:$C$156)</f>
        <v>49242</v>
      </c>
      <c r="S189" s="5">
        <f>SUM([17]entradas!$C$151:$C$156)</f>
        <v>49754</v>
      </c>
      <c r="T189" s="5">
        <f>SUM([18]entradas!$C$151:$C$156)</f>
        <v>49828</v>
      </c>
      <c r="U189" s="5">
        <f>SUM([19]entradas!$C$151:$C$156)</f>
        <v>34517</v>
      </c>
      <c r="V189" s="5">
        <f>SUM([20]entradas!$C$151:$C$156)</f>
        <v>14860</v>
      </c>
      <c r="W189" s="5">
        <f>SUM([21]entradas!$C$151:$C$156)</f>
        <v>48236</v>
      </c>
      <c r="X189" s="5">
        <f>SUM([22]entradas!$C$151:$C$156)</f>
        <v>48428</v>
      </c>
      <c r="Y189" s="5">
        <f>SUM([23]entradas!$C$151:$C$156)</f>
        <v>48531</v>
      </c>
      <c r="Z189" s="5">
        <f>SUM([24]entradas!$C$151:$C$156)</f>
        <v>47023</v>
      </c>
      <c r="AA189" s="5">
        <f>SUM([25]entradas!$C$151:$C$156)</f>
        <v>48957</v>
      </c>
      <c r="AB189" s="5">
        <f>SUM([26]entradas!$C$151:$C$156)</f>
        <v>34723</v>
      </c>
      <c r="AC189" s="5">
        <f>SUM([27]entradas!$C$151:$C$156)</f>
        <v>14768</v>
      </c>
      <c r="AD189" s="5">
        <f>SUM([28]entradas!$C$151:$C$156)</f>
        <v>48357</v>
      </c>
      <c r="AE189" s="5">
        <f>SUM([29]entradas!$C$151:$C$156)</f>
        <v>48769</v>
      </c>
      <c r="AF189" s="5">
        <f>SUM([30]entradas!$C$151:$C$156)</f>
        <v>48661</v>
      </c>
      <c r="AG189" s="5">
        <f>SUM([31]entradas!$C$151:$C$156)</f>
        <v>48588</v>
      </c>
      <c r="AH189" s="5">
        <f>SUM([32]entradas!$C$151:$C$156)</f>
        <v>50005</v>
      </c>
      <c r="AI189" s="5">
        <f>SUM([33]entradas!$C$151:$C$156)</f>
        <v>35354</v>
      </c>
      <c r="AJ189" s="5">
        <f>SUM([34]entradas!$C$151:$C$156)</f>
        <v>14768</v>
      </c>
    </row>
    <row r="190" spans="1:36" s="8" customFormat="1" ht="15.75" thickBot="1" x14ac:dyDescent="0.3">
      <c r="A190" s="407" t="s">
        <v>56</v>
      </c>
      <c r="B190" s="408"/>
      <c r="C190" s="5">
        <f>+[1]entradas!$C$157</f>
        <v>18169</v>
      </c>
      <c r="D190" s="5">
        <f>+[2]entradas!$C$157</f>
        <v>17991</v>
      </c>
      <c r="E190" s="5">
        <f>+[3]entradas!$C$157</f>
        <v>18412</v>
      </c>
      <c r="F190" s="5">
        <f>+[4]entradas!$C$157</f>
        <v>18708</v>
      </c>
      <c r="G190" s="5">
        <f>+[5]entradas!$C$157</f>
        <v>11880</v>
      </c>
      <c r="H190" s="5">
        <f>+[6]entradas!$C$157</f>
        <v>5152</v>
      </c>
      <c r="I190" s="5">
        <f>+[7]entradas!$C$157</f>
        <v>18440</v>
      </c>
      <c r="J190" s="5">
        <f>+[8]entradas!$C$157</f>
        <v>18440</v>
      </c>
      <c r="K190" s="5">
        <f>+[9]entradas!$C$157</f>
        <v>18180</v>
      </c>
      <c r="L190" s="5">
        <f>+[10]entradas!$C$157</f>
        <v>18228</v>
      </c>
      <c r="M190" s="5">
        <f>+[11]entradas!$C$157</f>
        <v>18310</v>
      </c>
      <c r="N190" s="5">
        <f>+[12]entradas!$C$157</f>
        <v>11885</v>
      </c>
      <c r="O190" s="5">
        <f>+[13]entradas!$C$157</f>
        <v>4967</v>
      </c>
      <c r="P190" s="5">
        <f>+[14]entradas!$C$157</f>
        <v>19753</v>
      </c>
      <c r="Q190" s="5">
        <f>+[15]entradas!$C$157</f>
        <v>19587</v>
      </c>
      <c r="R190" s="5">
        <f>+[16]entradas!$C$157</f>
        <v>19583</v>
      </c>
      <c r="S190" s="5">
        <f>+[17]entradas!$C$157</f>
        <v>19263</v>
      </c>
      <c r="T190" s="5">
        <f>+[18]entradas!$C$157</f>
        <v>18679</v>
      </c>
      <c r="U190" s="5">
        <f>+[19]entradas!$C$157</f>
        <v>11871</v>
      </c>
      <c r="V190" s="5">
        <f>+[20]entradas!$C$157</f>
        <v>5190</v>
      </c>
      <c r="W190" s="5">
        <f>+[21]entradas!$C$157</f>
        <v>18741</v>
      </c>
      <c r="X190" s="5">
        <f>+[22]entradas!$C$157</f>
        <v>18576</v>
      </c>
      <c r="Y190" s="5">
        <f>+[23]entradas!$C$157</f>
        <v>18463</v>
      </c>
      <c r="Z190" s="5">
        <f>+[24]entradas!$C$157</f>
        <v>18179</v>
      </c>
      <c r="AA190" s="5">
        <f>+[25]entradas!$C$157</f>
        <v>18755</v>
      </c>
      <c r="AB190" s="5">
        <f>+[26]entradas!$C$157</f>
        <v>12468</v>
      </c>
      <c r="AC190" s="5">
        <f>+[27]entradas!$C$157</f>
        <v>5130</v>
      </c>
      <c r="AD190" s="5">
        <f>+[28]entradas!$C$157</f>
        <v>18440</v>
      </c>
      <c r="AE190" s="5">
        <f>+[29]entradas!$C$157</f>
        <v>18721</v>
      </c>
      <c r="AF190" s="5">
        <f>+[30]entradas!$C$157</f>
        <v>19045</v>
      </c>
      <c r="AG190" s="5">
        <f>+[31]entradas!$C$157</f>
        <v>18854</v>
      </c>
      <c r="AH190" s="5">
        <f>+[32]entradas!$C$157</f>
        <v>19517</v>
      </c>
      <c r="AI190" s="5">
        <f>+[33]entradas!$C$157</f>
        <v>12643</v>
      </c>
      <c r="AJ190" s="5">
        <f>+[34]entradas!$C$157</f>
        <v>5376</v>
      </c>
    </row>
    <row r="191" spans="1:36" s="8" customFormat="1" ht="15.75" thickBot="1" x14ac:dyDescent="0.3">
      <c r="A191" s="101"/>
      <c r="B191" s="102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1:36" s="8" customFormat="1" ht="15" thickBot="1" x14ac:dyDescent="0.25">
      <c r="A192" s="419" t="s">
        <v>92</v>
      </c>
      <c r="B192" s="420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1:36" s="8" customFormat="1" ht="15.75" thickBot="1" x14ac:dyDescent="0.3">
      <c r="A193" s="411" t="s">
        <v>54</v>
      </c>
      <c r="B193" s="412"/>
      <c r="C193" s="5">
        <f>+SUM([1]entradas!$E$150:$E$151)</f>
        <v>4435</v>
      </c>
      <c r="D193" s="5">
        <f>+SUM([2]entradas!$E$150:$E$151)</f>
        <v>4502</v>
      </c>
      <c r="E193" s="5">
        <f>+SUM([3]entradas!$E$150:$E$151)</f>
        <v>4390</v>
      </c>
      <c r="F193" s="5">
        <f>+SUM([4]entradas!$E$150:$E$151)</f>
        <v>4506</v>
      </c>
      <c r="G193" s="5">
        <f>+SUM([5]entradas!$E$150:$E$151)</f>
        <v>3665</v>
      </c>
      <c r="H193" s="5">
        <f>+SUM([6]entradas!$E$150:$E$151)</f>
        <v>1951</v>
      </c>
      <c r="I193" s="5">
        <f>+SUM([7]entradas!$E$150:$E$151)</f>
        <v>4590</v>
      </c>
      <c r="J193" s="5">
        <f>+SUM([8]entradas!$E$150:$E$151)</f>
        <v>4545</v>
      </c>
      <c r="K193" s="5">
        <f>+SUM([9]entradas!$E$150:$E$151)</f>
        <v>4494</v>
      </c>
      <c r="L193" s="5">
        <f>+SUM([10]entradas!$E$150:$E$151)</f>
        <v>4461</v>
      </c>
      <c r="M193" s="5">
        <f>+SUM([11]entradas!$E$150:$E$151)</f>
        <v>4931</v>
      </c>
      <c r="N193" s="5">
        <f>+SUM([12]entradas!$E$150:$E$151)</f>
        <v>3664</v>
      </c>
      <c r="O193" s="5">
        <f>+SUM([13]entradas!$E$150:$E$151)</f>
        <v>1817</v>
      </c>
      <c r="P193" s="5">
        <f>+SUM([14]entradas!$E$150:$E$151)</f>
        <v>4584</v>
      </c>
      <c r="Q193" s="5">
        <f>+SUM([15]entradas!$E$150:$E$151)</f>
        <v>4622</v>
      </c>
      <c r="R193" s="5">
        <f>+SUM([16]entradas!$E$150:$E$151)</f>
        <v>4755</v>
      </c>
      <c r="S193" s="5">
        <f>+SUM([17]entradas!$E$150:$E$151)</f>
        <v>4700</v>
      </c>
      <c r="T193" s="5">
        <f>+SUM([18]entradas!$E$150:$E$151)</f>
        <v>4892</v>
      </c>
      <c r="U193" s="5">
        <f>+SUM([19]entradas!$E$150:$E$151)</f>
        <v>3670</v>
      </c>
      <c r="V193" s="5">
        <f>+SUM([20]entradas!$E$150:$E$151)</f>
        <v>1893</v>
      </c>
      <c r="W193" s="5">
        <f>+SUM([21]entradas!$E$150:$E$151)</f>
        <v>4720</v>
      </c>
      <c r="X193" s="5">
        <f>+SUM([22]entradas!$E$150:$E$151)</f>
        <v>4736</v>
      </c>
      <c r="Y193" s="5">
        <f>+SUM([23]entradas!$E$150:$E$151)</f>
        <v>4596</v>
      </c>
      <c r="Z193" s="5">
        <f>+SUM([24]entradas!$E$150:$E$151)</f>
        <v>4704</v>
      </c>
      <c r="AA193" s="5">
        <f>+SUM([25]entradas!$E$150:$E$151)</f>
        <v>4740</v>
      </c>
      <c r="AB193" s="5">
        <f>+SUM([26]entradas!$E$150:$E$151)</f>
        <v>3763</v>
      </c>
      <c r="AC193" s="5">
        <f>+SUM([27]entradas!$E$150:$E$151)</f>
        <v>1749</v>
      </c>
      <c r="AD193" s="5">
        <f>+SUM([28]entradas!$E$150:$E$151)</f>
        <v>4909</v>
      </c>
      <c r="AE193" s="5">
        <f>+SUM([29]entradas!$E$150:$E$151)</f>
        <v>5027</v>
      </c>
      <c r="AF193" s="5">
        <f>+SUM([30]entradas!$E$150:$E$151)</f>
        <v>4977</v>
      </c>
      <c r="AG193" s="5">
        <f>+SUM([31]entradas!$E$150:$E$151)</f>
        <v>4877</v>
      </c>
      <c r="AH193" s="5">
        <f>+SUM([32]entradas!$E$150:$E$151)</f>
        <v>5124</v>
      </c>
      <c r="AI193" s="5">
        <f>+SUM([33]entradas!$E$150:$E$151)</f>
        <v>3931</v>
      </c>
      <c r="AJ193" s="5">
        <f>+SUM([34]entradas!$E$150:$E$151)</f>
        <v>1826</v>
      </c>
    </row>
    <row r="194" spans="1:36" s="8" customFormat="1" ht="15.75" thickBot="1" x14ac:dyDescent="0.3">
      <c r="A194" s="413" t="s">
        <v>55</v>
      </c>
      <c r="B194" s="414"/>
      <c r="C194" s="5">
        <f>SUM([1]entradas!$E$152:$E$157)</f>
        <v>39288</v>
      </c>
      <c r="D194" s="5">
        <f>SUM([2]entradas!$E$152:$E$157)</f>
        <v>39331</v>
      </c>
      <c r="E194" s="5">
        <f>SUM([3]entradas!$E$152:$E$157)</f>
        <v>38846</v>
      </c>
      <c r="F194" s="5">
        <f>SUM([4]entradas!$E$152:$E$157)</f>
        <v>40370</v>
      </c>
      <c r="G194" s="5">
        <f>SUM([5]entradas!$E$152:$E$157)</f>
        <v>30911</v>
      </c>
      <c r="H194" s="5">
        <f>SUM([6]entradas!$E$152:$E$157)</f>
        <v>13524</v>
      </c>
      <c r="I194" s="5">
        <f>SUM([7]entradas!$E$152:$E$157)</f>
        <v>40600</v>
      </c>
      <c r="J194" s="5">
        <f>SUM([8]entradas!$E$152:$E$157)</f>
        <v>40531</v>
      </c>
      <c r="K194" s="5">
        <f>SUM([9]entradas!$E$152:$E$157)</f>
        <v>40246</v>
      </c>
      <c r="L194" s="5">
        <f>SUM([10]entradas!$E$152:$E$157)</f>
        <v>40260</v>
      </c>
      <c r="M194" s="5">
        <f>SUM([11]entradas!$E$152:$E$157)</f>
        <v>40433</v>
      </c>
      <c r="N194" s="5">
        <f>SUM([12]entradas!$E$152:$E$157)</f>
        <v>31222</v>
      </c>
      <c r="O194" s="5">
        <f>SUM([13]entradas!$E$152:$E$157)</f>
        <v>13474</v>
      </c>
      <c r="P194" s="5">
        <f>SUM([14]entradas!$E$152:$E$157)</f>
        <v>41356</v>
      </c>
      <c r="Q194" s="5">
        <f>SUM([15]entradas!$E$152:$E$157)</f>
        <v>41400</v>
      </c>
      <c r="R194" s="5">
        <f>SUM([16]entradas!$E$152:$E$157)</f>
        <v>41274</v>
      </c>
      <c r="S194" s="5">
        <f>SUM([17]entradas!$E$152:$E$157)</f>
        <v>41750</v>
      </c>
      <c r="T194" s="5">
        <f>SUM([18]entradas!$E$152:$E$157)</f>
        <v>42218</v>
      </c>
      <c r="U194" s="5">
        <f>SUM([19]entradas!$E$152:$E$157)</f>
        <v>31908</v>
      </c>
      <c r="V194" s="5">
        <f>SUM([20]entradas!$E$152:$E$157)</f>
        <v>13695</v>
      </c>
      <c r="W194" s="5">
        <f>SUM([21]entradas!$E$152:$E$157)</f>
        <v>41713</v>
      </c>
      <c r="X194" s="5">
        <f>SUM([22]entradas!$E$152:$E$157)</f>
        <v>42004</v>
      </c>
      <c r="Y194" s="5">
        <f>SUM([23]entradas!$E$152:$E$157)</f>
        <v>41329</v>
      </c>
      <c r="Z194" s="5">
        <f>SUM([24]entradas!$E$152:$E$157)</f>
        <v>41226</v>
      </c>
      <c r="AA194" s="5">
        <f>SUM([25]entradas!$E$152:$E$157)</f>
        <v>42133</v>
      </c>
      <c r="AB194" s="5">
        <f>SUM([26]entradas!$E$152:$E$157)</f>
        <v>31844</v>
      </c>
      <c r="AC194" s="5">
        <f>SUM([27]entradas!$E$152:$E$157)</f>
        <v>13160</v>
      </c>
      <c r="AD194" s="5">
        <f>SUM([28]entradas!$E$152:$E$157)</f>
        <v>42117</v>
      </c>
      <c r="AE194" s="5">
        <f>SUM([29]entradas!$E$152:$E$157)</f>
        <v>42829</v>
      </c>
      <c r="AF194" s="5">
        <f>SUM([30]entradas!$E$152:$E$157)</f>
        <v>43256</v>
      </c>
      <c r="AG194" s="5">
        <f>SUM([31]entradas!$E$152:$E$157)</f>
        <v>42821</v>
      </c>
      <c r="AH194" s="5">
        <f>SUM([32]entradas!$E$152:$E$157)</f>
        <v>43832</v>
      </c>
      <c r="AI194" s="5">
        <f>SUM([33]entradas!$E$152:$E$157)</f>
        <v>32957</v>
      </c>
      <c r="AJ194" s="5">
        <f>SUM([34]entradas!$E$152:$E$157)</f>
        <v>13805</v>
      </c>
    </row>
    <row r="195" spans="1:36" s="8" customFormat="1" ht="15.75" thickBot="1" x14ac:dyDescent="0.3">
      <c r="A195" s="101"/>
      <c r="B195" s="102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</row>
    <row r="196" spans="1:36" s="8" customFormat="1" ht="15" thickBot="1" x14ac:dyDescent="0.25">
      <c r="A196" s="409" t="s">
        <v>111</v>
      </c>
      <c r="B196" s="410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1:36" s="8" customFormat="1" ht="15" x14ac:dyDescent="0.25">
      <c r="A197" s="402" t="s">
        <v>54</v>
      </c>
      <c r="B197" s="403"/>
      <c r="C197" s="5">
        <f>+[1]entradas!$G$150</f>
        <v>27382</v>
      </c>
      <c r="D197" s="5">
        <f>+[2]entradas!$G$150</f>
        <v>28260</v>
      </c>
      <c r="E197" s="5">
        <f>+[3]entradas!$G$150</f>
        <v>26287</v>
      </c>
      <c r="F197" s="5">
        <f>+[4]entradas!$G$150</f>
        <v>29921</v>
      </c>
      <c r="G197" s="5">
        <f>+[5]entradas!$G$150</f>
        <v>22515</v>
      </c>
      <c r="H197" s="5">
        <f>+[6]entradas!$G$150</f>
        <v>13035</v>
      </c>
      <c r="I197" s="5">
        <f>+[7]entradas!$G$150</f>
        <v>29226</v>
      </c>
      <c r="J197" s="5">
        <f>+[8]entradas!$G$150</f>
        <v>28985</v>
      </c>
      <c r="K197" s="5">
        <f>+[9]entradas!$G$150</f>
        <v>29603</v>
      </c>
      <c r="L197" s="5">
        <f>+[10]entradas!$G$150</f>
        <v>29650</v>
      </c>
      <c r="M197" s="5">
        <f>+[11]entradas!$G$150</f>
        <v>30524</v>
      </c>
      <c r="N197" s="5">
        <f>+[12]entradas!$G$150</f>
        <v>21923</v>
      </c>
      <c r="O197" s="5">
        <f>+[13]entradas!$G$150</f>
        <v>12251</v>
      </c>
      <c r="P197" s="5">
        <f>+[14]entradas!$G$150</f>
        <v>29650</v>
      </c>
      <c r="Q197" s="5">
        <f>+[15]entradas!$G$150</f>
        <v>28553</v>
      </c>
      <c r="R197" s="5">
        <f>+[16]entradas!$G$150</f>
        <v>27640</v>
      </c>
      <c r="S197" s="5">
        <f>+[17]entradas!$G$150</f>
        <v>28069</v>
      </c>
      <c r="T197" s="5">
        <f>+[18]entradas!$G$150</f>
        <v>30544</v>
      </c>
      <c r="U197" s="5">
        <f>+[19]entradas!$G$150</f>
        <v>22543</v>
      </c>
      <c r="V197" s="5">
        <f>+[20]entradas!$G$150</f>
        <v>12629</v>
      </c>
      <c r="W197" s="5">
        <f>+[21]entradas!$G$150</f>
        <v>29781</v>
      </c>
      <c r="X197" s="5">
        <f>+[22]entradas!$G$150</f>
        <v>29502</v>
      </c>
      <c r="Y197" s="5">
        <f>+[23]entradas!$G$150</f>
        <v>29208</v>
      </c>
      <c r="Z197" s="5">
        <f>+[24]entradas!$G$150</f>
        <v>29499</v>
      </c>
      <c r="AA197" s="5">
        <f>+[25]entradas!$G$150</f>
        <v>31300</v>
      </c>
      <c r="AB197" s="5">
        <f>+[26]entradas!$G$150</f>
        <v>22650</v>
      </c>
      <c r="AC197" s="5">
        <f>+[27]entradas!$G$150</f>
        <v>12628</v>
      </c>
      <c r="AD197" s="5">
        <f>+[28]entradas!$G$150</f>
        <v>31063</v>
      </c>
      <c r="AE197" s="5">
        <f>+[29]entradas!$G$150</f>
        <v>29865</v>
      </c>
      <c r="AF197" s="5">
        <f>+[30]entradas!$G$150</f>
        <v>29989</v>
      </c>
      <c r="AG197" s="5">
        <f>+[31]entradas!$G$150</f>
        <v>32277</v>
      </c>
      <c r="AH197" s="5">
        <f>+[32]entradas!$G$150</f>
        <v>32046</v>
      </c>
      <c r="AI197" s="5">
        <f>+[33]entradas!$G$150</f>
        <v>24008</v>
      </c>
      <c r="AJ197" s="5">
        <f>+[34]entradas!$G$150</f>
        <v>12371</v>
      </c>
    </row>
    <row r="198" spans="1:36" s="8" customFormat="1" ht="15" x14ac:dyDescent="0.25">
      <c r="A198" s="405" t="s">
        <v>55</v>
      </c>
      <c r="B198" s="406"/>
      <c r="C198" s="5">
        <f>+SUM([1]entradas!$G$152,[1]entradas!$G$154:$G$155)</f>
        <v>46919</v>
      </c>
      <c r="D198" s="5">
        <f>+SUM([2]entradas!$G$152,[2]entradas!$G$154:$G$155)</f>
        <v>51813</v>
      </c>
      <c r="E198" s="5">
        <f>+SUM([3]entradas!$G$152,[3]entradas!$G$154:$G$155)</f>
        <v>53289</v>
      </c>
      <c r="F198" s="5">
        <f>+SUM([4]entradas!$G$152,[4]entradas!$G$154:$G$155)</f>
        <v>52995</v>
      </c>
      <c r="G198" s="5">
        <f>+SUM([5]entradas!$G$152,[5]entradas!$G$154:$G$155)</f>
        <v>36696</v>
      </c>
      <c r="H198" s="5">
        <f>+SUM([6]entradas!$G$152,[6]entradas!$G$154:$G$155)</f>
        <v>20551</v>
      </c>
      <c r="I198" s="5">
        <f>+SUM([7]entradas!$G$152,[7]entradas!$G$154:$G$155)</f>
        <v>52016</v>
      </c>
      <c r="J198" s="5">
        <f>+SUM([8]entradas!$G$152,[8]entradas!$G$154:$G$155)</f>
        <v>53340</v>
      </c>
      <c r="K198" s="5">
        <f>+SUM([9]entradas!$G$152,[9]entradas!$G$154:$G$155)</f>
        <v>52048</v>
      </c>
      <c r="L198" s="5">
        <f>+SUM([10]entradas!$G$152,[10]entradas!$G$154:$G$155)</f>
        <v>53340</v>
      </c>
      <c r="M198" s="5">
        <f>+SUM([11]entradas!$G$152,[11]entradas!$G$154:$G$155)</f>
        <v>53949</v>
      </c>
      <c r="N198" s="5">
        <f>+SUM([12]entradas!$G$152,[12]entradas!$G$154:$G$155)</f>
        <v>37225</v>
      </c>
      <c r="O198" s="5">
        <f>+SUM([13]entradas!$G$152,[13]entradas!$G$154:$G$155)</f>
        <v>19605</v>
      </c>
      <c r="P198" s="5">
        <f>+SUM([14]entradas!$G$152,[14]entradas!$G$154:$G$155)</f>
        <v>53248</v>
      </c>
      <c r="Q198" s="5">
        <f>+SUM([15]entradas!$G$152,[15]entradas!$G$154:$G$155)</f>
        <v>52360</v>
      </c>
      <c r="R198" s="5">
        <f>+SUM([16]entradas!$G$152,[16]entradas!$G$154:$G$155)</f>
        <v>53194</v>
      </c>
      <c r="S198" s="5">
        <f>+SUM([17]entradas!$G$152,[17]entradas!$G$154:$G$155)</f>
        <v>53774</v>
      </c>
      <c r="T198" s="5">
        <f>+SUM([18]entradas!$G$152,[18]entradas!$G$154:$G$155)</f>
        <v>54237</v>
      </c>
      <c r="U198" s="5">
        <f>+SUM([19]entradas!$G$152,[19]entradas!$G$154:$G$155)</f>
        <v>38391</v>
      </c>
      <c r="V198" s="5">
        <f>+SUM([20]entradas!$G$152,[20]entradas!$G$154:$G$155)</f>
        <v>20294</v>
      </c>
      <c r="W198" s="5">
        <f>+SUM([21]entradas!$G$152,[21]entradas!$G$154:$G$155)</f>
        <v>52608</v>
      </c>
      <c r="X198" s="5">
        <f>+SUM([22]entradas!$G$152,[22]entradas!$G$154:$G$155)</f>
        <v>53361</v>
      </c>
      <c r="Y198" s="5">
        <f>+SUM([23]entradas!$G$152,[23]entradas!$G$154:$G$155)</f>
        <v>53524</v>
      </c>
      <c r="Z198" s="5">
        <f>+SUM([24]entradas!$G$152,[24]entradas!$G$154:$G$155)</f>
        <v>52826</v>
      </c>
      <c r="AA198" s="5">
        <f>+SUM([25]entradas!$G$152,[25]entradas!$G$154:$G$155)</f>
        <v>53584</v>
      </c>
      <c r="AB198" s="5">
        <f>+SUM([26]entradas!$G$152,[26]entradas!$G$154:$G$155)</f>
        <v>37974</v>
      </c>
      <c r="AC198" s="5">
        <f>+SUM([27]entradas!$G$152,[27]entradas!$G$154:$G$155)</f>
        <v>19707</v>
      </c>
      <c r="AD198" s="5">
        <f>+SUM([28]entradas!$G$152,[28]entradas!$G$154:$G$155)</f>
        <v>52145</v>
      </c>
      <c r="AE198" s="5">
        <f>+SUM([29]entradas!$G$152,[29]entradas!$G$154:$G$155)</f>
        <v>53985</v>
      </c>
      <c r="AF198" s="5">
        <f>+SUM([30]entradas!$G$152,[30]entradas!$G$154:$G$155)</f>
        <v>52964</v>
      </c>
      <c r="AG198" s="5">
        <f>+SUM([31]entradas!$G$152,[31]entradas!$G$154:$G$155)</f>
        <v>51055</v>
      </c>
      <c r="AH198" s="5">
        <f>+SUM([32]entradas!$G$152,[32]entradas!$G$154:$G$155)</f>
        <v>54788</v>
      </c>
      <c r="AI198" s="5">
        <f>+SUM([33]entradas!$G$152,[33]entradas!$G$154:$G$155)</f>
        <v>39558</v>
      </c>
      <c r="AJ198" s="5">
        <f>+SUM([34]entradas!$G$152,[34]entradas!$G$154:$G$155)</f>
        <v>19568</v>
      </c>
    </row>
    <row r="199" spans="1:36" s="8" customFormat="1" ht="15.75" thickBot="1" x14ac:dyDescent="0.3">
      <c r="A199" s="407" t="s">
        <v>56</v>
      </c>
      <c r="B199" s="408"/>
      <c r="C199" s="5">
        <f>+SUM([1]entradas!$G$151,[1]entradas!$G$153)</f>
        <v>26347</v>
      </c>
      <c r="D199" s="5">
        <f>+SUM([2]entradas!$G$151,[2]entradas!$G$153)</f>
        <v>28506</v>
      </c>
      <c r="E199" s="5">
        <f>+SUM([3]entradas!$G$151,[3]entradas!$G$153)</f>
        <v>30215</v>
      </c>
      <c r="F199" s="5">
        <f>+SUM([4]entradas!$G$151,[4]entradas!$G$153)</f>
        <v>29241</v>
      </c>
      <c r="G199" s="5">
        <f>+SUM([5]entradas!$G$151,[5]entradas!$G$153)</f>
        <v>19055</v>
      </c>
      <c r="H199" s="5">
        <f>+SUM([6]entradas!$G$151,[6]entradas!$G$153)</f>
        <v>10909</v>
      </c>
      <c r="I199" s="5">
        <f>+SUM([7]entradas!$G$151,[7]entradas!$G$153)</f>
        <v>28740</v>
      </c>
      <c r="J199" s="5">
        <f>+SUM([8]entradas!$G$151,[8]entradas!$G$153)</f>
        <v>29271</v>
      </c>
      <c r="K199" s="5">
        <f>+SUM([9]entradas!$G$151,[9]entradas!$G$153)</f>
        <v>28137</v>
      </c>
      <c r="L199" s="5">
        <f>+SUM([10]entradas!$G$151,[10]entradas!$G$153)</f>
        <v>28847</v>
      </c>
      <c r="M199" s="5">
        <f>+SUM([11]entradas!$G$151,[11]entradas!$G$153)</f>
        <v>29503</v>
      </c>
      <c r="N199" s="5">
        <f>+SUM([12]entradas!$G$151,[12]entradas!$G$153)</f>
        <v>19167</v>
      </c>
      <c r="O199" s="5">
        <f>+SUM([13]entradas!$G$151,[13]entradas!$G$153)</f>
        <v>10281</v>
      </c>
      <c r="P199" s="5">
        <f>+SUM([14]entradas!$G$151,[14]entradas!$G$153)</f>
        <v>29139</v>
      </c>
      <c r="Q199" s="5">
        <f>+SUM([15]entradas!$G$151,[15]entradas!$G$153)</f>
        <v>28214</v>
      </c>
      <c r="R199" s="5">
        <f>+SUM([16]entradas!$G$151,[16]entradas!$G$153)</f>
        <v>28532</v>
      </c>
      <c r="S199" s="5">
        <f>+SUM([17]entradas!$G$151,[17]entradas!$G$153)</f>
        <v>28260</v>
      </c>
      <c r="T199" s="5">
        <f>+SUM([18]entradas!$G$151,[18]entradas!$G$153)</f>
        <v>29412</v>
      </c>
      <c r="U199" s="5">
        <f>+SUM([19]entradas!$G$151,[19]entradas!$G$153)</f>
        <v>19322</v>
      </c>
      <c r="V199" s="5">
        <f>+SUM([20]entradas!$G$151,[20]entradas!$G$153)</f>
        <v>11063</v>
      </c>
      <c r="W199" s="5">
        <f>+SUM([21]entradas!$G$151,[21]entradas!$G$153)</f>
        <v>29883</v>
      </c>
      <c r="X199" s="5">
        <f>+SUM([22]entradas!$G$151,[22]entradas!$G$153)</f>
        <v>29361</v>
      </c>
      <c r="Y199" s="5">
        <f>+SUM([23]entradas!$G$151,[23]entradas!$G$153)</f>
        <v>29025</v>
      </c>
      <c r="Z199" s="5">
        <f>+SUM([24]entradas!$G$151,[24]entradas!$G$153)</f>
        <v>28763</v>
      </c>
      <c r="AA199" s="5">
        <f>+SUM([25]entradas!$G$151,[25]entradas!$G$153)</f>
        <v>29694</v>
      </c>
      <c r="AB199" s="5">
        <f>+SUM([26]entradas!$G$151,[26]entradas!$G$153)</f>
        <v>19467</v>
      </c>
      <c r="AC199" s="5">
        <f>+SUM([27]entradas!$G$151,[27]entradas!$G$153)</f>
        <v>10275</v>
      </c>
      <c r="AD199" s="5">
        <f>+SUM([28]entradas!$G$151,[28]entradas!$G$153)</f>
        <v>29193</v>
      </c>
      <c r="AE199" s="5">
        <f>+SUM([29]entradas!$G$151,[29]entradas!$G$153)</f>
        <v>29257</v>
      </c>
      <c r="AF199" s="5">
        <f>+SUM([30]entradas!$G$151,[30]entradas!$G$153)</f>
        <v>29071</v>
      </c>
      <c r="AG199" s="5">
        <f>+SUM([31]entradas!$G$151,[31]entradas!$G$153)</f>
        <v>29223</v>
      </c>
      <c r="AH199" s="5">
        <f>+SUM([32]entradas!$G$151,[32]entradas!$G$153)</f>
        <v>30493</v>
      </c>
      <c r="AI199" s="5">
        <f>+SUM([33]entradas!$G$151,[33]entradas!$G$153)</f>
        <v>20401</v>
      </c>
      <c r="AJ199" s="5">
        <f>+SUM([34]entradas!$G$151,[34]entradas!$G$153)</f>
        <v>10615</v>
      </c>
    </row>
    <row r="200" spans="1:36" s="8" customFormat="1" ht="15.75" thickBot="1" x14ac:dyDescent="0.3">
      <c r="A200" s="101"/>
      <c r="B200" s="102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</row>
    <row r="201" spans="1:36" s="8" customFormat="1" ht="15" thickBot="1" x14ac:dyDescent="0.25">
      <c r="A201" s="409" t="s">
        <v>118</v>
      </c>
      <c r="B201" s="410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</row>
    <row r="202" spans="1:36" s="8" customFormat="1" ht="15" x14ac:dyDescent="0.25">
      <c r="A202" s="402" t="s">
        <v>54</v>
      </c>
      <c r="B202" s="403"/>
      <c r="C202" s="5">
        <f>+[1]entradas!$C$161</f>
        <v>2699</v>
      </c>
      <c r="D202" s="5">
        <f>+[2]entradas!$C$161</f>
        <v>2722</v>
      </c>
      <c r="E202" s="5">
        <f>+[3]entradas!$C$161</f>
        <v>2641</v>
      </c>
      <c r="F202" s="5">
        <f>+[4]entradas!$C$161</f>
        <v>3121</v>
      </c>
      <c r="G202" s="5">
        <f>+[5]entradas!$C$161</f>
        <v>2087</v>
      </c>
      <c r="H202" s="5">
        <f>+[6]entradas!$C$161</f>
        <v>1185</v>
      </c>
      <c r="I202" s="5">
        <f>+[7]entradas!$C$161</f>
        <v>2945</v>
      </c>
      <c r="J202" s="5">
        <f>+[8]entradas!$C$161</f>
        <v>3174</v>
      </c>
      <c r="K202" s="5">
        <f>+[9]entradas!$C$161</f>
        <v>2777</v>
      </c>
      <c r="L202" s="5">
        <f>+[10]entradas!$C$161</f>
        <v>2828</v>
      </c>
      <c r="M202" s="5">
        <f>+[11]entradas!$C$161</f>
        <v>3089</v>
      </c>
      <c r="N202" s="5">
        <f>+[12]entradas!$C$161</f>
        <v>2032</v>
      </c>
      <c r="O202" s="5">
        <f>+[13]entradas!$C$161</f>
        <v>1183</v>
      </c>
      <c r="P202" s="5">
        <f>+[14]entradas!$C$161</f>
        <v>4251</v>
      </c>
      <c r="Q202" s="5">
        <f>+[15]entradas!$C$161</f>
        <v>3028</v>
      </c>
      <c r="R202" s="5">
        <f>+[16]entradas!$C$161</f>
        <v>2841</v>
      </c>
      <c r="S202" s="5">
        <f>+[17]entradas!$C$161</f>
        <v>2911</v>
      </c>
      <c r="T202" s="5">
        <f>+[18]entradas!$C$161</f>
        <v>3002</v>
      </c>
      <c r="U202" s="5">
        <f>+[19]entradas!$C$161</f>
        <v>2117</v>
      </c>
      <c r="V202" s="5">
        <f>+[20]entradas!$C$161</f>
        <v>1243</v>
      </c>
      <c r="W202" s="5">
        <f>+[21]entradas!$C$161</f>
        <v>2970</v>
      </c>
      <c r="X202" s="5">
        <f>+[22]entradas!$C$161</f>
        <v>2870</v>
      </c>
      <c r="Y202" s="5">
        <f>+[23]entradas!$C$161</f>
        <v>2831</v>
      </c>
      <c r="Z202" s="5">
        <f>+[24]entradas!$C$161</f>
        <v>3846</v>
      </c>
      <c r="AA202" s="5">
        <f>+[25]entradas!$C$161</f>
        <v>3234</v>
      </c>
      <c r="AB202" s="5">
        <f>+[26]entradas!$C$161</f>
        <v>2082</v>
      </c>
      <c r="AC202" s="5">
        <f>+[27]entradas!$C$161</f>
        <v>1150</v>
      </c>
      <c r="AD202" s="5">
        <f>+[28]entradas!$C$161</f>
        <v>3091</v>
      </c>
      <c r="AE202" s="5">
        <f>+[29]entradas!$C$161</f>
        <v>2962</v>
      </c>
      <c r="AF202" s="5">
        <f>+[30]entradas!$C$161</f>
        <v>2954</v>
      </c>
      <c r="AG202" s="5">
        <f>+[31]entradas!$C$161</f>
        <v>2854</v>
      </c>
      <c r="AH202" s="5">
        <f>+[32]entradas!$C$161</f>
        <v>3179</v>
      </c>
      <c r="AI202" s="5">
        <f>+[33]entradas!$C$161</f>
        <v>2207</v>
      </c>
      <c r="AJ202" s="5">
        <f>+[34]entradas!$C$161</f>
        <v>1295</v>
      </c>
    </row>
    <row r="203" spans="1:36" s="8" customFormat="1" ht="15.75" thickBot="1" x14ac:dyDescent="0.3">
      <c r="A203" s="400" t="s">
        <v>55</v>
      </c>
      <c r="B203" s="401"/>
      <c r="C203" s="5">
        <f>SUM([1]entradas!$C$162:$C$163)</f>
        <v>44120</v>
      </c>
      <c r="D203" s="5">
        <f>SUM([2]entradas!$C$162:$C$163)</f>
        <v>44204</v>
      </c>
      <c r="E203" s="5">
        <f>SUM([3]entradas!$C$162:$C$163)</f>
        <v>43059</v>
      </c>
      <c r="F203" s="5">
        <f>SUM([4]entradas!$C$162:$C$163)</f>
        <v>44786</v>
      </c>
      <c r="G203" s="5">
        <f>SUM([5]entradas!$C$162:$C$163)</f>
        <v>34368</v>
      </c>
      <c r="H203" s="5">
        <f>SUM([6]entradas!$C$162:$C$163)</f>
        <v>15998</v>
      </c>
      <c r="I203" s="5">
        <f>SUM([7]entradas!$C$162:$C$163)</f>
        <v>45202</v>
      </c>
      <c r="J203" s="5">
        <f>SUM([8]entradas!$C$162:$C$163)</f>
        <v>44224</v>
      </c>
      <c r="K203" s="5">
        <f>SUM([9]entradas!$C$162:$C$163)</f>
        <v>45562</v>
      </c>
      <c r="L203" s="5">
        <f>SUM([10]entradas!$C$162:$C$163)</f>
        <v>45875</v>
      </c>
      <c r="M203" s="5">
        <f>SUM([11]entradas!$C$162:$C$163)</f>
        <v>45910</v>
      </c>
      <c r="N203" s="5">
        <f>SUM([12]entradas!$C$162:$C$163)</f>
        <v>34340</v>
      </c>
      <c r="O203" s="5">
        <f>SUM([13]entradas!$C$162:$C$163)</f>
        <v>14595</v>
      </c>
      <c r="P203" s="5">
        <f>SUM([14]entradas!$C$162:$C$163)</f>
        <v>43483</v>
      </c>
      <c r="Q203" s="5">
        <f>SUM([15]entradas!$C$162:$C$163)</f>
        <v>46779</v>
      </c>
      <c r="R203" s="5">
        <f>SUM([16]entradas!$C$162:$C$163)</f>
        <v>47963</v>
      </c>
      <c r="S203" s="5">
        <f>SUM([17]entradas!$C$162:$C$163)</f>
        <v>47239</v>
      </c>
      <c r="T203" s="5">
        <f>SUM([18]entradas!$C$162:$C$163)</f>
        <v>47569</v>
      </c>
      <c r="U203" s="5">
        <f>SUM([19]entradas!$C$162:$C$163)</f>
        <v>35592</v>
      </c>
      <c r="V203" s="5">
        <f>SUM([20]entradas!$C$162:$C$163)</f>
        <v>15479</v>
      </c>
      <c r="W203" s="5">
        <f>SUM([21]entradas!$C$162:$C$163)</f>
        <v>46307</v>
      </c>
      <c r="X203" s="5">
        <f>SUM([22]entradas!$C$162:$C$163)</f>
        <v>47159</v>
      </c>
      <c r="Y203" s="5">
        <f>SUM([23]entradas!$C$162:$C$163)</f>
        <v>46511</v>
      </c>
      <c r="Z203" s="5">
        <f>SUM([24]entradas!$C$162:$C$163)</f>
        <v>43781</v>
      </c>
      <c r="AA203" s="5">
        <f>SUM([25]entradas!$C$162:$C$163)</f>
        <v>47099</v>
      </c>
      <c r="AB203" s="5">
        <f>SUM([26]entradas!$C$162:$C$163)</f>
        <v>35326</v>
      </c>
      <c r="AC203" s="5">
        <f>SUM([27]entradas!$C$162:$C$163)</f>
        <v>15468</v>
      </c>
      <c r="AD203" s="5">
        <f>SUM([28]entradas!$C$162:$C$163)</f>
        <v>47919</v>
      </c>
      <c r="AE203" s="5">
        <f>SUM([29]entradas!$C$162:$C$163)</f>
        <v>48310</v>
      </c>
      <c r="AF203" s="5">
        <f>SUM([30]entradas!$C$162:$C$163)</f>
        <v>47923</v>
      </c>
      <c r="AG203" s="5">
        <f>SUM([31]entradas!$C$162:$C$163)</f>
        <v>47439</v>
      </c>
      <c r="AH203" s="5">
        <f>SUM([32]entradas!$C$162:$C$163)</f>
        <v>48489</v>
      </c>
      <c r="AI203" s="5">
        <f>SUM([33]entradas!$C$162:$C$163)</f>
        <v>36644</v>
      </c>
      <c r="AJ203" s="5">
        <f>SUM([34]entradas!$C$162:$C$163)</f>
        <v>15488</v>
      </c>
    </row>
    <row r="204" spans="1:36" s="8" customFormat="1" ht="15.75" thickBot="1" x14ac:dyDescent="0.3">
      <c r="A204" s="101"/>
      <c r="B204" s="102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s="8" customFormat="1" ht="15" thickBot="1" x14ac:dyDescent="0.25">
      <c r="A205" s="415" t="s">
        <v>171</v>
      </c>
      <c r="B205" s="416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s="8" customFormat="1" ht="15" x14ac:dyDescent="0.25">
      <c r="A206" s="402" t="s">
        <v>54</v>
      </c>
      <c r="B206" s="403"/>
      <c r="C206" s="5">
        <f>+[35]entradas!$C$99</f>
        <v>9236</v>
      </c>
      <c r="D206" s="5">
        <f>+[36]entradas!$C$99</f>
        <v>9321</v>
      </c>
      <c r="E206" s="5">
        <f>+[37]entradas!$C$99</f>
        <v>9180</v>
      </c>
      <c r="F206" s="5">
        <f>+[38]entradas!$C$99</f>
        <v>9377</v>
      </c>
      <c r="G206" s="5">
        <f>+[39]entradas!$C$99</f>
        <v>6620</v>
      </c>
      <c r="H206" s="5">
        <f>+[40]entradas!$C$99</f>
        <v>2558</v>
      </c>
      <c r="I206" s="5">
        <f>+[41]entradas!$C$99</f>
        <v>9664</v>
      </c>
      <c r="J206" s="5">
        <f>+[42]entradas!$C$99</f>
        <v>9960</v>
      </c>
      <c r="K206" s="5">
        <f>+[43]entradas!$C$99</f>
        <v>10029</v>
      </c>
      <c r="L206" s="5">
        <f>+[44]entradas!$C$99</f>
        <v>9660</v>
      </c>
      <c r="M206" s="5">
        <f>+[45]entradas!$C$99</f>
        <v>9666</v>
      </c>
      <c r="N206" s="5">
        <f>+[46]entradas!$C$99</f>
        <v>6698</v>
      </c>
      <c r="O206" s="5">
        <f>+[47]entradas!$C$99</f>
        <v>2369</v>
      </c>
      <c r="P206" s="5">
        <f>+[48]entradas!$C$99</f>
        <v>8705</v>
      </c>
      <c r="Q206" s="5">
        <f>+[49]entradas!$C$99</f>
        <v>2203</v>
      </c>
      <c r="R206" s="5">
        <f>+[50]entradas!$C$99</f>
        <v>6227</v>
      </c>
      <c r="S206" s="5">
        <f>+[51]entradas!$C$99</f>
        <v>6733</v>
      </c>
      <c r="T206" s="5">
        <f>+[52]entradas!$C$99</f>
        <v>9376</v>
      </c>
      <c r="U206" s="5">
        <f>+[53]entradas!$C$99</f>
        <v>6690</v>
      </c>
      <c r="V206" s="5">
        <f>+[54]entradas!$C$99</f>
        <v>2393</v>
      </c>
      <c r="W206" s="5">
        <f>+[55]entradas!$C$99</f>
        <v>9571</v>
      </c>
      <c r="X206" s="5">
        <f>+[56]entradas!$C$99</f>
        <v>9634</v>
      </c>
      <c r="Y206" s="5">
        <f>+[57]entradas!$C$99</f>
        <v>9755</v>
      </c>
      <c r="Z206" s="5">
        <f>+[58]entradas!$C$99</f>
        <v>9543</v>
      </c>
      <c r="AA206" s="5">
        <f>+[59]entradas!$C$99</f>
        <v>9786</v>
      </c>
      <c r="AB206" s="5">
        <f>+[60]entradas!$C$99</f>
        <v>7010</v>
      </c>
      <c r="AC206" s="5">
        <f>+[61]entradas!$C$99</f>
        <v>2477</v>
      </c>
      <c r="AD206" s="5">
        <f>+[62]entradas!$C$99</f>
        <v>10059</v>
      </c>
      <c r="AE206" s="5">
        <f>+[63]entradas!$C$99</f>
        <v>10224</v>
      </c>
      <c r="AF206" s="5">
        <f>+[64]entradas!$C$99</f>
        <v>10359</v>
      </c>
      <c r="AG206" s="5">
        <f>+[65]entradas!$C$99</f>
        <v>10286</v>
      </c>
      <c r="AH206" s="5">
        <f>+[66]entradas!$C$99</f>
        <v>10234</v>
      </c>
      <c r="AI206" s="5">
        <f>+[67]entradas!$C$99</f>
        <v>7377</v>
      </c>
      <c r="AJ206" s="5">
        <f>+[68]entradas!$C$99</f>
        <v>2522</v>
      </c>
    </row>
    <row r="207" spans="1:36" s="8" customFormat="1" ht="15" x14ac:dyDescent="0.25">
      <c r="A207" s="398" t="s">
        <v>172</v>
      </c>
      <c r="B207" s="399"/>
      <c r="C207" s="5">
        <f>+[35]entradas!$C$100</f>
        <v>238</v>
      </c>
      <c r="D207" s="5">
        <f>+[36]entradas!$C$100</f>
        <v>247</v>
      </c>
      <c r="E207" s="5">
        <f>+[37]entradas!$C$100</f>
        <v>224</v>
      </c>
      <c r="F207" s="5">
        <f>+[38]entradas!$C$100</f>
        <v>255</v>
      </c>
      <c r="G207" s="5">
        <f>+[39]entradas!$C$100</f>
        <v>150</v>
      </c>
      <c r="H207" s="5">
        <f>+[40]entradas!$C$100</f>
        <v>40</v>
      </c>
      <c r="I207" s="5">
        <f>+[41]entradas!$C$100</f>
        <v>255</v>
      </c>
      <c r="J207" s="5">
        <f>+[42]entradas!$C$100</f>
        <v>273</v>
      </c>
      <c r="K207" s="5">
        <f>+[43]entradas!$C$100</f>
        <v>184</v>
      </c>
      <c r="L207" s="5">
        <f>+[44]entradas!$C$100</f>
        <v>275</v>
      </c>
      <c r="M207" s="5">
        <f>+[45]entradas!$C$100</f>
        <v>268</v>
      </c>
      <c r="N207" s="5">
        <f>+[46]entradas!$C$100</f>
        <v>157</v>
      </c>
      <c r="O207" s="5">
        <f>+[47]entradas!$C$100</f>
        <v>59</v>
      </c>
      <c r="P207" s="5">
        <f>+[48]entradas!$C$100</f>
        <v>218</v>
      </c>
      <c r="Q207" s="5">
        <f>+[49]entradas!$C$100</f>
        <v>56</v>
      </c>
      <c r="R207" s="5">
        <f>+[50]entradas!$C$100</f>
        <v>108</v>
      </c>
      <c r="S207" s="5">
        <f>+[51]entradas!$C$100</f>
        <v>142</v>
      </c>
      <c r="T207" s="5">
        <f>+[52]entradas!$C$100</f>
        <v>211</v>
      </c>
      <c r="U207" s="5">
        <f>+[53]entradas!$C$100</f>
        <v>149</v>
      </c>
      <c r="V207" s="5">
        <f>+[54]entradas!$C$100</f>
        <v>40</v>
      </c>
      <c r="W207" s="5">
        <f>+[55]entradas!$C$100</f>
        <v>250</v>
      </c>
      <c r="X207" s="5">
        <f>+[56]entradas!$C$100</f>
        <v>252</v>
      </c>
      <c r="Y207" s="5">
        <f>+[57]entradas!$C$100</f>
        <v>263</v>
      </c>
      <c r="Z207" s="5">
        <f>+[58]entradas!$C$100</f>
        <v>257</v>
      </c>
      <c r="AA207" s="5">
        <f>+[59]entradas!$C$100</f>
        <v>249</v>
      </c>
      <c r="AB207" s="5">
        <f>+[60]entradas!$C$100</f>
        <v>158</v>
      </c>
      <c r="AC207" s="5">
        <f>+[61]entradas!$C$100</f>
        <v>45</v>
      </c>
      <c r="AD207" s="5">
        <f>+[62]entradas!$C$100</f>
        <v>262</v>
      </c>
      <c r="AE207" s="5">
        <f>+[63]entradas!$C$100</f>
        <v>157</v>
      </c>
      <c r="AF207" s="5">
        <f>+[64]entradas!$C$100</f>
        <v>220</v>
      </c>
      <c r="AG207" s="5">
        <f>+[65]entradas!$C$100</f>
        <v>260</v>
      </c>
      <c r="AH207" s="5">
        <f>+[66]entradas!$C$100</f>
        <v>244</v>
      </c>
      <c r="AI207" s="5">
        <f>+[67]entradas!$C$100</f>
        <v>155</v>
      </c>
      <c r="AJ207" s="5">
        <f>+[68]entradas!$C$100</f>
        <v>46</v>
      </c>
    </row>
    <row r="208" spans="1:36" s="8" customFormat="1" ht="15" x14ac:dyDescent="0.25">
      <c r="A208" s="99" t="s">
        <v>473</v>
      </c>
      <c r="B208" s="100"/>
      <c r="C208" s="5">
        <f>SUM([35]entradas!$C$108:$C$109)</f>
        <v>9008</v>
      </c>
      <c r="D208" s="5">
        <f>SUM([36]entradas!$C$108:$C$109)</f>
        <v>9110</v>
      </c>
      <c r="E208" s="5">
        <f>SUM([37]entradas!$C$108:$C$109)</f>
        <v>8855</v>
      </c>
      <c r="F208" s="5">
        <f>SUM([38]entradas!$C$108:$C$109)</f>
        <v>9059</v>
      </c>
      <c r="G208" s="5">
        <f>SUM([39]entradas!$C$108:$C$109)</f>
        <v>6890</v>
      </c>
      <c r="H208" s="5">
        <f>SUM([40]entradas!$C$108:$C$109)</f>
        <v>3262</v>
      </c>
      <c r="I208" s="5">
        <f>SUM([41]entradas!$C$108:$C$109)</f>
        <v>8918</v>
      </c>
      <c r="J208" s="5">
        <f>SUM([42]entradas!$C$108:$C$109)</f>
        <v>9021</v>
      </c>
      <c r="K208" s="5">
        <f>SUM([43]entradas!$C$108:$C$109)</f>
        <v>9163</v>
      </c>
      <c r="L208" s="5">
        <f>SUM([44]entradas!$C$108:$C$109)</f>
        <v>8879</v>
      </c>
      <c r="M208" s="5">
        <f>SUM([45]entradas!$C$108:$C$109)</f>
        <v>9134</v>
      </c>
      <c r="N208" s="5">
        <f>SUM([46]entradas!$C$108:$C$109)</f>
        <v>6843</v>
      </c>
      <c r="O208" s="5">
        <f>SUM([47]entradas!$C$108:$C$109)</f>
        <v>3036</v>
      </c>
      <c r="P208" s="5">
        <f>SUM([48]entradas!$C$108:$C$109)</f>
        <v>7690</v>
      </c>
      <c r="Q208" s="5">
        <f>SUM([49]entradas!$C$108:$C$109)</f>
        <v>902</v>
      </c>
      <c r="R208" s="5">
        <f>SUM([50]entradas!$C$108:$C$109)</f>
        <v>4144</v>
      </c>
      <c r="S208" s="5">
        <f>SUM([51]entradas!$C$108:$C$109)</f>
        <v>5533</v>
      </c>
      <c r="T208" s="5">
        <f>SUM([52]entradas!$C$108:$C$109)</f>
        <v>8569</v>
      </c>
      <c r="U208" s="5">
        <f>SUM([53]entradas!$C$108:$C$109)</f>
        <v>6479</v>
      </c>
      <c r="V208" s="5">
        <f>SUM([54]entradas!$C$108:$C$109)</f>
        <v>2977</v>
      </c>
      <c r="W208" s="5">
        <f>SUM([55]entradas!$C$108:$C$109)</f>
        <v>8988</v>
      </c>
      <c r="X208" s="5">
        <f>SUM([56]entradas!$C$108:$C$109)</f>
        <v>8849</v>
      </c>
      <c r="Y208" s="5">
        <f>SUM([57]entradas!$C$108:$C$109)</f>
        <v>8696</v>
      </c>
      <c r="Z208" s="5">
        <f>SUM([58]entradas!$C$108:$C$109)</f>
        <v>8653</v>
      </c>
      <c r="AA208" s="5">
        <f>SUM([59]entradas!$C$108:$C$109)</f>
        <v>8988</v>
      </c>
      <c r="AB208" s="5">
        <f>SUM([60]entradas!$C$108:$C$109)</f>
        <v>6799</v>
      </c>
      <c r="AC208" s="5">
        <f>SUM([61]entradas!$C$108:$C$109)</f>
        <v>2944</v>
      </c>
      <c r="AD208" s="5">
        <f>SUM([62]entradas!$C$108:$C$109)</f>
        <v>8770</v>
      </c>
      <c r="AE208" s="5">
        <f>SUM([63]entradas!$C$108:$C$109)</f>
        <v>8919</v>
      </c>
      <c r="AF208" s="5">
        <f>SUM([64]entradas!$C$108:$C$109)</f>
        <v>9310</v>
      </c>
      <c r="AG208" s="5">
        <f>SUM([65]entradas!$C$108:$C$109)</f>
        <v>9031</v>
      </c>
      <c r="AH208" s="5">
        <f>SUM([66]entradas!$C$108:$C$109)</f>
        <v>9391</v>
      </c>
      <c r="AI208" s="5">
        <f>SUM([67]entradas!$C$108:$C$109)</f>
        <v>6958</v>
      </c>
      <c r="AJ208" s="5">
        <f>SUM([68]entradas!$C$108:$C$109)</f>
        <v>3169</v>
      </c>
    </row>
    <row r="209" spans="1:36" s="8" customFormat="1" ht="15.75" thickBot="1" x14ac:dyDescent="0.3">
      <c r="A209" s="400" t="s">
        <v>55</v>
      </c>
      <c r="B209" s="401"/>
      <c r="C209" s="5">
        <f>SUM([35]entradas!$C$101:$C$107)</f>
        <v>40236</v>
      </c>
      <c r="D209" s="5">
        <f>SUM([36]entradas!$C$101:$C$107)</f>
        <v>40605</v>
      </c>
      <c r="E209" s="5">
        <f>SUM([37]entradas!$C$101:$C$107)</f>
        <v>38979</v>
      </c>
      <c r="F209" s="5">
        <f>SUM([38]entradas!$C$101:$C$107)</f>
        <v>40609</v>
      </c>
      <c r="G209" s="5">
        <f>SUM([39]entradas!$C$101:$C$107)</f>
        <v>29426</v>
      </c>
      <c r="H209" s="5">
        <f>SUM([40]entradas!$C$101:$C$107)</f>
        <v>12002</v>
      </c>
      <c r="I209" s="5">
        <f>SUM([41]entradas!$C$101:$C$107)</f>
        <v>41295</v>
      </c>
      <c r="J209" s="5">
        <f>SUM([42]entradas!$C$101:$C$107)</f>
        <v>41214</v>
      </c>
      <c r="K209" s="5">
        <f>SUM([43]entradas!$C$101:$C$107)</f>
        <v>41426</v>
      </c>
      <c r="L209" s="5">
        <f>SUM([44]entradas!$C$101:$C$107)</f>
        <v>41365</v>
      </c>
      <c r="M209" s="5">
        <f>SUM([45]entradas!$C$101:$C$107)</f>
        <v>41286</v>
      </c>
      <c r="N209" s="5">
        <f>SUM([46]entradas!$C$101:$C$107)</f>
        <v>29690</v>
      </c>
      <c r="O209" s="5">
        <f>SUM([47]entradas!$C$101:$C$107)</f>
        <v>11721</v>
      </c>
      <c r="P209" s="5">
        <f>SUM([48]entradas!$C$101:$C$107)</f>
        <v>36553</v>
      </c>
      <c r="Q209" s="5">
        <f>SUM([49]entradas!$C$101:$C$107)</f>
        <v>5200</v>
      </c>
      <c r="R209" s="5">
        <f>SUM([50]entradas!$C$101:$C$107)</f>
        <v>22716</v>
      </c>
      <c r="S209" s="5">
        <f>SUM([51]entradas!$C$101:$C$107)</f>
        <v>27216</v>
      </c>
      <c r="T209" s="5">
        <f>SUM([52]entradas!$C$101:$C$107)</f>
        <v>40454</v>
      </c>
      <c r="U209" s="5">
        <f>SUM([53]entradas!$C$101:$C$107)</f>
        <v>29591</v>
      </c>
      <c r="V209" s="5">
        <f>SUM([54]entradas!$C$101:$C$107)</f>
        <v>11845</v>
      </c>
      <c r="W209" s="5">
        <f>SUM([55]entradas!$C$101:$C$107)</f>
        <v>41549</v>
      </c>
      <c r="X209" s="5">
        <f>SUM([56]entradas!$C$101:$C$107)</f>
        <v>41475</v>
      </c>
      <c r="Y209" s="5">
        <f>SUM([57]entradas!$C$101:$C$107)</f>
        <v>41213</v>
      </c>
      <c r="Z209" s="5">
        <f>SUM([58]entradas!$C$101:$C$107)</f>
        <v>40861</v>
      </c>
      <c r="AA209" s="5">
        <f>SUM([59]entradas!$C$101:$C$107)</f>
        <v>42068</v>
      </c>
      <c r="AB209" s="5">
        <f>SUM([60]entradas!$C$101:$C$107)</f>
        <v>29502</v>
      </c>
      <c r="AC209" s="5">
        <f>SUM([61]entradas!$C$101:$C$107)</f>
        <v>11493</v>
      </c>
      <c r="AD209" s="5">
        <f>SUM([62]entradas!$C$101:$C$107)</f>
        <v>41634</v>
      </c>
      <c r="AE209" s="5">
        <f>SUM([63]entradas!$C$101:$C$107)</f>
        <v>42420</v>
      </c>
      <c r="AF209" s="5">
        <f>SUM([64]entradas!$C$101:$C$107)</f>
        <v>43029</v>
      </c>
      <c r="AG209" s="5">
        <f>SUM([65]entradas!$C$101:$C$107)</f>
        <v>42445</v>
      </c>
      <c r="AH209" s="5">
        <f>SUM([66]entradas!$C$101:$C$107)</f>
        <v>43286</v>
      </c>
      <c r="AI209" s="5">
        <f>SUM([67]entradas!$C$101:$C$107)</f>
        <v>30785</v>
      </c>
      <c r="AJ209" s="5">
        <f>SUM([68]entradas!$C$101:$C$107)</f>
        <v>12202</v>
      </c>
    </row>
    <row r="210" spans="1:36" s="12" customFormat="1" ht="15" thickBot="1" x14ac:dyDescent="0.25">
      <c r="A210" s="112"/>
      <c r="B210" s="113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</row>
    <row r="211" spans="1:36" s="12" customFormat="1" ht="15" thickBot="1" x14ac:dyDescent="0.25">
      <c r="A211" s="110" t="s">
        <v>250</v>
      </c>
      <c r="B211" s="1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</row>
    <row r="212" spans="1:36" s="12" customFormat="1" ht="15" x14ac:dyDescent="0.25">
      <c r="A212" s="103" t="s">
        <v>54</v>
      </c>
      <c r="B212" s="104"/>
      <c r="C212" s="29">
        <f>[35]entradas!$F$99</f>
        <v>18239</v>
      </c>
      <c r="D212" s="29">
        <f>[36]entradas!$F$99</f>
        <v>18136</v>
      </c>
      <c r="E212" s="29">
        <f>[37]entradas!$F$99</f>
        <v>17708</v>
      </c>
      <c r="F212" s="29">
        <f>[38]entradas!$F$99</f>
        <v>18355</v>
      </c>
      <c r="G212" s="29">
        <f>[39]entradas!$F$99</f>
        <v>12645</v>
      </c>
      <c r="H212" s="29">
        <f>[40]entradas!$F$99</f>
        <v>6037</v>
      </c>
      <c r="I212" s="29">
        <f>[41]entradas!$F$99</f>
        <v>18892</v>
      </c>
      <c r="J212" s="29">
        <f>[42]entradas!$F$99</f>
        <v>18691</v>
      </c>
      <c r="K212" s="29">
        <f>[43]entradas!$F$99</f>
        <v>18886</v>
      </c>
      <c r="L212" s="29">
        <f>[44]entradas!$F$99</f>
        <v>19122</v>
      </c>
      <c r="M212" s="29">
        <f>[45]entradas!$F$99</f>
        <v>19499</v>
      </c>
      <c r="N212" s="29">
        <f>[46]entradas!$F$99</f>
        <v>12814</v>
      </c>
      <c r="O212" s="29">
        <f>[47]entradas!$F$99</f>
        <v>5668</v>
      </c>
      <c r="P212" s="29">
        <f>[48]entradas!$F$99</f>
        <v>19630</v>
      </c>
      <c r="Q212" s="29">
        <f>[49]entradas!$F$99</f>
        <v>20854</v>
      </c>
      <c r="R212" s="29">
        <f>[50]entradas!$F$99</f>
        <v>19852</v>
      </c>
      <c r="S212" s="29">
        <f>[51]entradas!$F$99</f>
        <v>19773</v>
      </c>
      <c r="T212" s="29">
        <f>[52]entradas!$F$99</f>
        <v>19897</v>
      </c>
      <c r="U212" s="29">
        <f>[53]entradas!$F$99</f>
        <v>13364</v>
      </c>
      <c r="V212" s="29">
        <f>[54]entradas!$F$99</f>
        <v>5990</v>
      </c>
      <c r="W212" s="29">
        <f>[55]entradas!$F$99</f>
        <v>20104</v>
      </c>
      <c r="X212" s="29">
        <f>[56]entradas!$F$99</f>
        <v>19662</v>
      </c>
      <c r="Y212" s="29">
        <f>[57]entradas!$F$99</f>
        <v>19444</v>
      </c>
      <c r="Z212" s="29">
        <f>[58]entradas!$F$99</f>
        <v>19386</v>
      </c>
      <c r="AA212" s="29">
        <f>[59]entradas!$F$99</f>
        <v>20174</v>
      </c>
      <c r="AB212" s="29">
        <f>[60]entradas!$F$99</f>
        <v>13566</v>
      </c>
      <c r="AC212" s="29">
        <f>[61]entradas!$F$99</f>
        <v>5670</v>
      </c>
      <c r="AD212" s="29">
        <f>[62]entradas!$F$99</f>
        <v>20304</v>
      </c>
      <c r="AE212" s="29">
        <f>[63]entradas!$F$99</f>
        <v>20180</v>
      </c>
      <c r="AF212" s="29">
        <f>[64]entradas!$F$99</f>
        <v>20464</v>
      </c>
      <c r="AG212" s="29">
        <f>[65]entradas!$F$99</f>
        <v>21462</v>
      </c>
      <c r="AH212" s="29">
        <f>[66]entradas!$F$99</f>
        <v>21269</v>
      </c>
      <c r="AI212" s="29">
        <f>[67]entradas!$F$99</f>
        <v>14072</v>
      </c>
      <c r="AJ212" s="29">
        <f>[68]entradas!$F$99</f>
        <v>6010</v>
      </c>
    </row>
    <row r="213" spans="1:36" s="12" customFormat="1" ht="15" x14ac:dyDescent="0.25">
      <c r="A213" s="99" t="s">
        <v>253</v>
      </c>
      <c r="B213" s="100"/>
      <c r="C213" s="29">
        <f>[35]entradas!$F$100</f>
        <v>469</v>
      </c>
      <c r="D213" s="29">
        <f>[36]entradas!$F$100</f>
        <v>463</v>
      </c>
      <c r="E213" s="29">
        <f>[37]entradas!$F$100</f>
        <v>479</v>
      </c>
      <c r="F213" s="29">
        <f>[38]entradas!$F$100</f>
        <v>469</v>
      </c>
      <c r="G213" s="29">
        <f>[39]entradas!$F$100</f>
        <v>302</v>
      </c>
      <c r="H213" s="29">
        <f>[40]entradas!$F$100</f>
        <v>84</v>
      </c>
      <c r="I213" s="29">
        <f>[41]entradas!$F$100</f>
        <v>446</v>
      </c>
      <c r="J213" s="29">
        <f>[42]entradas!$F$100</f>
        <v>494</v>
      </c>
      <c r="K213" s="29">
        <f>[43]entradas!$F$100</f>
        <v>413</v>
      </c>
      <c r="L213" s="29">
        <f>[44]entradas!$F$100</f>
        <v>495</v>
      </c>
      <c r="M213" s="29">
        <f>[45]entradas!$F$100</f>
        <v>487</v>
      </c>
      <c r="N213" s="29">
        <f>[46]entradas!$F$100</f>
        <v>291</v>
      </c>
      <c r="O213" s="29">
        <f>[47]entradas!$F$100</f>
        <v>98</v>
      </c>
      <c r="P213" s="29">
        <f>[48]entradas!$F$100</f>
        <v>467</v>
      </c>
      <c r="Q213" s="29">
        <f>[49]entradas!$F$100</f>
        <v>567</v>
      </c>
      <c r="R213" s="29">
        <f>[50]entradas!$F$100</f>
        <v>526</v>
      </c>
      <c r="S213" s="29">
        <f>[51]entradas!$F$100</f>
        <v>491</v>
      </c>
      <c r="T213" s="29">
        <f>[52]entradas!$F$100</f>
        <v>507</v>
      </c>
      <c r="U213" s="29">
        <f>[53]entradas!$F$100</f>
        <v>320</v>
      </c>
      <c r="V213" s="29">
        <f>[54]entradas!$F$100</f>
        <v>99</v>
      </c>
      <c r="W213" s="29">
        <f>[55]entradas!$F$100</f>
        <v>486</v>
      </c>
      <c r="X213" s="29">
        <f>[56]entradas!$F$100</f>
        <v>501</v>
      </c>
      <c r="Y213" s="29">
        <f>[57]entradas!$F$100</f>
        <v>516</v>
      </c>
      <c r="Z213" s="29">
        <f>[58]entradas!$F$100</f>
        <v>503</v>
      </c>
      <c r="AA213" s="29">
        <f>[59]entradas!$F$100</f>
        <v>455</v>
      </c>
      <c r="AB213" s="29">
        <f>[60]entradas!$F$100</f>
        <v>319</v>
      </c>
      <c r="AC213" s="29">
        <f>[61]entradas!$F$100</f>
        <v>91</v>
      </c>
      <c r="AD213" s="29">
        <f>[62]entradas!$F$100</f>
        <v>469</v>
      </c>
      <c r="AE213" s="29">
        <f>[63]entradas!$F$100</f>
        <v>469</v>
      </c>
      <c r="AF213" s="29">
        <f>[64]entradas!$F$100</f>
        <v>392</v>
      </c>
      <c r="AG213" s="29">
        <f>[65]entradas!$F$100</f>
        <v>461</v>
      </c>
      <c r="AH213" s="29">
        <f>[66]entradas!$F$100</f>
        <v>419</v>
      </c>
      <c r="AI213" s="29">
        <f>[67]entradas!$F$100</f>
        <v>313</v>
      </c>
      <c r="AJ213" s="29">
        <f>[68]entradas!$F$100</f>
        <v>74</v>
      </c>
    </row>
    <row r="214" spans="1:36" s="12" customFormat="1" ht="15.75" thickBot="1" x14ac:dyDescent="0.25">
      <c r="A214" s="105" t="s">
        <v>55</v>
      </c>
      <c r="B214" s="106"/>
      <c r="C214" s="29">
        <f>+SUM([35]entradas!$F$101:$F$105)</f>
        <v>34822</v>
      </c>
      <c r="D214" s="29">
        <f>+SUM([36]entradas!$F$101:$F$105)</f>
        <v>34582</v>
      </c>
      <c r="E214" s="29">
        <f>+SUM([37]entradas!$F$101:$F$105)</f>
        <v>33430</v>
      </c>
      <c r="F214" s="29">
        <f>+SUM([38]entradas!$F$101:$F$105)</f>
        <v>35455</v>
      </c>
      <c r="G214" s="29">
        <f>+SUM([39]entradas!$F$101:$F$105)</f>
        <v>25735</v>
      </c>
      <c r="H214" s="29">
        <f>+SUM([40]entradas!$F$101:$F$105)</f>
        <v>10833</v>
      </c>
      <c r="I214" s="29">
        <f>+SUM([41]entradas!$F$101:$F$105)</f>
        <v>34986</v>
      </c>
      <c r="J214" s="29">
        <f>+SUM([42]entradas!$F$101:$F$105)</f>
        <v>35500</v>
      </c>
      <c r="K214" s="29">
        <f>+SUM([43]entradas!$F$101:$F$105)</f>
        <v>35072</v>
      </c>
      <c r="L214" s="29">
        <f>+SUM([44]entradas!$F$101:$F$105)</f>
        <v>35505</v>
      </c>
      <c r="M214" s="29">
        <f>+SUM([45]entradas!$F$101:$F$105)</f>
        <v>35909</v>
      </c>
      <c r="N214" s="29">
        <f>+SUM([46]entradas!$F$101:$F$105)</f>
        <v>25914</v>
      </c>
      <c r="O214" s="29">
        <f>+SUM([47]entradas!$F$101:$F$105)</f>
        <v>10126</v>
      </c>
      <c r="P214" s="29">
        <f>+SUM([48]entradas!$F$101:$F$105)</f>
        <v>35980</v>
      </c>
      <c r="Q214" s="29">
        <f>+SUM([49]entradas!$F$101:$F$105)</f>
        <v>37174</v>
      </c>
      <c r="R214" s="29">
        <f>+SUM([50]entradas!$F$101:$F$105)</f>
        <v>37157</v>
      </c>
      <c r="S214" s="29">
        <f>+SUM([51]entradas!$F$101:$F$105)</f>
        <v>37310</v>
      </c>
      <c r="T214" s="29">
        <f>+SUM([52]entradas!$F$101:$F$105)</f>
        <v>37114</v>
      </c>
      <c r="U214" s="29">
        <f>+SUM([53]entradas!$F$101:$F$105)</f>
        <v>26586</v>
      </c>
      <c r="V214" s="29">
        <f>+SUM([54]entradas!$F$101:$F$105)</f>
        <v>10568</v>
      </c>
      <c r="W214" s="29">
        <f>+SUM([55]entradas!$F$101:$F$105)</f>
        <v>35737</v>
      </c>
      <c r="X214" s="29">
        <f>+SUM([56]entradas!$F$101:$F$105)</f>
        <v>35933</v>
      </c>
      <c r="Y214" s="29">
        <f>+SUM([57]entradas!$F$101:$F$105)</f>
        <v>35522</v>
      </c>
      <c r="Z214" s="29">
        <f>+SUM([58]entradas!$F$101:$F$105)</f>
        <v>35333</v>
      </c>
      <c r="AA214" s="29">
        <f>+SUM([59]entradas!$F$101:$F$105)</f>
        <v>36505</v>
      </c>
      <c r="AB214" s="29">
        <f>+SUM([60]entradas!$F$101:$F$105)</f>
        <v>26617</v>
      </c>
      <c r="AC214" s="29">
        <f>+SUM([61]entradas!$F$101:$F$105)</f>
        <v>10697</v>
      </c>
      <c r="AD214" s="29">
        <f>+SUM([62]entradas!$F$101:$F$105)</f>
        <v>35905</v>
      </c>
      <c r="AE214" s="29">
        <f>+SUM([63]entradas!$F$101:$F$105)</f>
        <v>36502</v>
      </c>
      <c r="AF214" s="29">
        <f>+SUM([64]entradas!$F$101:$F$105)</f>
        <v>35987</v>
      </c>
      <c r="AG214" s="29">
        <f>+SUM([65]entradas!$F$101:$F$105)</f>
        <v>36530</v>
      </c>
      <c r="AH214" s="29">
        <f>+SUM([66]entradas!$F$101:$F$105)</f>
        <v>36396</v>
      </c>
      <c r="AI214" s="29">
        <f>+SUM([67]entradas!$F$101:$F$105)</f>
        <v>27002</v>
      </c>
      <c r="AJ214" s="29">
        <f>+SUM([68]entradas!$F$101:$F$105)</f>
        <v>10826</v>
      </c>
    </row>
    <row r="215" spans="1:36" s="12" customFormat="1" ht="15" thickBot="1" x14ac:dyDescent="0.25">
      <c r="A215" s="112"/>
      <c r="B215" s="113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</row>
    <row r="216" spans="1:36" s="12" customFormat="1" ht="15" thickBot="1" x14ac:dyDescent="0.25">
      <c r="A216" s="110" t="s">
        <v>272</v>
      </c>
      <c r="B216" s="113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</row>
    <row r="217" spans="1:36" s="12" customFormat="1" ht="15" x14ac:dyDescent="0.25">
      <c r="A217" s="103" t="s">
        <v>280</v>
      </c>
      <c r="B217" s="113"/>
      <c r="C217" s="29">
        <f>[35]entradas!$C113</f>
        <v>11628</v>
      </c>
      <c r="D217" s="29">
        <f>[36]entradas!$C113</f>
        <v>11866</v>
      </c>
      <c r="E217" s="29">
        <f>[37]entradas!$C113</f>
        <v>11018</v>
      </c>
      <c r="F217" s="29">
        <f>[38]entradas!$C113</f>
        <v>11626</v>
      </c>
      <c r="G217" s="29">
        <f>[39]entradas!$C113</f>
        <v>8597</v>
      </c>
      <c r="H217" s="29">
        <f>[40]entradas!$C113</f>
        <v>4175</v>
      </c>
      <c r="I217" s="29">
        <f>[41]entradas!$C113</f>
        <v>11440</v>
      </c>
      <c r="J217" s="29">
        <f>[42]entradas!$C113</f>
        <v>11429</v>
      </c>
      <c r="K217" s="29">
        <f>[43]entradas!$C113</f>
        <v>11798</v>
      </c>
      <c r="L217" s="29">
        <f>[44]entradas!$C113</f>
        <v>11964</v>
      </c>
      <c r="M217" s="29">
        <f>[45]entradas!$C113</f>
        <v>11881</v>
      </c>
      <c r="N217" s="29">
        <f>[46]entradas!$C113</f>
        <v>8398</v>
      </c>
      <c r="O217" s="29">
        <f>[47]entradas!$C113</f>
        <v>3802</v>
      </c>
      <c r="P217" s="29">
        <f>[48]entradas!$C113</f>
        <v>11629</v>
      </c>
      <c r="Q217" s="29">
        <f>[49]entradas!$C113</f>
        <v>12640</v>
      </c>
      <c r="R217" s="29">
        <f>[50]entradas!$C113</f>
        <v>12838</v>
      </c>
      <c r="S217" s="29">
        <f>[51]entradas!$C113</f>
        <v>12109</v>
      </c>
      <c r="T217" s="29">
        <f>[52]entradas!$C113</f>
        <v>12342</v>
      </c>
      <c r="U217" s="29">
        <f>[53]entradas!$C113</f>
        <v>9024</v>
      </c>
      <c r="V217" s="29">
        <f>[54]entradas!$C113</f>
        <v>3932</v>
      </c>
      <c r="W217" s="29">
        <f>[55]entradas!$C113</f>
        <v>11958</v>
      </c>
      <c r="X217" s="29">
        <f>[56]entradas!$C113</f>
        <v>12182</v>
      </c>
      <c r="Y217" s="29">
        <f>[57]entradas!$C113</f>
        <v>12041</v>
      </c>
      <c r="Z217" s="29">
        <f>[58]entradas!$C113</f>
        <v>11763</v>
      </c>
      <c r="AA217" s="29">
        <f>[59]entradas!$C113</f>
        <v>12119</v>
      </c>
      <c r="AB217" s="29">
        <f>[60]entradas!$C113</f>
        <v>8838</v>
      </c>
      <c r="AC217" s="29">
        <f>[61]entradas!$C113</f>
        <v>4048</v>
      </c>
      <c r="AD217" s="29">
        <f>[62]entradas!$C113</f>
        <v>12409</v>
      </c>
      <c r="AE217" s="29">
        <f>[63]entradas!$C113</f>
        <v>12866</v>
      </c>
      <c r="AF217" s="29">
        <f>[64]entradas!$C113</f>
        <v>13307</v>
      </c>
      <c r="AG217" s="29">
        <f>[65]entradas!$C113</f>
        <v>12787</v>
      </c>
      <c r="AH217" s="29">
        <f>[66]entradas!$C113</f>
        <v>12904</v>
      </c>
      <c r="AI217" s="29">
        <f>[67]entradas!$C113</f>
        <v>9704</v>
      </c>
      <c r="AJ217" s="29">
        <f>[68]entradas!$C113</f>
        <v>4088</v>
      </c>
    </row>
    <row r="218" spans="1:36" s="12" customFormat="1" ht="15" x14ac:dyDescent="0.25">
      <c r="A218" s="99" t="s">
        <v>281</v>
      </c>
      <c r="B218" s="113"/>
      <c r="C218" s="29">
        <f>[35]entradas!$C114</f>
        <v>67</v>
      </c>
      <c r="D218" s="29">
        <f>[36]entradas!$C114</f>
        <v>61</v>
      </c>
      <c r="E218" s="29">
        <f>[37]entradas!$C114</f>
        <v>57</v>
      </c>
      <c r="F218" s="29">
        <f>[38]entradas!$C114</f>
        <v>63</v>
      </c>
      <c r="G218" s="29">
        <f>[39]entradas!$C114</f>
        <v>29</v>
      </c>
      <c r="H218" s="29">
        <f>[40]entradas!$C114</f>
        <v>11</v>
      </c>
      <c r="I218" s="29">
        <f>[41]entradas!$C114</f>
        <v>62</v>
      </c>
      <c r="J218" s="29">
        <f>[42]entradas!$C114</f>
        <v>64</v>
      </c>
      <c r="K218" s="29">
        <f>[43]entradas!$C114</f>
        <v>45</v>
      </c>
      <c r="L218" s="29">
        <f>[44]entradas!$C114</f>
        <v>58</v>
      </c>
      <c r="M218" s="29">
        <f>[45]entradas!$C114</f>
        <v>59</v>
      </c>
      <c r="N218" s="29">
        <f>[46]entradas!$C114</f>
        <v>31</v>
      </c>
      <c r="O218" s="29">
        <f>[47]entradas!$C114</f>
        <v>7</v>
      </c>
      <c r="P218" s="29">
        <f>[48]entradas!$C114</f>
        <v>67</v>
      </c>
      <c r="Q218" s="29">
        <f>[49]entradas!$C114</f>
        <v>67</v>
      </c>
      <c r="R218" s="29">
        <f>[50]entradas!$C114</f>
        <v>68</v>
      </c>
      <c r="S218" s="29">
        <f>[51]entradas!$C114</f>
        <v>60</v>
      </c>
      <c r="T218" s="29">
        <f>[52]entradas!$C114</f>
        <v>63</v>
      </c>
      <c r="U218" s="29">
        <f>[53]entradas!$C114</f>
        <v>48</v>
      </c>
      <c r="V218" s="29">
        <f>[54]entradas!$C114</f>
        <v>12</v>
      </c>
      <c r="W218" s="29">
        <f>[55]entradas!$C114</f>
        <v>73</v>
      </c>
      <c r="X218" s="29">
        <f>[56]entradas!$C114</f>
        <v>78</v>
      </c>
      <c r="Y218" s="29">
        <f>[57]entradas!$C114</f>
        <v>67</v>
      </c>
      <c r="Z218" s="29">
        <f>[58]entradas!$C114</f>
        <v>69</v>
      </c>
      <c r="AA218" s="29">
        <f>[59]entradas!$C114</f>
        <v>56</v>
      </c>
      <c r="AB218" s="29">
        <f>[60]entradas!$C114</f>
        <v>31</v>
      </c>
      <c r="AC218" s="29">
        <f>[61]entradas!$C114</f>
        <v>7</v>
      </c>
      <c r="AD218" s="29">
        <f>[62]entradas!$C114</f>
        <v>66</v>
      </c>
      <c r="AE218" s="29">
        <f>[63]entradas!$C114</f>
        <v>64</v>
      </c>
      <c r="AF218" s="29">
        <f>[64]entradas!$C114</f>
        <v>51</v>
      </c>
      <c r="AG218" s="29">
        <f>[65]entradas!$C114</f>
        <v>47</v>
      </c>
      <c r="AH218" s="29">
        <f>[66]entradas!$C114</f>
        <v>57</v>
      </c>
      <c r="AI218" s="29">
        <f>[67]entradas!$C114</f>
        <v>39</v>
      </c>
      <c r="AJ218" s="29">
        <f>[68]entradas!$C114</f>
        <v>12</v>
      </c>
    </row>
    <row r="219" spans="1:36" s="12" customFormat="1" ht="15.75" thickBot="1" x14ac:dyDescent="0.25">
      <c r="A219" s="105" t="s">
        <v>55</v>
      </c>
      <c r="B219" s="113"/>
      <c r="C219" s="29">
        <f>+SUM([35]entradas!$C$115:$C$119)</f>
        <v>52157</v>
      </c>
      <c r="D219" s="29">
        <f>+SUM([36]entradas!$C$115:$C$119)</f>
        <v>51079</v>
      </c>
      <c r="E219" s="29">
        <f>+SUM([37]entradas!$C$115:$C$119)</f>
        <v>50329</v>
      </c>
      <c r="F219" s="29">
        <f>+SUM([38]entradas!$C$115:$C$119)</f>
        <v>52668</v>
      </c>
      <c r="G219" s="29">
        <f>+SUM([39]entradas!$C$115:$C$119)</f>
        <v>35806</v>
      </c>
      <c r="H219" s="29">
        <f>+SUM([40]entradas!$C$115:$C$119)</f>
        <v>15549</v>
      </c>
      <c r="I219" s="29">
        <f>+SUM([41]entradas!$C$115:$C$119)</f>
        <v>53323</v>
      </c>
      <c r="J219" s="29">
        <f>+SUM([42]entradas!$C$115:$C$119)</f>
        <v>54173</v>
      </c>
      <c r="K219" s="29">
        <f>+SUM([43]entradas!$C$115:$C$119)</f>
        <v>53543</v>
      </c>
      <c r="L219" s="29">
        <f>+SUM([44]entradas!$C$115:$C$119)</f>
        <v>54283</v>
      </c>
      <c r="M219" s="29">
        <f>+SUM([45]entradas!$C$115:$C$119)</f>
        <v>54884</v>
      </c>
      <c r="N219" s="29">
        <f>+SUM([46]entradas!$C$115:$C$119)</f>
        <v>36408</v>
      </c>
      <c r="O219" s="29">
        <f>+SUM([47]entradas!$C$115:$C$119)</f>
        <v>14709</v>
      </c>
      <c r="P219" s="29">
        <f>+SUM([48]entradas!$C$115:$C$119)</f>
        <v>54190</v>
      </c>
      <c r="Q219" s="29">
        <f>+SUM([49]entradas!$C$115:$C$119)</f>
        <v>54065</v>
      </c>
      <c r="R219" s="29">
        <f>+SUM([50]entradas!$C$115:$C$119)</f>
        <v>54623</v>
      </c>
      <c r="S219" s="29">
        <f>+SUM([51]entradas!$C$115:$C$119)</f>
        <v>55098</v>
      </c>
      <c r="T219" s="29">
        <f>+SUM([52]entradas!$C$115:$C$119)</f>
        <v>55672</v>
      </c>
      <c r="U219" s="29">
        <f>+SUM([53]entradas!$C$115:$C$119)</f>
        <v>37058</v>
      </c>
      <c r="V219" s="29">
        <f>+SUM([54]entradas!$C$115:$C$119)</f>
        <v>15398</v>
      </c>
      <c r="W219" s="29">
        <f>+SUM([55]entradas!$C$115:$C$119)</f>
        <v>54770</v>
      </c>
      <c r="X219" s="29">
        <f>+SUM([56]entradas!$C$115:$C$119)</f>
        <v>54667</v>
      </c>
      <c r="Y219" s="29">
        <f>+SUM([57]entradas!$C$115:$C$119)</f>
        <v>54323</v>
      </c>
      <c r="Z219" s="29">
        <f>+SUM([58]entradas!$C$115:$C$119)</f>
        <v>54313</v>
      </c>
      <c r="AA219" s="29">
        <f>+SUM([59]entradas!$C$115:$C$119)</f>
        <v>55256</v>
      </c>
      <c r="AB219" s="29">
        <f>+SUM([60]entradas!$C$115:$C$119)</f>
        <v>36616</v>
      </c>
      <c r="AC219" s="29">
        <f>+SUM([61]entradas!$C$115:$C$119)</f>
        <v>15028</v>
      </c>
      <c r="AD219" s="29">
        <f>+SUM([62]entradas!$C$115:$C$119)</f>
        <v>53861</v>
      </c>
      <c r="AE219" s="29">
        <f>+SUM([63]entradas!$C$115:$C$119)</f>
        <v>55359</v>
      </c>
      <c r="AF219" s="29">
        <f>+SUM([64]entradas!$C$115:$C$119)</f>
        <v>55332</v>
      </c>
      <c r="AG219" s="29">
        <f>+SUM([65]entradas!$C$115:$C$119)</f>
        <v>55531</v>
      </c>
      <c r="AH219" s="29">
        <f>+SUM([66]entradas!$C$115:$C$119)</f>
        <v>56577</v>
      </c>
      <c r="AI219" s="29">
        <f>+SUM([67]entradas!$C$115:$C$119)</f>
        <v>38165</v>
      </c>
      <c r="AJ219" s="29">
        <f>+SUM([68]entradas!$C$115:$C$119)</f>
        <v>15499</v>
      </c>
    </row>
    <row r="220" spans="1:36" s="12" customFormat="1" ht="409.6" x14ac:dyDescent="0.25">
      <c r="A220"/>
      <c r="B220" s="1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</row>
    <row r="221" spans="1:36" s="145" customFormat="1" ht="409.6" x14ac:dyDescent="0.25">
      <c r="A221" s="15" t="s">
        <v>422</v>
      </c>
      <c r="B221" s="15"/>
      <c r="C221" s="4">
        <f>+[1]entradas!$D147</f>
        <v>9865</v>
      </c>
      <c r="D221" s="4">
        <f>+[2]entradas!$D147</f>
        <v>8980</v>
      </c>
      <c r="E221" s="4">
        <f>+[3]entradas!$D147</f>
        <v>8585</v>
      </c>
      <c r="F221" s="4">
        <f>+[4]entradas!$D147</f>
        <v>7911</v>
      </c>
      <c r="G221" s="4">
        <f>+[5]entradas!$D147</f>
        <v>6866</v>
      </c>
      <c r="H221" s="4">
        <f>+[6]entradas!$D147</f>
        <v>3775</v>
      </c>
      <c r="I221" s="4">
        <f>+[7]entradas!$D147</f>
        <v>8594</v>
      </c>
      <c r="J221" s="4">
        <f>+[8]entradas!$D147</f>
        <v>8834</v>
      </c>
      <c r="K221" s="4">
        <f>+[9]entradas!$D147</f>
        <v>8424</v>
      </c>
      <c r="L221" s="4">
        <f>+[10]entradas!$D147</f>
        <v>7938</v>
      </c>
      <c r="M221" s="4">
        <f>+[11]entradas!$D147</f>
        <v>7961</v>
      </c>
      <c r="N221" s="4">
        <f>+[12]entradas!$D147</f>
        <v>6153</v>
      </c>
      <c r="O221" s="4">
        <f>+[13]entradas!$D147</f>
        <v>3490</v>
      </c>
      <c r="P221" s="4">
        <f>+[14]entradas!$D147</f>
        <v>8835</v>
      </c>
      <c r="Q221" s="4">
        <f>+[15]entradas!$D147</f>
        <v>8873</v>
      </c>
      <c r="R221" s="4">
        <f>+[16]entradas!$D147</f>
        <v>8091</v>
      </c>
      <c r="S221" s="4">
        <f>+[17]entradas!$D147</f>
        <v>8004</v>
      </c>
      <c r="T221" s="4">
        <f>+[18]entradas!$D147</f>
        <v>8025</v>
      </c>
      <c r="U221" s="4">
        <f>+[19]entradas!$D147</f>
        <v>6577</v>
      </c>
      <c r="V221" s="4">
        <f>+[20]entradas!$D147</f>
        <v>4622</v>
      </c>
      <c r="W221" s="4">
        <f>+[21]entradas!$D147</f>
        <v>9310</v>
      </c>
      <c r="X221" s="4">
        <f>+[22]entradas!$D147</f>
        <v>8128</v>
      </c>
      <c r="Y221" s="4">
        <f>+[23]entradas!$D147</f>
        <v>8358</v>
      </c>
      <c r="Z221" s="4">
        <f>+[24]entradas!$D147</f>
        <v>8214</v>
      </c>
      <c r="AA221" s="4">
        <f>+[25]entradas!$D147</f>
        <v>8492</v>
      </c>
      <c r="AB221" s="4">
        <f>+[26]entradas!$D147</f>
        <v>7305</v>
      </c>
      <c r="AC221" s="4">
        <f>+[27]entradas!$D147</f>
        <v>3877</v>
      </c>
      <c r="AD221" s="4">
        <f>+[28]entradas!$D147</f>
        <v>9823</v>
      </c>
      <c r="AE221" s="4">
        <f>+[29]entradas!$D147</f>
        <v>9014</v>
      </c>
      <c r="AF221" s="4">
        <f>+[30]entradas!$D147</f>
        <v>9329</v>
      </c>
      <c r="AG221" s="4">
        <f>+[31]entradas!$D147</f>
        <v>8634</v>
      </c>
      <c r="AH221" s="4">
        <f>+[32]entradas!$D147</f>
        <v>8875</v>
      </c>
      <c r="AI221" s="4">
        <f>+[33]entradas!$D147</f>
        <v>7688</v>
      </c>
      <c r="AJ221" s="4">
        <f>+[34]entradas!$D147</f>
        <v>4040</v>
      </c>
    </row>
    <row r="222" spans="1:36" s="12" customFormat="1" ht="409.6" x14ac:dyDescent="0.25">
      <c r="A222" s="4" t="s">
        <v>423</v>
      </c>
      <c r="B222"/>
      <c r="C222" s="4">
        <f>+[1]entradas!$E$147</f>
        <v>235650</v>
      </c>
      <c r="D222" s="4">
        <f>+[2]entradas!$E$147</f>
        <v>241556</v>
      </c>
      <c r="E222" s="4">
        <f>+[3]entradas!$E$147</f>
        <v>242844</v>
      </c>
      <c r="F222" s="4">
        <f>+[4]entradas!$E$147</f>
        <v>237600</v>
      </c>
      <c r="G222" s="4">
        <f>+[5]entradas!$E$147</f>
        <v>128107</v>
      </c>
      <c r="H222" s="4">
        <f>+[6]entradas!$E$147</f>
        <v>38350</v>
      </c>
      <c r="I222" s="4">
        <f>+[7]entradas!$E$147</f>
        <v>244964</v>
      </c>
      <c r="J222" s="4">
        <f>+[8]entradas!$E$147</f>
        <v>251113</v>
      </c>
      <c r="K222" s="4">
        <f>+[9]entradas!$E$147</f>
        <v>248085</v>
      </c>
      <c r="L222" s="4">
        <f>+[10]entradas!$E$147</f>
        <v>248816</v>
      </c>
      <c r="M222" s="4">
        <f>+[11]entradas!$E$147</f>
        <v>241317</v>
      </c>
      <c r="N222" s="4">
        <f>+[12]entradas!$E$147</f>
        <v>126911</v>
      </c>
      <c r="O222" s="4">
        <f>+[13]entradas!$E$147</f>
        <v>36858</v>
      </c>
      <c r="P222" s="4">
        <f>+[14]entradas!$E$147</f>
        <v>243521</v>
      </c>
      <c r="Q222" s="4">
        <f>+[15]entradas!$E$147</f>
        <v>242215</v>
      </c>
      <c r="R222" s="4">
        <f>+[16]entradas!$E$147</f>
        <v>245458</v>
      </c>
      <c r="S222" s="4">
        <f>+[17]entradas!$E$147</f>
        <v>246790</v>
      </c>
      <c r="T222" s="4">
        <f>+[18]entradas!$E$147</f>
        <v>244664</v>
      </c>
      <c r="U222" s="4">
        <f>+[19]entradas!$E$147</f>
        <v>129796</v>
      </c>
      <c r="V222" s="4">
        <f>+[20]entradas!$E$147</f>
        <v>37629</v>
      </c>
      <c r="W222" s="4">
        <f>+[21]entradas!$E$147</f>
        <v>248127</v>
      </c>
      <c r="X222" s="4">
        <f>+[22]entradas!$E$147</f>
        <v>251107</v>
      </c>
      <c r="Y222" s="4">
        <f>+[23]entradas!$E$147</f>
        <v>248856</v>
      </c>
      <c r="Z222" s="4">
        <f>+[24]entradas!$E$147</f>
        <v>245657</v>
      </c>
      <c r="AA222" s="4">
        <f>+[25]entradas!$E$147</f>
        <v>240843</v>
      </c>
      <c r="AB222" s="4">
        <f>+[26]entradas!$E$147</f>
        <v>127734</v>
      </c>
      <c r="AC222" s="4">
        <f>+[27]entradas!$E$147</f>
        <v>36783</v>
      </c>
      <c r="AD222" s="4">
        <f>+[28]entradas!$E$147</f>
        <v>244005</v>
      </c>
      <c r="AE222" s="4">
        <f>+[29]entradas!$E$147</f>
        <v>251020</v>
      </c>
      <c r="AF222" s="4">
        <f>+[30]entradas!$E$147</f>
        <v>250914</v>
      </c>
      <c r="AG222" s="4">
        <f>+[31]entradas!$E$147</f>
        <v>251113</v>
      </c>
      <c r="AH222" s="4">
        <f>+[32]entradas!$E$147</f>
        <v>248444</v>
      </c>
      <c r="AI222" s="4">
        <f>+[33]entradas!$E$147</f>
        <v>132770</v>
      </c>
      <c r="AJ222" s="4">
        <f>+[34]entradas!$E$147</f>
        <v>37142</v>
      </c>
    </row>
    <row r="223" spans="1:36" s="8" customFormat="1" ht="409.6" x14ac:dyDescent="0.25">
      <c r="A223" s="4" t="s">
        <v>424</v>
      </c>
      <c r="B223" s="4"/>
      <c r="C223" s="4">
        <f>+[1]entradas!$F$147</f>
        <v>875223</v>
      </c>
      <c r="D223" s="4">
        <f>+[2]entradas!$F$147</f>
        <v>887047</v>
      </c>
      <c r="E223" s="4">
        <f>+[3]entradas!$F$147</f>
        <v>877769</v>
      </c>
      <c r="F223" s="4">
        <f>+[4]entradas!$F$147</f>
        <v>894784</v>
      </c>
      <c r="G223" s="4">
        <f>+[5]entradas!$F$147</f>
        <v>598826</v>
      </c>
      <c r="H223" s="4">
        <f>+[6]entradas!$F$147</f>
        <v>257942</v>
      </c>
      <c r="I223" s="4">
        <f>+[7]entradas!$F$147</f>
        <v>895092</v>
      </c>
      <c r="J223" s="4">
        <f>+[8]entradas!$F$147</f>
        <v>906566</v>
      </c>
      <c r="K223" s="4">
        <f>+[9]entradas!$F$147</f>
        <v>890372</v>
      </c>
      <c r="L223" s="4">
        <f>+[10]entradas!$F$147</f>
        <v>898037</v>
      </c>
      <c r="M223" s="4">
        <f>+[11]entradas!$F$147</f>
        <v>901793</v>
      </c>
      <c r="N223" s="4">
        <f>+[12]entradas!$F$147</f>
        <v>602115</v>
      </c>
      <c r="O223" s="4">
        <f>+[13]entradas!$F$147</f>
        <v>247623</v>
      </c>
      <c r="P223" s="4">
        <f>+[14]entradas!$F$147</f>
        <v>908922</v>
      </c>
      <c r="Q223" s="4">
        <f>+[15]entradas!$F$147</f>
        <v>880453</v>
      </c>
      <c r="R223" s="4">
        <f>+[16]entradas!$F$147</f>
        <v>890857</v>
      </c>
      <c r="S223" s="4">
        <f>+[17]entradas!$F$147</f>
        <v>892306</v>
      </c>
      <c r="T223" s="4">
        <f>+[18]entradas!$F$147</f>
        <v>925638</v>
      </c>
      <c r="U223" s="4">
        <f>+[19]entradas!$F$147</f>
        <v>616865</v>
      </c>
      <c r="V223" s="4">
        <f>+[20]entradas!$F$147</f>
        <v>256071</v>
      </c>
      <c r="W223" s="4">
        <f>+[21]entradas!$F$147</f>
        <v>913374</v>
      </c>
      <c r="X223" s="4">
        <f>+[22]entradas!$F$147</f>
        <v>918314</v>
      </c>
      <c r="Y223" s="4">
        <f>+[23]entradas!$F$147</f>
        <v>911751</v>
      </c>
      <c r="Z223" s="4">
        <f>+[24]entradas!$F$147</f>
        <v>901266</v>
      </c>
      <c r="AA223" s="4">
        <f>+[25]entradas!$F$147</f>
        <v>921245</v>
      </c>
      <c r="AB223" s="4">
        <f>+[26]entradas!$F$147</f>
        <v>624221</v>
      </c>
      <c r="AC223" s="4">
        <f>+[27]entradas!$F$147</f>
        <v>254305</v>
      </c>
      <c r="AD223" s="4">
        <f>+[28]entradas!$F$147</f>
        <v>929648</v>
      </c>
      <c r="AE223" s="4">
        <f>+[29]entradas!$F$147</f>
        <v>947131</v>
      </c>
      <c r="AF223" s="4">
        <f>+[30]entradas!$F$147</f>
        <v>942299</v>
      </c>
      <c r="AG223" s="4">
        <f>+[31]entradas!$F$147</f>
        <v>939569</v>
      </c>
      <c r="AH223" s="4">
        <f>+[32]entradas!$F$147</f>
        <v>962525</v>
      </c>
      <c r="AI223" s="4">
        <f>+[33]entradas!$F$147</f>
        <v>649319</v>
      </c>
      <c r="AJ223" s="4">
        <f>+[34]entradas!$F$147</f>
        <v>256361</v>
      </c>
    </row>
    <row r="224" spans="1:36" s="8" customFormat="1" ht="409.6" x14ac:dyDescent="0.25">
      <c r="A224" s="4" t="s">
        <v>425</v>
      </c>
      <c r="B224" s="4"/>
      <c r="C224" s="4">
        <f>+[1]entradas!$G$147</f>
        <v>5190</v>
      </c>
      <c r="D224" s="4">
        <f>+[2]entradas!$G$147</f>
        <v>5645</v>
      </c>
      <c r="E224" s="4">
        <f>+[3]entradas!$G$147</f>
        <v>5867</v>
      </c>
      <c r="F224" s="4">
        <f>+[4]entradas!$G$147</f>
        <v>5387</v>
      </c>
      <c r="G224" s="4">
        <f>+[5]entradas!$G$147</f>
        <v>2264</v>
      </c>
      <c r="H224" s="4">
        <f>+[6]entradas!$G$147</f>
        <v>578</v>
      </c>
      <c r="I224" s="4">
        <f>+[7]entradas!$G$147</f>
        <v>6129</v>
      </c>
      <c r="J224" s="4">
        <f>+[8]entradas!$G$147</f>
        <v>6427</v>
      </c>
      <c r="K224" s="4">
        <f>+[9]entradas!$G$147</f>
        <v>6428</v>
      </c>
      <c r="L224" s="4">
        <f>+[10]entradas!$G$147</f>
        <v>6621</v>
      </c>
      <c r="M224" s="4">
        <f>+[11]entradas!$G$147</f>
        <v>6492</v>
      </c>
      <c r="N224" s="4">
        <f>+[12]entradas!$G$147</f>
        <v>2779</v>
      </c>
      <c r="O224" s="4">
        <f>+[13]entradas!$G$147</f>
        <v>534</v>
      </c>
      <c r="P224" s="4">
        <f>+[14]entradas!$G$147</f>
        <v>6884</v>
      </c>
      <c r="Q224" s="4">
        <f>+[15]entradas!$G$147</f>
        <v>7359</v>
      </c>
      <c r="R224" s="4">
        <f>+[16]entradas!$G$147</f>
        <v>7297</v>
      </c>
      <c r="S224" s="4">
        <f>+[17]entradas!$G$147</f>
        <v>7351</v>
      </c>
      <c r="T224" s="4">
        <f>+[18]entradas!$G$147</f>
        <v>7232</v>
      </c>
      <c r="U224" s="4">
        <f>+[19]entradas!$G$147</f>
        <v>3059</v>
      </c>
      <c r="V224" s="4">
        <f>+[20]entradas!$G$147</f>
        <v>627</v>
      </c>
      <c r="W224" s="4">
        <f>+[21]entradas!$G$147</f>
        <v>7547</v>
      </c>
      <c r="X224" s="4">
        <f>+[22]entradas!$G$147</f>
        <v>7798</v>
      </c>
      <c r="Y224" s="4">
        <f>+[23]entradas!$G$147</f>
        <v>7801</v>
      </c>
      <c r="Z224" s="4">
        <f>+[24]entradas!$G$147</f>
        <v>7707</v>
      </c>
      <c r="AA224" s="4">
        <f>+[25]entradas!$G$147</f>
        <v>7442</v>
      </c>
      <c r="AB224" s="4">
        <f>+[26]entradas!$G$147</f>
        <v>3158</v>
      </c>
      <c r="AC224" s="4">
        <f>+[27]entradas!$G$147</f>
        <v>721</v>
      </c>
      <c r="AD224" s="4">
        <f>+[28]entradas!$G$147</f>
        <v>7783</v>
      </c>
      <c r="AE224" s="4">
        <f>+[29]entradas!$G$147</f>
        <v>8142</v>
      </c>
      <c r="AF224" s="4">
        <f>+[30]entradas!$G$147</f>
        <v>8023</v>
      </c>
      <c r="AG224" s="4">
        <f>+[31]entradas!$G$147</f>
        <v>8066</v>
      </c>
      <c r="AH224" s="4">
        <f>+[32]entradas!$G$147</f>
        <v>8215</v>
      </c>
      <c r="AI224" s="4">
        <f>+[33]entradas!$G$147</f>
        <v>3736</v>
      </c>
      <c r="AJ224" s="4">
        <f>+[34]entradas!$G$147</f>
        <v>745</v>
      </c>
    </row>
    <row r="225" spans="1:36" s="8" customFormat="1" ht="409.6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</row>
    <row r="226" spans="1:36" s="8" customFormat="1" ht="409.6" x14ac:dyDescent="0.25">
      <c r="A226" s="15" t="s">
        <v>422</v>
      </c>
      <c r="B226" s="15"/>
      <c r="C226" s="4">
        <f>+[35]entradas!$D$96</f>
        <v>380</v>
      </c>
      <c r="D226" s="4">
        <f>+[36]entradas!$D$96</f>
        <v>375</v>
      </c>
      <c r="E226" s="4">
        <f>+[37]entradas!$D$96</f>
        <v>356</v>
      </c>
      <c r="F226" s="4">
        <f>+[38]entradas!$D$96</f>
        <v>370</v>
      </c>
      <c r="G226" s="4">
        <f>+[39]entradas!$D$96</f>
        <v>285</v>
      </c>
      <c r="H226" s="4">
        <f>+[40]entradas!$D$96</f>
        <v>125</v>
      </c>
      <c r="I226" s="4">
        <f>+[41]entradas!$D$96</f>
        <v>340</v>
      </c>
      <c r="J226" s="4">
        <f>+[42]entradas!$D$96</f>
        <v>360</v>
      </c>
      <c r="K226" s="4">
        <f>+[43]entradas!$D$96</f>
        <v>356</v>
      </c>
      <c r="L226" s="4">
        <f>+[44]entradas!$D$96</f>
        <v>350</v>
      </c>
      <c r="M226" s="4">
        <f>+[45]entradas!$D$96</f>
        <v>347</v>
      </c>
      <c r="N226" s="4">
        <f>+[46]entradas!$D$96</f>
        <v>244</v>
      </c>
      <c r="O226" s="4">
        <f>+[47]entradas!$D$96</f>
        <v>105</v>
      </c>
      <c r="P226" s="4">
        <f>+[48]entradas!$D$96</f>
        <v>391</v>
      </c>
      <c r="Q226" s="4">
        <f>+[49]entradas!$D$96</f>
        <v>387</v>
      </c>
      <c r="R226" s="4">
        <f>+[50]entradas!$D$96</f>
        <v>374</v>
      </c>
      <c r="S226" s="4">
        <f>+[51]entradas!$D$96</f>
        <v>345</v>
      </c>
      <c r="T226" s="4">
        <f>+[52]entradas!$D$96</f>
        <v>367</v>
      </c>
      <c r="U226" s="4">
        <f>+[53]entradas!$D$96</f>
        <v>265</v>
      </c>
      <c r="V226" s="4">
        <f>+[54]entradas!$D$96</f>
        <v>138</v>
      </c>
      <c r="W226" s="4">
        <f>+[55]entradas!$D$96</f>
        <v>383</v>
      </c>
      <c r="X226" s="4">
        <f>+[56]entradas!$D$96</f>
        <v>384</v>
      </c>
      <c r="Y226" s="4">
        <f>+[57]entradas!$D$96</f>
        <v>355</v>
      </c>
      <c r="Z226" s="4">
        <f>+[58]entradas!$D$96</f>
        <v>326</v>
      </c>
      <c r="AA226" s="4">
        <f>+[59]entradas!$D$96</f>
        <v>386</v>
      </c>
      <c r="AB226" s="4">
        <f>+[60]entradas!$D$96</f>
        <v>246</v>
      </c>
      <c r="AC226" s="4">
        <f>+[61]entradas!$D$96</f>
        <v>145</v>
      </c>
      <c r="AD226" s="4">
        <f>+[62]entradas!$D$96</f>
        <v>420</v>
      </c>
      <c r="AE226" s="4">
        <f>+[63]entradas!$D$96</f>
        <v>395</v>
      </c>
      <c r="AF226" s="4">
        <f>+[64]entradas!$D$96</f>
        <v>440</v>
      </c>
      <c r="AG226" s="4">
        <f>+[65]entradas!$D$96</f>
        <v>379</v>
      </c>
      <c r="AH226" s="4">
        <f>+[66]entradas!$D$96</f>
        <v>348</v>
      </c>
      <c r="AI226" s="4">
        <f>+[67]entradas!$D$96</f>
        <v>307</v>
      </c>
      <c r="AJ226" s="4">
        <f>+[68]entradas!$D$96</f>
        <v>150</v>
      </c>
    </row>
    <row r="227" spans="1:36" s="8" customFormat="1" ht="409.6" x14ac:dyDescent="0.25">
      <c r="A227" s="4" t="s">
        <v>423</v>
      </c>
      <c r="B227"/>
      <c r="C227" s="4">
        <f>+[35]entradas!$E$96</f>
        <v>95828</v>
      </c>
      <c r="D227" s="4">
        <f>+[36]entradas!$E$96</f>
        <v>96715</v>
      </c>
      <c r="E227" s="4">
        <f>+[37]entradas!$E$96</f>
        <v>95750</v>
      </c>
      <c r="F227" s="4">
        <f>+[38]entradas!$E$96</f>
        <v>95710</v>
      </c>
      <c r="G227" s="4">
        <f>+[39]entradas!$E$96</f>
        <v>56376</v>
      </c>
      <c r="H227" s="4">
        <f>+[40]entradas!$E$96</f>
        <v>17013</v>
      </c>
      <c r="I227" s="4">
        <f>+[41]entradas!$E$96</f>
        <v>97823</v>
      </c>
      <c r="J227" s="4">
        <f>+[42]entradas!$E$96</f>
        <v>100003</v>
      </c>
      <c r="K227" s="4">
        <f>+[43]entradas!$E$96</f>
        <v>99746</v>
      </c>
      <c r="L227" s="4">
        <f>+[44]entradas!$E$96</f>
        <v>99449</v>
      </c>
      <c r="M227" s="4">
        <f>+[45]entradas!$E$96</f>
        <v>97841</v>
      </c>
      <c r="N227" s="4">
        <f>+[46]entradas!$E$96</f>
        <v>55592</v>
      </c>
      <c r="O227" s="4">
        <f>+[47]entradas!$E$96</f>
        <v>16380</v>
      </c>
      <c r="P227" s="4">
        <f>+[48]entradas!$E$96</f>
        <v>95432</v>
      </c>
      <c r="Q227" s="4">
        <f>+[49]entradas!$E$96</f>
        <v>89269</v>
      </c>
      <c r="R227" s="4">
        <f>+[50]entradas!$E$96</f>
        <v>94503</v>
      </c>
      <c r="S227" s="4">
        <f>+[51]entradas!$E$96</f>
        <v>96958</v>
      </c>
      <c r="T227" s="4">
        <f>+[52]entradas!$E$96</f>
        <v>97958</v>
      </c>
      <c r="U227" s="4">
        <f>+[53]entradas!$E$96</f>
        <v>56112</v>
      </c>
      <c r="V227" s="4">
        <f>+[54]entradas!$E$96</f>
        <v>16372</v>
      </c>
      <c r="W227" s="4">
        <f>+[55]entradas!$E$96</f>
        <v>97934</v>
      </c>
      <c r="X227" s="4">
        <f>+[56]entradas!$E$96</f>
        <v>99318</v>
      </c>
      <c r="Y227" s="4">
        <f>+[57]entradas!$E$96</f>
        <v>99029</v>
      </c>
      <c r="Z227" s="4">
        <f>+[58]entradas!$E$96</f>
        <v>98447</v>
      </c>
      <c r="AA227" s="4">
        <f>+[59]entradas!$E$96</f>
        <v>96807</v>
      </c>
      <c r="AB227" s="4">
        <f>+[60]entradas!$E$96</f>
        <v>55419</v>
      </c>
      <c r="AC227" s="4">
        <f>+[61]entradas!$E$96</f>
        <v>16476</v>
      </c>
      <c r="AD227" s="4">
        <f>+[62]entradas!$E$96</f>
        <v>96107</v>
      </c>
      <c r="AE227" s="4">
        <f>+[63]entradas!$E$96</f>
        <v>99090</v>
      </c>
      <c r="AF227" s="4">
        <f>+[64]entradas!$E$96</f>
        <v>100556</v>
      </c>
      <c r="AG227" s="4">
        <f>+[65]entradas!$E$96</f>
        <v>100790</v>
      </c>
      <c r="AH227" s="4">
        <f>+[66]entradas!$E$96</f>
        <v>99224</v>
      </c>
      <c r="AI227" s="4">
        <f>+[67]entradas!$E$96</f>
        <v>57847</v>
      </c>
      <c r="AJ227" s="4">
        <f>+[68]entradas!$E$96</f>
        <v>16555</v>
      </c>
    </row>
    <row r="228" spans="1:36" s="8" customFormat="1" ht="409.6" x14ac:dyDescent="0.25">
      <c r="A228" s="4" t="s">
        <v>424</v>
      </c>
      <c r="B228" s="4"/>
      <c r="C228" s="4">
        <f>+[35]entradas!$F$96</f>
        <v>378370</v>
      </c>
      <c r="D228" s="4">
        <f>+[36]entradas!$F$96</f>
        <v>376123</v>
      </c>
      <c r="E228" s="4">
        <f>+[37]entradas!$F$96</f>
        <v>366859</v>
      </c>
      <c r="F228" s="4">
        <f>+[38]entradas!$F$96</f>
        <v>379026</v>
      </c>
      <c r="G228" s="4">
        <f>+[39]entradas!$F$96</f>
        <v>266374</v>
      </c>
      <c r="H228" s="4">
        <f>+[40]entradas!$F$96</f>
        <v>116644</v>
      </c>
      <c r="I228" s="4">
        <f>+[41]entradas!$F$96</f>
        <v>378912</v>
      </c>
      <c r="J228" s="4">
        <f>+[42]entradas!$F$96</f>
        <v>386246</v>
      </c>
      <c r="K228" s="4">
        <f>+[43]entradas!$F$96</f>
        <v>385238</v>
      </c>
      <c r="L228" s="4">
        <f>+[44]entradas!$F$96</f>
        <v>385921</v>
      </c>
      <c r="M228" s="4">
        <f>+[45]entradas!$F$96</f>
        <v>389133</v>
      </c>
      <c r="N228" s="4">
        <f>+[46]entradas!$F$96</f>
        <v>270965</v>
      </c>
      <c r="O228" s="4">
        <f>+[47]entradas!$F$96</f>
        <v>112695</v>
      </c>
      <c r="P228" s="4">
        <f>+[48]entradas!$F$96</f>
        <v>382630</v>
      </c>
      <c r="Q228" s="4">
        <f>+[49]entradas!$F$96</f>
        <v>348879</v>
      </c>
      <c r="R228" s="4">
        <f>+[50]entradas!$F$96</f>
        <v>364254</v>
      </c>
      <c r="S228" s="4">
        <f>+[51]entradas!$F$96</f>
        <v>372206</v>
      </c>
      <c r="T228" s="4">
        <f>+[52]entradas!$F$96</f>
        <v>392576</v>
      </c>
      <c r="U228" s="4">
        <f>+[53]entradas!$F$96</f>
        <v>274993</v>
      </c>
      <c r="V228" s="4">
        <f>+[54]entradas!$F$96</f>
        <v>112569</v>
      </c>
      <c r="W228" s="4">
        <f>+[55]entradas!$F$96</f>
        <v>384770</v>
      </c>
      <c r="X228" s="4">
        <f>+[56]entradas!$F$96</f>
        <v>388581</v>
      </c>
      <c r="Y228" s="4">
        <f>+[57]entradas!$F$96</f>
        <v>385484</v>
      </c>
      <c r="Z228" s="4">
        <f>+[58]entradas!$F$96</f>
        <v>385117</v>
      </c>
      <c r="AA228" s="4">
        <f>+[59]entradas!$F$96</f>
        <v>395049</v>
      </c>
      <c r="AB228" s="4">
        <f>+[60]entradas!$F$96</f>
        <v>276858</v>
      </c>
      <c r="AC228" s="4">
        <f>+[61]entradas!$F$96</f>
        <v>117602</v>
      </c>
      <c r="AD228" s="4">
        <f>+[62]entradas!$F$96</f>
        <v>389757</v>
      </c>
      <c r="AE228" s="4">
        <f>+[63]entradas!$F$96</f>
        <v>400908</v>
      </c>
      <c r="AF228" s="4">
        <f>+[64]entradas!$F$96</f>
        <v>401804</v>
      </c>
      <c r="AG228" s="4">
        <f>+[65]entradas!$F$96</f>
        <v>399804</v>
      </c>
      <c r="AH228" s="4">
        <f>+[66]entradas!$F$96</f>
        <v>406525</v>
      </c>
      <c r="AI228" s="4">
        <f>+[67]entradas!$F$96</f>
        <v>289645</v>
      </c>
      <c r="AJ228" s="4">
        <f>+[68]entradas!$F$96</f>
        <v>116163</v>
      </c>
    </row>
    <row r="229" spans="1:36" s="8" customFormat="1" ht="409.6" x14ac:dyDescent="0.25">
      <c r="A229" s="4" t="s">
        <v>425</v>
      </c>
      <c r="B229" s="4"/>
      <c r="C229" s="4">
        <f>+[35]entradas!$G$96</f>
        <v>1407</v>
      </c>
      <c r="D229" s="4">
        <f>+[36]entradas!$G$96</f>
        <v>1462</v>
      </c>
      <c r="E229" s="4">
        <f>+[37]entradas!$G$96</f>
        <v>1510</v>
      </c>
      <c r="F229" s="4">
        <f>+[38]entradas!$G$96</f>
        <v>1490</v>
      </c>
      <c r="G229" s="4">
        <f>+[39]entradas!$G$96</f>
        <v>783</v>
      </c>
      <c r="H229" s="4">
        <f>+[40]entradas!$G$96</f>
        <v>205</v>
      </c>
      <c r="I229" s="4">
        <f>+[41]entradas!$G$96</f>
        <v>1515</v>
      </c>
      <c r="J229" s="4">
        <f>+[42]entradas!$G$96</f>
        <v>1587</v>
      </c>
      <c r="K229" s="4">
        <f>+[43]entradas!$G$96</f>
        <v>1654</v>
      </c>
      <c r="L229" s="4">
        <f>+[44]entradas!$G$96</f>
        <v>1681</v>
      </c>
      <c r="M229" s="4">
        <f>+[45]entradas!$G$96</f>
        <v>1722</v>
      </c>
      <c r="N229" s="4">
        <f>+[46]entradas!$G$96</f>
        <v>864</v>
      </c>
      <c r="O229" s="4">
        <f>+[47]entradas!$G$96</f>
        <v>247</v>
      </c>
      <c r="P229" s="4">
        <f>+[48]entradas!$G$96</f>
        <v>1668</v>
      </c>
      <c r="Q229" s="4">
        <f>+[49]entradas!$G$96</f>
        <v>1769</v>
      </c>
      <c r="R229" s="4">
        <f>+[50]entradas!$G$96</f>
        <v>1838</v>
      </c>
      <c r="S229" s="4">
        <f>+[51]entradas!$G$96</f>
        <v>1871</v>
      </c>
      <c r="T229" s="4">
        <f>+[52]entradas!$G$96</f>
        <v>1963</v>
      </c>
      <c r="U229" s="4">
        <f>+[53]entradas!$G$96</f>
        <v>990</v>
      </c>
      <c r="V229" s="4">
        <f>+[54]entradas!$G$96</f>
        <v>293</v>
      </c>
      <c r="W229" s="4">
        <f>+[55]entradas!$G$96</f>
        <v>1900</v>
      </c>
      <c r="X229" s="4">
        <f>+[56]entradas!$G$96</f>
        <v>2040</v>
      </c>
      <c r="Y229" s="4">
        <f>+[57]entradas!$G$96</f>
        <v>2044</v>
      </c>
      <c r="Z229" s="4">
        <f>+[58]entradas!$G$96</f>
        <v>2032</v>
      </c>
      <c r="AA229" s="4">
        <f>+[59]entradas!$G$96</f>
        <v>1985</v>
      </c>
      <c r="AB229" s="4">
        <f>+[60]entradas!$G$96</f>
        <v>1029</v>
      </c>
      <c r="AC229" s="4">
        <f>+[61]entradas!$G$96</f>
        <v>310</v>
      </c>
      <c r="AD229" s="4">
        <f>+[62]entradas!$G$96</f>
        <v>1983</v>
      </c>
      <c r="AE229" s="4">
        <f>+[63]entradas!$G$96</f>
        <v>2186</v>
      </c>
      <c r="AF229" s="4">
        <f>+[64]entradas!$G$96</f>
        <v>2168</v>
      </c>
      <c r="AG229" s="4">
        <f>+[65]entradas!$G$96</f>
        <v>2183</v>
      </c>
      <c r="AH229" s="4">
        <f>+[66]entradas!$G$96</f>
        <v>2192</v>
      </c>
      <c r="AI229" s="4">
        <f>+[67]entradas!$G$96</f>
        <v>1199</v>
      </c>
      <c r="AJ229" s="4">
        <f>+[68]entradas!$G$96</f>
        <v>273</v>
      </c>
    </row>
    <row r="230" spans="1:36" s="8" customFormat="1" ht="409.6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</row>
    <row r="231" spans="1:36" s="8" customFormat="1" ht="409.6" x14ac:dyDescent="0.25">
      <c r="A231" s="15" t="s">
        <v>422</v>
      </c>
      <c r="B231" s="4"/>
      <c r="C231" s="11">
        <f t="shared" ref="C231:H231" si="49">+C221/C$173</f>
        <v>8.7616614916762002E-3</v>
      </c>
      <c r="D231" s="11">
        <f t="shared" si="49"/>
        <v>7.8549510683783106E-3</v>
      </c>
      <c r="E231" s="11">
        <f t="shared" si="49"/>
        <v>7.5634435032354971E-3</v>
      </c>
      <c r="F231" s="11">
        <f t="shared" si="49"/>
        <v>6.9050574243114584E-3</v>
      </c>
      <c r="G231" s="11">
        <f t="shared" si="49"/>
        <v>9.3280058908001076E-3</v>
      </c>
      <c r="H231" s="11">
        <f t="shared" si="49"/>
        <v>1.2556337208335412E-2</v>
      </c>
      <c r="I231" s="11">
        <f t="shared" ref="I231:O231" si="50">+I221/I$173</f>
        <v>7.4421166301084449E-3</v>
      </c>
      <c r="J231" s="11">
        <f t="shared" si="50"/>
        <v>7.5315020376148824E-3</v>
      </c>
      <c r="K231" s="11">
        <f t="shared" si="50"/>
        <v>7.3042003487356812E-3</v>
      </c>
      <c r="L231" s="11">
        <f t="shared" si="50"/>
        <v>6.834783866534873E-3</v>
      </c>
      <c r="M231" s="11">
        <f t="shared" si="50"/>
        <v>6.8773794601244163E-3</v>
      </c>
      <c r="N231" s="11">
        <f t="shared" si="50"/>
        <v>8.337872887074875E-3</v>
      </c>
      <c r="O231" s="11">
        <f t="shared" si="50"/>
        <v>1.2096844075492625E-2</v>
      </c>
      <c r="P231" s="11">
        <f t="shared" ref="P231:V231" si="51">+P221/P$173</f>
        <v>7.5631633283739759E-3</v>
      </c>
      <c r="Q231" s="11">
        <f t="shared" si="51"/>
        <v>7.7908508209676005E-3</v>
      </c>
      <c r="R231" s="11">
        <f t="shared" si="51"/>
        <v>7.0252486969296776E-3</v>
      </c>
      <c r="S231" s="11">
        <f t="shared" si="51"/>
        <v>6.9331656345743564E-3</v>
      </c>
      <c r="T231" s="11">
        <f t="shared" si="51"/>
        <v>6.7689587780953965E-3</v>
      </c>
      <c r="U231" s="11">
        <f t="shared" si="51"/>
        <v>8.6963190386845374E-3</v>
      </c>
      <c r="V231" s="11">
        <f t="shared" si="51"/>
        <v>1.5460831111661187E-2</v>
      </c>
      <c r="W231" s="11">
        <f t="shared" ref="W231:AC231" si="52">+W221/W$173</f>
        <v>7.9008247069226843E-3</v>
      </c>
      <c r="X231" s="11">
        <f t="shared" si="52"/>
        <v>6.8570637965085328E-3</v>
      </c>
      <c r="Y231" s="11">
        <f t="shared" si="52"/>
        <v>7.1025165580922631E-3</v>
      </c>
      <c r="Z231" s="11">
        <f t="shared" si="52"/>
        <v>7.0637161992494263E-3</v>
      </c>
      <c r="AA231" s="11">
        <f>+AA221/AA$173</f>
        <v>7.2086938953601883E-3</v>
      </c>
      <c r="AB231" s="11">
        <f t="shared" si="52"/>
        <v>9.5813582575437622E-3</v>
      </c>
      <c r="AC231" s="11">
        <f t="shared" si="52"/>
        <v>1.3111882199360133E-2</v>
      </c>
      <c r="AD231" s="11">
        <f t="shared" ref="AD231:AF231" si="53">+AD221/AD$173</f>
        <v>8.2458978274245979E-3</v>
      </c>
      <c r="AE231" s="11">
        <f t="shared" si="53"/>
        <v>7.4170559373063763E-3</v>
      </c>
      <c r="AF231" s="11">
        <f t="shared" si="53"/>
        <v>7.7063189502422419E-3</v>
      </c>
      <c r="AG231" s="11">
        <f t="shared" ref="AG231:AJ231" si="54">+AG221/AG$173</f>
        <v>7.1510093740009377E-3</v>
      </c>
      <c r="AH231" s="11">
        <f t="shared" si="54"/>
        <v>7.2268514786341699E-3</v>
      </c>
      <c r="AI231" s="11">
        <f t="shared" si="54"/>
        <v>9.6885621281566914E-3</v>
      </c>
      <c r="AJ231" s="11">
        <f t="shared" si="54"/>
        <v>1.3543957517566915E-2</v>
      </c>
    </row>
    <row r="232" spans="1:36" s="8" customFormat="1" ht="409.6" x14ac:dyDescent="0.25">
      <c r="A232" s="4" t="s">
        <v>423</v>
      </c>
      <c r="B232" s="4"/>
      <c r="C232" s="11">
        <f t="shared" ref="C232:H232" si="55">+C222/C$173</f>
        <v>0.20929402235311673</v>
      </c>
      <c r="D232" s="11">
        <f t="shared" si="55"/>
        <v>0.21129293544244893</v>
      </c>
      <c r="E232" s="11">
        <f t="shared" si="55"/>
        <v>0.21394721888173804</v>
      </c>
      <c r="F232" s="11">
        <f t="shared" si="55"/>
        <v>0.20738739021822811</v>
      </c>
      <c r="G232" s="11">
        <f t="shared" si="55"/>
        <v>0.17404352616555921</v>
      </c>
      <c r="H232" s="11">
        <f t="shared" si="55"/>
        <v>0.12755908130852001</v>
      </c>
      <c r="I232" s="11">
        <f t="shared" ref="I232:O232" si="56">+I222/I$173</f>
        <v>0.21213063278774552</v>
      </c>
      <c r="J232" s="11">
        <f t="shared" si="56"/>
        <v>0.21408852967756237</v>
      </c>
      <c r="K232" s="11">
        <f t="shared" si="56"/>
        <v>0.21510713954369556</v>
      </c>
      <c r="L232" s="11">
        <f t="shared" si="56"/>
        <v>0.21423577507378949</v>
      </c>
      <c r="M232" s="11">
        <f t="shared" si="56"/>
        <v>0.20846986297937994</v>
      </c>
      <c r="N232" s="11">
        <f t="shared" si="56"/>
        <v>0.17197591190826578</v>
      </c>
      <c r="O232" s="11">
        <f t="shared" si="56"/>
        <v>0.12775515155716538</v>
      </c>
      <c r="P232" s="11">
        <f t="shared" ref="P232:V232" si="57">+P222/P$173</f>
        <v>0.20846509302648092</v>
      </c>
      <c r="Q232" s="11">
        <f t="shared" si="57"/>
        <v>0.21267451049258057</v>
      </c>
      <c r="R232" s="11">
        <f t="shared" si="57"/>
        <v>0.21312612713520759</v>
      </c>
      <c r="S232" s="11">
        <f t="shared" si="57"/>
        <v>0.21377260706604265</v>
      </c>
      <c r="T232" s="11">
        <f t="shared" si="57"/>
        <v>0.20637015956186069</v>
      </c>
      <c r="U232" s="11">
        <f t="shared" si="57"/>
        <v>0.17162040838453677</v>
      </c>
      <c r="V232" s="11">
        <f t="shared" si="57"/>
        <v>0.1258709679577453</v>
      </c>
      <c r="W232" s="11">
        <f t="shared" ref="W232:AC232" si="58">+W222/W$173</f>
        <v>0.21057013233669225</v>
      </c>
      <c r="X232" s="11">
        <f t="shared" si="58"/>
        <v>0.21184260811391095</v>
      </c>
      <c r="Y232" s="11">
        <f t="shared" si="58"/>
        <v>0.21147449875336302</v>
      </c>
      <c r="Z232" s="11">
        <f t="shared" si="58"/>
        <v>0.21125533605539523</v>
      </c>
      <c r="AA232" s="11">
        <f>+AA222/AA$173</f>
        <v>0.20444694581255698</v>
      </c>
      <c r="AB232" s="11">
        <f t="shared" si="58"/>
        <v>0.16753801720316153</v>
      </c>
      <c r="AC232" s="11">
        <f t="shared" si="58"/>
        <v>0.12439885554270408</v>
      </c>
      <c r="AD232" s="11">
        <f t="shared" ref="AD232:AF232" si="59">+AD222/AD$173</f>
        <v>0.20482951230588814</v>
      </c>
      <c r="AE232" s="11">
        <f t="shared" si="59"/>
        <v>0.20654863339057539</v>
      </c>
      <c r="AF232" s="11">
        <f t="shared" si="59"/>
        <v>0.20727015897535447</v>
      </c>
      <c r="AG232" s="11">
        <f t="shared" ref="AG232:AJ232" si="60">+AG222/AG$173</f>
        <v>0.20798140108101662</v>
      </c>
      <c r="AH232" s="11">
        <f t="shared" si="60"/>
        <v>0.20230624098679298</v>
      </c>
      <c r="AI232" s="11">
        <f t="shared" si="60"/>
        <v>0.16731924996817948</v>
      </c>
      <c r="AJ232" s="11">
        <f t="shared" si="60"/>
        <v>0.12451724507858178</v>
      </c>
    </row>
    <row r="233" spans="1:36" s="12" customFormat="1" ht="409.6" x14ac:dyDescent="0.25">
      <c r="A233" s="4" t="s">
        <v>424</v>
      </c>
      <c r="B233"/>
      <c r="C233" s="11">
        <f t="shared" ref="C233:H233" si="61">+C223/C$173</f>
        <v>0.77733478517276411</v>
      </c>
      <c r="D233" s="11">
        <f t="shared" si="61"/>
        <v>0.77591434079641153</v>
      </c>
      <c r="E233" s="11">
        <f t="shared" si="61"/>
        <v>0.77332047063384035</v>
      </c>
      <c r="F233" s="11">
        <f t="shared" si="61"/>
        <v>0.78100554953294199</v>
      </c>
      <c r="G233" s="11">
        <f t="shared" si="61"/>
        <v>0.81355264427093876</v>
      </c>
      <c r="H233" s="11">
        <f t="shared" si="61"/>
        <v>0.85796204826290146</v>
      </c>
      <c r="I233" s="11">
        <f t="shared" ref="I233:O233" si="62">+I223/I$173</f>
        <v>0.7751197415263007</v>
      </c>
      <c r="J233" s="11">
        <f t="shared" si="62"/>
        <v>0.77290057462444794</v>
      </c>
      <c r="K233" s="11">
        <f t="shared" si="62"/>
        <v>0.77201513211116879</v>
      </c>
      <c r="L233" s="11">
        <f t="shared" si="62"/>
        <v>0.77322862171219175</v>
      </c>
      <c r="M233" s="11">
        <f t="shared" si="62"/>
        <v>0.77904442350006009</v>
      </c>
      <c r="N233" s="11">
        <f t="shared" si="62"/>
        <v>0.81592041823518413</v>
      </c>
      <c r="O233" s="11">
        <f t="shared" si="62"/>
        <v>0.85829708323945864</v>
      </c>
      <c r="P233" s="11">
        <f t="shared" ref="P233:V233" si="63">+P223/P$173</f>
        <v>0.77807872538226719</v>
      </c>
      <c r="Q233" s="11">
        <f t="shared" si="63"/>
        <v>0.77307314074984634</v>
      </c>
      <c r="R233" s="11">
        <f t="shared" si="63"/>
        <v>0.77351278932155254</v>
      </c>
      <c r="S233" s="11">
        <f t="shared" si="63"/>
        <v>0.77292669849131757</v>
      </c>
      <c r="T233" s="11">
        <f t="shared" si="63"/>
        <v>0.78076080566213912</v>
      </c>
      <c r="U233" s="11">
        <f t="shared" si="63"/>
        <v>0.81563856527263756</v>
      </c>
      <c r="V233" s="11">
        <f t="shared" si="63"/>
        <v>0.85657085322245596</v>
      </c>
      <c r="W233" s="11">
        <f t="shared" ref="W233:AC233" si="64">+W223/W$173</f>
        <v>0.77512436797645534</v>
      </c>
      <c r="X233" s="11">
        <f t="shared" si="64"/>
        <v>0.77472166378284169</v>
      </c>
      <c r="Y233" s="11">
        <f t="shared" si="64"/>
        <v>0.77479379927700154</v>
      </c>
      <c r="Z233" s="11">
        <f t="shared" si="64"/>
        <v>0.77505323155986527</v>
      </c>
      <c r="AA233" s="11">
        <f>+AA223/AA$173</f>
        <v>0.78202699100695916</v>
      </c>
      <c r="AB233" s="11">
        <f t="shared" si="64"/>
        <v>0.81873853975116018</v>
      </c>
      <c r="AC233" s="11">
        <f t="shared" si="64"/>
        <v>0.86005086476870729</v>
      </c>
      <c r="AD233" s="11">
        <f t="shared" ref="AD233:AF233" si="65">+AD223/AD$173</f>
        <v>0.780391165984895</v>
      </c>
      <c r="AE233" s="11">
        <f t="shared" si="65"/>
        <v>0.77933476891024245</v>
      </c>
      <c r="AF233" s="11">
        <f t="shared" si="65"/>
        <v>0.7783960382135614</v>
      </c>
      <c r="AG233" s="11">
        <f t="shared" ref="AG233:AJ233" si="66">+AG223/AG$173</f>
        <v>0.77818701951826352</v>
      </c>
      <c r="AH233" s="11">
        <f t="shared" si="66"/>
        <v>0.78377748951801174</v>
      </c>
      <c r="AI233" s="11">
        <f t="shared" si="66"/>
        <v>0.81828401046989774</v>
      </c>
      <c r="AJ233" s="11">
        <f t="shared" si="66"/>
        <v>0.8594412111784584</v>
      </c>
    </row>
    <row r="234" spans="1:36" s="12" customFormat="1" ht="409.6" x14ac:dyDescent="0.25">
      <c r="A234" s="4" t="s">
        <v>425</v>
      </c>
      <c r="B234"/>
      <c r="C234" s="11">
        <f t="shared" ref="C234:H234" si="67">+C224/C$173</f>
        <v>4.6095309824429271E-3</v>
      </c>
      <c r="D234" s="11">
        <f t="shared" si="67"/>
        <v>4.9377726927611991E-3</v>
      </c>
      <c r="E234" s="11">
        <f t="shared" si="67"/>
        <v>5.1688669811860996E-3</v>
      </c>
      <c r="F234" s="11">
        <f t="shared" si="67"/>
        <v>4.7020028245184963E-3</v>
      </c>
      <c r="G234" s="11">
        <f t="shared" si="67"/>
        <v>3.075823672701929E-3</v>
      </c>
      <c r="H234" s="11">
        <f t="shared" si="67"/>
        <v>1.922533220243144E-3</v>
      </c>
      <c r="I234" s="11">
        <f t="shared" ref="I234:O234" si="68">+I224/I$173</f>
        <v>5.3075090558453173E-3</v>
      </c>
      <c r="J234" s="11">
        <f t="shared" si="68"/>
        <v>5.4793936603747843E-3</v>
      </c>
      <c r="K234" s="11">
        <f t="shared" si="68"/>
        <v>5.5735279963999244E-3</v>
      </c>
      <c r="L234" s="11">
        <f t="shared" si="68"/>
        <v>5.7008193474839246E-3</v>
      </c>
      <c r="M234" s="11">
        <f t="shared" si="68"/>
        <v>5.6083340604355875E-3</v>
      </c>
      <c r="N234" s="11">
        <f t="shared" si="68"/>
        <v>3.7657969694752276E-3</v>
      </c>
      <c r="O234" s="11">
        <f t="shared" si="68"/>
        <v>1.8509211278833989E-3</v>
      </c>
      <c r="P234" s="11">
        <f t="shared" ref="P234:V234" si="69">+P224/P$173</f>
        <v>5.8930182628779224E-3</v>
      </c>
      <c r="Q234" s="11">
        <f t="shared" si="69"/>
        <v>6.4614979366054964E-3</v>
      </c>
      <c r="R234" s="11">
        <f t="shared" si="69"/>
        <v>6.3358348463102036E-3</v>
      </c>
      <c r="S234" s="11">
        <f t="shared" si="69"/>
        <v>6.367528808065479E-3</v>
      </c>
      <c r="T234" s="11">
        <f t="shared" si="69"/>
        <v>6.1000759979047857E-3</v>
      </c>
      <c r="U234" s="11">
        <f t="shared" si="69"/>
        <v>4.0447073041410984E-3</v>
      </c>
      <c r="V234" s="11">
        <f t="shared" si="69"/>
        <v>2.0973477081375085E-3</v>
      </c>
      <c r="W234" s="11">
        <f t="shared" ref="W234:AC234" si="70">+W224/W$173</f>
        <v>6.404674979929699E-3</v>
      </c>
      <c r="X234" s="11">
        <f t="shared" si="70"/>
        <v>6.578664306738871E-3</v>
      </c>
      <c r="Y234" s="11">
        <f t="shared" si="70"/>
        <v>6.6291854115431616E-3</v>
      </c>
      <c r="Z234" s="11">
        <f t="shared" si="70"/>
        <v>6.627716185490057E-3</v>
      </c>
      <c r="AA234" s="11">
        <f>+AA224/AA$173</f>
        <v>6.3173692851237074E-3</v>
      </c>
      <c r="AB234" s="11">
        <f t="shared" si="70"/>
        <v>4.142084788134593E-3</v>
      </c>
      <c r="AC234" s="11">
        <f t="shared" si="70"/>
        <v>2.4383974892284383E-3</v>
      </c>
      <c r="AD234" s="11">
        <f t="shared" ref="AD234:AF234" si="71">+AD224/AD$173</f>
        <v>6.5334238817922885E-3</v>
      </c>
      <c r="AE234" s="11">
        <f t="shared" si="71"/>
        <v>6.6995417618758062E-3</v>
      </c>
      <c r="AF234" s="11">
        <f t="shared" si="71"/>
        <v>6.6274838608418379E-3</v>
      </c>
      <c r="AG234" s="11">
        <f t="shared" ref="AG234:AJ234" si="72">+AG224/AG$173</f>
        <v>6.6805700267189676E-3</v>
      </c>
      <c r="AH234" s="11">
        <f t="shared" si="72"/>
        <v>6.6894180165610936E-3</v>
      </c>
      <c r="AI234" s="11">
        <f t="shared" si="72"/>
        <v>4.7081774337660509E-3</v>
      </c>
      <c r="AJ234" s="11">
        <f t="shared" si="72"/>
        <v>2.4975862253929088E-3</v>
      </c>
    </row>
    <row r="235" spans="1:36" s="12" customFormat="1" ht="409.6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</row>
    <row r="236" spans="1:36" s="12" customFormat="1" ht="409.6" x14ac:dyDescent="0.25">
      <c r="A236" s="15" t="s">
        <v>422</v>
      </c>
      <c r="B236"/>
      <c r="C236" s="11">
        <f t="shared" ref="C236:H236" si="73">C226/C$174</f>
        <v>7.9834448564555609E-4</v>
      </c>
      <c r="D236" s="11">
        <f t="shared" si="73"/>
        <v>7.9001422025596463E-4</v>
      </c>
      <c r="E236" s="11">
        <f t="shared" si="73"/>
        <v>7.6645675224716082E-4</v>
      </c>
      <c r="F236" s="11">
        <f t="shared" si="73"/>
        <v>7.763388698184626E-4</v>
      </c>
      <c r="G236" s="11">
        <f t="shared" si="73"/>
        <v>8.8012402028299851E-4</v>
      </c>
      <c r="H236" s="11">
        <f t="shared" si="73"/>
        <v>9.329263286736773E-4</v>
      </c>
      <c r="I236" s="11">
        <f t="shared" ref="I236:O236" si="74">I226/I$174</f>
        <v>7.1042019264924044E-4</v>
      </c>
      <c r="J236" s="11">
        <f t="shared" si="74"/>
        <v>7.3740874566772358E-4</v>
      </c>
      <c r="K236" s="11">
        <f t="shared" si="74"/>
        <v>7.3101516651129174E-4</v>
      </c>
      <c r="L236" s="11">
        <f t="shared" si="74"/>
        <v>7.1809454637967508E-4</v>
      </c>
      <c r="M236" s="11">
        <f t="shared" si="74"/>
        <v>7.0954905805828937E-4</v>
      </c>
      <c r="N236" s="11">
        <f t="shared" si="74"/>
        <v>7.446629942166542E-4</v>
      </c>
      <c r="O236" s="11">
        <f t="shared" si="74"/>
        <v>8.1126812797947877E-4</v>
      </c>
      <c r="P236" s="11">
        <f t="shared" ref="P236:V236" si="75">P226/P$174</f>
        <v>8.1437804220186162E-4</v>
      </c>
      <c r="Q236" s="11">
        <f t="shared" si="75"/>
        <v>8.78938188160907E-4</v>
      </c>
      <c r="R236" s="11">
        <f t="shared" si="75"/>
        <v>8.1133438474170717E-4</v>
      </c>
      <c r="S236" s="11">
        <f t="shared" si="75"/>
        <v>7.318935890364462E-4</v>
      </c>
      <c r="T236" s="11">
        <f t="shared" si="75"/>
        <v>7.4462732112712639E-4</v>
      </c>
      <c r="U236" s="11">
        <f t="shared" si="75"/>
        <v>7.9732819833915037E-4</v>
      </c>
      <c r="V236" s="11">
        <f t="shared" si="75"/>
        <v>1.0666914015397459E-3</v>
      </c>
      <c r="W236" s="11">
        <f t="shared" ref="W236:AC236" si="76">W226/W$174</f>
        <v>7.8971188918465854E-4</v>
      </c>
      <c r="X236" s="11">
        <f t="shared" si="76"/>
        <v>7.8315722493132079E-4</v>
      </c>
      <c r="Y236" s="11">
        <f t="shared" si="76"/>
        <v>7.2908451629863304E-4</v>
      </c>
      <c r="Z236" s="11">
        <f t="shared" si="76"/>
        <v>6.7088956663826705E-4</v>
      </c>
      <c r="AA236" s="11">
        <f>AA226/AA$174</f>
        <v>7.810176295507935E-4</v>
      </c>
      <c r="AB236" s="11">
        <f t="shared" si="76"/>
        <v>7.3751618937976688E-4</v>
      </c>
      <c r="AC236" s="11">
        <f t="shared" si="76"/>
        <v>1.0778024722558777E-3</v>
      </c>
      <c r="AD236" s="11">
        <f t="shared" ref="AD236:AF236" si="77">AD226/AD$174</f>
        <v>8.6018510364206473E-4</v>
      </c>
      <c r="AE236" s="11">
        <f t="shared" si="77"/>
        <v>7.8594609006743218E-4</v>
      </c>
      <c r="AF236" s="11">
        <f t="shared" si="77"/>
        <v>8.713423424850684E-4</v>
      </c>
      <c r="AG236" s="11">
        <f t="shared" ref="AG236:AJ236" si="78">AG226/AG$174</f>
        <v>7.5324551431365226E-4</v>
      </c>
      <c r="AH236" s="11">
        <f t="shared" si="78"/>
        <v>6.8464987438248716E-4</v>
      </c>
      <c r="AI236" s="11">
        <f t="shared" si="78"/>
        <v>8.7966120149685675E-4</v>
      </c>
      <c r="AJ236" s="11">
        <f t="shared" si="78"/>
        <v>1.1266251567886676E-3</v>
      </c>
    </row>
    <row r="237" spans="1:36" s="12" customFormat="1" ht="409.6" x14ac:dyDescent="0.25">
      <c r="A237" s="4" t="s">
        <v>423</v>
      </c>
      <c r="B237"/>
      <c r="C237" s="11">
        <f t="shared" ref="C237:H237" si="79">C227/C$174</f>
        <v>0.20132567202747986</v>
      </c>
      <c r="D237" s="11">
        <f t="shared" si="79"/>
        <v>0.20374993416548165</v>
      </c>
      <c r="E237" s="11">
        <f t="shared" si="79"/>
        <v>0.20614672479681362</v>
      </c>
      <c r="F237" s="11">
        <f t="shared" si="79"/>
        <v>0.20081998170358123</v>
      </c>
      <c r="G237" s="11">
        <f t="shared" si="79"/>
        <v>0.1740977956753485</v>
      </c>
      <c r="H237" s="11">
        <f t="shared" si="79"/>
        <v>0.12697500503780218</v>
      </c>
      <c r="I237" s="11">
        <f t="shared" ref="I237:O237" si="80">I227/I$174</f>
        <v>0.20439833678096073</v>
      </c>
      <c r="J237" s="11">
        <f t="shared" si="80"/>
        <v>0.20484190775835934</v>
      </c>
      <c r="K237" s="11">
        <f t="shared" si="80"/>
        <v>0.20481977190684075</v>
      </c>
      <c r="L237" s="11">
        <f t="shared" si="80"/>
        <v>0.20403938440832087</v>
      </c>
      <c r="M237" s="11">
        <f t="shared" si="80"/>
        <v>0.20006625184288498</v>
      </c>
      <c r="N237" s="11">
        <f t="shared" si="80"/>
        <v>0.16966108678070591</v>
      </c>
      <c r="O237" s="11">
        <f t="shared" si="80"/>
        <v>0.1265578279647987</v>
      </c>
      <c r="P237" s="11">
        <f t="shared" ref="P237:V237" si="81">P227/P$174</f>
        <v>0.19876656092943237</v>
      </c>
      <c r="Q237" s="11">
        <f t="shared" si="81"/>
        <v>0.20274401322722482</v>
      </c>
      <c r="R237" s="11">
        <f t="shared" si="81"/>
        <v>0.20500944748996136</v>
      </c>
      <c r="S237" s="11">
        <f t="shared" si="81"/>
        <v>0.20568967711824854</v>
      </c>
      <c r="T237" s="11">
        <f t="shared" si="81"/>
        <v>0.1987525970653162</v>
      </c>
      <c r="U237" s="11">
        <f t="shared" si="81"/>
        <v>0.16882898062342039</v>
      </c>
      <c r="V237" s="11">
        <f t="shared" si="81"/>
        <v>0.12654979439136754</v>
      </c>
      <c r="W237" s="11">
        <f t="shared" ref="W237:AC237" si="82">W227/W$174</f>
        <v>0.20193118578436123</v>
      </c>
      <c r="X237" s="11">
        <f t="shared" si="82"/>
        <v>0.20255627412950239</v>
      </c>
      <c r="Y237" s="11">
        <f t="shared" si="82"/>
        <v>0.20338171990010515</v>
      </c>
      <c r="Z237" s="11">
        <f t="shared" si="82"/>
        <v>0.20259835940747692</v>
      </c>
      <c r="AA237" s="11">
        <f>AA227/AA$174</f>
        <v>0.19587557944021675</v>
      </c>
      <c r="AB237" s="11">
        <f t="shared" si="82"/>
        <v>0.1661480069074687</v>
      </c>
      <c r="AC237" s="11">
        <f t="shared" si="82"/>
        <v>0.12246809333026097</v>
      </c>
      <c r="AD237" s="11">
        <f t="shared" ref="AD237:AF237" si="83">AD227/AD$174</f>
        <v>0.19683288037078073</v>
      </c>
      <c r="AE237" s="11">
        <f t="shared" si="83"/>
        <v>0.19716303307539709</v>
      </c>
      <c r="AF237" s="11">
        <f t="shared" si="83"/>
        <v>0.19913341043392849</v>
      </c>
      <c r="AG237" s="11">
        <f t="shared" ref="AG237:AJ237" si="84">AG227/AG$174</f>
        <v>0.20031560788304223</v>
      </c>
      <c r="AH237" s="11">
        <f t="shared" si="84"/>
        <v>0.19521177912565491</v>
      </c>
      <c r="AI237" s="11">
        <f t="shared" si="84"/>
        <v>0.16575166619866016</v>
      </c>
      <c r="AJ237" s="11">
        <f t="shared" si="84"/>
        <v>0.12434186313757595</v>
      </c>
    </row>
    <row r="238" spans="1:36" s="12" customFormat="1" ht="409.6" x14ac:dyDescent="0.25">
      <c r="A238" s="4" t="s">
        <v>424</v>
      </c>
      <c r="B238"/>
      <c r="C238" s="11">
        <f t="shared" ref="C238:H238" si="85">C228/C$174</f>
        <v>0.79492000798344487</v>
      </c>
      <c r="D238" s="11">
        <f t="shared" si="85"/>
        <v>0.7923800495075578</v>
      </c>
      <c r="E238" s="11">
        <f t="shared" si="85"/>
        <v>0.78983583615910435</v>
      </c>
      <c r="F238" s="11">
        <f t="shared" si="85"/>
        <v>0.79527734181570975</v>
      </c>
      <c r="G238" s="11">
        <f t="shared" si="85"/>
        <v>0.82260405536443315</v>
      </c>
      <c r="H238" s="11">
        <f t="shared" si="85"/>
        <v>0.87056206945449932</v>
      </c>
      <c r="I238" s="11">
        <f t="shared" ref="I238:O238" si="86">I228/I$174</f>
        <v>0.79172569422679118</v>
      </c>
      <c r="J238" s="11">
        <f t="shared" si="86"/>
        <v>0.79116993994215434</v>
      </c>
      <c r="K238" s="11">
        <f t="shared" si="86"/>
        <v>0.79105286718111512</v>
      </c>
      <c r="L238" s="11">
        <f t="shared" si="86"/>
        <v>0.79179361552397309</v>
      </c>
      <c r="M238" s="11">
        <f t="shared" si="86"/>
        <v>0.79570303633831785</v>
      </c>
      <c r="N238" s="11">
        <f t="shared" si="86"/>
        <v>0.82695741077014628</v>
      </c>
      <c r="O238" s="11">
        <f t="shared" si="86"/>
        <v>0.8707224922156892</v>
      </c>
      <c r="P238" s="11">
        <f t="shared" ref="P238:V238" si="87">P228/P$174</f>
        <v>0.79694493679718237</v>
      </c>
      <c r="Q238" s="11">
        <f t="shared" si="87"/>
        <v>0.7923593698898943</v>
      </c>
      <c r="R238" s="11">
        <f t="shared" si="87"/>
        <v>0.79019196518637913</v>
      </c>
      <c r="S238" s="11">
        <f t="shared" si="87"/>
        <v>0.78960923246637538</v>
      </c>
      <c r="T238" s="11">
        <f t="shared" si="87"/>
        <v>0.79651993247630182</v>
      </c>
      <c r="U238" s="11">
        <f t="shared" si="87"/>
        <v>0.82739499338067157</v>
      </c>
      <c r="V238" s="11">
        <f t="shared" si="87"/>
        <v>0.87011872739078011</v>
      </c>
      <c r="W238" s="11">
        <f t="shared" ref="W238:AC238" si="88">W228/W$174</f>
        <v>0.79336147154459813</v>
      </c>
      <c r="X238" s="11">
        <f t="shared" si="88"/>
        <v>0.79250004588811862</v>
      </c>
      <c r="Y238" s="11">
        <f t="shared" si="88"/>
        <v>0.79169131177707674</v>
      </c>
      <c r="Z238" s="11">
        <f t="shared" si="88"/>
        <v>0.79254900992340338</v>
      </c>
      <c r="AA238" s="11">
        <f>AA228/AA$174</f>
        <v>0.79932702988707616</v>
      </c>
      <c r="AB238" s="11">
        <f t="shared" si="88"/>
        <v>0.83002950064757519</v>
      </c>
      <c r="AC238" s="11">
        <f t="shared" si="88"/>
        <v>0.87414983684300507</v>
      </c>
      <c r="AD238" s="11">
        <f t="shared" ref="AD238:AF238" si="89">AD228/AD$174</f>
        <v>0.79824563200052434</v>
      </c>
      <c r="AE238" s="11">
        <f t="shared" si="89"/>
        <v>0.79770145589051666</v>
      </c>
      <c r="AF238" s="11">
        <f t="shared" si="89"/>
        <v>0.79570190586334189</v>
      </c>
      <c r="AG238" s="11">
        <f t="shared" ref="AG238:AJ238" si="90">AG228/AG$174</f>
        <v>0.79459253193840473</v>
      </c>
      <c r="AH238" s="11">
        <f t="shared" si="90"/>
        <v>0.79979106374523157</v>
      </c>
      <c r="AI238" s="11">
        <f t="shared" si="90"/>
        <v>0.8299331228259188</v>
      </c>
      <c r="AJ238" s="11">
        <f t="shared" si="90"/>
        <v>0.87248105392027997</v>
      </c>
    </row>
    <row r="239" spans="1:36" s="12" customFormat="1" ht="409.6" x14ac:dyDescent="0.25">
      <c r="A239" s="4" t="s">
        <v>425</v>
      </c>
      <c r="B239"/>
      <c r="C239" s="11">
        <f t="shared" ref="C239:H239" si="91">C229/C$174</f>
        <v>2.9559755034297298E-3</v>
      </c>
      <c r="D239" s="11">
        <f t="shared" si="91"/>
        <v>3.0800021067045875E-3</v>
      </c>
      <c r="E239" s="11">
        <f t="shared" si="91"/>
        <v>3.2509822918348674E-3</v>
      </c>
      <c r="F239" s="11">
        <f t="shared" si="91"/>
        <v>3.1263376108905654E-3</v>
      </c>
      <c r="G239" s="11">
        <f t="shared" si="91"/>
        <v>2.418024939935396E-3</v>
      </c>
      <c r="H239" s="11">
        <f t="shared" si="91"/>
        <v>1.5299991790248308E-3</v>
      </c>
      <c r="I239" s="11">
        <f t="shared" ref="I239:O239" si="92">I229/I$174</f>
        <v>3.1655487995988214E-3</v>
      </c>
      <c r="J239" s="11">
        <f t="shared" si="92"/>
        <v>3.2507435538185483E-3</v>
      </c>
      <c r="K239" s="11">
        <f t="shared" si="92"/>
        <v>3.396345745532799E-3</v>
      </c>
      <c r="L239" s="11">
        <f t="shared" si="92"/>
        <v>3.4489055213263822E-3</v>
      </c>
      <c r="M239" s="11">
        <f t="shared" si="92"/>
        <v>3.5211627607388309E-3</v>
      </c>
      <c r="N239" s="11">
        <f t="shared" si="92"/>
        <v>2.6368394549311034E-3</v>
      </c>
      <c r="O239" s="11">
        <f t="shared" si="92"/>
        <v>1.9084116915326786E-3</v>
      </c>
      <c r="P239" s="11">
        <f t="shared" ref="P239:V239" si="93">P229/P$174</f>
        <v>3.4741242311833891E-3</v>
      </c>
      <c r="Q239" s="11">
        <f t="shared" si="93"/>
        <v>4.0176786947200118E-3</v>
      </c>
      <c r="R239" s="11">
        <f t="shared" si="93"/>
        <v>3.9872529389178013E-3</v>
      </c>
      <c r="S239" s="11">
        <f t="shared" si="93"/>
        <v>3.9691968263396837E-3</v>
      </c>
      <c r="T239" s="11">
        <f t="shared" si="93"/>
        <v>3.9828431372549017E-3</v>
      </c>
      <c r="U239" s="11">
        <f t="shared" si="93"/>
        <v>2.9786977975689013E-3</v>
      </c>
      <c r="V239" s="11">
        <f t="shared" si="93"/>
        <v>2.264786816312649E-3</v>
      </c>
      <c r="W239" s="11">
        <f t="shared" ref="W239:AC239" si="94">W229/W$174</f>
        <v>3.9176307818560088E-3</v>
      </c>
      <c r="X239" s="11">
        <f t="shared" si="94"/>
        <v>4.1605227574476418E-3</v>
      </c>
      <c r="Y239" s="11">
        <f t="shared" si="94"/>
        <v>4.1978838065194531E-3</v>
      </c>
      <c r="Z239" s="11">
        <f t="shared" si="94"/>
        <v>4.1817411024814679E-3</v>
      </c>
      <c r="AA239" s="11">
        <f>AA229/AA$174</f>
        <v>4.0163730431562825E-3</v>
      </c>
      <c r="AB239" s="11">
        <f t="shared" si="94"/>
        <v>3.0849762555763419E-3</v>
      </c>
      <c r="AC239" s="11">
        <f t="shared" si="94"/>
        <v>2.3042673544780836E-3</v>
      </c>
      <c r="AD239" s="11">
        <f t="shared" ref="AD239:AF239" si="95">AD229/AD$174</f>
        <v>4.0613025250528911E-3</v>
      </c>
      <c r="AE239" s="11">
        <f t="shared" si="95"/>
        <v>4.3495649440187514E-3</v>
      </c>
      <c r="AF239" s="11">
        <f t="shared" si="95"/>
        <v>4.2933413602446093E-3</v>
      </c>
      <c r="AG239" s="11">
        <f t="shared" ref="AG239:AJ239" si="96">AG229/AG$174</f>
        <v>4.3386146642393217E-3</v>
      </c>
      <c r="AH239" s="11">
        <f t="shared" si="96"/>
        <v>4.312507254731068E-3</v>
      </c>
      <c r="AI239" s="11">
        <f t="shared" si="96"/>
        <v>3.435549773924206E-3</v>
      </c>
      <c r="AJ239" s="11">
        <f t="shared" si="96"/>
        <v>2.0504577853553752E-3</v>
      </c>
    </row>
    <row r="240" spans="1:36" s="12" customFormat="1" ht="409.6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</row>
    <row r="241" spans="1:36" s="12" customFormat="1" ht="409.6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</row>
    <row r="242" spans="1:36" s="12" customFormat="1" ht="409.6" x14ac:dyDescent="0.25">
      <c r="A242" s="397" t="s">
        <v>99</v>
      </c>
      <c r="B242" s="397"/>
      <c r="C242" s="2">
        <f t="shared" ref="C242:H242" si="97">+C3-SUM(C188:C190)</f>
        <v>0</v>
      </c>
      <c r="D242" s="2">
        <f t="shared" si="97"/>
        <v>0</v>
      </c>
      <c r="E242" s="2">
        <f t="shared" si="97"/>
        <v>0</v>
      </c>
      <c r="F242" s="2">
        <f t="shared" si="97"/>
        <v>0</v>
      </c>
      <c r="G242" s="2">
        <f t="shared" si="97"/>
        <v>0</v>
      </c>
      <c r="H242" s="2">
        <f t="shared" si="97"/>
        <v>0</v>
      </c>
      <c r="I242" s="2">
        <f t="shared" ref="I242:O242" si="98">+I3-SUM(I188:I190)</f>
        <v>0</v>
      </c>
      <c r="J242" s="2">
        <f t="shared" si="98"/>
        <v>0</v>
      </c>
      <c r="K242" s="2">
        <f t="shared" si="98"/>
        <v>0</v>
      </c>
      <c r="L242" s="2">
        <f t="shared" si="98"/>
        <v>0</v>
      </c>
      <c r="M242" s="2">
        <f t="shared" si="98"/>
        <v>0</v>
      </c>
      <c r="N242" s="2">
        <f t="shared" si="98"/>
        <v>0</v>
      </c>
      <c r="O242" s="2">
        <f t="shared" si="98"/>
        <v>0</v>
      </c>
      <c r="P242" s="2">
        <f t="shared" ref="P242:V242" si="99">+P3-SUM(P188:P190)</f>
        <v>0</v>
      </c>
      <c r="Q242" s="2">
        <f t="shared" si="99"/>
        <v>0</v>
      </c>
      <c r="R242" s="2">
        <f t="shared" si="99"/>
        <v>0</v>
      </c>
      <c r="S242" s="2">
        <f t="shared" si="99"/>
        <v>0</v>
      </c>
      <c r="T242" s="2">
        <f t="shared" si="99"/>
        <v>0</v>
      </c>
      <c r="U242" s="2">
        <f t="shared" si="99"/>
        <v>0</v>
      </c>
      <c r="V242" s="2">
        <f t="shared" si="99"/>
        <v>0</v>
      </c>
      <c r="W242" s="2">
        <f t="shared" ref="W242:AC242" si="100">+W3-SUM(W188:W190)</f>
        <v>0</v>
      </c>
      <c r="X242" s="2">
        <f t="shared" si="100"/>
        <v>0</v>
      </c>
      <c r="Y242" s="2">
        <f t="shared" si="100"/>
        <v>0</v>
      </c>
      <c r="Z242" s="2">
        <f t="shared" si="100"/>
        <v>0</v>
      </c>
      <c r="AA242" s="2">
        <f>+AA3-SUM(AA188:AA190)</f>
        <v>0</v>
      </c>
      <c r="AB242" s="2">
        <f t="shared" si="100"/>
        <v>0</v>
      </c>
      <c r="AC242" s="2">
        <f t="shared" si="100"/>
        <v>0</v>
      </c>
      <c r="AD242" s="2">
        <f t="shared" ref="AD242:AF242" si="101">+AD3-SUM(AD188:AD190)</f>
        <v>0</v>
      </c>
      <c r="AE242" s="2">
        <f t="shared" si="101"/>
        <v>0</v>
      </c>
      <c r="AF242" s="2">
        <f t="shared" si="101"/>
        <v>0</v>
      </c>
      <c r="AG242" s="2">
        <f t="shared" ref="AG242:AJ242" si="102">+AG3-SUM(AG188:AG190)</f>
        <v>0</v>
      </c>
      <c r="AH242" s="2">
        <f t="shared" si="102"/>
        <v>0</v>
      </c>
      <c r="AI242" s="2">
        <f t="shared" si="102"/>
        <v>0</v>
      </c>
      <c r="AJ242" s="2">
        <f t="shared" si="102"/>
        <v>0</v>
      </c>
    </row>
    <row r="243" spans="1:36" s="12" customFormat="1" ht="409.6" x14ac:dyDescent="0.25">
      <c r="A243" s="397" t="s">
        <v>100</v>
      </c>
      <c r="B243" s="397"/>
      <c r="C243" s="2">
        <f t="shared" ref="C243:H243" si="103">+C107-SUM(C193:C194)</f>
        <v>0</v>
      </c>
      <c r="D243" s="2">
        <f t="shared" si="103"/>
        <v>0</v>
      </c>
      <c r="E243" s="2">
        <f t="shared" si="103"/>
        <v>0</v>
      </c>
      <c r="F243" s="2">
        <f t="shared" si="103"/>
        <v>0</v>
      </c>
      <c r="G243" s="2">
        <f t="shared" si="103"/>
        <v>0</v>
      </c>
      <c r="H243" s="2">
        <f t="shared" si="103"/>
        <v>0</v>
      </c>
      <c r="I243" s="2">
        <f t="shared" ref="I243:O243" si="104">+I107-SUM(I193:I194)</f>
        <v>0</v>
      </c>
      <c r="J243" s="2">
        <f t="shared" si="104"/>
        <v>0</v>
      </c>
      <c r="K243" s="2">
        <f t="shared" si="104"/>
        <v>0</v>
      </c>
      <c r="L243" s="2">
        <f t="shared" si="104"/>
        <v>0</v>
      </c>
      <c r="M243" s="2">
        <f t="shared" si="104"/>
        <v>0</v>
      </c>
      <c r="N243" s="2">
        <f t="shared" si="104"/>
        <v>0</v>
      </c>
      <c r="O243" s="2">
        <f t="shared" si="104"/>
        <v>0</v>
      </c>
      <c r="P243" s="2">
        <f t="shared" ref="P243:V243" si="105">+P107-SUM(P193:P194)</f>
        <v>0</v>
      </c>
      <c r="Q243" s="2">
        <f t="shared" si="105"/>
        <v>0</v>
      </c>
      <c r="R243" s="2">
        <f t="shared" si="105"/>
        <v>0</v>
      </c>
      <c r="S243" s="2">
        <f t="shared" si="105"/>
        <v>0</v>
      </c>
      <c r="T243" s="2">
        <f t="shared" si="105"/>
        <v>0</v>
      </c>
      <c r="U243" s="2">
        <f t="shared" si="105"/>
        <v>0</v>
      </c>
      <c r="V243" s="2">
        <f t="shared" si="105"/>
        <v>0</v>
      </c>
      <c r="W243" s="2">
        <f t="shared" ref="W243:AC243" si="106">+W107-SUM(W193:W194)</f>
        <v>0</v>
      </c>
      <c r="X243" s="2">
        <f t="shared" si="106"/>
        <v>0</v>
      </c>
      <c r="Y243" s="2">
        <f t="shared" si="106"/>
        <v>0</v>
      </c>
      <c r="Z243" s="2">
        <f t="shared" si="106"/>
        <v>0</v>
      </c>
      <c r="AA243" s="2">
        <f>+AA107-SUM(AA193:AA194)</f>
        <v>0</v>
      </c>
      <c r="AB243" s="2">
        <f t="shared" si="106"/>
        <v>0</v>
      </c>
      <c r="AC243" s="2">
        <f t="shared" si="106"/>
        <v>0</v>
      </c>
      <c r="AD243" s="2">
        <f t="shared" ref="AD243:AF243" si="107">+AD107-SUM(AD193:AD194)</f>
        <v>0</v>
      </c>
      <c r="AE243" s="2">
        <f t="shared" si="107"/>
        <v>0</v>
      </c>
      <c r="AF243" s="2">
        <f t="shared" si="107"/>
        <v>0</v>
      </c>
      <c r="AG243" s="2">
        <f t="shared" ref="AG243:AJ243" si="108">+AG107-SUM(AG193:AG194)</f>
        <v>0</v>
      </c>
      <c r="AH243" s="2">
        <f t="shared" si="108"/>
        <v>0</v>
      </c>
      <c r="AI243" s="2">
        <f t="shared" si="108"/>
        <v>0</v>
      </c>
      <c r="AJ243" s="2">
        <f t="shared" si="108"/>
        <v>0</v>
      </c>
    </row>
    <row r="244" spans="1:36" s="12" customFormat="1" ht="409.6" x14ac:dyDescent="0.25">
      <c r="A244" s="397" t="s">
        <v>112</v>
      </c>
      <c r="B244" s="397"/>
      <c r="C244" s="2">
        <f t="shared" ref="C244:H244" si="109">+C40-SUM(C197:C199)</f>
        <v>0</v>
      </c>
      <c r="D244" s="2">
        <f t="shared" si="109"/>
        <v>0</v>
      </c>
      <c r="E244" s="2">
        <f t="shared" si="109"/>
        <v>0</v>
      </c>
      <c r="F244" s="2">
        <f t="shared" si="109"/>
        <v>0</v>
      </c>
      <c r="G244" s="2">
        <f t="shared" si="109"/>
        <v>0</v>
      </c>
      <c r="H244" s="2">
        <f t="shared" si="109"/>
        <v>0</v>
      </c>
      <c r="I244" s="2">
        <f t="shared" ref="I244:O244" si="110">+I40-SUM(I197:I199)</f>
        <v>0</v>
      </c>
      <c r="J244" s="2">
        <f t="shared" si="110"/>
        <v>0</v>
      </c>
      <c r="K244" s="2">
        <f t="shared" si="110"/>
        <v>0</v>
      </c>
      <c r="L244" s="2">
        <f t="shared" si="110"/>
        <v>0</v>
      </c>
      <c r="M244" s="2">
        <f t="shared" si="110"/>
        <v>0</v>
      </c>
      <c r="N244" s="2">
        <f t="shared" si="110"/>
        <v>0</v>
      </c>
      <c r="O244" s="2">
        <f t="shared" si="110"/>
        <v>0</v>
      </c>
      <c r="P244" s="2">
        <f t="shared" ref="P244:V244" si="111">+P40-SUM(P197:P199)</f>
        <v>0</v>
      </c>
      <c r="Q244" s="2">
        <f t="shared" si="111"/>
        <v>0</v>
      </c>
      <c r="R244" s="2">
        <f t="shared" si="111"/>
        <v>0</v>
      </c>
      <c r="S244" s="2">
        <f t="shared" si="111"/>
        <v>0</v>
      </c>
      <c r="T244" s="2">
        <f t="shared" si="111"/>
        <v>0</v>
      </c>
      <c r="U244" s="2">
        <f t="shared" si="111"/>
        <v>0</v>
      </c>
      <c r="V244" s="2">
        <f t="shared" si="111"/>
        <v>0</v>
      </c>
      <c r="W244" s="2">
        <f t="shared" ref="W244:AC244" si="112">+W40-SUM(W197:W199)</f>
        <v>0</v>
      </c>
      <c r="X244" s="2">
        <f t="shared" si="112"/>
        <v>0</v>
      </c>
      <c r="Y244" s="2">
        <f t="shared" si="112"/>
        <v>0</v>
      </c>
      <c r="Z244" s="2">
        <f t="shared" si="112"/>
        <v>0</v>
      </c>
      <c r="AA244" s="2">
        <f>+AA40-SUM(AA197:AA199)</f>
        <v>0</v>
      </c>
      <c r="AB244" s="2">
        <f t="shared" si="112"/>
        <v>0</v>
      </c>
      <c r="AC244" s="2">
        <f t="shared" si="112"/>
        <v>0</v>
      </c>
      <c r="AD244" s="2">
        <f t="shared" ref="AD244:AF244" si="113">+AD40-SUM(AD197:AD199)</f>
        <v>0</v>
      </c>
      <c r="AE244" s="2">
        <f t="shared" si="113"/>
        <v>0</v>
      </c>
      <c r="AF244" s="2">
        <f t="shared" si="113"/>
        <v>0</v>
      </c>
      <c r="AG244" s="2">
        <f t="shared" ref="AG244:AJ244" si="114">+AG40-SUM(AG197:AG199)</f>
        <v>0</v>
      </c>
      <c r="AH244" s="2">
        <f t="shared" si="114"/>
        <v>0</v>
      </c>
      <c r="AI244" s="2">
        <f t="shared" si="114"/>
        <v>0</v>
      </c>
      <c r="AJ244" s="2">
        <f t="shared" si="114"/>
        <v>0</v>
      </c>
    </row>
    <row r="245" spans="1:36" s="12" customFormat="1" ht="409.6" x14ac:dyDescent="0.25">
      <c r="A245" s="397" t="s">
        <v>119</v>
      </c>
      <c r="B245" s="397"/>
      <c r="C245" s="2">
        <f t="shared" ref="C245:H245" si="115">+SUM(C202:C203)-C112</f>
        <v>0</v>
      </c>
      <c r="D245" s="2">
        <f t="shared" si="115"/>
        <v>0</v>
      </c>
      <c r="E245" s="2">
        <f t="shared" si="115"/>
        <v>0</v>
      </c>
      <c r="F245" s="2">
        <f t="shared" si="115"/>
        <v>0</v>
      </c>
      <c r="G245" s="2">
        <f t="shared" si="115"/>
        <v>0</v>
      </c>
      <c r="H245" s="2">
        <f t="shared" si="115"/>
        <v>0</v>
      </c>
      <c r="I245" s="2">
        <f t="shared" ref="I245:O245" si="116">+SUM(I202:I203)-I112</f>
        <v>0</v>
      </c>
      <c r="J245" s="2">
        <f t="shared" si="116"/>
        <v>0</v>
      </c>
      <c r="K245" s="2">
        <f t="shared" si="116"/>
        <v>0</v>
      </c>
      <c r="L245" s="2">
        <f t="shared" si="116"/>
        <v>0</v>
      </c>
      <c r="M245" s="2">
        <f t="shared" si="116"/>
        <v>0</v>
      </c>
      <c r="N245" s="2">
        <f t="shared" si="116"/>
        <v>0</v>
      </c>
      <c r="O245" s="2">
        <f t="shared" si="116"/>
        <v>0</v>
      </c>
      <c r="P245" s="2">
        <f t="shared" ref="P245:V245" si="117">+SUM(P202:P203)-P112</f>
        <v>0</v>
      </c>
      <c r="Q245" s="2">
        <f t="shared" si="117"/>
        <v>0</v>
      </c>
      <c r="R245" s="2">
        <f t="shared" si="117"/>
        <v>0</v>
      </c>
      <c r="S245" s="2">
        <f t="shared" si="117"/>
        <v>0</v>
      </c>
      <c r="T245" s="2">
        <f t="shared" si="117"/>
        <v>0</v>
      </c>
      <c r="U245" s="2">
        <f t="shared" si="117"/>
        <v>0</v>
      </c>
      <c r="V245" s="2">
        <f t="shared" si="117"/>
        <v>0</v>
      </c>
      <c r="W245" s="2">
        <f t="shared" ref="W245:AC245" si="118">+SUM(W202:W203)-W112</f>
        <v>0</v>
      </c>
      <c r="X245" s="2">
        <f t="shared" si="118"/>
        <v>0</v>
      </c>
      <c r="Y245" s="2">
        <f t="shared" si="118"/>
        <v>0</v>
      </c>
      <c r="Z245" s="2">
        <f t="shared" si="118"/>
        <v>0</v>
      </c>
      <c r="AA245" s="2">
        <f>+SUM(AA202:AA203)-AA112</f>
        <v>0</v>
      </c>
      <c r="AB245" s="2">
        <f t="shared" si="118"/>
        <v>0</v>
      </c>
      <c r="AC245" s="2">
        <f t="shared" si="118"/>
        <v>0</v>
      </c>
      <c r="AD245" s="2">
        <f t="shared" ref="AD245:AF245" si="119">+SUM(AD202:AD203)-AD112</f>
        <v>0</v>
      </c>
      <c r="AE245" s="2">
        <f t="shared" si="119"/>
        <v>0</v>
      </c>
      <c r="AF245" s="2">
        <f t="shared" si="119"/>
        <v>0</v>
      </c>
      <c r="AG245" s="2">
        <f t="shared" ref="AG245:AJ245" si="120">+SUM(AG202:AG203)-AG112</f>
        <v>0</v>
      </c>
      <c r="AH245" s="2">
        <f t="shared" si="120"/>
        <v>0</v>
      </c>
      <c r="AI245" s="2">
        <f t="shared" si="120"/>
        <v>0</v>
      </c>
      <c r="AJ245" s="2">
        <f t="shared" si="120"/>
        <v>0</v>
      </c>
    </row>
    <row r="246" spans="1:36" s="12" customFormat="1" ht="409.6" x14ac:dyDescent="0.25">
      <c r="A246" s="397" t="s">
        <v>173</v>
      </c>
      <c r="B246" s="397"/>
      <c r="C246" s="17">
        <f t="shared" ref="C246:H246" si="121">+SUM(C206:C209)-C113</f>
        <v>0</v>
      </c>
      <c r="D246" s="17">
        <f t="shared" si="121"/>
        <v>0</v>
      </c>
      <c r="E246" s="17">
        <f t="shared" si="121"/>
        <v>0</v>
      </c>
      <c r="F246" s="17">
        <f t="shared" si="121"/>
        <v>0</v>
      </c>
      <c r="G246" s="17">
        <f t="shared" si="121"/>
        <v>0</v>
      </c>
      <c r="H246" s="17">
        <f t="shared" si="121"/>
        <v>0</v>
      </c>
      <c r="I246" s="17">
        <f t="shared" ref="I246:O246" si="122">+SUM(I206:I209)-I113</f>
        <v>0</v>
      </c>
      <c r="J246" s="17">
        <f t="shared" si="122"/>
        <v>0</v>
      </c>
      <c r="K246" s="17">
        <f t="shared" si="122"/>
        <v>0</v>
      </c>
      <c r="L246" s="17">
        <f t="shared" si="122"/>
        <v>0</v>
      </c>
      <c r="M246" s="17">
        <f t="shared" si="122"/>
        <v>0</v>
      </c>
      <c r="N246" s="17">
        <f t="shared" si="122"/>
        <v>0</v>
      </c>
      <c r="O246" s="17">
        <f t="shared" si="122"/>
        <v>0</v>
      </c>
      <c r="P246" s="17">
        <f t="shared" ref="P246:V246" si="123">+SUM(P206:P209)-P113</f>
        <v>0</v>
      </c>
      <c r="Q246" s="17">
        <f t="shared" si="123"/>
        <v>0</v>
      </c>
      <c r="R246" s="17">
        <f t="shared" si="123"/>
        <v>0</v>
      </c>
      <c r="S246" s="17">
        <f t="shared" si="123"/>
        <v>0</v>
      </c>
      <c r="T246" s="17">
        <f t="shared" si="123"/>
        <v>0</v>
      </c>
      <c r="U246" s="17">
        <f t="shared" si="123"/>
        <v>0</v>
      </c>
      <c r="V246" s="17">
        <f t="shared" si="123"/>
        <v>0</v>
      </c>
      <c r="W246" s="17">
        <f t="shared" ref="W246:AC246" si="124">+SUM(W206:W209)-W113</f>
        <v>0</v>
      </c>
      <c r="X246" s="17">
        <f t="shared" si="124"/>
        <v>0</v>
      </c>
      <c r="Y246" s="17">
        <f t="shared" si="124"/>
        <v>0</v>
      </c>
      <c r="Z246" s="17">
        <f t="shared" si="124"/>
        <v>0</v>
      </c>
      <c r="AA246" s="17">
        <f>+SUM(AA206:AA209)-AA113</f>
        <v>0</v>
      </c>
      <c r="AB246" s="17">
        <f t="shared" si="124"/>
        <v>0</v>
      </c>
      <c r="AC246" s="17">
        <f t="shared" si="124"/>
        <v>0</v>
      </c>
      <c r="AD246" s="17">
        <f t="shared" ref="AD246:AF246" si="125">+SUM(AD206:AD209)-AD113</f>
        <v>0</v>
      </c>
      <c r="AE246" s="17">
        <f t="shared" si="125"/>
        <v>0</v>
      </c>
      <c r="AF246" s="17">
        <f t="shared" si="125"/>
        <v>0</v>
      </c>
      <c r="AG246" s="17">
        <f t="shared" ref="AG246:AJ246" si="126">+SUM(AG206:AG209)-AG113</f>
        <v>0</v>
      </c>
      <c r="AH246" s="17">
        <f t="shared" si="126"/>
        <v>0</v>
      </c>
      <c r="AI246" s="17">
        <f t="shared" si="126"/>
        <v>0</v>
      </c>
      <c r="AJ246" s="17">
        <f t="shared" si="126"/>
        <v>0</v>
      </c>
    </row>
    <row r="247" spans="1:36" s="12" customFormat="1" ht="409.6" x14ac:dyDescent="0.25">
      <c r="A247" s="28" t="s">
        <v>254</v>
      </c>
      <c r="B247" s="28"/>
      <c r="C247" s="17">
        <f t="shared" ref="C247:H247" si="127">+SUM(C212:C214)-C155</f>
        <v>0</v>
      </c>
      <c r="D247" s="17">
        <f t="shared" si="127"/>
        <v>0</v>
      </c>
      <c r="E247" s="17">
        <f t="shared" si="127"/>
        <v>0</v>
      </c>
      <c r="F247" s="17">
        <f t="shared" si="127"/>
        <v>0</v>
      </c>
      <c r="G247" s="17">
        <f t="shared" si="127"/>
        <v>0</v>
      </c>
      <c r="H247" s="17">
        <f t="shared" si="127"/>
        <v>0</v>
      </c>
      <c r="I247" s="17">
        <f t="shared" ref="I247:O247" si="128">+SUM(I212:I214)-I155</f>
        <v>0</v>
      </c>
      <c r="J247" s="17">
        <f t="shared" si="128"/>
        <v>0</v>
      </c>
      <c r="K247" s="17">
        <f t="shared" si="128"/>
        <v>0</v>
      </c>
      <c r="L247" s="17">
        <f t="shared" si="128"/>
        <v>0</v>
      </c>
      <c r="M247" s="17">
        <f t="shared" si="128"/>
        <v>0</v>
      </c>
      <c r="N247" s="17">
        <f t="shared" si="128"/>
        <v>0</v>
      </c>
      <c r="O247" s="17">
        <f t="shared" si="128"/>
        <v>0</v>
      </c>
      <c r="P247" s="17">
        <f t="shared" ref="P247:V247" si="129">+SUM(P212:P214)-P155</f>
        <v>0</v>
      </c>
      <c r="Q247" s="17">
        <f t="shared" si="129"/>
        <v>0</v>
      </c>
      <c r="R247" s="17">
        <f t="shared" si="129"/>
        <v>0</v>
      </c>
      <c r="S247" s="17">
        <f t="shared" si="129"/>
        <v>0</v>
      </c>
      <c r="T247" s="17">
        <f t="shared" si="129"/>
        <v>0</v>
      </c>
      <c r="U247" s="17">
        <f t="shared" si="129"/>
        <v>0</v>
      </c>
      <c r="V247" s="17">
        <f t="shared" si="129"/>
        <v>0</v>
      </c>
      <c r="W247" s="17">
        <f t="shared" ref="W247:AC247" si="130">+SUM(W212:W214)-W155</f>
        <v>0</v>
      </c>
      <c r="X247" s="17">
        <f t="shared" si="130"/>
        <v>0</v>
      </c>
      <c r="Y247" s="17">
        <f t="shared" si="130"/>
        <v>0</v>
      </c>
      <c r="Z247" s="17">
        <f t="shared" si="130"/>
        <v>0</v>
      </c>
      <c r="AA247" s="17">
        <f>+SUM(AA212:AA214)-AA155</f>
        <v>0</v>
      </c>
      <c r="AB247" s="17">
        <f t="shared" si="130"/>
        <v>0</v>
      </c>
      <c r="AC247" s="17">
        <f t="shared" si="130"/>
        <v>0</v>
      </c>
      <c r="AD247" s="17">
        <f t="shared" ref="AD247:AF247" si="131">+SUM(AD212:AD214)-AD155</f>
        <v>0</v>
      </c>
      <c r="AE247" s="17">
        <f t="shared" si="131"/>
        <v>0</v>
      </c>
      <c r="AF247" s="17">
        <f t="shared" si="131"/>
        <v>0</v>
      </c>
      <c r="AG247" s="17">
        <f t="shared" ref="AG247:AJ247" si="132">+SUM(AG212:AG214)-AG155</f>
        <v>0</v>
      </c>
      <c r="AH247" s="17">
        <f t="shared" si="132"/>
        <v>0</v>
      </c>
      <c r="AI247" s="17">
        <f t="shared" si="132"/>
        <v>0</v>
      </c>
      <c r="AJ247" s="17">
        <f t="shared" si="132"/>
        <v>0</v>
      </c>
    </row>
    <row r="248" spans="1:36" s="12" customFormat="1" ht="409.6" x14ac:dyDescent="0.25">
      <c r="A248" s="28" t="s">
        <v>282</v>
      </c>
      <c r="B248" s="28"/>
      <c r="C248" s="17">
        <f t="shared" ref="C248:H248" si="133">+SUM(C217:C219)-C156</f>
        <v>0</v>
      </c>
      <c r="D248" s="17">
        <f t="shared" si="133"/>
        <v>0</v>
      </c>
      <c r="E248" s="17">
        <f t="shared" si="133"/>
        <v>0</v>
      </c>
      <c r="F248" s="17">
        <f t="shared" si="133"/>
        <v>0</v>
      </c>
      <c r="G248" s="17">
        <f t="shared" si="133"/>
        <v>0</v>
      </c>
      <c r="H248" s="17">
        <f t="shared" si="133"/>
        <v>0</v>
      </c>
      <c r="I248" s="17">
        <f t="shared" ref="I248:O248" si="134">+SUM(I217:I219)-I156</f>
        <v>0</v>
      </c>
      <c r="J248" s="17">
        <f t="shared" si="134"/>
        <v>0</v>
      </c>
      <c r="K248" s="17">
        <f t="shared" si="134"/>
        <v>0</v>
      </c>
      <c r="L248" s="17">
        <f t="shared" si="134"/>
        <v>0</v>
      </c>
      <c r="M248" s="17">
        <f t="shared" si="134"/>
        <v>0</v>
      </c>
      <c r="N248" s="17">
        <f t="shared" si="134"/>
        <v>0</v>
      </c>
      <c r="O248" s="17">
        <f t="shared" si="134"/>
        <v>0</v>
      </c>
      <c r="P248" s="17">
        <f t="shared" ref="P248:V248" si="135">+SUM(P217:P219)-P156</f>
        <v>0</v>
      </c>
      <c r="Q248" s="17">
        <f t="shared" si="135"/>
        <v>0</v>
      </c>
      <c r="R248" s="17">
        <f t="shared" si="135"/>
        <v>0</v>
      </c>
      <c r="S248" s="17">
        <f t="shared" si="135"/>
        <v>0</v>
      </c>
      <c r="T248" s="17">
        <f t="shared" si="135"/>
        <v>0</v>
      </c>
      <c r="U248" s="17">
        <f t="shared" si="135"/>
        <v>0</v>
      </c>
      <c r="V248" s="17">
        <f t="shared" si="135"/>
        <v>0</v>
      </c>
      <c r="W248" s="17">
        <f t="shared" ref="W248:AC248" si="136">+SUM(W217:W219)-W156</f>
        <v>0</v>
      </c>
      <c r="X248" s="17">
        <f t="shared" si="136"/>
        <v>0</v>
      </c>
      <c r="Y248" s="17">
        <f t="shared" si="136"/>
        <v>0</v>
      </c>
      <c r="Z248" s="17">
        <f t="shared" si="136"/>
        <v>0</v>
      </c>
      <c r="AA248" s="17">
        <f>+SUM(AA217:AA219)-AA156</f>
        <v>0</v>
      </c>
      <c r="AB248" s="17">
        <f t="shared" si="136"/>
        <v>0</v>
      </c>
      <c r="AC248" s="17">
        <f t="shared" si="136"/>
        <v>0</v>
      </c>
      <c r="AD248" s="17">
        <f t="shared" ref="AD248:AF248" si="137">+SUM(AD217:AD219)-AD156</f>
        <v>0</v>
      </c>
      <c r="AE248" s="17">
        <f t="shared" si="137"/>
        <v>0</v>
      </c>
      <c r="AF248" s="17">
        <f t="shared" si="137"/>
        <v>0</v>
      </c>
      <c r="AG248" s="17">
        <f t="shared" ref="AG248:AJ248" si="138">+SUM(AG217:AG219)-AG156</f>
        <v>0</v>
      </c>
      <c r="AH248" s="17">
        <f t="shared" si="138"/>
        <v>0</v>
      </c>
      <c r="AI248" s="17">
        <f t="shared" si="138"/>
        <v>0</v>
      </c>
      <c r="AJ248" s="17">
        <f t="shared" si="138"/>
        <v>0</v>
      </c>
    </row>
    <row r="249" spans="1:36" s="12" customFormat="1" ht="409.6" x14ac:dyDescent="0.25">
      <c r="A249" s="397" t="s">
        <v>101</v>
      </c>
      <c r="B249" s="397"/>
      <c r="C249" s="2">
        <f t="shared" ref="C249:H249" si="139">+C173-SUM(C221:C224)</f>
        <v>0</v>
      </c>
      <c r="D249" s="2">
        <f t="shared" si="139"/>
        <v>0</v>
      </c>
      <c r="E249" s="2">
        <f t="shared" si="139"/>
        <v>0</v>
      </c>
      <c r="F249" s="2">
        <f t="shared" si="139"/>
        <v>0</v>
      </c>
      <c r="G249" s="2">
        <f t="shared" si="139"/>
        <v>0</v>
      </c>
      <c r="H249" s="2">
        <f t="shared" si="139"/>
        <v>0</v>
      </c>
      <c r="I249" s="2">
        <f t="shared" ref="I249:O249" si="140">+I173-SUM(I221:I224)</f>
        <v>0</v>
      </c>
      <c r="J249" s="2">
        <f t="shared" si="140"/>
        <v>0</v>
      </c>
      <c r="K249" s="2">
        <f t="shared" si="140"/>
        <v>0</v>
      </c>
      <c r="L249" s="2">
        <f t="shared" si="140"/>
        <v>0</v>
      </c>
      <c r="M249" s="2">
        <f t="shared" si="140"/>
        <v>0</v>
      </c>
      <c r="N249" s="2">
        <f t="shared" si="140"/>
        <v>0</v>
      </c>
      <c r="O249" s="2">
        <f t="shared" si="140"/>
        <v>0</v>
      </c>
      <c r="P249" s="2">
        <f t="shared" ref="P249:V249" si="141">+P173-SUM(P221:P224)</f>
        <v>0</v>
      </c>
      <c r="Q249" s="2">
        <f t="shared" si="141"/>
        <v>0</v>
      </c>
      <c r="R249" s="2">
        <f t="shared" si="141"/>
        <v>0</v>
      </c>
      <c r="S249" s="2">
        <f t="shared" si="141"/>
        <v>0</v>
      </c>
      <c r="T249" s="2">
        <f t="shared" si="141"/>
        <v>0</v>
      </c>
      <c r="U249" s="2">
        <f t="shared" si="141"/>
        <v>0</v>
      </c>
      <c r="V249" s="2">
        <f t="shared" si="141"/>
        <v>0</v>
      </c>
      <c r="W249" s="2">
        <f t="shared" ref="W249:AC249" si="142">+W173-SUM(W221:W224)</f>
        <v>0</v>
      </c>
      <c r="X249" s="2">
        <f t="shared" si="142"/>
        <v>0</v>
      </c>
      <c r="Y249" s="2">
        <f t="shared" si="142"/>
        <v>0</v>
      </c>
      <c r="Z249" s="2">
        <f t="shared" si="142"/>
        <v>0</v>
      </c>
      <c r="AA249" s="2">
        <f>+AA173-SUM(AA221:AA224)</f>
        <v>0</v>
      </c>
      <c r="AB249" s="2">
        <f t="shared" si="142"/>
        <v>0</v>
      </c>
      <c r="AC249" s="2">
        <f t="shared" si="142"/>
        <v>0</v>
      </c>
      <c r="AD249" s="2">
        <f t="shared" ref="AD249:AF249" si="143">+AD173-SUM(AD221:AD224)</f>
        <v>0</v>
      </c>
      <c r="AE249" s="2">
        <f t="shared" si="143"/>
        <v>0</v>
      </c>
      <c r="AF249" s="2">
        <f t="shared" si="143"/>
        <v>0</v>
      </c>
      <c r="AG249" s="2">
        <f t="shared" ref="AG249:AJ249" si="144">+AG173-SUM(AG221:AG224)</f>
        <v>0</v>
      </c>
      <c r="AH249" s="2">
        <f t="shared" si="144"/>
        <v>0</v>
      </c>
      <c r="AI249" s="2">
        <f t="shared" si="144"/>
        <v>0</v>
      </c>
      <c r="AJ249" s="2">
        <f t="shared" si="144"/>
        <v>0</v>
      </c>
    </row>
    <row r="250" spans="1:36" s="12" customFormat="1" ht="409.6" x14ac:dyDescent="0.25">
      <c r="A250" t="s">
        <v>187</v>
      </c>
      <c r="B250"/>
      <c r="C250" s="2">
        <f t="shared" ref="C250:H250" si="145">+C174-SUM(C226:C229)</f>
        <v>0</v>
      </c>
      <c r="D250" s="2">
        <f t="shared" si="145"/>
        <v>0</v>
      </c>
      <c r="E250" s="2">
        <f t="shared" si="145"/>
        <v>0</v>
      </c>
      <c r="F250" s="2">
        <f t="shared" si="145"/>
        <v>0</v>
      </c>
      <c r="G250" s="2">
        <f t="shared" si="145"/>
        <v>0</v>
      </c>
      <c r="H250" s="2">
        <f t="shared" si="145"/>
        <v>0</v>
      </c>
      <c r="I250" s="2">
        <f t="shared" ref="I250:O250" si="146">+I174-SUM(I226:I229)</f>
        <v>0</v>
      </c>
      <c r="J250" s="2">
        <f t="shared" si="146"/>
        <v>0</v>
      </c>
      <c r="K250" s="2">
        <f t="shared" si="146"/>
        <v>0</v>
      </c>
      <c r="L250" s="2">
        <f t="shared" si="146"/>
        <v>0</v>
      </c>
      <c r="M250" s="2">
        <f t="shared" si="146"/>
        <v>0</v>
      </c>
      <c r="N250" s="2">
        <f t="shared" si="146"/>
        <v>0</v>
      </c>
      <c r="O250" s="2">
        <f t="shared" si="146"/>
        <v>0</v>
      </c>
      <c r="P250" s="2">
        <f t="shared" ref="P250:V250" si="147">+P174-SUM(P226:P229)</f>
        <v>0</v>
      </c>
      <c r="Q250" s="2">
        <f t="shared" si="147"/>
        <v>0</v>
      </c>
      <c r="R250" s="2">
        <f t="shared" si="147"/>
        <v>0</v>
      </c>
      <c r="S250" s="2">
        <f t="shared" si="147"/>
        <v>0</v>
      </c>
      <c r="T250" s="2">
        <f t="shared" si="147"/>
        <v>0</v>
      </c>
      <c r="U250" s="2">
        <f t="shared" si="147"/>
        <v>0</v>
      </c>
      <c r="V250" s="2">
        <f t="shared" si="147"/>
        <v>0</v>
      </c>
      <c r="W250" s="2">
        <f t="shared" ref="W250:AC250" si="148">+W174-SUM(W226:W229)</f>
        <v>0</v>
      </c>
      <c r="X250" s="2">
        <f t="shared" si="148"/>
        <v>0</v>
      </c>
      <c r="Y250" s="2">
        <f t="shared" si="148"/>
        <v>0</v>
      </c>
      <c r="Z250" s="2">
        <f t="shared" si="148"/>
        <v>0</v>
      </c>
      <c r="AA250" s="2">
        <f>+AA174-SUM(AA226:AA229)</f>
        <v>0</v>
      </c>
      <c r="AB250" s="2">
        <f t="shared" si="148"/>
        <v>0</v>
      </c>
      <c r="AC250" s="2">
        <f t="shared" si="148"/>
        <v>0</v>
      </c>
      <c r="AD250" s="2">
        <f t="shared" ref="AD250:AF250" si="149">+AD174-SUM(AD226:AD229)</f>
        <v>0</v>
      </c>
      <c r="AE250" s="2">
        <f t="shared" si="149"/>
        <v>0</v>
      </c>
      <c r="AF250" s="2">
        <f t="shared" si="149"/>
        <v>0</v>
      </c>
      <c r="AG250" s="2">
        <f t="shared" ref="AG250:AJ250" si="150">+AG174-SUM(AG226:AG229)</f>
        <v>0</v>
      </c>
      <c r="AH250" s="2">
        <f t="shared" si="150"/>
        <v>0</v>
      </c>
      <c r="AI250" s="2">
        <f t="shared" si="150"/>
        <v>0</v>
      </c>
      <c r="AJ250" s="2">
        <f t="shared" si="150"/>
        <v>0</v>
      </c>
    </row>
    <row r="251" spans="1:36" s="12" customFormat="1" ht="409.6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1:36" s="12" customFormat="1" ht="409.6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1:36" s="12" customFormat="1" ht="409.6" x14ac:dyDescent="0.25">
      <c r="A253" t="s">
        <v>306</v>
      </c>
      <c r="B253"/>
      <c r="C253" s="13">
        <f t="shared" ref="C253:H253" si="151">+SUM(C113:C125)</f>
        <v>148377</v>
      </c>
      <c r="D253" s="13">
        <f t="shared" si="151"/>
        <v>149156</v>
      </c>
      <c r="E253" s="13">
        <f t="shared" si="151"/>
        <v>145862</v>
      </c>
      <c r="F253" s="13">
        <f t="shared" si="151"/>
        <v>148760</v>
      </c>
      <c r="G253" s="13">
        <f t="shared" si="151"/>
        <v>104406</v>
      </c>
      <c r="H253" s="13">
        <f t="shared" si="151"/>
        <v>42231</v>
      </c>
      <c r="I253" s="13">
        <f t="shared" ref="I253:O253" si="152">+SUM(I113:I125)</f>
        <v>150775</v>
      </c>
      <c r="J253" s="13">
        <f t="shared" si="152"/>
        <v>152180</v>
      </c>
      <c r="K253" s="13">
        <f t="shared" si="152"/>
        <v>152318</v>
      </c>
      <c r="L253" s="13">
        <f t="shared" si="152"/>
        <v>151371</v>
      </c>
      <c r="M253" s="13">
        <f t="shared" si="152"/>
        <v>151484</v>
      </c>
      <c r="N253" s="13">
        <f t="shared" si="152"/>
        <v>104569</v>
      </c>
      <c r="O253" s="13">
        <f t="shared" si="152"/>
        <v>40411</v>
      </c>
      <c r="P253" s="13">
        <f t="shared" ref="P253:V253" si="153">+SUM(P113:P125)</f>
        <v>140811</v>
      </c>
      <c r="Q253" s="13">
        <f t="shared" si="153"/>
        <v>99401</v>
      </c>
      <c r="R253" s="13">
        <f t="shared" si="153"/>
        <v>120852</v>
      </c>
      <c r="S253" s="13">
        <f t="shared" si="153"/>
        <v>129629</v>
      </c>
      <c r="T253" s="13">
        <f t="shared" si="153"/>
        <v>149826</v>
      </c>
      <c r="U253" s="13">
        <f t="shared" si="153"/>
        <v>104760</v>
      </c>
      <c r="V253" s="13">
        <f t="shared" si="153"/>
        <v>40633</v>
      </c>
      <c r="W253" s="13">
        <f t="shared" ref="W253:AC253" si="154">+SUM(W113:W125)</f>
        <v>152086</v>
      </c>
      <c r="X253" s="13">
        <f t="shared" si="154"/>
        <v>152391</v>
      </c>
      <c r="Y253" s="13">
        <f t="shared" si="154"/>
        <v>151581</v>
      </c>
      <c r="Z253" s="13">
        <f t="shared" si="154"/>
        <v>150441</v>
      </c>
      <c r="AA253" s="13">
        <f>+SUM(AA113:AA125)</f>
        <v>153847</v>
      </c>
      <c r="AB253" s="13">
        <f t="shared" si="154"/>
        <v>106107</v>
      </c>
      <c r="AC253" s="13">
        <f t="shared" si="154"/>
        <v>40612</v>
      </c>
      <c r="AD253" s="13">
        <f t="shared" ref="AD253:AF253" si="155">+SUM(AD113:AD125)</f>
        <v>153328</v>
      </c>
      <c r="AE253" s="13">
        <f t="shared" si="155"/>
        <v>156323</v>
      </c>
      <c r="AF253" s="13">
        <f t="shared" si="155"/>
        <v>157855</v>
      </c>
      <c r="AG253" s="13">
        <f t="shared" ref="AG253:AJ253" si="156">+SUM(AG113:AG125)</f>
        <v>156407</v>
      </c>
      <c r="AH253" s="13">
        <f t="shared" si="156"/>
        <v>158527</v>
      </c>
      <c r="AI253" s="13">
        <f t="shared" si="156"/>
        <v>111338</v>
      </c>
      <c r="AJ253" s="13">
        <f t="shared" si="156"/>
        <v>41986</v>
      </c>
    </row>
    <row r="254" spans="1:36" s="12" customFormat="1" ht="409.6" x14ac:dyDescent="0.25">
      <c r="A254" t="s">
        <v>307</v>
      </c>
      <c r="B254"/>
      <c r="C254" s="13">
        <f t="shared" ref="C254:H254" si="157">+SUM(C20:C40)</f>
        <v>333596</v>
      </c>
      <c r="D254" s="13">
        <f t="shared" si="157"/>
        <v>349104</v>
      </c>
      <c r="E254" s="13">
        <f t="shared" si="157"/>
        <v>348983</v>
      </c>
      <c r="F254" s="13">
        <f t="shared" si="157"/>
        <v>350209</v>
      </c>
      <c r="G254" s="13">
        <f t="shared" si="157"/>
        <v>208064</v>
      </c>
      <c r="H254" s="13">
        <f t="shared" si="157"/>
        <v>87984</v>
      </c>
      <c r="I254" s="13">
        <f t="shared" ref="I254:O254" si="158">+SUM(I20:I40)</f>
        <v>348207</v>
      </c>
      <c r="J254" s="13">
        <f t="shared" si="158"/>
        <v>356285</v>
      </c>
      <c r="K254" s="13">
        <f t="shared" si="158"/>
        <v>349170</v>
      </c>
      <c r="L254" s="13">
        <f t="shared" si="158"/>
        <v>354093</v>
      </c>
      <c r="M254" s="13">
        <f t="shared" si="158"/>
        <v>351484</v>
      </c>
      <c r="N254" s="13">
        <f t="shared" si="158"/>
        <v>209183</v>
      </c>
      <c r="O254" s="13">
        <f t="shared" si="158"/>
        <v>85708</v>
      </c>
      <c r="P254" s="13">
        <f t="shared" ref="P254:V254" si="159">+SUM(P20:P40)</f>
        <v>352521</v>
      </c>
      <c r="Q254" s="13">
        <f t="shared" si="159"/>
        <v>347108</v>
      </c>
      <c r="R254" s="13">
        <f t="shared" si="159"/>
        <v>346198</v>
      </c>
      <c r="S254" s="13">
        <f t="shared" si="159"/>
        <v>350176</v>
      </c>
      <c r="T254" s="13">
        <f t="shared" si="159"/>
        <v>358249</v>
      </c>
      <c r="U254" s="13">
        <f t="shared" si="159"/>
        <v>214679</v>
      </c>
      <c r="V254" s="13">
        <f t="shared" si="159"/>
        <v>88144</v>
      </c>
      <c r="W254" s="13">
        <f t="shared" ref="W254:AC254" si="160">+SUM(W20:W40)</f>
        <v>354940</v>
      </c>
      <c r="X254" s="13">
        <f t="shared" si="160"/>
        <v>357625</v>
      </c>
      <c r="Y254" s="13">
        <f t="shared" si="160"/>
        <v>354720</v>
      </c>
      <c r="Z254" s="13">
        <f t="shared" si="160"/>
        <v>349888</v>
      </c>
      <c r="AA254" s="13">
        <f>+SUM(AA20:AA40)</f>
        <v>354511</v>
      </c>
      <c r="AB254" s="13">
        <f t="shared" si="160"/>
        <v>216354</v>
      </c>
      <c r="AC254" s="13">
        <f t="shared" si="160"/>
        <v>86685</v>
      </c>
      <c r="AD254" s="13">
        <f t="shared" ref="AD254:AF254" si="161">+SUM(AD20:AD40)</f>
        <v>355865</v>
      </c>
      <c r="AE254" s="13">
        <f t="shared" si="161"/>
        <v>359613</v>
      </c>
      <c r="AF254" s="13">
        <f t="shared" si="161"/>
        <v>357737</v>
      </c>
      <c r="AG254" s="13">
        <f t="shared" ref="AG254:AJ254" si="162">+SUM(AG20:AG40)</f>
        <v>359516</v>
      </c>
      <c r="AH254" s="13">
        <f t="shared" si="162"/>
        <v>364679</v>
      </c>
      <c r="AI254" s="13">
        <f t="shared" si="162"/>
        <v>223182</v>
      </c>
      <c r="AJ254" s="13">
        <f t="shared" si="162"/>
        <v>85547</v>
      </c>
    </row>
    <row r="255" spans="1:36" s="12" customFormat="1" ht="409.6" x14ac:dyDescent="0.25">
      <c r="A255" t="s">
        <v>308</v>
      </c>
      <c r="B255"/>
      <c r="C255" s="13">
        <f t="shared" ref="C255:H255" si="163">+SUM(C156:C171)</f>
        <v>129011</v>
      </c>
      <c r="D255" s="13">
        <f t="shared" si="163"/>
        <v>128287</v>
      </c>
      <c r="E255" s="13">
        <f t="shared" si="163"/>
        <v>125556</v>
      </c>
      <c r="F255" s="13">
        <f t="shared" si="163"/>
        <v>129500</v>
      </c>
      <c r="G255" s="13">
        <f t="shared" si="163"/>
        <v>84867</v>
      </c>
      <c r="H255" s="13">
        <f t="shared" si="163"/>
        <v>34982</v>
      </c>
      <c r="I255" s="13">
        <f t="shared" ref="I255:O255" si="164">+SUM(I156:I171)</f>
        <v>128188</v>
      </c>
      <c r="J255" s="13">
        <f t="shared" si="164"/>
        <v>131067</v>
      </c>
      <c r="K255" s="13">
        <f t="shared" si="164"/>
        <v>132928</v>
      </c>
      <c r="L255" s="13">
        <f t="shared" si="164"/>
        <v>131465</v>
      </c>
      <c r="M255" s="13">
        <f t="shared" si="164"/>
        <v>131782</v>
      </c>
      <c r="N255" s="13">
        <f t="shared" si="164"/>
        <v>84801</v>
      </c>
      <c r="O255" s="13">
        <f t="shared" si="164"/>
        <v>33831</v>
      </c>
      <c r="P255" s="13">
        <f t="shared" ref="P255:V255" si="165">+SUM(P156:P171)</f>
        <v>131162</v>
      </c>
      <c r="Q255" s="13">
        <f t="shared" si="165"/>
        <v>132731</v>
      </c>
      <c r="R255" s="13">
        <f t="shared" si="165"/>
        <v>134017</v>
      </c>
      <c r="S255" s="13">
        <f t="shared" si="165"/>
        <v>133399</v>
      </c>
      <c r="T255" s="13">
        <f t="shared" si="165"/>
        <v>134920</v>
      </c>
      <c r="U255" s="13">
        <f t="shared" si="165"/>
        <v>87394</v>
      </c>
      <c r="V255" s="13">
        <f t="shared" si="165"/>
        <v>34492</v>
      </c>
      <c r="W255" s="13">
        <f t="shared" ref="W255:AC255" si="166">+SUM(W156:W171)</f>
        <v>130704</v>
      </c>
      <c r="X255" s="13">
        <f t="shared" si="166"/>
        <v>132331</v>
      </c>
      <c r="Y255" s="13">
        <f t="shared" si="166"/>
        <v>132058</v>
      </c>
      <c r="Z255" s="13">
        <f t="shared" si="166"/>
        <v>131337</v>
      </c>
      <c r="AA255" s="13">
        <f>+SUM(AA156:AA171)</f>
        <v>133239</v>
      </c>
      <c r="AB255" s="13">
        <f t="shared" si="166"/>
        <v>87520</v>
      </c>
      <c r="AC255" s="13">
        <f t="shared" si="166"/>
        <v>34130</v>
      </c>
      <c r="AD255" s="13">
        <f t="shared" ref="AD255:AF255" si="167">+SUM(AD156:AD171)</f>
        <v>131249</v>
      </c>
      <c r="AE255" s="13">
        <f t="shared" si="167"/>
        <v>136420</v>
      </c>
      <c r="AF255" s="13">
        <f t="shared" si="167"/>
        <v>137325</v>
      </c>
      <c r="AG255" s="13">
        <f t="shared" ref="AG255:AJ255" si="168">+SUM(AG156:AG171)</f>
        <v>135289</v>
      </c>
      <c r="AH255" s="13">
        <f t="shared" si="168"/>
        <v>138200</v>
      </c>
      <c r="AI255" s="13">
        <f t="shared" si="168"/>
        <v>91121</v>
      </c>
      <c r="AJ255" s="13">
        <f t="shared" si="168"/>
        <v>34878</v>
      </c>
    </row>
    <row r="256" spans="1:36" s="12" customFormat="1" ht="409.6" x14ac:dyDescent="0.25">
      <c r="A256" t="s">
        <v>309</v>
      </c>
      <c r="B256"/>
      <c r="C256" s="13">
        <f t="shared" ref="C256:H256" si="169">+SUM(C74:C87)</f>
        <v>39527</v>
      </c>
      <c r="D256" s="13">
        <f t="shared" si="169"/>
        <v>39537</v>
      </c>
      <c r="E256" s="13">
        <f t="shared" si="169"/>
        <v>39869</v>
      </c>
      <c r="F256" s="13">
        <f t="shared" si="169"/>
        <v>37566</v>
      </c>
      <c r="G256" s="13">
        <f t="shared" si="169"/>
        <v>26089</v>
      </c>
      <c r="H256" s="13">
        <f t="shared" si="169"/>
        <v>7698</v>
      </c>
      <c r="I256" s="13">
        <f t="shared" ref="I256:O256" si="170">+SUM(I74:I87)</f>
        <v>39337</v>
      </c>
      <c r="J256" s="13">
        <f t="shared" si="170"/>
        <v>38854</v>
      </c>
      <c r="K256" s="13">
        <f t="shared" si="170"/>
        <v>38779</v>
      </c>
      <c r="L256" s="13">
        <f t="shared" si="170"/>
        <v>38859</v>
      </c>
      <c r="M256" s="13">
        <f t="shared" si="170"/>
        <v>39183</v>
      </c>
      <c r="N256" s="13">
        <f t="shared" si="170"/>
        <v>25173</v>
      </c>
      <c r="O256" s="13">
        <f t="shared" si="170"/>
        <v>7299</v>
      </c>
      <c r="P256" s="13">
        <f t="shared" ref="P256:V256" si="171">+SUM(P74:P87)</f>
        <v>37473</v>
      </c>
      <c r="Q256" s="13">
        <f t="shared" si="171"/>
        <v>32290</v>
      </c>
      <c r="R256" s="13">
        <f t="shared" si="171"/>
        <v>35502</v>
      </c>
      <c r="S256" s="13">
        <f t="shared" si="171"/>
        <v>36272</v>
      </c>
      <c r="T256" s="13">
        <f t="shared" si="171"/>
        <v>38578</v>
      </c>
      <c r="U256" s="13">
        <f t="shared" si="171"/>
        <v>25280</v>
      </c>
      <c r="V256" s="13">
        <f t="shared" si="171"/>
        <v>7605</v>
      </c>
      <c r="W256" s="13">
        <f t="shared" ref="W256:AC256" si="172">+SUM(W74:W87)</f>
        <v>38632</v>
      </c>
      <c r="X256" s="13">
        <f t="shared" si="172"/>
        <v>38566</v>
      </c>
      <c r="Y256" s="13">
        <f t="shared" si="172"/>
        <v>38341</v>
      </c>
      <c r="Z256" s="13">
        <f t="shared" si="172"/>
        <v>39108</v>
      </c>
      <c r="AA256" s="13">
        <f>+SUM(AA74:AA87)</f>
        <v>39054</v>
      </c>
      <c r="AB256" s="13">
        <f t="shared" si="172"/>
        <v>26151</v>
      </c>
      <c r="AC256" s="13">
        <f t="shared" si="172"/>
        <v>7667</v>
      </c>
      <c r="AD256" s="13">
        <f t="shared" ref="AD256:AF256" si="173">+SUM(AD74:AD87)</f>
        <v>39825</v>
      </c>
      <c r="AE256" s="13">
        <f t="shared" si="173"/>
        <v>40564</v>
      </c>
      <c r="AF256" s="13">
        <f t="shared" si="173"/>
        <v>41646</v>
      </c>
      <c r="AG256" s="13">
        <f t="shared" ref="AG256:AJ256" si="174">+SUM(AG74:AG87)</f>
        <v>40687</v>
      </c>
      <c r="AH256" s="13">
        <f t="shared" si="174"/>
        <v>40996</v>
      </c>
      <c r="AI256" s="13">
        <f t="shared" si="174"/>
        <v>27330</v>
      </c>
      <c r="AJ256" s="13">
        <f t="shared" si="174"/>
        <v>8135</v>
      </c>
    </row>
    <row r="257" spans="1:36" s="12" customFormat="1" ht="409.6" x14ac:dyDescent="0.25">
      <c r="A257" t="s">
        <v>310</v>
      </c>
      <c r="B257"/>
      <c r="C257" s="13">
        <f t="shared" ref="C257:H257" si="175">+SUM(C3:C6,C8:C9,C12:C19)</f>
        <v>162196</v>
      </c>
      <c r="D257" s="13">
        <f t="shared" si="175"/>
        <v>161615</v>
      </c>
      <c r="E257" s="13">
        <f t="shared" si="175"/>
        <v>161977</v>
      </c>
      <c r="F257" s="13">
        <f t="shared" si="175"/>
        <v>165057</v>
      </c>
      <c r="G257" s="13">
        <f t="shared" si="175"/>
        <v>116034</v>
      </c>
      <c r="H257" s="13">
        <f t="shared" si="175"/>
        <v>51912</v>
      </c>
      <c r="I257" s="13">
        <f t="shared" ref="I257:O257" si="176">+SUM(I3:I6,I8:I9,I12:I19)</f>
        <v>161430</v>
      </c>
      <c r="J257" s="13">
        <f t="shared" si="176"/>
        <v>164496</v>
      </c>
      <c r="K257" s="13">
        <f t="shared" si="176"/>
        <v>162645</v>
      </c>
      <c r="L257" s="13">
        <f t="shared" si="176"/>
        <v>162831</v>
      </c>
      <c r="M257" s="13">
        <f t="shared" si="176"/>
        <v>164741</v>
      </c>
      <c r="N257" s="13">
        <f t="shared" si="176"/>
        <v>115580</v>
      </c>
      <c r="O257" s="13">
        <f t="shared" si="176"/>
        <v>49691</v>
      </c>
      <c r="P257" s="13">
        <f t="shared" ref="P257:V257" si="177">+SUM(P3:P6,P8:P9,P12:P19)</f>
        <v>169819</v>
      </c>
      <c r="Q257" s="13">
        <f t="shared" si="177"/>
        <v>168460</v>
      </c>
      <c r="R257" s="13">
        <f t="shared" si="177"/>
        <v>168170</v>
      </c>
      <c r="S257" s="13">
        <f t="shared" si="177"/>
        <v>168255</v>
      </c>
      <c r="T257" s="13">
        <f t="shared" si="177"/>
        <v>170805</v>
      </c>
      <c r="U257" s="13">
        <f t="shared" si="177"/>
        <v>119019</v>
      </c>
      <c r="V257" s="13">
        <f t="shared" si="177"/>
        <v>52719</v>
      </c>
      <c r="W257" s="13">
        <f t="shared" ref="W257:AC257" si="178">+SUM(W3:W6,W8:W9,W12:W19)</f>
        <v>164135</v>
      </c>
      <c r="X257" s="13">
        <f t="shared" si="178"/>
        <v>165162</v>
      </c>
      <c r="Y257" s="13">
        <f t="shared" si="178"/>
        <v>164147</v>
      </c>
      <c r="Z257" s="13">
        <f t="shared" si="178"/>
        <v>163357</v>
      </c>
      <c r="AA257" s="13">
        <f>+SUM(AA3:AA6,AA8:AA9,AA12:AA19)</f>
        <v>168123</v>
      </c>
      <c r="AB257" s="13">
        <f t="shared" si="178"/>
        <v>119350</v>
      </c>
      <c r="AC257" s="13">
        <f t="shared" si="178"/>
        <v>52413</v>
      </c>
      <c r="AD257" s="13">
        <f t="shared" ref="AD257:AF257" si="179">+SUM(AD3:AD6,AD8:AD9,AD12:AD19)</f>
        <v>166374</v>
      </c>
      <c r="AE257" s="13">
        <f t="shared" si="179"/>
        <v>170091</v>
      </c>
      <c r="AF257" s="13">
        <f t="shared" si="179"/>
        <v>168478</v>
      </c>
      <c r="AG257" s="13">
        <f t="shared" ref="AG257:AJ257" si="180">+SUM(AG3:AG6,AG8:AG9,AG12:AG19)</f>
        <v>168642</v>
      </c>
      <c r="AH257" s="13">
        <f t="shared" si="180"/>
        <v>173052</v>
      </c>
      <c r="AI257" s="13">
        <f t="shared" si="180"/>
        <v>122818</v>
      </c>
      <c r="AJ257" s="13">
        <f t="shared" si="180"/>
        <v>52503</v>
      </c>
    </row>
    <row r="258" spans="1:36" s="12" customFormat="1" ht="409.6" x14ac:dyDescent="0.25">
      <c r="A258" t="s">
        <v>311</v>
      </c>
      <c r="B258"/>
      <c r="C258" s="13">
        <f t="shared" ref="C258:H258" si="181">+SUM(C41:C69)</f>
        <v>387633</v>
      </c>
      <c r="D258" s="13">
        <f t="shared" si="181"/>
        <v>389723</v>
      </c>
      <c r="E258" s="13">
        <f t="shared" si="181"/>
        <v>383968</v>
      </c>
      <c r="F258" s="13">
        <f t="shared" si="181"/>
        <v>385117</v>
      </c>
      <c r="G258" s="13">
        <f t="shared" si="181"/>
        <v>225020</v>
      </c>
      <c r="H258" s="13">
        <f t="shared" si="181"/>
        <v>75542</v>
      </c>
      <c r="I258" s="13">
        <f t="shared" ref="I258:O258" si="182">+SUM(I41:I69)</f>
        <v>397602</v>
      </c>
      <c r="J258" s="13">
        <f t="shared" si="182"/>
        <v>404829</v>
      </c>
      <c r="K258" s="13">
        <f t="shared" si="182"/>
        <v>395068</v>
      </c>
      <c r="L258" s="13">
        <f t="shared" si="182"/>
        <v>397952</v>
      </c>
      <c r="M258" s="13">
        <f t="shared" si="182"/>
        <v>391784</v>
      </c>
      <c r="N258" s="13">
        <f t="shared" si="182"/>
        <v>227342</v>
      </c>
      <c r="O258" s="13">
        <f t="shared" si="182"/>
        <v>71333</v>
      </c>
      <c r="P258" s="13">
        <f t="shared" ref="P258:V258" si="183">+SUM(P41:P69)</f>
        <v>397842</v>
      </c>
      <c r="Q258" s="13">
        <f t="shared" si="183"/>
        <v>379417</v>
      </c>
      <c r="R258" s="13">
        <f t="shared" si="183"/>
        <v>388453</v>
      </c>
      <c r="S258" s="13">
        <f t="shared" si="183"/>
        <v>387187</v>
      </c>
      <c r="T258" s="13">
        <f t="shared" si="183"/>
        <v>400094</v>
      </c>
      <c r="U258" s="13">
        <f t="shared" si="183"/>
        <v>231190</v>
      </c>
      <c r="V258" s="13">
        <f t="shared" si="183"/>
        <v>72738</v>
      </c>
      <c r="W258" s="13">
        <f t="shared" ref="W258:AC258" si="184">+SUM(W41:W69)</f>
        <v>406817</v>
      </c>
      <c r="X258" s="13">
        <f t="shared" si="184"/>
        <v>408509</v>
      </c>
      <c r="Y258" s="13">
        <f t="shared" si="184"/>
        <v>406886</v>
      </c>
      <c r="Z258" s="13">
        <f t="shared" si="184"/>
        <v>400175</v>
      </c>
      <c r="AA258" s="13">
        <f>+SUM(AA41:AA69)</f>
        <v>400611</v>
      </c>
      <c r="AB258" s="13">
        <f t="shared" si="184"/>
        <v>234660</v>
      </c>
      <c r="AC258" s="13">
        <f t="shared" si="184"/>
        <v>72260</v>
      </c>
      <c r="AD258" s="13">
        <f t="shared" ref="AD258:AF258" si="185">+SUM(AD41:AD69)</f>
        <v>411125</v>
      </c>
      <c r="AE258" s="13">
        <f t="shared" si="185"/>
        <v>423533</v>
      </c>
      <c r="AF258" s="13">
        <f t="shared" si="185"/>
        <v>421875</v>
      </c>
      <c r="AG258" s="13">
        <f t="shared" ref="AG258:AJ258" si="186">+SUM(AG41:AG69)</f>
        <v>417727</v>
      </c>
      <c r="AH258" s="13">
        <f t="shared" si="186"/>
        <v>379014</v>
      </c>
      <c r="AI258" s="13">
        <f t="shared" si="186"/>
        <v>225476</v>
      </c>
      <c r="AJ258" s="13">
        <f t="shared" si="186"/>
        <v>69062</v>
      </c>
    </row>
    <row r="259" spans="1:36" s="12" customFormat="1" ht="409.6" x14ac:dyDescent="0.25">
      <c r="A259" t="s">
        <v>312</v>
      </c>
      <c r="B259"/>
      <c r="C259" s="13">
        <f t="shared" ref="C259:H259" si="187">+SUM(C70:C73)</f>
        <v>0</v>
      </c>
      <c r="D259" s="13">
        <f t="shared" si="187"/>
        <v>0</v>
      </c>
      <c r="E259" s="13">
        <f t="shared" si="187"/>
        <v>0</v>
      </c>
      <c r="F259" s="13">
        <f t="shared" si="187"/>
        <v>0</v>
      </c>
      <c r="G259" s="13">
        <f t="shared" si="187"/>
        <v>0</v>
      </c>
      <c r="H259" s="13">
        <f t="shared" si="187"/>
        <v>0</v>
      </c>
      <c r="I259" s="13">
        <f t="shared" ref="I259:O259" si="188">+SUM(I70:I73)</f>
        <v>0</v>
      </c>
      <c r="J259" s="13">
        <f t="shared" si="188"/>
        <v>0</v>
      </c>
      <c r="K259" s="13">
        <f t="shared" si="188"/>
        <v>0</v>
      </c>
      <c r="L259" s="13">
        <f t="shared" si="188"/>
        <v>0</v>
      </c>
      <c r="M259" s="13">
        <f t="shared" si="188"/>
        <v>0</v>
      </c>
      <c r="N259" s="13">
        <f t="shared" si="188"/>
        <v>0</v>
      </c>
      <c r="O259" s="13">
        <f t="shared" si="188"/>
        <v>0</v>
      </c>
      <c r="P259" s="13">
        <f t="shared" ref="P259:V259" si="189">+SUM(P70:P73)</f>
        <v>0</v>
      </c>
      <c r="Q259" s="13">
        <f t="shared" si="189"/>
        <v>0</v>
      </c>
      <c r="R259" s="13">
        <f t="shared" si="189"/>
        <v>0</v>
      </c>
      <c r="S259" s="13">
        <f t="shared" si="189"/>
        <v>0</v>
      </c>
      <c r="T259" s="13">
        <f t="shared" si="189"/>
        <v>0</v>
      </c>
      <c r="U259" s="13">
        <f t="shared" si="189"/>
        <v>0</v>
      </c>
      <c r="V259" s="13">
        <f t="shared" si="189"/>
        <v>0</v>
      </c>
      <c r="W259" s="13">
        <f t="shared" ref="W259:AC259" si="190">+SUM(W70:W73)</f>
        <v>0</v>
      </c>
      <c r="X259" s="13">
        <f t="shared" si="190"/>
        <v>0</v>
      </c>
      <c r="Y259" s="13">
        <f t="shared" si="190"/>
        <v>0</v>
      </c>
      <c r="Z259" s="13">
        <f t="shared" si="190"/>
        <v>0</v>
      </c>
      <c r="AA259" s="13">
        <f>+SUM(AA70:AA73)</f>
        <v>0</v>
      </c>
      <c r="AB259" s="13">
        <f t="shared" si="190"/>
        <v>0</v>
      </c>
      <c r="AC259" s="13">
        <f t="shared" si="190"/>
        <v>0</v>
      </c>
      <c r="AD259" s="13">
        <f t="shared" ref="AD259:AF259" si="191">+SUM(AD70:AD73)</f>
        <v>0</v>
      </c>
      <c r="AE259" s="13">
        <f t="shared" si="191"/>
        <v>0</v>
      </c>
      <c r="AF259" s="13">
        <f t="shared" si="191"/>
        <v>0</v>
      </c>
      <c r="AG259" s="13">
        <f t="shared" ref="AG259:AJ259" si="192">+SUM(AG70:AG73)</f>
        <v>0</v>
      </c>
      <c r="AH259" s="13">
        <f t="shared" si="192"/>
        <v>46193</v>
      </c>
      <c r="AI259" s="13">
        <f t="shared" si="192"/>
        <v>22642</v>
      </c>
      <c r="AJ259" s="13">
        <f t="shared" si="192"/>
        <v>5260</v>
      </c>
    </row>
    <row r="260" spans="1:36" s="12" customFormat="1" ht="409.6" x14ac:dyDescent="0.25">
      <c r="A260" t="s">
        <v>313</v>
      </c>
      <c r="B260"/>
      <c r="C260" s="13">
        <f t="shared" ref="C260:H260" si="193">+SUM(C126:C149,C150:C155)</f>
        <v>198597</v>
      </c>
      <c r="D260" s="13">
        <f t="shared" si="193"/>
        <v>197232</v>
      </c>
      <c r="E260" s="13">
        <f t="shared" si="193"/>
        <v>193057</v>
      </c>
      <c r="F260" s="13">
        <f t="shared" si="193"/>
        <v>198336</v>
      </c>
      <c r="G260" s="13">
        <f t="shared" si="193"/>
        <v>134545</v>
      </c>
      <c r="H260" s="13">
        <f t="shared" si="193"/>
        <v>56774</v>
      </c>
      <c r="I260" s="13">
        <f t="shared" ref="I260:O260" si="194">+SUM(I126:I149,I150:I155)</f>
        <v>199627</v>
      </c>
      <c r="J260" s="13">
        <f t="shared" si="194"/>
        <v>204949</v>
      </c>
      <c r="K260" s="13">
        <f t="shared" si="194"/>
        <v>201748</v>
      </c>
      <c r="L260" s="13">
        <f t="shared" si="194"/>
        <v>204565</v>
      </c>
      <c r="M260" s="13">
        <f t="shared" si="194"/>
        <v>205777</v>
      </c>
      <c r="N260" s="13">
        <f t="shared" si="194"/>
        <v>138295</v>
      </c>
      <c r="O260" s="13">
        <f t="shared" si="194"/>
        <v>55185</v>
      </c>
      <c r="P260" s="13">
        <f t="shared" ref="P260:V260" si="195">+SUM(P126:P149,P150:P155)</f>
        <v>208148</v>
      </c>
      <c r="Q260" s="13">
        <f t="shared" si="195"/>
        <v>208172</v>
      </c>
      <c r="R260" s="13">
        <f t="shared" si="195"/>
        <v>206100</v>
      </c>
      <c r="S260" s="13">
        <f t="shared" si="195"/>
        <v>208352</v>
      </c>
      <c r="T260" s="13">
        <f t="shared" si="195"/>
        <v>208118</v>
      </c>
      <c r="U260" s="13">
        <f t="shared" si="195"/>
        <v>140206</v>
      </c>
      <c r="V260" s="13">
        <f t="shared" si="195"/>
        <v>54247</v>
      </c>
      <c r="W260" s="13">
        <f t="shared" ref="W260:AC260" si="196">+SUM(W126:W149,W150:W155)</f>
        <v>202197</v>
      </c>
      <c r="X260" s="13">
        <f t="shared" si="196"/>
        <v>205601</v>
      </c>
      <c r="Y260" s="13">
        <f t="shared" si="196"/>
        <v>203273</v>
      </c>
      <c r="Z260" s="13">
        <f t="shared" si="196"/>
        <v>204144</v>
      </c>
      <c r="AA260" s="13">
        <f>+SUM(AA126:AA149,AA150:AA155)</f>
        <v>207141</v>
      </c>
      <c r="AB260" s="13">
        <f t="shared" si="196"/>
        <v>139925</v>
      </c>
      <c r="AC260" s="13">
        <f t="shared" si="196"/>
        <v>59791</v>
      </c>
      <c r="AD260" s="13">
        <f t="shared" ref="AD260:AF260" si="197">+SUM(AD126:AD149,AD150:AD155)</f>
        <v>203690</v>
      </c>
      <c r="AE260" s="13">
        <f t="shared" si="197"/>
        <v>209836</v>
      </c>
      <c r="AF260" s="13">
        <f t="shared" si="197"/>
        <v>209788</v>
      </c>
      <c r="AG260" s="13">
        <f t="shared" ref="AG260:AJ260" si="198">+SUM(AG126:AG149,AG150:AG155)</f>
        <v>211460</v>
      </c>
      <c r="AH260" s="13">
        <f t="shared" si="198"/>
        <v>211562</v>
      </c>
      <c r="AI260" s="13">
        <f t="shared" si="198"/>
        <v>146539</v>
      </c>
      <c r="AJ260" s="13">
        <f t="shared" si="198"/>
        <v>56277</v>
      </c>
    </row>
    <row r="261" spans="1:36" s="12" customFormat="1" ht="409.6" x14ac:dyDescent="0.25">
      <c r="A261" t="s">
        <v>314</v>
      </c>
      <c r="B261"/>
      <c r="C261" s="13">
        <f t="shared" ref="C261:H261" si="199">+SUM(C88:C98,C100:C105,C107:C112)</f>
        <v>202976</v>
      </c>
      <c r="D261" s="13">
        <f t="shared" si="199"/>
        <v>203249</v>
      </c>
      <c r="E261" s="13">
        <f t="shared" si="199"/>
        <v>200268</v>
      </c>
      <c r="F261" s="13">
        <f t="shared" si="199"/>
        <v>207733</v>
      </c>
      <c r="G261" s="13">
        <f t="shared" si="199"/>
        <v>160856</v>
      </c>
      <c r="H261" s="13">
        <f t="shared" si="199"/>
        <v>77509</v>
      </c>
      <c r="I261" s="13">
        <f t="shared" ref="I261:O261" si="200">+SUM(I88:I98,I100:I105,I107:I112)</f>
        <v>208203</v>
      </c>
      <c r="J261" s="13">
        <f t="shared" si="200"/>
        <v>208476</v>
      </c>
      <c r="K261" s="13">
        <f t="shared" si="200"/>
        <v>207647</v>
      </c>
      <c r="L261" s="13">
        <f t="shared" si="200"/>
        <v>207677</v>
      </c>
      <c r="M261" s="13">
        <f t="shared" si="200"/>
        <v>210371</v>
      </c>
      <c r="N261" s="13">
        <f t="shared" si="200"/>
        <v>160680</v>
      </c>
      <c r="O261" s="13">
        <f t="shared" si="200"/>
        <v>74474</v>
      </c>
      <c r="P261" s="13">
        <f t="shared" ref="P261:V261" si="201">+SUM(P88:P98,P100:P105,P107:P112)</f>
        <v>210507</v>
      </c>
      <c r="Q261" s="13">
        <f t="shared" si="201"/>
        <v>211625</v>
      </c>
      <c r="R261" s="13">
        <f t="shared" si="201"/>
        <v>213380</v>
      </c>
      <c r="S261" s="13">
        <f t="shared" si="201"/>
        <v>212561</v>
      </c>
      <c r="T261" s="13">
        <f t="shared" si="201"/>
        <v>217833</v>
      </c>
      <c r="U261" s="13">
        <f t="shared" si="201"/>
        <v>166129</v>
      </c>
      <c r="V261" s="13">
        <f t="shared" si="201"/>
        <v>77743</v>
      </c>
      <c r="W261" s="13">
        <f t="shared" ref="W261:AC261" si="202">+SUM(W88:W98,W100:W105,W107:W112)</f>
        <v>213834</v>
      </c>
      <c r="X261" s="13">
        <f t="shared" si="202"/>
        <v>215485</v>
      </c>
      <c r="Y261" s="13">
        <f t="shared" si="202"/>
        <v>212672</v>
      </c>
      <c r="Z261" s="13">
        <f t="shared" si="202"/>
        <v>210316</v>
      </c>
      <c r="AA261" s="13">
        <f>+SUM(AA88:AA98,AA100:AA105,AA107:AA112)</f>
        <v>215723</v>
      </c>
      <c r="AB261" s="13">
        <f t="shared" si="202"/>
        <v>165903</v>
      </c>
      <c r="AC261" s="13">
        <f t="shared" si="202"/>
        <v>76661</v>
      </c>
      <c r="AD261" s="13">
        <f t="shared" ref="AD261:AF261" si="203">+SUM(AD88:AD98,AD100:AD105,AD107:AD112)</f>
        <v>218070</v>
      </c>
      <c r="AE261" s="13">
        <f t="shared" si="203"/>
        <v>221506</v>
      </c>
      <c r="AF261" s="13">
        <f t="shared" si="203"/>
        <v>220829</v>
      </c>
      <c r="AG261" s="13">
        <f t="shared" ref="AG261:AJ261" si="204">+SUM(AG88:AG98,AG100:AG105,AG107:AG112)</f>
        <v>220810</v>
      </c>
      <c r="AH261" s="13">
        <f t="shared" si="204"/>
        <v>224125</v>
      </c>
      <c r="AI261" s="13">
        <f t="shared" si="204"/>
        <v>172065</v>
      </c>
      <c r="AJ261" s="13">
        <f t="shared" si="204"/>
        <v>77781</v>
      </c>
    </row>
    <row r="262" spans="1:36" s="12" customFormat="1" ht="409.6" x14ac:dyDescent="0.25">
      <c r="A262"/>
      <c r="B262"/>
      <c r="C262" s="13">
        <f t="shared" ref="C262:H262" si="205">SUM(C253:C261)</f>
        <v>1601913</v>
      </c>
      <c r="D262" s="13">
        <f t="shared" si="205"/>
        <v>1617903</v>
      </c>
      <c r="E262" s="13">
        <f t="shared" si="205"/>
        <v>1599540</v>
      </c>
      <c r="F262" s="13">
        <f t="shared" si="205"/>
        <v>1622278</v>
      </c>
      <c r="G262" s="13">
        <f t="shared" si="205"/>
        <v>1059881</v>
      </c>
      <c r="H262" s="13">
        <f t="shared" si="205"/>
        <v>434632</v>
      </c>
      <c r="I262" s="13">
        <f t="shared" ref="I262:O262" si="206">SUM(I253:I261)</f>
        <v>1633369</v>
      </c>
      <c r="J262" s="13">
        <f t="shared" si="206"/>
        <v>1661136</v>
      </c>
      <c r="K262" s="13">
        <f t="shared" si="206"/>
        <v>1640303</v>
      </c>
      <c r="L262" s="13">
        <f t="shared" si="206"/>
        <v>1648813</v>
      </c>
      <c r="M262" s="13">
        <f t="shared" si="206"/>
        <v>1646606</v>
      </c>
      <c r="N262" s="13">
        <f t="shared" si="206"/>
        <v>1065623</v>
      </c>
      <c r="O262" s="13">
        <f t="shared" si="206"/>
        <v>417932</v>
      </c>
      <c r="P262" s="13">
        <f t="shared" ref="P262:V262" si="207">SUM(P253:P261)</f>
        <v>1648283</v>
      </c>
      <c r="Q262" s="13">
        <f t="shared" si="207"/>
        <v>1579204</v>
      </c>
      <c r="R262" s="13">
        <f t="shared" si="207"/>
        <v>1612672</v>
      </c>
      <c r="S262" s="13">
        <f t="shared" si="207"/>
        <v>1625831</v>
      </c>
      <c r="T262" s="13">
        <f t="shared" si="207"/>
        <v>1678423</v>
      </c>
      <c r="U262" s="13">
        <f t="shared" si="207"/>
        <v>1088657</v>
      </c>
      <c r="V262" s="13">
        <f t="shared" si="207"/>
        <v>428321</v>
      </c>
      <c r="W262" s="13">
        <f t="shared" ref="W262:AC262" si="208">SUM(W253:W261)</f>
        <v>1663345</v>
      </c>
      <c r="X262" s="13">
        <f t="shared" si="208"/>
        <v>1675670</v>
      </c>
      <c r="Y262" s="13">
        <f t="shared" si="208"/>
        <v>1663678</v>
      </c>
      <c r="Z262" s="13">
        <f t="shared" si="208"/>
        <v>1648766</v>
      </c>
      <c r="AA262" s="13">
        <f>SUM(AA253:AA261)</f>
        <v>1672249</v>
      </c>
      <c r="AB262" s="13">
        <f t="shared" si="208"/>
        <v>1095970</v>
      </c>
      <c r="AC262" s="13">
        <f t="shared" si="208"/>
        <v>430219</v>
      </c>
      <c r="AD262" s="13">
        <f t="shared" ref="AD262:AF262" si="209">SUM(AD253:AD261)</f>
        <v>1679526</v>
      </c>
      <c r="AE262" s="13">
        <f t="shared" si="209"/>
        <v>1717886</v>
      </c>
      <c r="AF262" s="13">
        <f t="shared" si="209"/>
        <v>1715533</v>
      </c>
      <c r="AG262" s="13">
        <f t="shared" ref="AG262:AJ262" si="210">SUM(AG253:AG261)</f>
        <v>1710538</v>
      </c>
      <c r="AH262" s="13">
        <f t="shared" si="210"/>
        <v>1736348</v>
      </c>
      <c r="AI262" s="13">
        <f t="shared" si="210"/>
        <v>1142511</v>
      </c>
      <c r="AJ262" s="13">
        <f t="shared" si="210"/>
        <v>431429</v>
      </c>
    </row>
    <row r="263" spans="1:36" s="12" customFormat="1" ht="409.6" x14ac:dyDescent="0.25">
      <c r="A263"/>
      <c r="B263"/>
      <c r="C263" s="2">
        <f t="shared" ref="C263:H263" si="211">+C262-C175</f>
        <v>0</v>
      </c>
      <c r="D263" s="2">
        <f t="shared" si="211"/>
        <v>0</v>
      </c>
      <c r="E263" s="2">
        <f t="shared" si="211"/>
        <v>0</v>
      </c>
      <c r="F263" s="2">
        <f t="shared" si="211"/>
        <v>0</v>
      </c>
      <c r="G263" s="2">
        <f t="shared" si="211"/>
        <v>0</v>
      </c>
      <c r="H263" s="2">
        <f t="shared" si="211"/>
        <v>0</v>
      </c>
      <c r="I263" s="2">
        <f t="shared" ref="I263:O263" si="212">+I262-I175</f>
        <v>0</v>
      </c>
      <c r="J263" s="2">
        <f t="shared" si="212"/>
        <v>0</v>
      </c>
      <c r="K263" s="2">
        <f t="shared" si="212"/>
        <v>0</v>
      </c>
      <c r="L263" s="2">
        <f t="shared" si="212"/>
        <v>0</v>
      </c>
      <c r="M263" s="2">
        <f t="shared" si="212"/>
        <v>0</v>
      </c>
      <c r="N263" s="2">
        <f t="shared" si="212"/>
        <v>0</v>
      </c>
      <c r="O263" s="2">
        <f t="shared" si="212"/>
        <v>0</v>
      </c>
      <c r="P263" s="2">
        <f t="shared" ref="P263:V263" si="213">+P262-P175</f>
        <v>0</v>
      </c>
      <c r="Q263" s="2">
        <f t="shared" si="213"/>
        <v>0</v>
      </c>
      <c r="R263" s="2">
        <f t="shared" si="213"/>
        <v>0</v>
      </c>
      <c r="S263" s="2">
        <f t="shared" si="213"/>
        <v>0</v>
      </c>
      <c r="T263" s="2">
        <f t="shared" si="213"/>
        <v>0</v>
      </c>
      <c r="U263" s="2">
        <f t="shared" si="213"/>
        <v>0</v>
      </c>
      <c r="V263" s="2">
        <f t="shared" si="213"/>
        <v>0</v>
      </c>
      <c r="W263" s="2">
        <f t="shared" ref="W263:AC263" si="214">+W262-W175</f>
        <v>0</v>
      </c>
      <c r="X263" s="2">
        <f t="shared" si="214"/>
        <v>0</v>
      </c>
      <c r="Y263" s="2">
        <f t="shared" si="214"/>
        <v>0</v>
      </c>
      <c r="Z263" s="2">
        <f t="shared" si="214"/>
        <v>0</v>
      </c>
      <c r="AA263" s="2">
        <f>+AA262-AA175</f>
        <v>0</v>
      </c>
      <c r="AB263" s="2">
        <f t="shared" si="214"/>
        <v>0</v>
      </c>
      <c r="AC263" s="2">
        <f t="shared" si="214"/>
        <v>0</v>
      </c>
      <c r="AD263" s="2">
        <f t="shared" ref="AD263:AF263" si="215">+AD262-AD175</f>
        <v>0</v>
      </c>
      <c r="AE263" s="2">
        <f t="shared" si="215"/>
        <v>0</v>
      </c>
      <c r="AF263" s="2">
        <f t="shared" si="215"/>
        <v>0</v>
      </c>
      <c r="AG263" s="2">
        <f t="shared" ref="AG263:AJ263" si="216">+AG262-AG175</f>
        <v>0</v>
      </c>
      <c r="AH263" s="2">
        <f t="shared" si="216"/>
        <v>0</v>
      </c>
      <c r="AI263" s="2">
        <f t="shared" si="216"/>
        <v>0</v>
      </c>
      <c r="AJ263" s="2">
        <f t="shared" si="216"/>
        <v>0</v>
      </c>
    </row>
    <row r="264" spans="1:36" s="12" customFormat="1" ht="409.6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</row>
    <row r="265" spans="1:36" s="12" customFormat="1" ht="409.6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</row>
    <row r="266" spans="1:36" s="12" customFormat="1" ht="409.6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</row>
    <row r="267" spans="1:36" s="12" customFormat="1" ht="409.6" x14ac:dyDescent="0.25">
      <c r="A267" t="s">
        <v>318</v>
      </c>
      <c r="B267"/>
      <c r="C267" s="4">
        <f t="shared" ref="C267:H267" si="217">+C189</f>
        <v>46277</v>
      </c>
      <c r="D267" s="4">
        <f t="shared" si="217"/>
        <v>46138</v>
      </c>
      <c r="E267" s="4">
        <f t="shared" si="217"/>
        <v>48149</v>
      </c>
      <c r="F267" s="4">
        <f t="shared" si="217"/>
        <v>47085</v>
      </c>
      <c r="G267" s="4">
        <f t="shared" si="217"/>
        <v>33404</v>
      </c>
      <c r="H267" s="4">
        <f t="shared" si="217"/>
        <v>14453</v>
      </c>
      <c r="I267" s="4">
        <f t="shared" ref="I267:O267" si="218">+I189</f>
        <v>47144</v>
      </c>
      <c r="J267" s="4">
        <f t="shared" si="218"/>
        <v>48369</v>
      </c>
      <c r="K267" s="4">
        <f t="shared" si="218"/>
        <v>47774</v>
      </c>
      <c r="L267" s="4">
        <f t="shared" si="218"/>
        <v>48380</v>
      </c>
      <c r="M267" s="4">
        <f t="shared" si="218"/>
        <v>48709</v>
      </c>
      <c r="N267" s="4">
        <f t="shared" si="218"/>
        <v>33502</v>
      </c>
      <c r="O267" s="4">
        <f t="shared" si="218"/>
        <v>14262</v>
      </c>
      <c r="P267" s="4">
        <f t="shared" ref="P267:V267" si="219">+P189</f>
        <v>48811</v>
      </c>
      <c r="Q267" s="4">
        <f t="shared" si="219"/>
        <v>47469</v>
      </c>
      <c r="R267" s="4">
        <f t="shared" si="219"/>
        <v>49242</v>
      </c>
      <c r="S267" s="4">
        <f t="shared" si="219"/>
        <v>49754</v>
      </c>
      <c r="T267" s="4">
        <f t="shared" si="219"/>
        <v>49828</v>
      </c>
      <c r="U267" s="4">
        <f t="shared" si="219"/>
        <v>34517</v>
      </c>
      <c r="V267" s="4">
        <f t="shared" si="219"/>
        <v>14860</v>
      </c>
      <c r="W267" s="4">
        <f t="shared" ref="W267:AC267" si="220">+W189</f>
        <v>48236</v>
      </c>
      <c r="X267" s="4">
        <f t="shared" si="220"/>
        <v>48428</v>
      </c>
      <c r="Y267" s="4">
        <f t="shared" si="220"/>
        <v>48531</v>
      </c>
      <c r="Z267" s="4">
        <f t="shared" si="220"/>
        <v>47023</v>
      </c>
      <c r="AA267" s="4">
        <f>+AA189</f>
        <v>48957</v>
      </c>
      <c r="AB267" s="4">
        <f t="shared" si="220"/>
        <v>34723</v>
      </c>
      <c r="AC267" s="4">
        <f t="shared" si="220"/>
        <v>14768</v>
      </c>
      <c r="AD267" s="4">
        <f t="shared" ref="AD267:AF267" si="221">+AD189</f>
        <v>48357</v>
      </c>
      <c r="AE267" s="4">
        <f t="shared" si="221"/>
        <v>48769</v>
      </c>
      <c r="AF267" s="4">
        <f t="shared" si="221"/>
        <v>48661</v>
      </c>
      <c r="AG267" s="4">
        <f t="shared" ref="AG267:AJ267" si="222">+AG189</f>
        <v>48588</v>
      </c>
      <c r="AH267" s="4">
        <f t="shared" si="222"/>
        <v>50005</v>
      </c>
      <c r="AI267" s="4">
        <f t="shared" si="222"/>
        <v>35354</v>
      </c>
      <c r="AJ267" s="4">
        <f t="shared" si="222"/>
        <v>14768</v>
      </c>
    </row>
    <row r="268" spans="1:36" s="12" customFormat="1" ht="409.6" x14ac:dyDescent="0.25">
      <c r="A268" t="s">
        <v>319</v>
      </c>
      <c r="B268"/>
      <c r="C268" s="4">
        <f t="shared" ref="C268:H268" si="223">+C190</f>
        <v>18169</v>
      </c>
      <c r="D268" s="4">
        <f t="shared" si="223"/>
        <v>17991</v>
      </c>
      <c r="E268" s="4">
        <f t="shared" si="223"/>
        <v>18412</v>
      </c>
      <c r="F268" s="4">
        <f t="shared" si="223"/>
        <v>18708</v>
      </c>
      <c r="G268" s="4">
        <f t="shared" si="223"/>
        <v>11880</v>
      </c>
      <c r="H268" s="4">
        <f t="shared" si="223"/>
        <v>5152</v>
      </c>
      <c r="I268" s="4">
        <f t="shared" ref="I268:O268" si="224">+I190</f>
        <v>18440</v>
      </c>
      <c r="J268" s="4">
        <f t="shared" si="224"/>
        <v>18440</v>
      </c>
      <c r="K268" s="4">
        <f t="shared" si="224"/>
        <v>18180</v>
      </c>
      <c r="L268" s="4">
        <f t="shared" si="224"/>
        <v>18228</v>
      </c>
      <c r="M268" s="4">
        <f t="shared" si="224"/>
        <v>18310</v>
      </c>
      <c r="N268" s="4">
        <f t="shared" si="224"/>
        <v>11885</v>
      </c>
      <c r="O268" s="4">
        <f t="shared" si="224"/>
        <v>4967</v>
      </c>
      <c r="P268" s="4">
        <f t="shared" ref="P268:V268" si="225">+P190</f>
        <v>19753</v>
      </c>
      <c r="Q268" s="4">
        <f t="shared" si="225"/>
        <v>19587</v>
      </c>
      <c r="R268" s="4">
        <f t="shared" si="225"/>
        <v>19583</v>
      </c>
      <c r="S268" s="4">
        <f t="shared" si="225"/>
        <v>19263</v>
      </c>
      <c r="T268" s="4">
        <f t="shared" si="225"/>
        <v>18679</v>
      </c>
      <c r="U268" s="4">
        <f t="shared" si="225"/>
        <v>11871</v>
      </c>
      <c r="V268" s="4">
        <f t="shared" si="225"/>
        <v>5190</v>
      </c>
      <c r="W268" s="4">
        <f t="shared" ref="W268:AC268" si="226">+W190</f>
        <v>18741</v>
      </c>
      <c r="X268" s="4">
        <f t="shared" si="226"/>
        <v>18576</v>
      </c>
      <c r="Y268" s="4">
        <f t="shared" si="226"/>
        <v>18463</v>
      </c>
      <c r="Z268" s="4">
        <f t="shared" si="226"/>
        <v>18179</v>
      </c>
      <c r="AA268" s="4">
        <f>+AA190</f>
        <v>18755</v>
      </c>
      <c r="AB268" s="4">
        <f t="shared" si="226"/>
        <v>12468</v>
      </c>
      <c r="AC268" s="4">
        <f t="shared" si="226"/>
        <v>5130</v>
      </c>
      <c r="AD268" s="4">
        <f t="shared" ref="AD268:AF268" si="227">+AD190</f>
        <v>18440</v>
      </c>
      <c r="AE268" s="4">
        <f t="shared" si="227"/>
        <v>18721</v>
      </c>
      <c r="AF268" s="4">
        <f t="shared" si="227"/>
        <v>19045</v>
      </c>
      <c r="AG268" s="4">
        <f t="shared" ref="AG268:AJ268" si="228">+AG190</f>
        <v>18854</v>
      </c>
      <c r="AH268" s="4">
        <f t="shared" si="228"/>
        <v>19517</v>
      </c>
      <c r="AI268" s="4">
        <f t="shared" si="228"/>
        <v>12643</v>
      </c>
      <c r="AJ268" s="4">
        <f t="shared" si="228"/>
        <v>5376</v>
      </c>
    </row>
    <row r="269" spans="1:36" s="12" customFormat="1" ht="409.6" x14ac:dyDescent="0.25">
      <c r="A269" t="s">
        <v>320</v>
      </c>
      <c r="B269"/>
      <c r="C269" s="4">
        <f t="shared" ref="C269:H269" si="229">+C198</f>
        <v>46919</v>
      </c>
      <c r="D269" s="4">
        <f t="shared" si="229"/>
        <v>51813</v>
      </c>
      <c r="E269" s="4">
        <f t="shared" si="229"/>
        <v>53289</v>
      </c>
      <c r="F269" s="4">
        <f t="shared" si="229"/>
        <v>52995</v>
      </c>
      <c r="G269" s="4">
        <f t="shared" si="229"/>
        <v>36696</v>
      </c>
      <c r="H269" s="4">
        <f t="shared" si="229"/>
        <v>20551</v>
      </c>
      <c r="I269" s="4">
        <f t="shared" ref="I269:O269" si="230">+I198</f>
        <v>52016</v>
      </c>
      <c r="J269" s="4">
        <f t="shared" si="230"/>
        <v>53340</v>
      </c>
      <c r="K269" s="4">
        <f t="shared" si="230"/>
        <v>52048</v>
      </c>
      <c r="L269" s="4">
        <f t="shared" si="230"/>
        <v>53340</v>
      </c>
      <c r="M269" s="4">
        <f t="shared" si="230"/>
        <v>53949</v>
      </c>
      <c r="N269" s="4">
        <f t="shared" si="230"/>
        <v>37225</v>
      </c>
      <c r="O269" s="4">
        <f t="shared" si="230"/>
        <v>19605</v>
      </c>
      <c r="P269" s="4">
        <f t="shared" ref="P269:V269" si="231">+P198</f>
        <v>53248</v>
      </c>
      <c r="Q269" s="4">
        <f t="shared" si="231"/>
        <v>52360</v>
      </c>
      <c r="R269" s="4">
        <f t="shared" si="231"/>
        <v>53194</v>
      </c>
      <c r="S269" s="4">
        <f t="shared" si="231"/>
        <v>53774</v>
      </c>
      <c r="T269" s="4">
        <f t="shared" si="231"/>
        <v>54237</v>
      </c>
      <c r="U269" s="4">
        <f t="shared" si="231"/>
        <v>38391</v>
      </c>
      <c r="V269" s="4">
        <f t="shared" si="231"/>
        <v>20294</v>
      </c>
      <c r="W269" s="4">
        <f t="shared" ref="W269:AC269" si="232">+W198</f>
        <v>52608</v>
      </c>
      <c r="X269" s="4">
        <f t="shared" si="232"/>
        <v>53361</v>
      </c>
      <c r="Y269" s="4">
        <f t="shared" si="232"/>
        <v>53524</v>
      </c>
      <c r="Z269" s="4">
        <f t="shared" si="232"/>
        <v>52826</v>
      </c>
      <c r="AA269" s="4">
        <f>+AA198</f>
        <v>53584</v>
      </c>
      <c r="AB269" s="4">
        <f t="shared" si="232"/>
        <v>37974</v>
      </c>
      <c r="AC269" s="4">
        <f t="shared" si="232"/>
        <v>19707</v>
      </c>
      <c r="AD269" s="4">
        <f t="shared" ref="AD269:AF269" si="233">+AD198</f>
        <v>52145</v>
      </c>
      <c r="AE269" s="4">
        <f t="shared" si="233"/>
        <v>53985</v>
      </c>
      <c r="AF269" s="4">
        <f t="shared" si="233"/>
        <v>52964</v>
      </c>
      <c r="AG269" s="4">
        <f t="shared" ref="AG269:AJ269" si="234">+AG198</f>
        <v>51055</v>
      </c>
      <c r="AH269" s="4">
        <f t="shared" si="234"/>
        <v>54788</v>
      </c>
      <c r="AI269" s="4">
        <f t="shared" si="234"/>
        <v>39558</v>
      </c>
      <c r="AJ269" s="4">
        <f t="shared" si="234"/>
        <v>19568</v>
      </c>
    </row>
    <row r="270" spans="1:36" s="12" customFormat="1" ht="409.6" x14ac:dyDescent="0.25">
      <c r="A270" t="s">
        <v>321</v>
      </c>
      <c r="B270"/>
      <c r="C270" s="4">
        <f t="shared" ref="C270:H270" si="235">+C199</f>
        <v>26347</v>
      </c>
      <c r="D270" s="4">
        <f t="shared" si="235"/>
        <v>28506</v>
      </c>
      <c r="E270" s="4">
        <f t="shared" si="235"/>
        <v>30215</v>
      </c>
      <c r="F270" s="4">
        <f t="shared" si="235"/>
        <v>29241</v>
      </c>
      <c r="G270" s="4">
        <f t="shared" si="235"/>
        <v>19055</v>
      </c>
      <c r="H270" s="4">
        <f t="shared" si="235"/>
        <v>10909</v>
      </c>
      <c r="I270" s="4">
        <f t="shared" ref="I270:O270" si="236">+I199</f>
        <v>28740</v>
      </c>
      <c r="J270" s="4">
        <f t="shared" si="236"/>
        <v>29271</v>
      </c>
      <c r="K270" s="4">
        <f t="shared" si="236"/>
        <v>28137</v>
      </c>
      <c r="L270" s="4">
        <f t="shared" si="236"/>
        <v>28847</v>
      </c>
      <c r="M270" s="4">
        <f t="shared" si="236"/>
        <v>29503</v>
      </c>
      <c r="N270" s="4">
        <f t="shared" si="236"/>
        <v>19167</v>
      </c>
      <c r="O270" s="4">
        <f t="shared" si="236"/>
        <v>10281</v>
      </c>
      <c r="P270" s="4">
        <f t="shared" ref="P270:V270" si="237">+P199</f>
        <v>29139</v>
      </c>
      <c r="Q270" s="4">
        <f t="shared" si="237"/>
        <v>28214</v>
      </c>
      <c r="R270" s="4">
        <f t="shared" si="237"/>
        <v>28532</v>
      </c>
      <c r="S270" s="4">
        <f t="shared" si="237"/>
        <v>28260</v>
      </c>
      <c r="T270" s="4">
        <f t="shared" si="237"/>
        <v>29412</v>
      </c>
      <c r="U270" s="4">
        <f t="shared" si="237"/>
        <v>19322</v>
      </c>
      <c r="V270" s="4">
        <f t="shared" si="237"/>
        <v>11063</v>
      </c>
      <c r="W270" s="4">
        <f t="shared" ref="W270:AC270" si="238">+W199</f>
        <v>29883</v>
      </c>
      <c r="X270" s="4">
        <f t="shared" si="238"/>
        <v>29361</v>
      </c>
      <c r="Y270" s="4">
        <f t="shared" si="238"/>
        <v>29025</v>
      </c>
      <c r="Z270" s="4">
        <f t="shared" si="238"/>
        <v>28763</v>
      </c>
      <c r="AA270" s="4">
        <f>+AA199</f>
        <v>29694</v>
      </c>
      <c r="AB270" s="4">
        <f t="shared" si="238"/>
        <v>19467</v>
      </c>
      <c r="AC270" s="4">
        <f t="shared" si="238"/>
        <v>10275</v>
      </c>
      <c r="AD270" s="4">
        <f t="shared" ref="AD270:AF270" si="239">+AD199</f>
        <v>29193</v>
      </c>
      <c r="AE270" s="4">
        <f t="shared" si="239"/>
        <v>29257</v>
      </c>
      <c r="AF270" s="4">
        <f t="shared" si="239"/>
        <v>29071</v>
      </c>
      <c r="AG270" s="4">
        <f t="shared" ref="AG270:AJ270" si="240">+AG199</f>
        <v>29223</v>
      </c>
      <c r="AH270" s="4">
        <f t="shared" si="240"/>
        <v>30493</v>
      </c>
      <c r="AI270" s="4">
        <f t="shared" si="240"/>
        <v>20401</v>
      </c>
      <c r="AJ270" s="4">
        <f t="shared" si="240"/>
        <v>10615</v>
      </c>
    </row>
    <row r="271" spans="1:36" s="12" customFormat="1" ht="409.6" x14ac:dyDescent="0.25">
      <c r="A271" t="s">
        <v>322</v>
      </c>
      <c r="B271"/>
      <c r="C271" s="4">
        <f t="shared" ref="C271:H271" si="241">+C203</f>
        <v>44120</v>
      </c>
      <c r="D271" s="4">
        <f t="shared" si="241"/>
        <v>44204</v>
      </c>
      <c r="E271" s="4">
        <f t="shared" si="241"/>
        <v>43059</v>
      </c>
      <c r="F271" s="4">
        <f t="shared" si="241"/>
        <v>44786</v>
      </c>
      <c r="G271" s="4">
        <f t="shared" si="241"/>
        <v>34368</v>
      </c>
      <c r="H271" s="4">
        <f t="shared" si="241"/>
        <v>15998</v>
      </c>
      <c r="I271" s="4">
        <f t="shared" ref="I271:O271" si="242">+I203</f>
        <v>45202</v>
      </c>
      <c r="J271" s="4">
        <f t="shared" si="242"/>
        <v>44224</v>
      </c>
      <c r="K271" s="4">
        <f t="shared" si="242"/>
        <v>45562</v>
      </c>
      <c r="L271" s="4">
        <f t="shared" si="242"/>
        <v>45875</v>
      </c>
      <c r="M271" s="4">
        <f t="shared" si="242"/>
        <v>45910</v>
      </c>
      <c r="N271" s="4">
        <f t="shared" si="242"/>
        <v>34340</v>
      </c>
      <c r="O271" s="4">
        <f t="shared" si="242"/>
        <v>14595</v>
      </c>
      <c r="P271" s="4">
        <f t="shared" ref="P271:V271" si="243">+P203</f>
        <v>43483</v>
      </c>
      <c r="Q271" s="4">
        <f t="shared" si="243"/>
        <v>46779</v>
      </c>
      <c r="R271" s="4">
        <f t="shared" si="243"/>
        <v>47963</v>
      </c>
      <c r="S271" s="4">
        <f t="shared" si="243"/>
        <v>47239</v>
      </c>
      <c r="T271" s="4">
        <f t="shared" si="243"/>
        <v>47569</v>
      </c>
      <c r="U271" s="4">
        <f t="shared" si="243"/>
        <v>35592</v>
      </c>
      <c r="V271" s="4">
        <f t="shared" si="243"/>
        <v>15479</v>
      </c>
      <c r="W271" s="4">
        <f t="shared" ref="W271:AC271" si="244">+W203</f>
        <v>46307</v>
      </c>
      <c r="X271" s="4">
        <f t="shared" si="244"/>
        <v>47159</v>
      </c>
      <c r="Y271" s="4">
        <f t="shared" si="244"/>
        <v>46511</v>
      </c>
      <c r="Z271" s="4">
        <f t="shared" si="244"/>
        <v>43781</v>
      </c>
      <c r="AA271" s="4">
        <f>+AA203</f>
        <v>47099</v>
      </c>
      <c r="AB271" s="4">
        <f t="shared" si="244"/>
        <v>35326</v>
      </c>
      <c r="AC271" s="4">
        <f t="shared" si="244"/>
        <v>15468</v>
      </c>
      <c r="AD271" s="4">
        <f t="shared" ref="AD271:AF271" si="245">+AD203</f>
        <v>47919</v>
      </c>
      <c r="AE271" s="4">
        <f t="shared" si="245"/>
        <v>48310</v>
      </c>
      <c r="AF271" s="4">
        <f t="shared" si="245"/>
        <v>47923</v>
      </c>
      <c r="AG271" s="4">
        <f t="shared" ref="AG271:AJ271" si="246">+AG203</f>
        <v>47439</v>
      </c>
      <c r="AH271" s="4">
        <f t="shared" si="246"/>
        <v>48489</v>
      </c>
      <c r="AI271" s="4">
        <f t="shared" si="246"/>
        <v>36644</v>
      </c>
      <c r="AJ271" s="4">
        <f t="shared" si="246"/>
        <v>15488</v>
      </c>
    </row>
    <row r="272" spans="1:36" s="12" customFormat="1" ht="409.6" x14ac:dyDescent="0.25">
      <c r="A272" t="s">
        <v>323</v>
      </c>
      <c r="B272"/>
      <c r="C272" s="4">
        <f t="shared" ref="C272:H272" si="247">+SUM(C208:C209)</f>
        <v>49244</v>
      </c>
      <c r="D272" s="4">
        <f t="shared" si="247"/>
        <v>49715</v>
      </c>
      <c r="E272" s="4">
        <f t="shared" si="247"/>
        <v>47834</v>
      </c>
      <c r="F272" s="4">
        <f t="shared" si="247"/>
        <v>49668</v>
      </c>
      <c r="G272" s="4">
        <f t="shared" si="247"/>
        <v>36316</v>
      </c>
      <c r="H272" s="4">
        <f t="shared" si="247"/>
        <v>15264</v>
      </c>
      <c r="I272" s="4">
        <f t="shared" ref="I272:O272" si="248">+SUM(I208:I209)</f>
        <v>50213</v>
      </c>
      <c r="J272" s="4">
        <f t="shared" si="248"/>
        <v>50235</v>
      </c>
      <c r="K272" s="4">
        <f t="shared" si="248"/>
        <v>50589</v>
      </c>
      <c r="L272" s="4">
        <f t="shared" si="248"/>
        <v>50244</v>
      </c>
      <c r="M272" s="4">
        <f t="shared" si="248"/>
        <v>50420</v>
      </c>
      <c r="N272" s="4">
        <f t="shared" si="248"/>
        <v>36533</v>
      </c>
      <c r="O272" s="4">
        <f t="shared" si="248"/>
        <v>14757</v>
      </c>
      <c r="P272" s="4">
        <f t="shared" ref="P272:V272" si="249">+SUM(P208:P209)</f>
        <v>44243</v>
      </c>
      <c r="Q272" s="4">
        <f t="shared" si="249"/>
        <v>6102</v>
      </c>
      <c r="R272" s="4">
        <f t="shared" si="249"/>
        <v>26860</v>
      </c>
      <c r="S272" s="4">
        <f t="shared" si="249"/>
        <v>32749</v>
      </c>
      <c r="T272" s="4">
        <f t="shared" si="249"/>
        <v>49023</v>
      </c>
      <c r="U272" s="4">
        <f t="shared" si="249"/>
        <v>36070</v>
      </c>
      <c r="V272" s="4">
        <f t="shared" si="249"/>
        <v>14822</v>
      </c>
      <c r="W272" s="4">
        <f t="shared" ref="W272:AC272" si="250">+SUM(W208:W209)</f>
        <v>50537</v>
      </c>
      <c r="X272" s="4">
        <f t="shared" si="250"/>
        <v>50324</v>
      </c>
      <c r="Y272" s="4">
        <f t="shared" si="250"/>
        <v>49909</v>
      </c>
      <c r="Z272" s="4">
        <f t="shared" si="250"/>
        <v>49514</v>
      </c>
      <c r="AA272" s="4">
        <f>+SUM(AA208:AA209)</f>
        <v>51056</v>
      </c>
      <c r="AB272" s="4">
        <f t="shared" si="250"/>
        <v>36301</v>
      </c>
      <c r="AC272" s="4">
        <f t="shared" si="250"/>
        <v>14437</v>
      </c>
      <c r="AD272" s="4">
        <f t="shared" ref="AD272:AF272" si="251">+SUM(AD208:AD209)</f>
        <v>50404</v>
      </c>
      <c r="AE272" s="4">
        <f t="shared" si="251"/>
        <v>51339</v>
      </c>
      <c r="AF272" s="4">
        <f t="shared" si="251"/>
        <v>52339</v>
      </c>
      <c r="AG272" s="4">
        <f t="shared" ref="AG272:AJ272" si="252">+SUM(AG208:AG209)</f>
        <v>51476</v>
      </c>
      <c r="AH272" s="4">
        <f t="shared" si="252"/>
        <v>52677</v>
      </c>
      <c r="AI272" s="4">
        <f t="shared" si="252"/>
        <v>37743</v>
      </c>
      <c r="AJ272" s="4">
        <f t="shared" si="252"/>
        <v>15371</v>
      </c>
    </row>
    <row r="273" spans="1:36" s="12" customFormat="1" ht="409.6" x14ac:dyDescent="0.25">
      <c r="A273" t="s">
        <v>324</v>
      </c>
      <c r="B273"/>
      <c r="C273" s="13">
        <f t="shared" ref="C273:H273" si="253">+C214</f>
        <v>34822</v>
      </c>
      <c r="D273" s="13">
        <f t="shared" si="253"/>
        <v>34582</v>
      </c>
      <c r="E273" s="13">
        <f t="shared" si="253"/>
        <v>33430</v>
      </c>
      <c r="F273" s="13">
        <f t="shared" si="253"/>
        <v>35455</v>
      </c>
      <c r="G273" s="13">
        <f t="shared" si="253"/>
        <v>25735</v>
      </c>
      <c r="H273" s="13">
        <f t="shared" si="253"/>
        <v>10833</v>
      </c>
      <c r="I273" s="13">
        <f t="shared" ref="I273:O273" si="254">+I214</f>
        <v>34986</v>
      </c>
      <c r="J273" s="13">
        <f t="shared" si="254"/>
        <v>35500</v>
      </c>
      <c r="K273" s="13">
        <f t="shared" si="254"/>
        <v>35072</v>
      </c>
      <c r="L273" s="13">
        <f t="shared" si="254"/>
        <v>35505</v>
      </c>
      <c r="M273" s="13">
        <f t="shared" si="254"/>
        <v>35909</v>
      </c>
      <c r="N273" s="13">
        <f t="shared" si="254"/>
        <v>25914</v>
      </c>
      <c r="O273" s="13">
        <f t="shared" si="254"/>
        <v>10126</v>
      </c>
      <c r="P273" s="13">
        <f t="shared" ref="P273:V273" si="255">+P214</f>
        <v>35980</v>
      </c>
      <c r="Q273" s="13">
        <f t="shared" si="255"/>
        <v>37174</v>
      </c>
      <c r="R273" s="13">
        <f t="shared" si="255"/>
        <v>37157</v>
      </c>
      <c r="S273" s="13">
        <f t="shared" si="255"/>
        <v>37310</v>
      </c>
      <c r="T273" s="13">
        <f t="shared" si="255"/>
        <v>37114</v>
      </c>
      <c r="U273" s="13">
        <f t="shared" si="255"/>
        <v>26586</v>
      </c>
      <c r="V273" s="13">
        <f t="shared" si="255"/>
        <v>10568</v>
      </c>
      <c r="W273" s="13">
        <f t="shared" ref="W273:AC273" si="256">+W214</f>
        <v>35737</v>
      </c>
      <c r="X273" s="13">
        <f t="shared" si="256"/>
        <v>35933</v>
      </c>
      <c r="Y273" s="13">
        <f t="shared" si="256"/>
        <v>35522</v>
      </c>
      <c r="Z273" s="13">
        <f t="shared" si="256"/>
        <v>35333</v>
      </c>
      <c r="AA273" s="13">
        <f>+AA214</f>
        <v>36505</v>
      </c>
      <c r="AB273" s="13">
        <f t="shared" si="256"/>
        <v>26617</v>
      </c>
      <c r="AC273" s="13">
        <f t="shared" si="256"/>
        <v>10697</v>
      </c>
      <c r="AD273" s="13">
        <f t="shared" ref="AD273:AF273" si="257">+AD214</f>
        <v>35905</v>
      </c>
      <c r="AE273" s="13">
        <f t="shared" si="257"/>
        <v>36502</v>
      </c>
      <c r="AF273" s="13">
        <f t="shared" si="257"/>
        <v>35987</v>
      </c>
      <c r="AG273" s="13">
        <f t="shared" ref="AG273:AJ273" si="258">+AG214</f>
        <v>36530</v>
      </c>
      <c r="AH273" s="13">
        <f t="shared" si="258"/>
        <v>36396</v>
      </c>
      <c r="AI273" s="13">
        <f t="shared" si="258"/>
        <v>27002</v>
      </c>
      <c r="AJ273" s="13">
        <f t="shared" si="258"/>
        <v>10826</v>
      </c>
    </row>
    <row r="274" spans="1:36" s="12" customFormat="1" ht="409.6" x14ac:dyDescent="0.25">
      <c r="A274" t="s">
        <v>325</v>
      </c>
      <c r="B274"/>
      <c r="C274" s="13">
        <f t="shared" ref="C274:H274" si="259">+C219</f>
        <v>52157</v>
      </c>
      <c r="D274" s="13">
        <f t="shared" si="259"/>
        <v>51079</v>
      </c>
      <c r="E274" s="13">
        <f t="shared" si="259"/>
        <v>50329</v>
      </c>
      <c r="F274" s="13">
        <f t="shared" si="259"/>
        <v>52668</v>
      </c>
      <c r="G274" s="13">
        <f t="shared" si="259"/>
        <v>35806</v>
      </c>
      <c r="H274" s="13">
        <f t="shared" si="259"/>
        <v>15549</v>
      </c>
      <c r="I274" s="13">
        <f t="shared" ref="I274:O274" si="260">+I219</f>
        <v>53323</v>
      </c>
      <c r="J274" s="13">
        <f t="shared" si="260"/>
        <v>54173</v>
      </c>
      <c r="K274" s="13">
        <f t="shared" si="260"/>
        <v>53543</v>
      </c>
      <c r="L274" s="13">
        <f t="shared" si="260"/>
        <v>54283</v>
      </c>
      <c r="M274" s="13">
        <f t="shared" si="260"/>
        <v>54884</v>
      </c>
      <c r="N274" s="13">
        <f t="shared" si="260"/>
        <v>36408</v>
      </c>
      <c r="O274" s="13">
        <f t="shared" si="260"/>
        <v>14709</v>
      </c>
      <c r="P274" s="13">
        <f t="shared" ref="P274:V274" si="261">+P219</f>
        <v>54190</v>
      </c>
      <c r="Q274" s="13">
        <f t="shared" si="261"/>
        <v>54065</v>
      </c>
      <c r="R274" s="13">
        <f t="shared" si="261"/>
        <v>54623</v>
      </c>
      <c r="S274" s="13">
        <f t="shared" si="261"/>
        <v>55098</v>
      </c>
      <c r="T274" s="13">
        <f t="shared" si="261"/>
        <v>55672</v>
      </c>
      <c r="U274" s="13">
        <f t="shared" si="261"/>
        <v>37058</v>
      </c>
      <c r="V274" s="13">
        <f t="shared" si="261"/>
        <v>15398</v>
      </c>
      <c r="W274" s="13">
        <f t="shared" ref="W274:AC274" si="262">+W219</f>
        <v>54770</v>
      </c>
      <c r="X274" s="13">
        <f t="shared" si="262"/>
        <v>54667</v>
      </c>
      <c r="Y274" s="13">
        <f t="shared" si="262"/>
        <v>54323</v>
      </c>
      <c r="Z274" s="13">
        <f t="shared" si="262"/>
        <v>54313</v>
      </c>
      <c r="AA274" s="13">
        <f>+AA219</f>
        <v>55256</v>
      </c>
      <c r="AB274" s="13">
        <f t="shared" si="262"/>
        <v>36616</v>
      </c>
      <c r="AC274" s="13">
        <f t="shared" si="262"/>
        <v>15028</v>
      </c>
      <c r="AD274" s="13">
        <f t="shared" ref="AD274:AF274" si="263">+AD219</f>
        <v>53861</v>
      </c>
      <c r="AE274" s="13">
        <f t="shared" si="263"/>
        <v>55359</v>
      </c>
      <c r="AF274" s="13">
        <f t="shared" si="263"/>
        <v>55332</v>
      </c>
      <c r="AG274" s="13">
        <f t="shared" ref="AG274:AJ274" si="264">+AG219</f>
        <v>55531</v>
      </c>
      <c r="AH274" s="13">
        <f t="shared" si="264"/>
        <v>56577</v>
      </c>
      <c r="AI274" s="13">
        <f t="shared" si="264"/>
        <v>38165</v>
      </c>
      <c r="AJ274" s="13">
        <f t="shared" si="264"/>
        <v>15499</v>
      </c>
    </row>
    <row r="275" spans="1:36" s="12" customFormat="1" ht="409.6" x14ac:dyDescent="0.25">
      <c r="A275" t="s">
        <v>326</v>
      </c>
      <c r="B275"/>
      <c r="C275" s="4">
        <f t="shared" ref="C275:H275" si="265">+C194</f>
        <v>39288</v>
      </c>
      <c r="D275" s="4">
        <f t="shared" si="265"/>
        <v>39331</v>
      </c>
      <c r="E275" s="4">
        <f t="shared" si="265"/>
        <v>38846</v>
      </c>
      <c r="F275" s="4">
        <f t="shared" si="265"/>
        <v>40370</v>
      </c>
      <c r="G275" s="4">
        <f t="shared" si="265"/>
        <v>30911</v>
      </c>
      <c r="H275" s="4">
        <f t="shared" si="265"/>
        <v>13524</v>
      </c>
      <c r="I275" s="4">
        <f t="shared" ref="I275:O275" si="266">+I194</f>
        <v>40600</v>
      </c>
      <c r="J275" s="4">
        <f t="shared" si="266"/>
        <v>40531</v>
      </c>
      <c r="K275" s="4">
        <f t="shared" si="266"/>
        <v>40246</v>
      </c>
      <c r="L275" s="4">
        <f t="shared" si="266"/>
        <v>40260</v>
      </c>
      <c r="M275" s="4">
        <f t="shared" si="266"/>
        <v>40433</v>
      </c>
      <c r="N275" s="4">
        <f t="shared" si="266"/>
        <v>31222</v>
      </c>
      <c r="O275" s="4">
        <f t="shared" si="266"/>
        <v>13474</v>
      </c>
      <c r="P275" s="4">
        <f t="shared" ref="P275:V275" si="267">+P194</f>
        <v>41356</v>
      </c>
      <c r="Q275" s="4">
        <f t="shared" si="267"/>
        <v>41400</v>
      </c>
      <c r="R275" s="4">
        <f t="shared" si="267"/>
        <v>41274</v>
      </c>
      <c r="S275" s="4">
        <f t="shared" si="267"/>
        <v>41750</v>
      </c>
      <c r="T275" s="4">
        <f t="shared" si="267"/>
        <v>42218</v>
      </c>
      <c r="U275" s="4">
        <f t="shared" si="267"/>
        <v>31908</v>
      </c>
      <c r="V275" s="4">
        <f t="shared" si="267"/>
        <v>13695</v>
      </c>
      <c r="W275" s="4">
        <f t="shared" ref="W275:AC275" si="268">+W194</f>
        <v>41713</v>
      </c>
      <c r="X275" s="4">
        <f t="shared" si="268"/>
        <v>42004</v>
      </c>
      <c r="Y275" s="4">
        <f t="shared" si="268"/>
        <v>41329</v>
      </c>
      <c r="Z275" s="4">
        <f t="shared" si="268"/>
        <v>41226</v>
      </c>
      <c r="AA275" s="4">
        <f>+AA194</f>
        <v>42133</v>
      </c>
      <c r="AB275" s="4">
        <f t="shared" si="268"/>
        <v>31844</v>
      </c>
      <c r="AC275" s="4">
        <f t="shared" si="268"/>
        <v>13160</v>
      </c>
      <c r="AD275" s="4">
        <f t="shared" ref="AD275:AF275" si="269">+AD194</f>
        <v>42117</v>
      </c>
      <c r="AE275" s="4">
        <f t="shared" si="269"/>
        <v>42829</v>
      </c>
      <c r="AF275" s="4">
        <f t="shared" si="269"/>
        <v>43256</v>
      </c>
      <c r="AG275" s="4">
        <f t="shared" ref="AG275:AJ275" si="270">+AG194</f>
        <v>42821</v>
      </c>
      <c r="AH275" s="4">
        <f t="shared" si="270"/>
        <v>43832</v>
      </c>
      <c r="AI275" s="4">
        <f t="shared" si="270"/>
        <v>32957</v>
      </c>
      <c r="AJ275" s="4">
        <f t="shared" si="270"/>
        <v>13805</v>
      </c>
    </row>
    <row r="276" spans="1:36" s="12" customFormat="1" ht="409.6" x14ac:dyDescent="0.25">
      <c r="A276" t="s">
        <v>327</v>
      </c>
      <c r="B276"/>
      <c r="C276" s="13">
        <f t="shared" ref="C276:H276" si="271">+C7</f>
        <v>3205</v>
      </c>
      <c r="D276" s="13">
        <f t="shared" si="271"/>
        <v>3135</v>
      </c>
      <c r="E276" s="13">
        <f t="shared" si="271"/>
        <v>3334</v>
      </c>
      <c r="F276" s="13">
        <f t="shared" si="271"/>
        <v>3371</v>
      </c>
      <c r="G276" s="13">
        <f t="shared" si="271"/>
        <v>2337</v>
      </c>
      <c r="H276" s="13">
        <f t="shared" si="271"/>
        <v>903</v>
      </c>
      <c r="I276" s="13">
        <f t="shared" ref="I276:O276" si="272">+I7</f>
        <v>3616</v>
      </c>
      <c r="J276" s="13">
        <f t="shared" si="272"/>
        <v>3705</v>
      </c>
      <c r="K276" s="13">
        <f t="shared" si="272"/>
        <v>3170</v>
      </c>
      <c r="L276" s="13">
        <f t="shared" si="272"/>
        <v>3580</v>
      </c>
      <c r="M276" s="13">
        <f t="shared" si="272"/>
        <v>3514</v>
      </c>
      <c r="N276" s="13">
        <f t="shared" si="272"/>
        <v>2270</v>
      </c>
      <c r="O276" s="13">
        <f t="shared" si="272"/>
        <v>950</v>
      </c>
      <c r="P276" s="13">
        <f t="shared" ref="P276:V276" si="273">+P7</f>
        <v>3404</v>
      </c>
      <c r="Q276" s="13">
        <f t="shared" si="273"/>
        <v>3518</v>
      </c>
      <c r="R276" s="13">
        <f t="shared" si="273"/>
        <v>3674</v>
      </c>
      <c r="S276" s="13">
        <f t="shared" si="273"/>
        <v>3352</v>
      </c>
      <c r="T276" s="13">
        <f t="shared" si="273"/>
        <v>3545</v>
      </c>
      <c r="U276" s="13">
        <f t="shared" si="273"/>
        <v>2349</v>
      </c>
      <c r="V276" s="13">
        <f t="shared" si="273"/>
        <v>980</v>
      </c>
      <c r="W276" s="13">
        <f t="shared" ref="W276:AC276" si="274">+W7</f>
        <v>3027</v>
      </c>
      <c r="X276" s="13">
        <f t="shared" si="274"/>
        <v>3575</v>
      </c>
      <c r="Y276" s="13">
        <f t="shared" si="274"/>
        <v>3687</v>
      </c>
      <c r="Z276" s="13">
        <f t="shared" si="274"/>
        <v>3453</v>
      </c>
      <c r="AA276" s="13">
        <f>+AA7</f>
        <v>3638</v>
      </c>
      <c r="AB276" s="13">
        <f t="shared" si="274"/>
        <v>2357</v>
      </c>
      <c r="AC276" s="13">
        <f t="shared" si="274"/>
        <v>897</v>
      </c>
      <c r="AD276" s="13">
        <f t="shared" ref="AD276:AF276" si="275">+AD7</f>
        <v>3312</v>
      </c>
      <c r="AE276" s="13">
        <f t="shared" si="275"/>
        <v>3094</v>
      </c>
      <c r="AF276" s="13">
        <f t="shared" si="275"/>
        <v>3298</v>
      </c>
      <c r="AG276" s="13">
        <f t="shared" ref="AG276:AJ276" si="276">+AG7</f>
        <v>3320</v>
      </c>
      <c r="AH276" s="13">
        <f t="shared" si="276"/>
        <v>3311</v>
      </c>
      <c r="AI276" s="13">
        <f t="shared" si="276"/>
        <v>2392</v>
      </c>
      <c r="AJ276" s="13">
        <f t="shared" si="276"/>
        <v>952</v>
      </c>
    </row>
    <row r="277" spans="1:36" s="12" customFormat="1" ht="409.6" x14ac:dyDescent="0.25">
      <c r="A277" t="s">
        <v>328</v>
      </c>
      <c r="B277"/>
      <c r="C277" s="13">
        <f t="shared" ref="C277:H277" si="277">+SUM(C10:C11)</f>
        <v>7426</v>
      </c>
      <c r="D277" s="13">
        <f t="shared" si="277"/>
        <v>7333</v>
      </c>
      <c r="E277" s="13">
        <f t="shared" si="277"/>
        <v>7802</v>
      </c>
      <c r="F277" s="13">
        <f t="shared" si="277"/>
        <v>8173</v>
      </c>
      <c r="G277" s="13">
        <f t="shared" si="277"/>
        <v>5312</v>
      </c>
      <c r="H277" s="13">
        <f t="shared" si="277"/>
        <v>2746</v>
      </c>
      <c r="I277" s="13">
        <f t="shared" ref="I277:O277" si="278">+SUM(I10:I11)</f>
        <v>6640</v>
      </c>
      <c r="J277" s="13">
        <f t="shared" si="278"/>
        <v>7098</v>
      </c>
      <c r="K277" s="13">
        <f t="shared" si="278"/>
        <v>6312</v>
      </c>
      <c r="L277" s="13">
        <f t="shared" si="278"/>
        <v>6795</v>
      </c>
      <c r="M277" s="13">
        <f t="shared" si="278"/>
        <v>6349</v>
      </c>
      <c r="N277" s="13">
        <f t="shared" si="278"/>
        <v>5103</v>
      </c>
      <c r="O277" s="13">
        <f t="shared" si="278"/>
        <v>2618</v>
      </c>
      <c r="P277" s="13">
        <f t="shared" ref="P277:V277" si="279">+SUM(P10:P11)</f>
        <v>7072</v>
      </c>
      <c r="Q277" s="13">
        <f t="shared" si="279"/>
        <v>6427</v>
      </c>
      <c r="R277" s="13">
        <f t="shared" si="279"/>
        <v>6479</v>
      </c>
      <c r="S277" s="13">
        <f t="shared" si="279"/>
        <v>6442</v>
      </c>
      <c r="T277" s="13">
        <f t="shared" si="279"/>
        <v>6963</v>
      </c>
      <c r="U277" s="13">
        <f t="shared" si="279"/>
        <v>5127</v>
      </c>
      <c r="V277" s="13">
        <f t="shared" si="279"/>
        <v>2941</v>
      </c>
      <c r="W277" s="13">
        <f t="shared" ref="W277:AC277" si="280">+SUM(W10:W11)</f>
        <v>6802</v>
      </c>
      <c r="X277" s="13">
        <f t="shared" si="280"/>
        <v>6895</v>
      </c>
      <c r="Y277" s="13">
        <f t="shared" si="280"/>
        <v>6615</v>
      </c>
      <c r="Z277" s="13">
        <f t="shared" si="280"/>
        <v>6517</v>
      </c>
      <c r="AA277" s="13">
        <f>+SUM(AA10:AA11)</f>
        <v>6026</v>
      </c>
      <c r="AB277" s="13">
        <f t="shared" si="280"/>
        <v>5257</v>
      </c>
      <c r="AC277" s="13">
        <f t="shared" si="280"/>
        <v>2756</v>
      </c>
      <c r="AD277" s="13">
        <f t="shared" ref="AD277:AF277" si="281">+SUM(AD10:AD11)</f>
        <v>7086</v>
      </c>
      <c r="AE277" s="13">
        <f t="shared" si="281"/>
        <v>6372</v>
      </c>
      <c r="AF277" s="13">
        <f t="shared" si="281"/>
        <v>6535</v>
      </c>
      <c r="AG277" s="13">
        <f t="shared" ref="AG277:AJ277" si="282">+SUM(AG10:AG11)</f>
        <v>7036</v>
      </c>
      <c r="AH277" s="13">
        <f t="shared" si="282"/>
        <v>6302</v>
      </c>
      <c r="AI277" s="13">
        <f t="shared" si="282"/>
        <v>5475</v>
      </c>
      <c r="AJ277" s="13">
        <f t="shared" si="282"/>
        <v>2840</v>
      </c>
    </row>
    <row r="278" spans="1:36" s="12" customFormat="1" ht="409.6" x14ac:dyDescent="0.25">
      <c r="A278" t="s">
        <v>329</v>
      </c>
      <c r="B278"/>
      <c r="C278" s="13">
        <f t="shared" ref="C278:H278" si="283">+C99</f>
        <v>7618</v>
      </c>
      <c r="D278" s="13">
        <f t="shared" si="283"/>
        <v>7380</v>
      </c>
      <c r="E278" s="13">
        <f t="shared" si="283"/>
        <v>7425</v>
      </c>
      <c r="F278" s="13">
        <f t="shared" si="283"/>
        <v>7581</v>
      </c>
      <c r="G278" s="13">
        <f t="shared" si="283"/>
        <v>5556</v>
      </c>
      <c r="H278" s="13">
        <f t="shared" si="283"/>
        <v>2581</v>
      </c>
      <c r="I278" s="13">
        <f t="shared" ref="I278:O278" si="284">+I99</f>
        <v>7545</v>
      </c>
      <c r="J278" s="13">
        <f t="shared" si="284"/>
        <v>7731</v>
      </c>
      <c r="K278" s="13">
        <f t="shared" si="284"/>
        <v>7553</v>
      </c>
      <c r="L278" s="13">
        <f t="shared" si="284"/>
        <v>7609</v>
      </c>
      <c r="M278" s="13">
        <f t="shared" si="284"/>
        <v>7541</v>
      </c>
      <c r="N278" s="13">
        <f t="shared" si="284"/>
        <v>5393</v>
      </c>
      <c r="O278" s="13">
        <f t="shared" si="284"/>
        <v>2544</v>
      </c>
      <c r="P278" s="13">
        <f t="shared" ref="P278:V278" si="285">+P99</f>
        <v>7542</v>
      </c>
      <c r="Q278" s="13">
        <f t="shared" si="285"/>
        <v>7712</v>
      </c>
      <c r="R278" s="13">
        <f t="shared" si="285"/>
        <v>7676</v>
      </c>
      <c r="S278" s="13">
        <f t="shared" si="285"/>
        <v>7682</v>
      </c>
      <c r="T278" s="13">
        <f t="shared" si="285"/>
        <v>7917</v>
      </c>
      <c r="U278" s="13">
        <f t="shared" si="285"/>
        <v>5545</v>
      </c>
      <c r="V278" s="13">
        <f t="shared" si="285"/>
        <v>2604</v>
      </c>
      <c r="W278" s="13">
        <f t="shared" ref="W278:AC278" si="286">+W99</f>
        <v>7629</v>
      </c>
      <c r="X278" s="13">
        <f t="shared" si="286"/>
        <v>7773</v>
      </c>
      <c r="Y278" s="13">
        <f t="shared" si="286"/>
        <v>7676</v>
      </c>
      <c r="Z278" s="13">
        <f t="shared" si="286"/>
        <v>7527</v>
      </c>
      <c r="AA278" s="13">
        <f>+AA99</f>
        <v>7694</v>
      </c>
      <c r="AB278" s="13">
        <f t="shared" si="286"/>
        <v>4844</v>
      </c>
      <c r="AC278" s="13">
        <f t="shared" si="286"/>
        <v>2601</v>
      </c>
      <c r="AD278" s="13">
        <f t="shared" ref="AD278:AF278" si="287">+AD99</f>
        <v>7730</v>
      </c>
      <c r="AE278" s="13">
        <f t="shared" si="287"/>
        <v>7832</v>
      </c>
      <c r="AF278" s="13">
        <f t="shared" si="287"/>
        <v>7900</v>
      </c>
      <c r="AG278" s="13">
        <f t="shared" ref="AG278:AJ278" si="288">+AG99</f>
        <v>8019</v>
      </c>
      <c r="AH278" s="13">
        <f t="shared" si="288"/>
        <v>7747</v>
      </c>
      <c r="AI278" s="13">
        <f t="shared" si="288"/>
        <v>5799</v>
      </c>
      <c r="AJ278" s="13">
        <f t="shared" si="288"/>
        <v>2609</v>
      </c>
    </row>
    <row r="279" spans="1:36" s="12" customFormat="1" ht="409.6" x14ac:dyDescent="0.25">
      <c r="A279" t="s">
        <v>330</v>
      </c>
      <c r="B279"/>
      <c r="C279" s="13">
        <f t="shared" ref="C279:H279" si="289">+C106</f>
        <v>7770</v>
      </c>
      <c r="D279" s="13">
        <f t="shared" si="289"/>
        <v>7703</v>
      </c>
      <c r="E279" s="13">
        <f t="shared" si="289"/>
        <v>7407</v>
      </c>
      <c r="F279" s="13">
        <f t="shared" si="289"/>
        <v>7994</v>
      </c>
      <c r="G279" s="13">
        <f t="shared" si="289"/>
        <v>6723</v>
      </c>
      <c r="H279" s="13">
        <f t="shared" si="289"/>
        <v>3455</v>
      </c>
      <c r="I279" s="13">
        <f t="shared" ref="I279:O279" si="290">+I106</f>
        <v>8136</v>
      </c>
      <c r="J279" s="13">
        <f t="shared" si="290"/>
        <v>8281</v>
      </c>
      <c r="K279" s="13">
        <f t="shared" si="290"/>
        <v>8327</v>
      </c>
      <c r="L279" s="13">
        <f t="shared" si="290"/>
        <v>8288</v>
      </c>
      <c r="M279" s="13">
        <f t="shared" si="290"/>
        <v>8298</v>
      </c>
      <c r="N279" s="13">
        <f t="shared" si="290"/>
        <v>6522</v>
      </c>
      <c r="O279" s="13">
        <f t="shared" si="290"/>
        <v>3184</v>
      </c>
      <c r="P279" s="13">
        <f t="shared" ref="P279:V279" si="291">+P106</f>
        <v>8107</v>
      </c>
      <c r="Q279" s="13">
        <f t="shared" si="291"/>
        <v>8040</v>
      </c>
      <c r="R279" s="13">
        <f t="shared" si="291"/>
        <v>8186</v>
      </c>
      <c r="S279" s="13">
        <f t="shared" si="291"/>
        <v>8054</v>
      </c>
      <c r="T279" s="13">
        <f t="shared" si="291"/>
        <v>8427</v>
      </c>
      <c r="U279" s="13">
        <f t="shared" si="291"/>
        <v>6611</v>
      </c>
      <c r="V279" s="13">
        <f t="shared" si="291"/>
        <v>3280</v>
      </c>
      <c r="W279" s="13">
        <f t="shared" ref="W279:AC279" si="292">+W106</f>
        <v>8034</v>
      </c>
      <c r="X279" s="13">
        <f t="shared" si="292"/>
        <v>8405</v>
      </c>
      <c r="Y279" s="13">
        <f t="shared" si="292"/>
        <v>8234</v>
      </c>
      <c r="Z279" s="13">
        <f t="shared" si="292"/>
        <v>8187</v>
      </c>
      <c r="AA279" s="13">
        <f>+AA106</f>
        <v>8271</v>
      </c>
      <c r="AB279" s="13">
        <f t="shared" si="292"/>
        <v>6699</v>
      </c>
      <c r="AC279" s="13">
        <f t="shared" si="292"/>
        <v>3234</v>
      </c>
      <c r="AD279" s="13">
        <f t="shared" ref="AD279:AF279" si="293">+AD106</f>
        <v>8011</v>
      </c>
      <c r="AE279" s="13">
        <f t="shared" si="293"/>
        <v>8144</v>
      </c>
      <c r="AF279" s="13">
        <f t="shared" si="293"/>
        <v>8098</v>
      </c>
      <c r="AG279" s="13">
        <f t="shared" ref="AG279:AJ279" si="294">+AG106</f>
        <v>8389</v>
      </c>
      <c r="AH279" s="13">
        <f t="shared" si="294"/>
        <v>8545</v>
      </c>
      <c r="AI279" s="13">
        <f t="shared" si="294"/>
        <v>6592</v>
      </c>
      <c r="AJ279" s="13">
        <f t="shared" si="294"/>
        <v>3307</v>
      </c>
    </row>
    <row r="280" spans="1:36" s="12" customFormat="1" ht="409.6" x14ac:dyDescent="0.25">
      <c r="A280" t="s">
        <v>331</v>
      </c>
      <c r="B280"/>
      <c r="C280" s="13">
        <f t="shared" ref="C280:H280" si="295">+C120</f>
        <v>26040</v>
      </c>
      <c r="D280" s="13">
        <f t="shared" si="295"/>
        <v>26306</v>
      </c>
      <c r="E280" s="13">
        <f t="shared" si="295"/>
        <v>25971</v>
      </c>
      <c r="F280" s="13">
        <f t="shared" si="295"/>
        <v>26263</v>
      </c>
      <c r="G280" s="13">
        <f t="shared" si="295"/>
        <v>17819</v>
      </c>
      <c r="H280" s="13">
        <f t="shared" si="295"/>
        <v>7016</v>
      </c>
      <c r="I280" s="13">
        <f t="shared" ref="I280:O280" si="296">+I120</f>
        <v>25936</v>
      </c>
      <c r="J280" s="13">
        <f t="shared" si="296"/>
        <v>26574</v>
      </c>
      <c r="K280" s="13">
        <f t="shared" si="296"/>
        <v>25389</v>
      </c>
      <c r="L280" s="13">
        <f t="shared" si="296"/>
        <v>26703</v>
      </c>
      <c r="M280" s="13">
        <f t="shared" si="296"/>
        <v>26579</v>
      </c>
      <c r="N280" s="13">
        <f t="shared" si="296"/>
        <v>18250</v>
      </c>
      <c r="O280" s="13">
        <f t="shared" si="296"/>
        <v>6758</v>
      </c>
      <c r="P280" s="13">
        <f t="shared" ref="P280:V280" si="297">+P120</f>
        <v>23218</v>
      </c>
      <c r="Q280" s="13">
        <f t="shared" si="297"/>
        <v>35784</v>
      </c>
      <c r="R280" s="13">
        <f t="shared" si="297"/>
        <v>30084</v>
      </c>
      <c r="S280" s="13">
        <f t="shared" si="297"/>
        <v>30432</v>
      </c>
      <c r="T280" s="13">
        <f t="shared" si="297"/>
        <v>26775</v>
      </c>
      <c r="U280" s="13">
        <f t="shared" si="297"/>
        <v>18607</v>
      </c>
      <c r="V280" s="13">
        <f t="shared" si="297"/>
        <v>6821</v>
      </c>
      <c r="W280" s="13">
        <f t="shared" ref="W280:AC280" si="298">+W120</f>
        <v>26734</v>
      </c>
      <c r="X280" s="13">
        <f t="shared" si="298"/>
        <v>27068</v>
      </c>
      <c r="Y280" s="13">
        <f t="shared" si="298"/>
        <v>26757</v>
      </c>
      <c r="Z280" s="13">
        <f t="shared" si="298"/>
        <v>26359</v>
      </c>
      <c r="AA280" s="13">
        <f>+AA120</f>
        <v>26766</v>
      </c>
      <c r="AB280" s="13">
        <f t="shared" si="298"/>
        <v>18906</v>
      </c>
      <c r="AC280" s="13">
        <f t="shared" si="298"/>
        <v>6740</v>
      </c>
      <c r="AD280" s="13">
        <f t="shared" ref="AD280:AF280" si="299">+AD120</f>
        <v>26373</v>
      </c>
      <c r="AE280" s="13">
        <f t="shared" si="299"/>
        <v>27144</v>
      </c>
      <c r="AF280" s="13">
        <f t="shared" si="299"/>
        <v>27256</v>
      </c>
      <c r="AG280" s="13">
        <f t="shared" ref="AG280:AJ280" si="300">+AG120</f>
        <v>27392</v>
      </c>
      <c r="AH280" s="13">
        <f t="shared" si="300"/>
        <v>27505</v>
      </c>
      <c r="AI280" s="13">
        <f t="shared" si="300"/>
        <v>19513</v>
      </c>
      <c r="AJ280" s="13">
        <f t="shared" si="300"/>
        <v>7026</v>
      </c>
    </row>
    <row r="281" spans="1:36" s="12" customFormat="1" ht="409.6" x14ac:dyDescent="0.25">
      <c r="A281" t="s">
        <v>241</v>
      </c>
      <c r="B281"/>
      <c r="C281" s="13">
        <f t="shared" ref="C281:H281" si="301">+SUM(C148:C149)</f>
        <v>2763</v>
      </c>
      <c r="D281" s="13">
        <f t="shared" si="301"/>
        <v>2680</v>
      </c>
      <c r="E281" s="13">
        <f t="shared" si="301"/>
        <v>2705</v>
      </c>
      <c r="F281" s="13">
        <f t="shared" si="301"/>
        <v>2751</v>
      </c>
      <c r="G281" s="13">
        <f t="shared" si="301"/>
        <v>1660</v>
      </c>
      <c r="H281" s="13">
        <f t="shared" si="301"/>
        <v>566</v>
      </c>
      <c r="I281" s="13">
        <f t="shared" ref="I281:O281" si="302">+SUM(I148:I149)</f>
        <v>2804</v>
      </c>
      <c r="J281" s="13">
        <f t="shared" si="302"/>
        <v>2820</v>
      </c>
      <c r="K281" s="13">
        <f t="shared" si="302"/>
        <v>2902</v>
      </c>
      <c r="L281" s="13">
        <f t="shared" si="302"/>
        <v>2826</v>
      </c>
      <c r="M281" s="13">
        <f t="shared" si="302"/>
        <v>2858</v>
      </c>
      <c r="N281" s="13">
        <f t="shared" si="302"/>
        <v>1763</v>
      </c>
      <c r="O281" s="13">
        <f t="shared" si="302"/>
        <v>540</v>
      </c>
      <c r="P281" s="13">
        <f t="shared" ref="P281:V281" si="303">+SUM(P148:P149)</f>
        <v>2803</v>
      </c>
      <c r="Q281" s="13">
        <f t="shared" si="303"/>
        <v>2943</v>
      </c>
      <c r="R281" s="13">
        <f t="shared" si="303"/>
        <v>2935</v>
      </c>
      <c r="S281" s="13">
        <f t="shared" si="303"/>
        <v>2966</v>
      </c>
      <c r="T281" s="13">
        <f t="shared" si="303"/>
        <v>2908</v>
      </c>
      <c r="U281" s="13">
        <f t="shared" si="303"/>
        <v>1753</v>
      </c>
      <c r="V281" s="13">
        <f t="shared" si="303"/>
        <v>538</v>
      </c>
      <c r="W281" s="13">
        <f t="shared" ref="W281:AC281" si="304">+SUM(W148:W149)</f>
        <v>2801</v>
      </c>
      <c r="X281" s="13">
        <f t="shared" si="304"/>
        <v>2899</v>
      </c>
      <c r="Y281" s="13">
        <f t="shared" si="304"/>
        <v>2906</v>
      </c>
      <c r="Z281" s="13">
        <f t="shared" si="304"/>
        <v>2869</v>
      </c>
      <c r="AA281" s="13">
        <f>+SUM(AA148:AA149)</f>
        <v>2938</v>
      </c>
      <c r="AB281" s="13">
        <f t="shared" si="304"/>
        <v>1811</v>
      </c>
      <c r="AC281" s="13">
        <f t="shared" si="304"/>
        <v>546</v>
      </c>
      <c r="AD281" s="13">
        <f t="shared" ref="AD281:AF281" si="305">+SUM(AD148:AD149)</f>
        <v>2782</v>
      </c>
      <c r="AE281" s="13">
        <f t="shared" si="305"/>
        <v>2908</v>
      </c>
      <c r="AF281" s="13">
        <f t="shared" si="305"/>
        <v>2839</v>
      </c>
      <c r="AG281" s="13">
        <f t="shared" ref="AG281:AJ281" si="306">+SUM(AG148:AG149)</f>
        <v>2770</v>
      </c>
      <c r="AH281" s="13">
        <f t="shared" si="306"/>
        <v>2940</v>
      </c>
      <c r="AI281" s="13">
        <f t="shared" si="306"/>
        <v>1800</v>
      </c>
      <c r="AJ281" s="13">
        <f t="shared" si="306"/>
        <v>570</v>
      </c>
    </row>
    <row r="282" spans="1:36" s="12" customFormat="1" ht="409.6" x14ac:dyDescent="0.25">
      <c r="A282" t="s">
        <v>332</v>
      </c>
      <c r="B282"/>
      <c r="C282" s="4">
        <f t="shared" ref="C282:H282" si="307">+C181</f>
        <v>367649</v>
      </c>
      <c r="D282" s="4">
        <f t="shared" si="307"/>
        <v>371399</v>
      </c>
      <c r="E282" s="4">
        <f t="shared" si="307"/>
        <v>369580</v>
      </c>
      <c r="F282" s="4">
        <f t="shared" si="307"/>
        <v>379160</v>
      </c>
      <c r="G282" s="4">
        <f t="shared" si="307"/>
        <v>272643</v>
      </c>
      <c r="H282" s="4">
        <f t="shared" si="307"/>
        <v>123439</v>
      </c>
      <c r="I282" s="4">
        <f t="shared" ref="I282:O282" si="308">+I181</f>
        <v>378161</v>
      </c>
      <c r="J282" s="4">
        <f t="shared" si="308"/>
        <v>382581</v>
      </c>
      <c r="K282" s="4">
        <f t="shared" si="308"/>
        <v>378487</v>
      </c>
      <c r="L282" s="4">
        <f t="shared" si="308"/>
        <v>383688</v>
      </c>
      <c r="M282" s="4">
        <f t="shared" si="308"/>
        <v>385353</v>
      </c>
      <c r="N282" s="4">
        <f t="shared" si="308"/>
        <v>274445</v>
      </c>
      <c r="O282" s="4">
        <f t="shared" si="308"/>
        <v>118122</v>
      </c>
      <c r="P282" s="4">
        <f t="shared" ref="P282:V282" si="309">+P181</f>
        <v>373457</v>
      </c>
      <c r="Q282" s="4">
        <f t="shared" si="309"/>
        <v>349773</v>
      </c>
      <c r="R282" s="4">
        <f t="shared" si="309"/>
        <v>369347</v>
      </c>
      <c r="S282" s="4">
        <f t="shared" si="309"/>
        <v>376602</v>
      </c>
      <c r="T282" s="4">
        <f t="shared" si="309"/>
        <v>392196</v>
      </c>
      <c r="U282" s="4">
        <f t="shared" si="309"/>
        <v>280114</v>
      </c>
      <c r="V282" s="4">
        <f t="shared" si="309"/>
        <v>122280</v>
      </c>
      <c r="W282" s="4">
        <f t="shared" ref="W282:AC282" si="310">+W181</f>
        <v>384935</v>
      </c>
      <c r="X282" s="4">
        <f t="shared" si="310"/>
        <v>388491</v>
      </c>
      <c r="Y282" s="4">
        <f t="shared" si="310"/>
        <v>385524</v>
      </c>
      <c r="Z282" s="4">
        <f t="shared" si="310"/>
        <v>378928</v>
      </c>
      <c r="AA282" s="4">
        <f>+AA181</f>
        <v>389923</v>
      </c>
      <c r="AB282" s="4">
        <f t="shared" si="310"/>
        <v>279275</v>
      </c>
      <c r="AC282" s="4">
        <f t="shared" si="310"/>
        <v>120039</v>
      </c>
      <c r="AD282" s="4">
        <f t="shared" ref="AD282:AF282" si="311">+AD181</f>
        <v>386002</v>
      </c>
      <c r="AE282" s="4">
        <f t="shared" si="311"/>
        <v>392587</v>
      </c>
      <c r="AF282" s="4">
        <f t="shared" si="311"/>
        <v>392388</v>
      </c>
      <c r="AG282" s="4">
        <f t="shared" ref="AG282:AJ282" si="312">+AG181</f>
        <v>390366</v>
      </c>
      <c r="AH282" s="4">
        <f t="shared" si="312"/>
        <v>399114</v>
      </c>
      <c r="AI282" s="4">
        <f t="shared" si="312"/>
        <v>288994</v>
      </c>
      <c r="AJ282" s="4">
        <f t="shared" si="312"/>
        <v>122629</v>
      </c>
    </row>
    <row r="283" spans="1:36" s="12" customFormat="1" ht="409.6" x14ac:dyDescent="0.25">
      <c r="A283" t="s">
        <v>333</v>
      </c>
      <c r="B283"/>
      <c r="C283" s="4">
        <f t="shared" ref="C283:H283" si="313">+SUM(C190,C199)</f>
        <v>44516</v>
      </c>
      <c r="D283" s="4">
        <f t="shared" si="313"/>
        <v>46497</v>
      </c>
      <c r="E283" s="4">
        <f t="shared" si="313"/>
        <v>48627</v>
      </c>
      <c r="F283" s="4">
        <f t="shared" si="313"/>
        <v>47949</v>
      </c>
      <c r="G283" s="4">
        <f t="shared" si="313"/>
        <v>30935</v>
      </c>
      <c r="H283" s="4">
        <f t="shared" si="313"/>
        <v>16061</v>
      </c>
      <c r="I283" s="4">
        <f t="shared" ref="I283:O283" si="314">+SUM(I190,I199)</f>
        <v>47180</v>
      </c>
      <c r="J283" s="4">
        <f t="shared" si="314"/>
        <v>47711</v>
      </c>
      <c r="K283" s="4">
        <f t="shared" si="314"/>
        <v>46317</v>
      </c>
      <c r="L283" s="4">
        <f t="shared" si="314"/>
        <v>47075</v>
      </c>
      <c r="M283" s="4">
        <f t="shared" si="314"/>
        <v>47813</v>
      </c>
      <c r="N283" s="4">
        <f t="shared" si="314"/>
        <v>31052</v>
      </c>
      <c r="O283" s="4">
        <f t="shared" si="314"/>
        <v>15248</v>
      </c>
      <c r="P283" s="4">
        <f t="shared" ref="P283:V283" si="315">+SUM(P190,P199)</f>
        <v>48892</v>
      </c>
      <c r="Q283" s="4">
        <f t="shared" si="315"/>
        <v>47801</v>
      </c>
      <c r="R283" s="4">
        <f t="shared" si="315"/>
        <v>48115</v>
      </c>
      <c r="S283" s="4">
        <f t="shared" si="315"/>
        <v>47523</v>
      </c>
      <c r="T283" s="4">
        <f t="shared" si="315"/>
        <v>48091</v>
      </c>
      <c r="U283" s="4">
        <f t="shared" si="315"/>
        <v>31193</v>
      </c>
      <c r="V283" s="4">
        <f t="shared" si="315"/>
        <v>16253</v>
      </c>
      <c r="W283" s="4">
        <f t="shared" ref="W283:AC283" si="316">+SUM(W190,W199)</f>
        <v>48624</v>
      </c>
      <c r="X283" s="4">
        <f t="shared" si="316"/>
        <v>47937</v>
      </c>
      <c r="Y283" s="4">
        <f t="shared" si="316"/>
        <v>47488</v>
      </c>
      <c r="Z283" s="4">
        <f t="shared" si="316"/>
        <v>46942</v>
      </c>
      <c r="AA283" s="4">
        <f>+SUM(AA190,AA199)</f>
        <v>48449</v>
      </c>
      <c r="AB283" s="4">
        <f t="shared" si="316"/>
        <v>31935</v>
      </c>
      <c r="AC283" s="4">
        <f t="shared" si="316"/>
        <v>15405</v>
      </c>
      <c r="AD283" s="4">
        <f t="shared" ref="AD283:AF283" si="317">+SUM(AD190,AD199)</f>
        <v>47633</v>
      </c>
      <c r="AE283" s="4">
        <f t="shared" si="317"/>
        <v>47978</v>
      </c>
      <c r="AF283" s="4">
        <f t="shared" si="317"/>
        <v>48116</v>
      </c>
      <c r="AG283" s="4">
        <f t="shared" ref="AG283:AJ283" si="318">+SUM(AG190,AG199)</f>
        <v>48077</v>
      </c>
      <c r="AH283" s="4">
        <f t="shared" si="318"/>
        <v>50010</v>
      </c>
      <c r="AI283" s="4">
        <f t="shared" si="318"/>
        <v>33044</v>
      </c>
      <c r="AJ283" s="4">
        <f t="shared" si="318"/>
        <v>15991</v>
      </c>
    </row>
    <row r="284" spans="1:36" s="12" customFormat="1" ht="409.6" x14ac:dyDescent="0.25">
      <c r="A284" t="s">
        <v>334</v>
      </c>
      <c r="B284"/>
      <c r="C284" s="4">
        <f>+C181+Salidas!C181</f>
        <v>782410</v>
      </c>
      <c r="D284" s="4">
        <f>+D181+Salidas!D181</f>
        <v>786329</v>
      </c>
      <c r="E284" s="4">
        <f>+E181+Salidas!E181</f>
        <v>781825</v>
      </c>
      <c r="F284" s="4">
        <f>+F181+Salidas!F181</f>
        <v>790177</v>
      </c>
      <c r="G284" s="4">
        <f>+G181+Salidas!G181</f>
        <v>572835</v>
      </c>
      <c r="H284" s="4">
        <f>+H181+Salidas!H181</f>
        <v>284028</v>
      </c>
      <c r="I284" s="4">
        <f>+I181+Salidas!I181</f>
        <v>798587</v>
      </c>
      <c r="J284" s="4">
        <f>+J181+Salidas!J181</f>
        <v>807352</v>
      </c>
      <c r="K284" s="4">
        <f>+K181+Salidas!K181</f>
        <v>802253</v>
      </c>
      <c r="L284" s="4">
        <f>+L181+Salidas!L181</f>
        <v>809513</v>
      </c>
      <c r="M284" s="4">
        <f>+M181+Salidas!M181</f>
        <v>803995</v>
      </c>
      <c r="N284" s="4">
        <f>+N181+Salidas!N181</f>
        <v>576744</v>
      </c>
      <c r="O284" s="4">
        <f>+O181+Salidas!O181</f>
        <v>274845</v>
      </c>
      <c r="P284" s="4">
        <f>+P181+Salidas!P181</f>
        <v>764891</v>
      </c>
      <c r="Q284" s="4">
        <f>+Q181+Salidas!Q181</f>
        <v>751143</v>
      </c>
      <c r="R284" s="4">
        <f>+R181+Salidas!R181</f>
        <v>788001</v>
      </c>
      <c r="S284" s="4">
        <f>+S181+Salidas!S181</f>
        <v>792769</v>
      </c>
      <c r="T284" s="4">
        <f>+T181+Salidas!T181</f>
        <v>812955</v>
      </c>
      <c r="U284" s="4">
        <f>+U181+Salidas!U181</f>
        <v>582983</v>
      </c>
      <c r="V284" s="4">
        <f>+V181+Salidas!V181</f>
        <v>279936</v>
      </c>
      <c r="W284" s="4">
        <f>+W181+Salidas!W181</f>
        <v>812420</v>
      </c>
      <c r="X284" s="4">
        <f>+X181+Salidas!X181</f>
        <v>822973</v>
      </c>
      <c r="Y284" s="4">
        <f>+Y181+Salidas!Y181</f>
        <v>812434</v>
      </c>
      <c r="Z284" s="4">
        <f>+Z181+Salidas!Z181</f>
        <v>809092</v>
      </c>
      <c r="AA284" s="4">
        <f>+AA181+Salidas!AA181</f>
        <v>807953</v>
      </c>
      <c r="AB284" s="4">
        <f>+AB181+Salidas!AB181</f>
        <v>586032</v>
      </c>
      <c r="AC284" s="4">
        <f>+AC181+Salidas!AC181</f>
        <v>276602</v>
      </c>
      <c r="AD284" s="4">
        <f>+AD181+Salidas!AD181</f>
        <v>812148</v>
      </c>
      <c r="AE284" s="4">
        <f>+AE181+Salidas!AE181</f>
        <v>830940</v>
      </c>
      <c r="AF284" s="4">
        <f>+AF181+Salidas!AF181</f>
        <v>830039</v>
      </c>
      <c r="AG284" s="4">
        <f>+AG181+Salidas!AG181</f>
        <v>826414</v>
      </c>
      <c r="AH284" s="4">
        <f>+AH181+Salidas!AH181</f>
        <v>826768</v>
      </c>
      <c r="AI284" s="4">
        <f>+AI181+Salidas!AI181</f>
        <v>603597</v>
      </c>
      <c r="AJ284" s="4">
        <f>+AJ181+Salidas!AJ181</f>
        <v>282573</v>
      </c>
    </row>
    <row r="285" spans="1:36" s="12" customFormat="1" ht="409.6" x14ac:dyDescent="0.25">
      <c r="A285"/>
      <c r="B285"/>
      <c r="C285" s="4">
        <f t="shared" ref="C285:H285" si="319">+SUM(C267,C269,C271:C281)</f>
        <v>367649</v>
      </c>
      <c r="D285" s="4">
        <f t="shared" si="319"/>
        <v>371399</v>
      </c>
      <c r="E285" s="4">
        <f t="shared" si="319"/>
        <v>369580</v>
      </c>
      <c r="F285" s="4">
        <f t="shared" si="319"/>
        <v>379160</v>
      </c>
      <c r="G285" s="4">
        <f t="shared" si="319"/>
        <v>272643</v>
      </c>
      <c r="H285" s="4">
        <f t="shared" si="319"/>
        <v>123439</v>
      </c>
      <c r="I285" s="4">
        <f t="shared" ref="I285:O285" si="320">+SUM(I267,I269,I271:I281)</f>
        <v>378161</v>
      </c>
      <c r="J285" s="4">
        <f t="shared" si="320"/>
        <v>382581</v>
      </c>
      <c r="K285" s="4">
        <f t="shared" si="320"/>
        <v>378487</v>
      </c>
      <c r="L285" s="4">
        <f t="shared" si="320"/>
        <v>383688</v>
      </c>
      <c r="M285" s="4">
        <f t="shared" si="320"/>
        <v>385353</v>
      </c>
      <c r="N285" s="4">
        <f t="shared" si="320"/>
        <v>274445</v>
      </c>
      <c r="O285" s="4">
        <f t="shared" si="320"/>
        <v>118122</v>
      </c>
      <c r="P285" s="4">
        <f t="shared" ref="P285:V285" si="321">+SUM(P267,P269,P271:P281)</f>
        <v>373457</v>
      </c>
      <c r="Q285" s="4">
        <f t="shared" si="321"/>
        <v>349773</v>
      </c>
      <c r="R285" s="4">
        <f t="shared" si="321"/>
        <v>369347</v>
      </c>
      <c r="S285" s="4">
        <f t="shared" si="321"/>
        <v>376602</v>
      </c>
      <c r="T285" s="4">
        <f t="shared" si="321"/>
        <v>392196</v>
      </c>
      <c r="U285" s="4">
        <f t="shared" si="321"/>
        <v>280114</v>
      </c>
      <c r="V285" s="4">
        <f t="shared" si="321"/>
        <v>122280</v>
      </c>
      <c r="W285" s="4">
        <f t="shared" ref="W285:AC285" si="322">+SUM(W267,W269,W271:W281)</f>
        <v>384935</v>
      </c>
      <c r="X285" s="4">
        <f t="shared" si="322"/>
        <v>388491</v>
      </c>
      <c r="Y285" s="4">
        <f t="shared" si="322"/>
        <v>385524</v>
      </c>
      <c r="Z285" s="4">
        <f t="shared" si="322"/>
        <v>378928</v>
      </c>
      <c r="AA285" s="4">
        <f>+SUM(AA267,AA269,AA271:AA281)</f>
        <v>389923</v>
      </c>
      <c r="AB285" s="4">
        <f t="shared" si="322"/>
        <v>279275</v>
      </c>
      <c r="AC285" s="4">
        <f t="shared" si="322"/>
        <v>120039</v>
      </c>
      <c r="AD285" s="4">
        <f t="shared" ref="AD285:AF285" si="323">+SUM(AD267,AD269,AD271:AD281)</f>
        <v>386002</v>
      </c>
      <c r="AE285" s="4">
        <f t="shared" si="323"/>
        <v>392587</v>
      </c>
      <c r="AF285" s="4">
        <f t="shared" si="323"/>
        <v>392388</v>
      </c>
      <c r="AG285" s="4">
        <f t="shared" ref="AG285:AJ285" si="324">+SUM(AG267,AG269,AG271:AG281)</f>
        <v>390366</v>
      </c>
      <c r="AH285" s="4">
        <f t="shared" si="324"/>
        <v>399114</v>
      </c>
      <c r="AI285" s="4">
        <f t="shared" si="324"/>
        <v>288994</v>
      </c>
      <c r="AJ285" s="4">
        <f t="shared" si="324"/>
        <v>122629</v>
      </c>
    </row>
    <row r="286" spans="1:36" s="12" customFormat="1" ht="409.6" x14ac:dyDescent="0.25">
      <c r="A286"/>
      <c r="B286"/>
      <c r="C286" s="4">
        <f t="shared" ref="C286:H286" si="325">+C285-C282</f>
        <v>0</v>
      </c>
      <c r="D286" s="4">
        <f t="shared" si="325"/>
        <v>0</v>
      </c>
      <c r="E286" s="4">
        <f t="shared" si="325"/>
        <v>0</v>
      </c>
      <c r="F286" s="4">
        <f t="shared" si="325"/>
        <v>0</v>
      </c>
      <c r="G286" s="4">
        <f t="shared" si="325"/>
        <v>0</v>
      </c>
      <c r="H286" s="4">
        <f t="shared" si="325"/>
        <v>0</v>
      </c>
      <c r="I286" s="4">
        <f t="shared" ref="I286:O286" si="326">+I285-I282</f>
        <v>0</v>
      </c>
      <c r="J286" s="4">
        <f t="shared" si="326"/>
        <v>0</v>
      </c>
      <c r="K286" s="4">
        <f t="shared" si="326"/>
        <v>0</v>
      </c>
      <c r="L286" s="4">
        <f t="shared" si="326"/>
        <v>0</v>
      </c>
      <c r="M286" s="4">
        <f t="shared" si="326"/>
        <v>0</v>
      </c>
      <c r="N286" s="4">
        <f t="shared" si="326"/>
        <v>0</v>
      </c>
      <c r="O286" s="4">
        <f t="shared" si="326"/>
        <v>0</v>
      </c>
      <c r="P286" s="4">
        <f t="shared" ref="P286:V286" si="327">+P285-P282</f>
        <v>0</v>
      </c>
      <c r="Q286" s="4">
        <f t="shared" si="327"/>
        <v>0</v>
      </c>
      <c r="R286" s="4">
        <f t="shared" si="327"/>
        <v>0</v>
      </c>
      <c r="S286" s="4">
        <f t="shared" si="327"/>
        <v>0</v>
      </c>
      <c r="T286" s="4">
        <f t="shared" si="327"/>
        <v>0</v>
      </c>
      <c r="U286" s="4">
        <f t="shared" si="327"/>
        <v>0</v>
      </c>
      <c r="V286" s="4">
        <f t="shared" si="327"/>
        <v>0</v>
      </c>
      <c r="W286" s="4">
        <f t="shared" ref="W286:AC286" si="328">+W285-W282</f>
        <v>0</v>
      </c>
      <c r="X286" s="4">
        <f t="shared" si="328"/>
        <v>0</v>
      </c>
      <c r="Y286" s="4">
        <f t="shared" si="328"/>
        <v>0</v>
      </c>
      <c r="Z286" s="4">
        <f t="shared" si="328"/>
        <v>0</v>
      </c>
      <c r="AA286" s="4">
        <f>+AA285-AA282</f>
        <v>0</v>
      </c>
      <c r="AB286" s="4">
        <f t="shared" si="328"/>
        <v>0</v>
      </c>
      <c r="AC286" s="4">
        <f t="shared" si="328"/>
        <v>0</v>
      </c>
      <c r="AD286" s="4">
        <f t="shared" ref="AD286:AF286" si="329">+AD285-AD282</f>
        <v>0</v>
      </c>
      <c r="AE286" s="4">
        <f t="shared" si="329"/>
        <v>0</v>
      </c>
      <c r="AF286" s="4">
        <f t="shared" si="329"/>
        <v>0</v>
      </c>
      <c r="AG286" s="4">
        <f t="shared" ref="AG286:AJ286" si="330">+AG285-AG282</f>
        <v>0</v>
      </c>
      <c r="AH286" s="4">
        <f t="shared" si="330"/>
        <v>0</v>
      </c>
      <c r="AI286" s="4">
        <f t="shared" si="330"/>
        <v>0</v>
      </c>
      <c r="AJ286" s="4">
        <f t="shared" si="330"/>
        <v>0</v>
      </c>
    </row>
    <row r="287" spans="1:36" s="12" customFormat="1" ht="409.6" x14ac:dyDescent="0.25">
      <c r="A287"/>
      <c r="B287"/>
    </row>
    <row r="288" spans="1:36" s="12" customFormat="1" ht="409.6" x14ac:dyDescent="0.25">
      <c r="A288"/>
      <c r="B288"/>
    </row>
    <row r="289" spans="1:2" s="12" customFormat="1" ht="409.6" x14ac:dyDescent="0.25">
      <c r="A289"/>
      <c r="B289"/>
    </row>
  </sheetData>
  <customSheetViews>
    <customSheetView guid="{908C4906-732C-44E1-9B79-8534D37786B4}" scale="75" fitToPage="1" showRuler="0">
      <pane xSplit="2" ySplit="2" topLeftCell="J221" activePane="bottomRight" state="frozen"/>
      <selection pane="bottomRight" activeCell="M215" sqref="M215:M217"/>
      <pageMargins left="0.74803149606299213" right="0.78740157480314965" top="0.51181102362204722" bottom="0.55118110236220474" header="0" footer="0"/>
      <printOptions horizontalCentered="1" verticalCentered="1"/>
      <pageSetup scale="32" orientation="portrait" horizontalDpi="1200" verticalDpi="1200" r:id="rId1"/>
      <headerFooter alignWithMargins="0"/>
    </customSheetView>
    <customSheetView guid="{F458E9CE-89F8-4AC8-8815-C42982D0B712}" scale="75" showPageBreaks="1" fitToPage="1" showRuler="0">
      <pane xSplit="2" ySplit="2" topLeftCell="AB139" activePane="bottomRight" state="frozen"/>
      <selection pane="bottomRight" activeCell="X149" sqref="X149:AD149"/>
      <pageMargins left="0.75" right="0.75" top="1" bottom="1" header="0" footer="0"/>
      <pageSetup paperSize="130" scale="17" orientation="portrait" horizontalDpi="1200" verticalDpi="1200" r:id="rId2"/>
      <headerFooter alignWithMargins="0"/>
    </customSheetView>
    <customSheetView guid="{7C4C8CB7-097D-4D84-B918-C1C53F9BC5D9}" scale="75" showPageBreaks="1" fitToPage="1" showRuler="0">
      <pane xSplit="2" ySplit="2" topLeftCell="U141" activePane="bottomRight" state="frozen"/>
      <selection pane="bottomRight" activeCell="X159" sqref="X159"/>
      <pageMargins left="0.75" right="0.75" top="1" bottom="1" header="0" footer="0"/>
      <pageSetup paperSize="130" scale="13" orientation="portrait" horizontalDpi="1200" verticalDpi="1200" r:id="rId3"/>
      <headerFooter alignWithMargins="0"/>
    </customSheetView>
    <customSheetView guid="{9CCEB12D-7506-4C24-A88C-6720CB0226C9}" scale="75" showPageBreaks="1" fitToPage="1" printArea="1" showRuler="0">
      <pane xSplit="2" ySplit="2" topLeftCell="O200" activePane="bottomRight" state="frozen"/>
      <selection pane="bottomRight" activeCell="U219" sqref="U219:U221"/>
      <pageMargins left="0.74803149606299213" right="0.78740157480314965" top="0.51181102362204722" bottom="0.55118110236220474" header="0" footer="0"/>
      <printOptions horizontalCentered="1" verticalCentered="1"/>
      <pageSetup scale="32" orientation="portrait" horizontalDpi="1200" verticalDpi="1200" r:id="rId4"/>
      <headerFooter alignWithMargins="0"/>
    </customSheetView>
    <customSheetView guid="{647493D2-94D8-4E56-BEE8-B2C37B6B1FFF}" scale="75" showPageBreaks="1" fitToPage="1" printArea="1" showRuler="0">
      <pane xSplit="2" ySplit="2" topLeftCell="G15" activePane="bottomRight" state="frozen"/>
      <selection pane="bottomRight" activeCell="P242" sqref="P242"/>
      <pageMargins left="0.74803149606299213" right="0.78740157480314965" top="0.51181102362204722" bottom="0.55118110236220474" header="0" footer="0"/>
      <printOptions horizontalCentered="1" verticalCentered="1"/>
      <pageSetup scale="32" orientation="portrait" horizontalDpi="1200" verticalDpi="1200" r:id="rId5"/>
      <headerFooter alignWithMargins="0"/>
    </customSheetView>
    <customSheetView guid="{49227DB0-CE85-40C1-97E3-05BD293396BC}" scale="75" showPageBreaks="1" fitToPage="1" showRuler="0">
      <pane xSplit="2" ySplit="2" topLeftCell="Z165" activePane="bottomRight" state="frozen"/>
      <selection pane="bottomRight" activeCell="AA307" sqref="AA307"/>
      <pageMargins left="0.75" right="0.75" top="1" bottom="1" header="0" footer="0"/>
      <pageSetup paperSize="130" scale="10" orientation="portrait" horizontalDpi="1200" verticalDpi="1200" r:id="rId6"/>
      <headerFooter alignWithMargins="0"/>
    </customSheetView>
  </customSheetViews>
  <mergeCells count="32">
    <mergeCell ref="A2:B2"/>
    <mergeCell ref="A3:A112"/>
    <mergeCell ref="A173:B173"/>
    <mergeCell ref="A174:B174"/>
    <mergeCell ref="A175:B175"/>
    <mergeCell ref="A113:A172"/>
    <mergeCell ref="A187:B187"/>
    <mergeCell ref="A188:B188"/>
    <mergeCell ref="A189:B189"/>
    <mergeCell ref="A190:B190"/>
    <mergeCell ref="A192:B192"/>
    <mergeCell ref="A193:B193"/>
    <mergeCell ref="A194:B194"/>
    <mergeCell ref="A196:B196"/>
    <mergeCell ref="A203:B203"/>
    <mergeCell ref="A205:B205"/>
    <mergeCell ref="A1:B1"/>
    <mergeCell ref="A246:B246"/>
    <mergeCell ref="A249:B249"/>
    <mergeCell ref="A242:B242"/>
    <mergeCell ref="A243:B243"/>
    <mergeCell ref="A244:B244"/>
    <mergeCell ref="A245:B245"/>
    <mergeCell ref="A207:B207"/>
    <mergeCell ref="A209:B209"/>
    <mergeCell ref="A202:B202"/>
    <mergeCell ref="A181:B181"/>
    <mergeCell ref="A206:B206"/>
    <mergeCell ref="A197:B197"/>
    <mergeCell ref="A198:B198"/>
    <mergeCell ref="A199:B199"/>
    <mergeCell ref="A201:B201"/>
  </mergeCells>
  <phoneticPr fontId="0" type="noConversion"/>
  <pageMargins left="0.75" right="0.75" top="1" bottom="1" header="0" footer="0"/>
  <pageSetup paperSize="130" scale="14" orientation="portrait" horizontalDpi="1200" verticalDpi="1200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K225"/>
  <sheetViews>
    <sheetView zoomScale="85" zoomScaleNormal="85" workbookViewId="0">
      <pane xSplit="2" ySplit="2" topLeftCell="Z135" activePane="bottomRight" state="frozen"/>
      <selection pane="topRight" activeCell="C1" sqref="C1"/>
      <selection pane="bottomLeft" activeCell="A3" sqref="A3"/>
      <selection pane="bottomRight" activeCell="AK173" sqref="AK173"/>
    </sheetView>
  </sheetViews>
  <sheetFormatPr baseColWidth="10" defaultRowHeight="12.75" x14ac:dyDescent="0.2"/>
  <cols>
    <col min="1" max="1" width="12.85546875" customWidth="1"/>
    <col min="2" max="2" width="32" bestFit="1" customWidth="1"/>
    <col min="3" max="36" width="18.5703125" customWidth="1"/>
  </cols>
  <sheetData>
    <row r="1" spans="1:36" ht="13.5" customHeight="1" thickBot="1" x14ac:dyDescent="0.3">
      <c r="A1" s="396" t="s">
        <v>285</v>
      </c>
      <c r="B1" s="396" t="s">
        <v>285</v>
      </c>
      <c r="C1" s="58" t="s">
        <v>494</v>
      </c>
      <c r="D1" s="58" t="s">
        <v>489</v>
      </c>
      <c r="E1" s="58" t="s">
        <v>490</v>
      </c>
      <c r="F1" s="58" t="s">
        <v>491</v>
      </c>
      <c r="G1" s="58" t="s">
        <v>492</v>
      </c>
      <c r="H1" s="58" t="s">
        <v>493</v>
      </c>
      <c r="I1" s="58" t="s">
        <v>480</v>
      </c>
      <c r="J1" s="58" t="s">
        <v>494</v>
      </c>
      <c r="K1" s="58" t="s">
        <v>489</v>
      </c>
      <c r="L1" s="58" t="s">
        <v>490</v>
      </c>
      <c r="M1" s="58" t="s">
        <v>491</v>
      </c>
      <c r="N1" s="58" t="s">
        <v>492</v>
      </c>
      <c r="O1" s="58" t="s">
        <v>493</v>
      </c>
      <c r="P1" s="58" t="s">
        <v>480</v>
      </c>
      <c r="Q1" s="58" t="s">
        <v>494</v>
      </c>
      <c r="R1" s="58" t="s">
        <v>489</v>
      </c>
      <c r="S1" s="58" t="s">
        <v>490</v>
      </c>
      <c r="T1" s="58" t="s">
        <v>491</v>
      </c>
      <c r="U1" s="58" t="s">
        <v>492</v>
      </c>
      <c r="V1" s="58" t="s">
        <v>493</v>
      </c>
      <c r="W1" s="58" t="s">
        <v>480</v>
      </c>
      <c r="X1" s="58" t="s">
        <v>494</v>
      </c>
      <c r="Y1" s="58" t="s">
        <v>489</v>
      </c>
      <c r="Z1" s="58" t="s">
        <v>490</v>
      </c>
      <c r="AA1" s="58" t="s">
        <v>491</v>
      </c>
      <c r="AB1" s="58" t="s">
        <v>492</v>
      </c>
      <c r="AC1" s="58" t="s">
        <v>493</v>
      </c>
      <c r="AD1" s="58" t="s">
        <v>480</v>
      </c>
      <c r="AE1" s="58" t="s">
        <v>494</v>
      </c>
      <c r="AF1" s="58" t="s">
        <v>489</v>
      </c>
      <c r="AG1" s="58" t="s">
        <v>490</v>
      </c>
      <c r="AH1" s="58" t="s">
        <v>491</v>
      </c>
      <c r="AI1" s="58" t="s">
        <v>492</v>
      </c>
      <c r="AJ1" s="58" t="s">
        <v>493</v>
      </c>
    </row>
    <row r="2" spans="1:36" ht="15.75" thickBot="1" x14ac:dyDescent="0.25">
      <c r="A2" s="421" t="s">
        <v>0</v>
      </c>
      <c r="B2" s="422"/>
      <c r="C2" s="59">
        <v>40575</v>
      </c>
      <c r="D2" s="59">
        <v>40576</v>
      </c>
      <c r="E2" s="59">
        <v>40577</v>
      </c>
      <c r="F2" s="59">
        <v>40578</v>
      </c>
      <c r="G2" s="59">
        <v>40579</v>
      </c>
      <c r="H2" s="59">
        <v>40580</v>
      </c>
      <c r="I2" s="59">
        <v>40581</v>
      </c>
      <c r="J2" s="59">
        <v>40582</v>
      </c>
      <c r="K2" s="59">
        <v>40583</v>
      </c>
      <c r="L2" s="59">
        <v>40584</v>
      </c>
      <c r="M2" s="59">
        <v>40585</v>
      </c>
      <c r="N2" s="59">
        <v>40586</v>
      </c>
      <c r="O2" s="59">
        <v>40587</v>
      </c>
      <c r="P2" s="59">
        <v>40588</v>
      </c>
      <c r="Q2" s="59">
        <v>40589</v>
      </c>
      <c r="R2" s="59">
        <v>40590</v>
      </c>
      <c r="S2" s="59">
        <v>40591</v>
      </c>
      <c r="T2" s="59">
        <v>40592</v>
      </c>
      <c r="U2" s="59">
        <v>40593</v>
      </c>
      <c r="V2" s="59">
        <v>40594</v>
      </c>
      <c r="W2" s="59">
        <v>40595</v>
      </c>
      <c r="X2" s="59">
        <v>40596</v>
      </c>
      <c r="Y2" s="59">
        <v>40597</v>
      </c>
      <c r="Z2" s="59">
        <v>40598</v>
      </c>
      <c r="AA2" s="59">
        <v>40599</v>
      </c>
      <c r="AB2" s="59">
        <v>40600</v>
      </c>
      <c r="AC2" s="59">
        <v>40601</v>
      </c>
      <c r="AD2" s="59">
        <v>40602</v>
      </c>
      <c r="AE2" s="59">
        <v>40603</v>
      </c>
      <c r="AF2" s="59">
        <v>40604</v>
      </c>
      <c r="AG2" s="59">
        <v>40605</v>
      </c>
      <c r="AH2" s="59">
        <v>40606</v>
      </c>
      <c r="AI2" s="59">
        <v>40607</v>
      </c>
      <c r="AJ2" s="59">
        <v>40608</v>
      </c>
    </row>
    <row r="3" spans="1:36" ht="12.75" customHeight="1" x14ac:dyDescent="0.2">
      <c r="A3" s="442" t="s">
        <v>181</v>
      </c>
      <c r="B3" s="64" t="s">
        <v>1</v>
      </c>
      <c r="C3" s="55">
        <f>[1]Salidas!$D$11</f>
        <v>87005</v>
      </c>
      <c r="D3" s="55">
        <f>[2]Salidas!$D$11</f>
        <v>86665</v>
      </c>
      <c r="E3" s="55">
        <f>[3]Salidas!$D$11</f>
        <v>84939</v>
      </c>
      <c r="F3" s="55">
        <f>[4]Salidas!$D$11</f>
        <v>85709</v>
      </c>
      <c r="G3" s="55">
        <f>[5]Salidas!$D$11</f>
        <v>63518</v>
      </c>
      <c r="H3" s="55">
        <f>[6]Salidas!$D$11</f>
        <v>32069</v>
      </c>
      <c r="I3" s="55">
        <f>[7]Salidas!$D$11</f>
        <v>87278</v>
      </c>
      <c r="J3" s="55">
        <f>[8]Salidas!$D$11</f>
        <v>88271</v>
      </c>
      <c r="K3" s="55">
        <f>[9]Salidas!$D$11</f>
        <v>86566</v>
      </c>
      <c r="L3" s="55">
        <f>[10]Salidas!$D$11</f>
        <v>86361</v>
      </c>
      <c r="M3" s="55">
        <f>[11]Salidas!$D$11</f>
        <v>85309</v>
      </c>
      <c r="N3" s="55">
        <f>[12]Salidas!$D$11</f>
        <v>63464</v>
      </c>
      <c r="O3" s="55">
        <f>[13]Salidas!$D$11</f>
        <v>31089</v>
      </c>
      <c r="P3" s="55">
        <f>[14]Salidas!$D$11</f>
        <v>91883</v>
      </c>
      <c r="Q3" s="55">
        <f>[15]Salidas!$D$11</f>
        <v>90312</v>
      </c>
      <c r="R3" s="55">
        <f>[16]Salidas!$D$11</f>
        <v>92424</v>
      </c>
      <c r="S3" s="55">
        <f>[17]Salidas!$D$11</f>
        <v>89447</v>
      </c>
      <c r="T3" s="55">
        <f>[18]Salidas!$D$11</f>
        <v>89182</v>
      </c>
      <c r="U3" s="55">
        <f>[19]Salidas!$D$11</f>
        <v>64769</v>
      </c>
      <c r="V3" s="55">
        <f>[20]Salidas!$D$11</f>
        <v>33250</v>
      </c>
      <c r="W3" s="55">
        <f>[21]Salidas!$D$11</f>
        <v>88839</v>
      </c>
      <c r="X3" s="55">
        <f>[22]Salidas!$D$11</f>
        <v>90250</v>
      </c>
      <c r="Y3" s="55">
        <f>[23]Salidas!$D$11</f>
        <v>88157</v>
      </c>
      <c r="Z3" s="55">
        <f>[24]Salidas!$D$11</f>
        <v>88116</v>
      </c>
      <c r="AA3" s="55">
        <f>[25]Salidas!$D$11</f>
        <v>87770</v>
      </c>
      <c r="AB3" s="55">
        <f>[26]Salidas!$D$11</f>
        <v>66145</v>
      </c>
      <c r="AC3" s="55">
        <f>[27]Salidas!$D$11</f>
        <v>32494</v>
      </c>
      <c r="AD3" s="55">
        <f>[28]Salidas!$D$11</f>
        <v>89361</v>
      </c>
      <c r="AE3" s="55">
        <f>[29]Salidas!$D$11</f>
        <v>89925</v>
      </c>
      <c r="AF3" s="55">
        <f>[30]Salidas!$D$11</f>
        <v>90314</v>
      </c>
      <c r="AG3" s="55">
        <f>[31]Salidas!$D$11</f>
        <v>88431</v>
      </c>
      <c r="AH3" s="55">
        <f>[32]Salidas!$D$11</f>
        <v>88818</v>
      </c>
      <c r="AI3" s="55">
        <f>[33]Salidas!$D$11</f>
        <v>66886</v>
      </c>
      <c r="AJ3" s="55">
        <f>[34]Salidas!$D$11</f>
        <v>32320</v>
      </c>
    </row>
    <row r="4" spans="1:36" x14ac:dyDescent="0.2">
      <c r="A4" s="443"/>
      <c r="B4" s="39" t="s">
        <v>2</v>
      </c>
      <c r="C4" s="13">
        <f>+[1]Salidas!$D20</f>
        <v>5696</v>
      </c>
      <c r="D4" s="13">
        <f>+[2]Salidas!$D20</f>
        <v>5568</v>
      </c>
      <c r="E4" s="13">
        <f>+[3]Salidas!$D20</f>
        <v>5318</v>
      </c>
      <c r="F4" s="13">
        <f>+[4]Salidas!$D20</f>
        <v>5569</v>
      </c>
      <c r="G4" s="13">
        <f>+[5]Salidas!$D20</f>
        <v>4260</v>
      </c>
      <c r="H4" s="13">
        <f>+[6]Salidas!$D20</f>
        <v>2560</v>
      </c>
      <c r="I4" s="13">
        <f>+[7]Salidas!$D20</f>
        <v>5455</v>
      </c>
      <c r="J4" s="13">
        <f>+[8]Salidas!$D20</f>
        <v>5502</v>
      </c>
      <c r="K4" s="13">
        <f>+[9]Salidas!$D20</f>
        <v>5395</v>
      </c>
      <c r="L4" s="13">
        <f>+[10]Salidas!$D20</f>
        <v>5417</v>
      </c>
      <c r="M4" s="13">
        <f>+[11]Salidas!$D20</f>
        <v>5183</v>
      </c>
      <c r="N4" s="13">
        <f>+[12]Salidas!$D20</f>
        <v>4295</v>
      </c>
      <c r="O4" s="13">
        <f>+[13]Salidas!$D20</f>
        <v>2356</v>
      </c>
      <c r="P4" s="13">
        <f>+[14]Salidas!$D20</f>
        <v>5543</v>
      </c>
      <c r="Q4" s="13">
        <f>+[15]Salidas!$D20</f>
        <v>5747</v>
      </c>
      <c r="R4" s="13">
        <f>+[16]Salidas!$D20</f>
        <v>5445</v>
      </c>
      <c r="S4" s="13">
        <f>+[17]Salidas!$D20</f>
        <v>5541</v>
      </c>
      <c r="T4" s="13">
        <f>+[18]Salidas!$D20</f>
        <v>5684</v>
      </c>
      <c r="U4" s="13">
        <f>+[19]Salidas!$D20</f>
        <v>4402</v>
      </c>
      <c r="V4" s="13">
        <f>+[20]Salidas!$D20</f>
        <v>2689</v>
      </c>
      <c r="W4" s="13">
        <f>+[21]Salidas!$D20</f>
        <v>5534</v>
      </c>
      <c r="X4" s="13">
        <f>+[22]Salidas!$D20</f>
        <v>5503</v>
      </c>
      <c r="Y4" s="13">
        <f>+[23]Salidas!$D20</f>
        <v>5540</v>
      </c>
      <c r="Z4" s="13">
        <f>+[24]Salidas!$D20</f>
        <v>5379</v>
      </c>
      <c r="AA4" s="13">
        <f>+[25]Salidas!$D20</f>
        <v>5532</v>
      </c>
      <c r="AB4" s="13">
        <f>+[26]Salidas!$D20</f>
        <v>4279</v>
      </c>
      <c r="AC4" s="13">
        <f>+[27]Salidas!$D20</f>
        <v>2599</v>
      </c>
      <c r="AD4" s="13">
        <f>+[28]Salidas!$D20</f>
        <v>5607</v>
      </c>
      <c r="AE4" s="13">
        <f>+[29]Salidas!$D20</f>
        <v>5882</v>
      </c>
      <c r="AF4" s="13">
        <f>+[30]Salidas!$D20</f>
        <v>5651</v>
      </c>
      <c r="AG4" s="13">
        <f>+[31]Salidas!$D20</f>
        <v>5879</v>
      </c>
      <c r="AH4" s="13">
        <f>+[32]Salidas!$D20</f>
        <v>5702</v>
      </c>
      <c r="AI4" s="13">
        <f>+[33]Salidas!$D20</f>
        <v>4513</v>
      </c>
      <c r="AJ4" s="13">
        <f>+[34]Salidas!$D20</f>
        <v>2685</v>
      </c>
    </row>
    <row r="5" spans="1:36" x14ac:dyDescent="0.2">
      <c r="A5" s="443"/>
      <c r="B5" s="39" t="s">
        <v>3</v>
      </c>
      <c r="C5" s="13">
        <f>+[1]Salidas!$D21</f>
        <v>5591</v>
      </c>
      <c r="D5" s="13">
        <f>+[2]Salidas!$D21</f>
        <v>5513</v>
      </c>
      <c r="E5" s="13">
        <f>+[3]Salidas!$D21</f>
        <v>5632</v>
      </c>
      <c r="F5" s="13">
        <f>+[4]Salidas!$D21</f>
        <v>5426</v>
      </c>
      <c r="G5" s="13">
        <f>+[5]Salidas!$D21</f>
        <v>3617</v>
      </c>
      <c r="H5" s="13">
        <f>+[6]Salidas!$D21</f>
        <v>1334</v>
      </c>
      <c r="I5" s="13">
        <f>+[7]Salidas!$D21</f>
        <v>5418</v>
      </c>
      <c r="J5" s="13">
        <f>+[8]Salidas!$D21</f>
        <v>5548</v>
      </c>
      <c r="K5" s="13">
        <f>+[9]Salidas!$D21</f>
        <v>5419</v>
      </c>
      <c r="L5" s="13">
        <f>+[10]Salidas!$D21</f>
        <v>5542</v>
      </c>
      <c r="M5" s="13">
        <f>+[11]Salidas!$D21</f>
        <v>5302</v>
      </c>
      <c r="N5" s="13">
        <f>+[12]Salidas!$D21</f>
        <v>3854</v>
      </c>
      <c r="O5" s="13">
        <f>+[13]Salidas!$D21</f>
        <v>1336</v>
      </c>
      <c r="P5" s="13">
        <f>+[14]Salidas!$D21</f>
        <v>5663</v>
      </c>
      <c r="Q5" s="13">
        <f>+[15]Salidas!$D21</f>
        <v>5735</v>
      </c>
      <c r="R5" s="13">
        <f>+[16]Salidas!$D21</f>
        <v>5646</v>
      </c>
      <c r="S5" s="13">
        <f>+[17]Salidas!$D21</f>
        <v>5748</v>
      </c>
      <c r="T5" s="13">
        <f>+[18]Salidas!$D21</f>
        <v>5610</v>
      </c>
      <c r="U5" s="13">
        <f>+[19]Salidas!$D21</f>
        <v>3790</v>
      </c>
      <c r="V5" s="13">
        <f>+[20]Salidas!$D21</f>
        <v>1405</v>
      </c>
      <c r="W5" s="13">
        <f>+[21]Salidas!$D21</f>
        <v>5872</v>
      </c>
      <c r="X5" s="13">
        <f>+[22]Salidas!$D21</f>
        <v>5874</v>
      </c>
      <c r="Y5" s="13">
        <f>+[23]Salidas!$D21</f>
        <v>5491</v>
      </c>
      <c r="Z5" s="13">
        <f>+[24]Salidas!$D21</f>
        <v>5603</v>
      </c>
      <c r="AA5" s="13">
        <f>+[25]Salidas!$D21</f>
        <v>5298</v>
      </c>
      <c r="AB5" s="13">
        <f>+[26]Salidas!$D21</f>
        <v>3746</v>
      </c>
      <c r="AC5" s="13">
        <f>+[27]Salidas!$D21</f>
        <v>1395</v>
      </c>
      <c r="AD5" s="13">
        <f>+[28]Salidas!$D21</f>
        <v>5721</v>
      </c>
      <c r="AE5" s="13">
        <f>+[29]Salidas!$D21</f>
        <v>5847</v>
      </c>
      <c r="AF5" s="13">
        <f>+[30]Salidas!$D21</f>
        <v>5811</v>
      </c>
      <c r="AG5" s="13">
        <f>+[31]Salidas!$D21</f>
        <v>5730</v>
      </c>
      <c r="AH5" s="13">
        <f>+[32]Salidas!$D21</f>
        <v>5648</v>
      </c>
      <c r="AI5" s="13">
        <f>+[33]Salidas!$D21</f>
        <v>3877</v>
      </c>
      <c r="AJ5" s="13">
        <f>+[34]Salidas!$D21</f>
        <v>1373</v>
      </c>
    </row>
    <row r="6" spans="1:36" x14ac:dyDescent="0.2">
      <c r="A6" s="443"/>
      <c r="B6" s="39" t="s">
        <v>103</v>
      </c>
      <c r="C6" s="13">
        <f>+[1]Salidas!$D22</f>
        <v>8671</v>
      </c>
      <c r="D6" s="13">
        <f>+[2]Salidas!$D22</f>
        <v>8869</v>
      </c>
      <c r="E6" s="13">
        <f>+[3]Salidas!$D22</f>
        <v>8479</v>
      </c>
      <c r="F6" s="13">
        <f>+[4]Salidas!$D22</f>
        <v>8618</v>
      </c>
      <c r="G6" s="13">
        <f>+[5]Salidas!$D22</f>
        <v>6418</v>
      </c>
      <c r="H6" s="13">
        <f>+[6]Salidas!$D22</f>
        <v>3239</v>
      </c>
      <c r="I6" s="13">
        <f>+[7]Salidas!$D22</f>
        <v>8604</v>
      </c>
      <c r="J6" s="13">
        <f>+[8]Salidas!$D22</f>
        <v>8993</v>
      </c>
      <c r="K6" s="13">
        <f>+[9]Salidas!$D22</f>
        <v>8829</v>
      </c>
      <c r="L6" s="13">
        <f>+[10]Salidas!$D22</f>
        <v>8919</v>
      </c>
      <c r="M6" s="13">
        <f>+[11]Salidas!$D22</f>
        <v>8651</v>
      </c>
      <c r="N6" s="13">
        <f>+[12]Salidas!$D22</f>
        <v>6829</v>
      </c>
      <c r="O6" s="13">
        <f>+[13]Salidas!$D22</f>
        <v>3065</v>
      </c>
      <c r="P6" s="13">
        <f>+[14]Salidas!$D22</f>
        <v>8902</v>
      </c>
      <c r="Q6" s="13">
        <f>+[15]Salidas!$D22</f>
        <v>9067</v>
      </c>
      <c r="R6" s="13">
        <f>+[16]Salidas!$D22</f>
        <v>9293</v>
      </c>
      <c r="S6" s="13">
        <f>+[17]Salidas!$D22</f>
        <v>9121</v>
      </c>
      <c r="T6" s="13">
        <f>+[18]Salidas!$D22</f>
        <v>8906</v>
      </c>
      <c r="U6" s="13">
        <f>+[19]Salidas!$D22</f>
        <v>6806</v>
      </c>
      <c r="V6" s="13">
        <f>+[20]Salidas!$D22</f>
        <v>3218</v>
      </c>
      <c r="W6" s="13">
        <f>+[21]Salidas!$D22</f>
        <v>9008</v>
      </c>
      <c r="X6" s="13">
        <f>+[22]Salidas!$D22</f>
        <v>9039</v>
      </c>
      <c r="Y6" s="13">
        <f>+[23]Salidas!$D22</f>
        <v>9032</v>
      </c>
      <c r="Z6" s="13">
        <f>+[24]Salidas!$D22</f>
        <v>8948</v>
      </c>
      <c r="AA6" s="13">
        <f>+[25]Salidas!$D22</f>
        <v>8853</v>
      </c>
      <c r="AB6" s="13">
        <f>+[26]Salidas!$D22</f>
        <v>6541</v>
      </c>
      <c r="AC6" s="13">
        <f>+[27]Salidas!$D22</f>
        <v>3170</v>
      </c>
      <c r="AD6" s="13">
        <f>+[28]Salidas!$D22</f>
        <v>9012</v>
      </c>
      <c r="AE6" s="13">
        <f>+[29]Salidas!$D22</f>
        <v>9330</v>
      </c>
      <c r="AF6" s="13">
        <f>+[30]Salidas!$D22</f>
        <v>9236</v>
      </c>
      <c r="AG6" s="13">
        <f>+[31]Salidas!$D22</f>
        <v>9313</v>
      </c>
      <c r="AH6" s="13">
        <f>+[32]Salidas!$D22</f>
        <v>9069</v>
      </c>
      <c r="AI6" s="13">
        <f>+[33]Salidas!$D22</f>
        <v>6974</v>
      </c>
      <c r="AJ6" s="13">
        <f>+[34]Salidas!$D22</f>
        <v>3119</v>
      </c>
    </row>
    <row r="7" spans="1:36" x14ac:dyDescent="0.2">
      <c r="A7" s="443"/>
      <c r="B7" s="65" t="s">
        <v>105</v>
      </c>
      <c r="C7" s="55">
        <f>+[1]Salidas!$D23</f>
        <v>5179</v>
      </c>
      <c r="D7" s="55">
        <f>+[2]Salidas!$D23</f>
        <v>5032</v>
      </c>
      <c r="E7" s="55">
        <f>+[3]Salidas!$D23</f>
        <v>4932</v>
      </c>
      <c r="F7" s="55">
        <f>+[4]Salidas!$D23</f>
        <v>5012</v>
      </c>
      <c r="G7" s="55">
        <f>+[5]Salidas!$D23</f>
        <v>4203</v>
      </c>
      <c r="H7" s="55">
        <f>+[6]Salidas!$D23</f>
        <v>2387</v>
      </c>
      <c r="I7" s="55">
        <f>+[7]Salidas!$D23</f>
        <v>5167</v>
      </c>
      <c r="J7" s="55">
        <f>+[8]Salidas!$D23</f>
        <v>5234</v>
      </c>
      <c r="K7" s="55">
        <f>+[9]Salidas!$D23</f>
        <v>5028</v>
      </c>
      <c r="L7" s="55">
        <f>+[10]Salidas!$D23</f>
        <v>5707</v>
      </c>
      <c r="M7" s="55">
        <f>+[11]Salidas!$D23</f>
        <v>4357</v>
      </c>
      <c r="N7" s="55">
        <f>+[12]Salidas!$D23</f>
        <v>3832</v>
      </c>
      <c r="O7" s="55">
        <f>+[13]Salidas!$D23</f>
        <v>2258</v>
      </c>
      <c r="P7" s="55">
        <f>+[14]Salidas!$D23</f>
        <v>5145</v>
      </c>
      <c r="Q7" s="55">
        <f>+[15]Salidas!$D23</f>
        <v>4752</v>
      </c>
      <c r="R7" s="55">
        <f>+[16]Salidas!$D23</f>
        <v>4580</v>
      </c>
      <c r="S7" s="55">
        <f>+[17]Salidas!$D23</f>
        <v>4865</v>
      </c>
      <c r="T7" s="55">
        <f>+[18]Salidas!$D23</f>
        <v>6244</v>
      </c>
      <c r="U7" s="55">
        <f>+[19]Salidas!$D23</f>
        <v>4078</v>
      </c>
      <c r="V7" s="55">
        <f>+[20]Salidas!$D23</f>
        <v>2163</v>
      </c>
      <c r="W7" s="55">
        <f>+[21]Salidas!$D23</f>
        <v>5020</v>
      </c>
      <c r="X7" s="55">
        <f>+[22]Salidas!$D23</f>
        <v>5424</v>
      </c>
      <c r="Y7" s="55">
        <f>+[23]Salidas!$D23</f>
        <v>5260</v>
      </c>
      <c r="Z7" s="55">
        <f>+[24]Salidas!$D23</f>
        <v>5149</v>
      </c>
      <c r="AA7" s="55">
        <f>+[25]Salidas!$D23</f>
        <v>5482</v>
      </c>
      <c r="AB7" s="55">
        <f>+[26]Salidas!$D23</f>
        <v>3451</v>
      </c>
      <c r="AC7" s="55">
        <f>+[27]Salidas!$D23</f>
        <v>2278</v>
      </c>
      <c r="AD7" s="55">
        <f>+[28]Salidas!$D23</f>
        <v>5851</v>
      </c>
      <c r="AE7" s="55">
        <f>+[29]Salidas!$D23</f>
        <v>5355</v>
      </c>
      <c r="AF7" s="55">
        <f>+[30]Salidas!$D23</f>
        <v>4859</v>
      </c>
      <c r="AG7" s="55">
        <f>+[31]Salidas!$D23</f>
        <v>4945</v>
      </c>
      <c r="AH7" s="55">
        <f>+[32]Salidas!$D23</f>
        <v>4988</v>
      </c>
      <c r="AI7" s="55">
        <f>+[33]Salidas!$D23</f>
        <v>3902</v>
      </c>
      <c r="AJ7" s="55">
        <f>+[34]Salidas!$D23</f>
        <v>2281</v>
      </c>
    </row>
    <row r="8" spans="1:36" x14ac:dyDescent="0.2">
      <c r="A8" s="443"/>
      <c r="B8" s="39" t="s">
        <v>5</v>
      </c>
      <c r="C8" s="13">
        <f>+[1]Salidas!$D24</f>
        <v>4223</v>
      </c>
      <c r="D8" s="13">
        <f>+[2]Salidas!$D24</f>
        <v>4259</v>
      </c>
      <c r="E8" s="13">
        <f>+[3]Salidas!$D24</f>
        <v>4162</v>
      </c>
      <c r="F8" s="13">
        <f>+[4]Salidas!$D24</f>
        <v>3889</v>
      </c>
      <c r="G8" s="13">
        <f>+[5]Salidas!$D24</f>
        <v>3067</v>
      </c>
      <c r="H8" s="13">
        <f>+[6]Salidas!$D24</f>
        <v>1447</v>
      </c>
      <c r="I8" s="13">
        <f>+[7]Salidas!$D24</f>
        <v>4163</v>
      </c>
      <c r="J8" s="13">
        <f>+[8]Salidas!$D24</f>
        <v>3444</v>
      </c>
      <c r="K8" s="13">
        <f>+[9]Salidas!$D24</f>
        <v>4154</v>
      </c>
      <c r="L8" s="13">
        <f>+[10]Salidas!$D24</f>
        <v>4193</v>
      </c>
      <c r="M8" s="13">
        <f>+[11]Salidas!$D24</f>
        <v>4189</v>
      </c>
      <c r="N8" s="13">
        <f>+[12]Salidas!$D24</f>
        <v>3185</v>
      </c>
      <c r="O8" s="13">
        <f>+[13]Salidas!$D24</f>
        <v>1396</v>
      </c>
      <c r="P8" s="13">
        <f>+[14]Salidas!$D24</f>
        <v>4282</v>
      </c>
      <c r="Q8" s="13">
        <f>+[15]Salidas!$D24</f>
        <v>4169</v>
      </c>
      <c r="R8" s="13">
        <f>+[16]Salidas!$D24</f>
        <v>4321</v>
      </c>
      <c r="S8" s="13">
        <f>+[17]Salidas!$D24</f>
        <v>4271</v>
      </c>
      <c r="T8" s="13">
        <f>+[18]Salidas!$D24</f>
        <v>4232</v>
      </c>
      <c r="U8" s="13">
        <f>+[19]Salidas!$D24</f>
        <v>3022</v>
      </c>
      <c r="V8" s="13">
        <f>+[20]Salidas!$D24</f>
        <v>1484</v>
      </c>
      <c r="W8" s="13">
        <f>+[21]Salidas!$D24</f>
        <v>4154</v>
      </c>
      <c r="X8" s="13">
        <f>+[22]Salidas!$D24</f>
        <v>4190</v>
      </c>
      <c r="Y8" s="13">
        <f>+[23]Salidas!$D24</f>
        <v>4170</v>
      </c>
      <c r="Z8" s="13">
        <f>+[24]Salidas!$D24</f>
        <v>4127</v>
      </c>
      <c r="AA8" s="13">
        <f>+[25]Salidas!$D24</f>
        <v>4149</v>
      </c>
      <c r="AB8" s="13">
        <f>+[26]Salidas!$D24</f>
        <v>3181</v>
      </c>
      <c r="AC8" s="13">
        <f>+[27]Salidas!$D24</f>
        <v>1528</v>
      </c>
      <c r="AD8" s="13">
        <f>+[28]Salidas!$D24</f>
        <v>4340</v>
      </c>
      <c r="AE8" s="13">
        <f>+[29]Salidas!$D24</f>
        <v>4245</v>
      </c>
      <c r="AF8" s="13">
        <f>+[30]Salidas!$D24</f>
        <v>4325</v>
      </c>
      <c r="AG8" s="13">
        <f>+[31]Salidas!$D24</f>
        <v>4329</v>
      </c>
      <c r="AH8" s="13">
        <f>+[32]Salidas!$D24</f>
        <v>4151</v>
      </c>
      <c r="AI8" s="13">
        <f>+[33]Salidas!$D24</f>
        <v>3228</v>
      </c>
      <c r="AJ8" s="13">
        <f>+[34]Salidas!$D24</f>
        <v>1505</v>
      </c>
    </row>
    <row r="9" spans="1:36" x14ac:dyDescent="0.2">
      <c r="A9" s="443"/>
      <c r="B9" s="39" t="s">
        <v>106</v>
      </c>
      <c r="C9" s="13">
        <f>+[1]Salidas!$D25</f>
        <v>15863</v>
      </c>
      <c r="D9" s="13">
        <f>+[2]Salidas!$D25</f>
        <v>16438</v>
      </c>
      <c r="E9" s="13">
        <f>+[3]Salidas!$D25</f>
        <v>16067</v>
      </c>
      <c r="F9" s="13">
        <f>+[4]Salidas!$D25</f>
        <v>16546</v>
      </c>
      <c r="G9" s="13">
        <f>+[5]Salidas!$D25</f>
        <v>12071</v>
      </c>
      <c r="H9" s="13">
        <f>+[6]Salidas!$D25</f>
        <v>5629</v>
      </c>
      <c r="I9" s="13">
        <f>+[7]Salidas!$D25</f>
        <v>16654</v>
      </c>
      <c r="J9" s="13">
        <f>+[8]Salidas!$D25</f>
        <v>16610</v>
      </c>
      <c r="K9" s="13">
        <f>+[9]Salidas!$D25</f>
        <v>16150</v>
      </c>
      <c r="L9" s="13">
        <f>+[10]Salidas!$D25</f>
        <v>16395</v>
      </c>
      <c r="M9" s="13">
        <f>+[11]Salidas!$D25</f>
        <v>16400</v>
      </c>
      <c r="N9" s="13">
        <f>+[12]Salidas!$D25</f>
        <v>12275</v>
      </c>
      <c r="O9" s="13">
        <f>+[13]Salidas!$D25</f>
        <v>5696</v>
      </c>
      <c r="P9" s="13">
        <f>+[14]Salidas!$D25</f>
        <v>17006</v>
      </c>
      <c r="Q9" s="13">
        <f>+[15]Salidas!$D25</f>
        <v>17278</v>
      </c>
      <c r="R9" s="13">
        <f>+[16]Salidas!$D25</f>
        <v>17526</v>
      </c>
      <c r="S9" s="13">
        <f>+[17]Salidas!$D25</f>
        <v>17456</v>
      </c>
      <c r="T9" s="13">
        <f>+[18]Salidas!$D25</f>
        <v>17010</v>
      </c>
      <c r="U9" s="13">
        <f>+[19]Salidas!$D25</f>
        <v>11666</v>
      </c>
      <c r="V9" s="13">
        <f>+[20]Salidas!$D25</f>
        <v>5748</v>
      </c>
      <c r="W9" s="13">
        <f>+[21]Salidas!$D25</f>
        <v>17036</v>
      </c>
      <c r="X9" s="13">
        <f>+[22]Salidas!$D25</f>
        <v>16897</v>
      </c>
      <c r="Y9" s="13">
        <f>+[23]Salidas!$D25</f>
        <v>16946</v>
      </c>
      <c r="Z9" s="13">
        <f>+[24]Salidas!$D25</f>
        <v>16778</v>
      </c>
      <c r="AA9" s="13">
        <f>+[25]Salidas!$D25</f>
        <v>16894</v>
      </c>
      <c r="AB9" s="13">
        <f>+[26]Salidas!$D25</f>
        <v>12300</v>
      </c>
      <c r="AC9" s="13">
        <f>+[27]Salidas!$D25</f>
        <v>5753</v>
      </c>
      <c r="AD9" s="13">
        <f>+[28]Salidas!$D25</f>
        <v>16889</v>
      </c>
      <c r="AE9" s="13">
        <f>+[29]Salidas!$D25</f>
        <v>17602</v>
      </c>
      <c r="AF9" s="13">
        <f>+[30]Salidas!$D25</f>
        <v>17372</v>
      </c>
      <c r="AG9" s="13">
        <f>+[31]Salidas!$D25</f>
        <v>17438</v>
      </c>
      <c r="AH9" s="13">
        <f>+[32]Salidas!$D25</f>
        <v>17248</v>
      </c>
      <c r="AI9" s="13">
        <f>+[33]Salidas!$D25</f>
        <v>12836</v>
      </c>
      <c r="AJ9" s="13">
        <f>+[34]Salidas!$D25</f>
        <v>5851</v>
      </c>
    </row>
    <row r="10" spans="1:36" x14ac:dyDescent="0.2">
      <c r="A10" s="443"/>
      <c r="B10" s="65" t="s">
        <v>214</v>
      </c>
      <c r="C10" s="55">
        <f>+[1]Salidas!$D26</f>
        <v>13660</v>
      </c>
      <c r="D10" s="55">
        <f>+[2]Salidas!$D26</f>
        <v>13791</v>
      </c>
      <c r="E10" s="55">
        <f>+[3]Salidas!$D26</f>
        <v>13615</v>
      </c>
      <c r="F10" s="55">
        <f>+[4]Salidas!$D26</f>
        <v>13527</v>
      </c>
      <c r="G10" s="55">
        <f>+[5]Salidas!$D26</f>
        <v>9786</v>
      </c>
      <c r="H10" s="55">
        <f>+[6]Salidas!$D26</f>
        <v>5591</v>
      </c>
      <c r="I10" s="55">
        <f>+[7]Salidas!$D26</f>
        <v>14166</v>
      </c>
      <c r="J10" s="55">
        <f>+[8]Salidas!$D26</f>
        <v>14118</v>
      </c>
      <c r="K10" s="55">
        <f>+[9]Salidas!$D26</f>
        <v>13429</v>
      </c>
      <c r="L10" s="55">
        <f>+[10]Salidas!$D26</f>
        <v>13706</v>
      </c>
      <c r="M10" s="55">
        <f>+[11]Salidas!$D26</f>
        <v>13017</v>
      </c>
      <c r="N10" s="55">
        <f>+[12]Salidas!$D26</f>
        <v>10157</v>
      </c>
      <c r="O10" s="55">
        <f>+[13]Salidas!$D26</f>
        <v>5598</v>
      </c>
      <c r="P10" s="55">
        <f>+[14]Salidas!$D26</f>
        <v>14367</v>
      </c>
      <c r="Q10" s="55">
        <f>+[15]Salidas!$D26</f>
        <v>13868</v>
      </c>
      <c r="R10" s="55">
        <f>+[16]Salidas!$D26</f>
        <v>13491</v>
      </c>
      <c r="S10" s="55">
        <f>+[17]Salidas!$D26</f>
        <v>13185</v>
      </c>
      <c r="T10" s="55">
        <f>+[18]Salidas!$D26</f>
        <v>13560</v>
      </c>
      <c r="U10" s="55">
        <f>+[19]Salidas!$D26</f>
        <v>9812</v>
      </c>
      <c r="V10" s="55">
        <f>+[20]Salidas!$D26</f>
        <v>5971</v>
      </c>
      <c r="W10" s="55">
        <f>+[21]Salidas!$D26</f>
        <v>14078</v>
      </c>
      <c r="X10" s="55">
        <f>+[22]Salidas!$D26</f>
        <v>14256</v>
      </c>
      <c r="Y10" s="55">
        <f>+[23]Salidas!$D26</f>
        <v>13469</v>
      </c>
      <c r="Z10" s="55">
        <f>+[24]Salidas!$D26</f>
        <v>13729</v>
      </c>
      <c r="AA10" s="55">
        <f>+[25]Salidas!$D26</f>
        <v>13293</v>
      </c>
      <c r="AB10" s="55">
        <f>+[26]Salidas!$D26</f>
        <v>9952</v>
      </c>
      <c r="AC10" s="55">
        <f>+[27]Salidas!$D26</f>
        <v>5802</v>
      </c>
      <c r="AD10" s="55">
        <f>+[28]Salidas!$D26</f>
        <v>14026</v>
      </c>
      <c r="AE10" s="55">
        <f>+[29]Salidas!$D26</f>
        <v>13662</v>
      </c>
      <c r="AF10" s="55">
        <f>+[30]Salidas!$D26</f>
        <v>13023</v>
      </c>
      <c r="AG10" s="55">
        <f>+[31]Salidas!$D26</f>
        <v>14099</v>
      </c>
      <c r="AH10" s="55">
        <f>+[32]Salidas!$D26</f>
        <v>13353</v>
      </c>
      <c r="AI10" s="55">
        <f>+[33]Salidas!$D26</f>
        <v>9736</v>
      </c>
      <c r="AJ10" s="55">
        <f>+[34]Salidas!$D26</f>
        <v>5834</v>
      </c>
    </row>
    <row r="11" spans="1:36" x14ac:dyDescent="0.2">
      <c r="A11" s="443"/>
      <c r="B11" s="65" t="s">
        <v>215</v>
      </c>
      <c r="C11" s="55">
        <f>+[1]Salidas!$D27</f>
        <v>6929</v>
      </c>
      <c r="D11" s="55">
        <f>+[2]Salidas!$D27</f>
        <v>6835</v>
      </c>
      <c r="E11" s="55">
        <f>+[3]Salidas!$D27</f>
        <v>6551</v>
      </c>
      <c r="F11" s="55">
        <f>+[4]Salidas!$D27</f>
        <v>6862</v>
      </c>
      <c r="G11" s="55">
        <f>+[5]Salidas!$D27</f>
        <v>4782</v>
      </c>
      <c r="H11" s="55">
        <f>+[6]Salidas!$D27</f>
        <v>2906</v>
      </c>
      <c r="I11" s="55">
        <f>+[7]Salidas!$D27</f>
        <v>6233</v>
      </c>
      <c r="J11" s="55">
        <f>+[8]Salidas!$D27</f>
        <v>6932</v>
      </c>
      <c r="K11" s="55">
        <f>+[9]Salidas!$D27</f>
        <v>6553</v>
      </c>
      <c r="L11" s="55">
        <f>+[10]Salidas!$D27</f>
        <v>6603</v>
      </c>
      <c r="M11" s="55">
        <f>+[11]Salidas!$D27</f>
        <v>6697</v>
      </c>
      <c r="N11" s="55">
        <f>+[12]Salidas!$D27</f>
        <v>4357</v>
      </c>
      <c r="O11" s="55">
        <f>+[13]Salidas!$D27</f>
        <v>2709</v>
      </c>
      <c r="P11" s="55">
        <f>+[14]Salidas!$D27</f>
        <v>6915</v>
      </c>
      <c r="Q11" s="55">
        <f>+[15]Salidas!$D27</f>
        <v>7385</v>
      </c>
      <c r="R11" s="55">
        <f>+[16]Salidas!$D27</f>
        <v>5739</v>
      </c>
      <c r="S11" s="55">
        <f>+[17]Salidas!$D27</f>
        <v>6861</v>
      </c>
      <c r="T11" s="55">
        <f>+[18]Salidas!$D27</f>
        <v>6771</v>
      </c>
      <c r="U11" s="55">
        <f>+[19]Salidas!$D27</f>
        <v>4718</v>
      </c>
      <c r="V11" s="55">
        <f>+[20]Salidas!$D27</f>
        <v>2830</v>
      </c>
      <c r="W11" s="55">
        <f>+[21]Salidas!$D27</f>
        <v>6805</v>
      </c>
      <c r="X11" s="55">
        <f>+[22]Salidas!$D27</f>
        <v>6861</v>
      </c>
      <c r="Y11" s="55">
        <f>+[23]Salidas!$D27</f>
        <v>6926</v>
      </c>
      <c r="Z11" s="55">
        <f>+[24]Salidas!$D27</f>
        <v>6893</v>
      </c>
      <c r="AA11" s="55">
        <f>+[25]Salidas!$D27</f>
        <v>5770</v>
      </c>
      <c r="AB11" s="55">
        <f>+[26]Salidas!$D27</f>
        <v>4800</v>
      </c>
      <c r="AC11" s="55">
        <f>+[27]Salidas!$D27</f>
        <v>2786</v>
      </c>
      <c r="AD11" s="55">
        <f>+[28]Salidas!$D27</f>
        <v>6686</v>
      </c>
      <c r="AE11" s="55">
        <f>+[29]Salidas!$D27</f>
        <v>7295</v>
      </c>
      <c r="AF11" s="55">
        <f>+[30]Salidas!$D27</f>
        <v>6850</v>
      </c>
      <c r="AG11" s="55">
        <f>+[31]Salidas!$D27</f>
        <v>6989</v>
      </c>
      <c r="AH11" s="55">
        <f>+[32]Salidas!$D27</f>
        <v>6790</v>
      </c>
      <c r="AI11" s="55">
        <f>+[33]Salidas!$D27</f>
        <v>4956</v>
      </c>
      <c r="AJ11" s="55">
        <f>+[34]Salidas!$D27</f>
        <v>2686</v>
      </c>
    </row>
    <row r="12" spans="1:36" x14ac:dyDescent="0.2">
      <c r="A12" s="443"/>
      <c r="B12" s="39" t="s">
        <v>7</v>
      </c>
      <c r="C12" s="13">
        <f>+[1]Salidas!$D28</f>
        <v>7841</v>
      </c>
      <c r="D12" s="13">
        <f>+[2]Salidas!$D28</f>
        <v>7529</v>
      </c>
      <c r="E12" s="13">
        <f>+[3]Salidas!$D28</f>
        <v>7835</v>
      </c>
      <c r="F12" s="13">
        <f>+[4]Salidas!$D28</f>
        <v>7974</v>
      </c>
      <c r="G12" s="13">
        <f>+[5]Salidas!$D28</f>
        <v>4571</v>
      </c>
      <c r="H12" s="13">
        <f>+[6]Salidas!$D28</f>
        <v>1542</v>
      </c>
      <c r="I12" s="13">
        <f>+[7]Salidas!$D28</f>
        <v>7863</v>
      </c>
      <c r="J12" s="13">
        <f>+[8]Salidas!$D28</f>
        <v>7776</v>
      </c>
      <c r="K12" s="13">
        <f>+[9]Salidas!$D28</f>
        <v>7832</v>
      </c>
      <c r="L12" s="13">
        <f>+[10]Salidas!$D28</f>
        <v>7986</v>
      </c>
      <c r="M12" s="13">
        <f>+[11]Salidas!$D28</f>
        <v>8059</v>
      </c>
      <c r="N12" s="13">
        <f>+[12]Salidas!$D28</f>
        <v>4565</v>
      </c>
      <c r="O12" s="13">
        <f>+[13]Salidas!$D28</f>
        <v>1335</v>
      </c>
      <c r="P12" s="13">
        <f>+[14]Salidas!$D28</f>
        <v>7910</v>
      </c>
      <c r="Q12" s="13">
        <f>+[15]Salidas!$D28</f>
        <v>8031</v>
      </c>
      <c r="R12" s="13">
        <f>+[16]Salidas!$D28</f>
        <v>7964</v>
      </c>
      <c r="S12" s="13">
        <f>+[17]Salidas!$D28</f>
        <v>7967</v>
      </c>
      <c r="T12" s="13">
        <f>+[18]Salidas!$D28</f>
        <v>8300</v>
      </c>
      <c r="U12" s="13">
        <f>+[19]Salidas!$D28</f>
        <v>5309</v>
      </c>
      <c r="V12" s="13">
        <f>+[20]Salidas!$D28</f>
        <v>1433</v>
      </c>
      <c r="W12" s="13">
        <f>+[21]Salidas!$D28</f>
        <v>7717</v>
      </c>
      <c r="X12" s="13">
        <f>+[22]Salidas!$D28</f>
        <v>7929</v>
      </c>
      <c r="Y12" s="13">
        <f>+[23]Salidas!$D28</f>
        <v>7548</v>
      </c>
      <c r="Z12" s="13">
        <f>+[24]Salidas!$D28</f>
        <v>7747</v>
      </c>
      <c r="AA12" s="13">
        <f>+[25]Salidas!$D28</f>
        <v>8152</v>
      </c>
      <c r="AB12" s="13">
        <f>+[26]Salidas!$D28</f>
        <v>4652</v>
      </c>
      <c r="AC12" s="13">
        <f>+[27]Salidas!$D28</f>
        <v>1533</v>
      </c>
      <c r="AD12" s="13">
        <f>+[28]Salidas!$D28</f>
        <v>7757</v>
      </c>
      <c r="AE12" s="13">
        <f>+[29]Salidas!$D28</f>
        <v>8331</v>
      </c>
      <c r="AF12" s="13">
        <f>+[30]Salidas!$D28</f>
        <v>7776</v>
      </c>
      <c r="AG12" s="13">
        <f>+[31]Salidas!$D28</f>
        <v>8015</v>
      </c>
      <c r="AH12" s="13">
        <f>+[32]Salidas!$D28</f>
        <v>8478</v>
      </c>
      <c r="AI12" s="13">
        <f>+[33]Salidas!$D28</f>
        <v>4966</v>
      </c>
      <c r="AJ12" s="13">
        <f>+[34]Salidas!$D28</f>
        <v>1462</v>
      </c>
    </row>
    <row r="13" spans="1:36" x14ac:dyDescent="0.2">
      <c r="A13" s="443"/>
      <c r="B13" s="39" t="s">
        <v>8</v>
      </c>
      <c r="C13" s="13">
        <f>+[1]Salidas!$D29</f>
        <v>3003</v>
      </c>
      <c r="D13" s="13">
        <f>+[2]Salidas!$D29</f>
        <v>3008</v>
      </c>
      <c r="E13" s="13">
        <f>+[3]Salidas!$D29</f>
        <v>3169</v>
      </c>
      <c r="F13" s="13">
        <f>+[4]Salidas!$D29</f>
        <v>2911</v>
      </c>
      <c r="G13" s="13">
        <f>+[5]Salidas!$D29</f>
        <v>2025</v>
      </c>
      <c r="H13" s="13">
        <f>+[6]Salidas!$D29</f>
        <v>861</v>
      </c>
      <c r="I13" s="13">
        <f>+[7]Salidas!$D29</f>
        <v>2897</v>
      </c>
      <c r="J13" s="13">
        <f>+[8]Salidas!$D29</f>
        <v>3021</v>
      </c>
      <c r="K13" s="13">
        <f>+[9]Salidas!$D29</f>
        <v>2965</v>
      </c>
      <c r="L13" s="13">
        <f>+[10]Salidas!$D29</f>
        <v>2959</v>
      </c>
      <c r="M13" s="13">
        <f>+[11]Salidas!$D29</f>
        <v>2885</v>
      </c>
      <c r="N13" s="13">
        <f>+[12]Salidas!$D29</f>
        <v>2069</v>
      </c>
      <c r="O13" s="13">
        <f>+[13]Salidas!$D29</f>
        <v>729</v>
      </c>
      <c r="P13" s="13">
        <f>+[14]Salidas!$D29</f>
        <v>2959</v>
      </c>
      <c r="Q13" s="13">
        <f>+[15]Salidas!$D29</f>
        <v>3174</v>
      </c>
      <c r="R13" s="13">
        <f>+[16]Salidas!$D29</f>
        <v>3160</v>
      </c>
      <c r="S13" s="13">
        <f>+[17]Salidas!$D29</f>
        <v>3031</v>
      </c>
      <c r="T13" s="13">
        <f>+[18]Salidas!$D29</f>
        <v>3029</v>
      </c>
      <c r="U13" s="13">
        <f>+[19]Salidas!$D29</f>
        <v>2161</v>
      </c>
      <c r="V13" s="13">
        <f>+[20]Salidas!$D29</f>
        <v>869</v>
      </c>
      <c r="W13" s="13">
        <f>+[21]Salidas!$D29</f>
        <v>3046</v>
      </c>
      <c r="X13" s="13">
        <f>+[22]Salidas!$D29</f>
        <v>3105</v>
      </c>
      <c r="Y13" s="13">
        <f>+[23]Salidas!$D29</f>
        <v>3036</v>
      </c>
      <c r="Z13" s="13">
        <f>+[24]Salidas!$D29</f>
        <v>2935</v>
      </c>
      <c r="AA13" s="13">
        <f>+[25]Salidas!$D29</f>
        <v>2953</v>
      </c>
      <c r="AB13" s="13">
        <f>+[26]Salidas!$D29</f>
        <v>2205</v>
      </c>
      <c r="AC13" s="13">
        <f>+[27]Salidas!$D29</f>
        <v>837</v>
      </c>
      <c r="AD13" s="13">
        <f>+[28]Salidas!$D29</f>
        <v>3008</v>
      </c>
      <c r="AE13" s="13">
        <f>+[29]Salidas!$D29</f>
        <v>3000</v>
      </c>
      <c r="AF13" s="13">
        <f>+[30]Salidas!$D29</f>
        <v>3025</v>
      </c>
      <c r="AG13" s="13">
        <f>+[31]Salidas!$D29</f>
        <v>3069</v>
      </c>
      <c r="AH13" s="13">
        <f>+[32]Salidas!$D29</f>
        <v>3026</v>
      </c>
      <c r="AI13" s="13">
        <f>+[33]Salidas!$D29</f>
        <v>2230</v>
      </c>
      <c r="AJ13" s="13">
        <f>+[34]Salidas!$D29</f>
        <v>755</v>
      </c>
    </row>
    <row r="14" spans="1:36" x14ac:dyDescent="0.2">
      <c r="A14" s="443"/>
      <c r="B14" s="39" t="s">
        <v>9</v>
      </c>
      <c r="C14" s="13">
        <f>+[1]Salidas!$D30</f>
        <v>4808</v>
      </c>
      <c r="D14" s="13">
        <f>+[2]Salidas!$D30</f>
        <v>4786</v>
      </c>
      <c r="E14" s="13">
        <f>+[3]Salidas!$D30</f>
        <v>4626</v>
      </c>
      <c r="F14" s="13">
        <f>+[4]Salidas!$D30</f>
        <v>4621</v>
      </c>
      <c r="G14" s="13">
        <f>+[5]Salidas!$D30</f>
        <v>3913</v>
      </c>
      <c r="H14" s="13">
        <f>+[6]Salidas!$D30</f>
        <v>2166</v>
      </c>
      <c r="I14" s="13">
        <f>+[7]Salidas!$D30</f>
        <v>4599</v>
      </c>
      <c r="J14" s="13">
        <f>+[8]Salidas!$D30</f>
        <v>4569</v>
      </c>
      <c r="K14" s="13">
        <f>+[9]Salidas!$D30</f>
        <v>4440</v>
      </c>
      <c r="L14" s="13">
        <f>+[10]Salidas!$D30</f>
        <v>4515</v>
      </c>
      <c r="M14" s="13">
        <f>+[11]Salidas!$D30</f>
        <v>4650</v>
      </c>
      <c r="N14" s="13">
        <f>+[12]Salidas!$D30</f>
        <v>3817</v>
      </c>
      <c r="O14" s="13">
        <f>+[13]Salidas!$D30</f>
        <v>1969</v>
      </c>
      <c r="P14" s="13">
        <f>+[14]Salidas!$D30</f>
        <v>4493</v>
      </c>
      <c r="Q14" s="13">
        <f>+[15]Salidas!$D30</f>
        <v>4619</v>
      </c>
      <c r="R14" s="13">
        <f>+[16]Salidas!$D30</f>
        <v>4614</v>
      </c>
      <c r="S14" s="13">
        <f>+[17]Salidas!$D30</f>
        <v>4561</v>
      </c>
      <c r="T14" s="13">
        <f>+[18]Salidas!$D30</f>
        <v>4743</v>
      </c>
      <c r="U14" s="13">
        <f>+[19]Salidas!$D30</f>
        <v>3963</v>
      </c>
      <c r="V14" s="13">
        <f>+[20]Salidas!$D30</f>
        <v>1984</v>
      </c>
      <c r="W14" s="13">
        <f>+[21]Salidas!$D30</f>
        <v>4695</v>
      </c>
      <c r="X14" s="13">
        <f>+[22]Salidas!$D30</f>
        <v>4747</v>
      </c>
      <c r="Y14" s="13">
        <f>+[23]Salidas!$D30</f>
        <v>4855</v>
      </c>
      <c r="Z14" s="13">
        <f>+[24]Salidas!$D30</f>
        <v>4713</v>
      </c>
      <c r="AA14" s="13">
        <f>+[25]Salidas!$D30</f>
        <v>4719</v>
      </c>
      <c r="AB14" s="13">
        <f>+[26]Salidas!$D30</f>
        <v>4085</v>
      </c>
      <c r="AC14" s="13">
        <f>+[27]Salidas!$D30</f>
        <v>2494</v>
      </c>
      <c r="AD14" s="13">
        <f>+[28]Salidas!$D30</f>
        <v>4989</v>
      </c>
      <c r="AE14" s="13">
        <f>+[29]Salidas!$D30</f>
        <v>5011</v>
      </c>
      <c r="AF14" s="13">
        <f>+[30]Salidas!$D30</f>
        <v>5008</v>
      </c>
      <c r="AG14" s="13">
        <f>+[31]Salidas!$D30</f>
        <v>4819</v>
      </c>
      <c r="AH14" s="13">
        <f>+[32]Salidas!$D30</f>
        <v>4915</v>
      </c>
      <c r="AI14" s="13">
        <f>+[33]Salidas!$D30</f>
        <v>4388</v>
      </c>
      <c r="AJ14" s="13">
        <f>+[34]Salidas!$D30</f>
        <v>2203</v>
      </c>
    </row>
    <row r="15" spans="1:36" x14ac:dyDescent="0.2">
      <c r="A15" s="443"/>
      <c r="B15" s="39" t="s">
        <v>10</v>
      </c>
      <c r="C15" s="13">
        <f>+[1]Salidas!$D31</f>
        <v>9854</v>
      </c>
      <c r="D15" s="13">
        <f>+[2]Salidas!$D31</f>
        <v>9912</v>
      </c>
      <c r="E15" s="13">
        <f>+[3]Salidas!$D31</f>
        <v>9826</v>
      </c>
      <c r="F15" s="13">
        <f>+[4]Salidas!$D31</f>
        <v>9895</v>
      </c>
      <c r="G15" s="13">
        <f>+[5]Salidas!$D31</f>
        <v>7169</v>
      </c>
      <c r="H15" s="13">
        <f>+[6]Salidas!$D31</f>
        <v>3515</v>
      </c>
      <c r="I15" s="13">
        <f>+[7]Salidas!$D31</f>
        <v>9574</v>
      </c>
      <c r="J15" s="13">
        <f>+[8]Salidas!$D31</f>
        <v>9522</v>
      </c>
      <c r="K15" s="13">
        <f>+[9]Salidas!$D31</f>
        <v>9145</v>
      </c>
      <c r="L15" s="13">
        <f>+[10]Salidas!$D31</f>
        <v>9892</v>
      </c>
      <c r="M15" s="13">
        <f>+[11]Salidas!$D31</f>
        <v>9753</v>
      </c>
      <c r="N15" s="13">
        <f>+[12]Salidas!$D31</f>
        <v>6937</v>
      </c>
      <c r="O15" s="13">
        <f>+[13]Salidas!$D31</f>
        <v>3364</v>
      </c>
      <c r="P15" s="13">
        <f>+[14]Salidas!$D31</f>
        <v>9752</v>
      </c>
      <c r="Q15" s="13">
        <f>+[15]Salidas!$D31</f>
        <v>9770</v>
      </c>
      <c r="R15" s="13">
        <f>+[16]Salidas!$D31</f>
        <v>9565</v>
      </c>
      <c r="S15" s="13">
        <f>+[17]Salidas!$D31</f>
        <v>9697</v>
      </c>
      <c r="T15" s="13">
        <f>+[18]Salidas!$D31</f>
        <v>10164</v>
      </c>
      <c r="U15" s="13">
        <f>+[19]Salidas!$D31</f>
        <v>7176</v>
      </c>
      <c r="V15" s="13">
        <f>+[20]Salidas!$D31</f>
        <v>3333</v>
      </c>
      <c r="W15" s="13">
        <f>+[21]Salidas!$D31</f>
        <v>9672</v>
      </c>
      <c r="X15" s="13">
        <f>+[22]Salidas!$D31</f>
        <v>9649</v>
      </c>
      <c r="Y15" s="13">
        <f>+[23]Salidas!$D31</f>
        <v>9619</v>
      </c>
      <c r="Z15" s="13">
        <f>+[24]Salidas!$D31</f>
        <v>9336</v>
      </c>
      <c r="AA15" s="13">
        <f>+[25]Salidas!$D31</f>
        <v>10114</v>
      </c>
      <c r="AB15" s="13">
        <f>+[26]Salidas!$D31</f>
        <v>6947</v>
      </c>
      <c r="AC15" s="13">
        <f>+[27]Salidas!$D31</f>
        <v>3144</v>
      </c>
      <c r="AD15" s="13">
        <f>+[28]Salidas!$D31</f>
        <v>9802</v>
      </c>
      <c r="AE15" s="13">
        <f>+[29]Salidas!$D31</f>
        <v>10219</v>
      </c>
      <c r="AF15" s="13">
        <f>+[30]Salidas!$D31</f>
        <v>9968</v>
      </c>
      <c r="AG15" s="13">
        <f>+[31]Salidas!$D31</f>
        <v>9940</v>
      </c>
      <c r="AH15" s="13">
        <f>+[32]Salidas!$D31</f>
        <v>10468</v>
      </c>
      <c r="AI15" s="13">
        <f>+[33]Salidas!$D31</f>
        <v>7398</v>
      </c>
      <c r="AJ15" s="13">
        <f>+[34]Salidas!$D31</f>
        <v>3297</v>
      </c>
    </row>
    <row r="16" spans="1:36" x14ac:dyDescent="0.2">
      <c r="A16" s="443"/>
      <c r="B16" s="39" t="s">
        <v>11</v>
      </c>
      <c r="C16" s="13">
        <f>+[1]Salidas!$D32</f>
        <v>3908</v>
      </c>
      <c r="D16" s="13">
        <f>+[2]Salidas!$D32</f>
        <v>3942</v>
      </c>
      <c r="E16" s="13">
        <f>+[3]Salidas!$D32</f>
        <v>4031</v>
      </c>
      <c r="F16" s="13">
        <f>+[4]Salidas!$D32</f>
        <v>3882</v>
      </c>
      <c r="G16" s="13">
        <f>+[5]Salidas!$D32</f>
        <v>2602</v>
      </c>
      <c r="H16" s="13">
        <f>+[6]Salidas!$D32</f>
        <v>1401</v>
      </c>
      <c r="I16" s="13">
        <f>+[7]Salidas!$D32</f>
        <v>3720</v>
      </c>
      <c r="J16" s="13">
        <f>+[8]Salidas!$D32</f>
        <v>3809</v>
      </c>
      <c r="K16" s="13">
        <f>+[9]Salidas!$D32</f>
        <v>3737</v>
      </c>
      <c r="L16" s="13">
        <f>+[10]Salidas!$D32</f>
        <v>3805</v>
      </c>
      <c r="M16" s="13">
        <f>+[11]Salidas!$D32</f>
        <v>3760</v>
      </c>
      <c r="N16" s="13">
        <f>+[12]Salidas!$D32</f>
        <v>2617</v>
      </c>
      <c r="O16" s="13">
        <f>+[13]Salidas!$D32</f>
        <v>1210</v>
      </c>
      <c r="P16" s="13">
        <f>+[14]Salidas!$D32</f>
        <v>3807</v>
      </c>
      <c r="Q16" s="13">
        <f>+[15]Salidas!$D32</f>
        <v>3919</v>
      </c>
      <c r="R16" s="13">
        <f>+[16]Salidas!$D32</f>
        <v>3697</v>
      </c>
      <c r="S16" s="13">
        <f>+[17]Salidas!$D32</f>
        <v>3854</v>
      </c>
      <c r="T16" s="13">
        <f>+[18]Salidas!$D32</f>
        <v>3941</v>
      </c>
      <c r="U16" s="13">
        <f>+[19]Salidas!$D32</f>
        <v>2674</v>
      </c>
      <c r="V16" s="13">
        <f>+[20]Salidas!$D32</f>
        <v>1371</v>
      </c>
      <c r="W16" s="13">
        <f>+[21]Salidas!$D32</f>
        <v>3880</v>
      </c>
      <c r="X16" s="13">
        <f>+[22]Salidas!$D32</f>
        <v>3865</v>
      </c>
      <c r="Y16" s="13">
        <f>+[23]Salidas!$D32</f>
        <v>3827</v>
      </c>
      <c r="Z16" s="13">
        <f>+[24]Salidas!$D32</f>
        <v>3661</v>
      </c>
      <c r="AA16" s="13">
        <f>+[25]Salidas!$D32</f>
        <v>3898</v>
      </c>
      <c r="AB16" s="13">
        <f>+[26]Salidas!$D32</f>
        <v>2561</v>
      </c>
      <c r="AC16" s="13">
        <f>+[27]Salidas!$D32</f>
        <v>1260</v>
      </c>
      <c r="AD16" s="13">
        <f>+[28]Salidas!$D32</f>
        <v>3896</v>
      </c>
      <c r="AE16" s="13">
        <f>+[29]Salidas!$D32</f>
        <v>4144</v>
      </c>
      <c r="AF16" s="13">
        <f>+[30]Salidas!$D32</f>
        <v>3726</v>
      </c>
      <c r="AG16" s="13">
        <f>+[31]Salidas!$D32</f>
        <v>4007</v>
      </c>
      <c r="AH16" s="13">
        <f>+[32]Salidas!$D32</f>
        <v>4074</v>
      </c>
      <c r="AI16" s="13">
        <f>+[33]Salidas!$D32</f>
        <v>2854</v>
      </c>
      <c r="AJ16" s="13">
        <f>+[34]Salidas!$D32</f>
        <v>1135</v>
      </c>
    </row>
    <row r="17" spans="1:36" x14ac:dyDescent="0.2">
      <c r="A17" s="443"/>
      <c r="B17" s="39" t="s">
        <v>12</v>
      </c>
      <c r="C17" s="13">
        <f>+[1]Salidas!$D33</f>
        <v>3299</v>
      </c>
      <c r="D17" s="13">
        <f>+[2]Salidas!$D33</f>
        <v>3414</v>
      </c>
      <c r="E17" s="13">
        <f>+[3]Salidas!$D33</f>
        <v>3364</v>
      </c>
      <c r="F17" s="13">
        <f>+[4]Salidas!$D33</f>
        <v>3365</v>
      </c>
      <c r="G17" s="13">
        <f>+[5]Salidas!$D33</f>
        <v>2444</v>
      </c>
      <c r="H17" s="13">
        <f>+[6]Salidas!$D33</f>
        <v>1213</v>
      </c>
      <c r="I17" s="13">
        <f>+[7]Salidas!$D33</f>
        <v>3189</v>
      </c>
      <c r="J17" s="13">
        <f>+[8]Salidas!$D33</f>
        <v>3237</v>
      </c>
      <c r="K17" s="13">
        <f>+[9]Salidas!$D33</f>
        <v>3341</v>
      </c>
      <c r="L17" s="13">
        <f>+[10]Salidas!$D33</f>
        <v>3318</v>
      </c>
      <c r="M17" s="13">
        <f>+[11]Salidas!$D33</f>
        <v>3420</v>
      </c>
      <c r="N17" s="13">
        <f>+[12]Salidas!$D33</f>
        <v>2468</v>
      </c>
      <c r="O17" s="13">
        <f>+[13]Salidas!$D33</f>
        <v>1304</v>
      </c>
      <c r="P17" s="13">
        <f>+[14]Salidas!$D33</f>
        <v>3201</v>
      </c>
      <c r="Q17" s="13">
        <f>+[15]Salidas!$D33</f>
        <v>3271</v>
      </c>
      <c r="R17" s="13">
        <f>+[16]Salidas!$D33</f>
        <v>3257</v>
      </c>
      <c r="S17" s="13">
        <f>+[17]Salidas!$D33</f>
        <v>3274</v>
      </c>
      <c r="T17" s="13">
        <f>+[18]Salidas!$D33</f>
        <v>3663</v>
      </c>
      <c r="U17" s="13">
        <f>+[19]Salidas!$D33</f>
        <v>2458</v>
      </c>
      <c r="V17" s="13">
        <f>+[20]Salidas!$D33</f>
        <v>1243</v>
      </c>
      <c r="W17" s="13">
        <f>+[21]Salidas!$D33</f>
        <v>3221</v>
      </c>
      <c r="X17" s="13">
        <f>+[22]Salidas!$D33</f>
        <v>3369</v>
      </c>
      <c r="Y17" s="13">
        <f>+[23]Salidas!$D33</f>
        <v>3297</v>
      </c>
      <c r="Z17" s="13">
        <f>+[24]Salidas!$D33</f>
        <v>3297</v>
      </c>
      <c r="AA17" s="13">
        <f>+[25]Salidas!$D33</f>
        <v>3470</v>
      </c>
      <c r="AB17" s="13">
        <f>+[26]Salidas!$D33</f>
        <v>2554</v>
      </c>
      <c r="AC17" s="13">
        <f>+[27]Salidas!$D33</f>
        <v>1374</v>
      </c>
      <c r="AD17" s="13">
        <f>+[28]Salidas!$D33</f>
        <v>3349</v>
      </c>
      <c r="AE17" s="13">
        <f>+[29]Salidas!$D33</f>
        <v>3488</v>
      </c>
      <c r="AF17" s="13">
        <f>+[30]Salidas!$D33</f>
        <v>3440</v>
      </c>
      <c r="AG17" s="13">
        <f>+[31]Salidas!$D33</f>
        <v>3490</v>
      </c>
      <c r="AH17" s="13">
        <f>+[32]Salidas!$D33</f>
        <v>3598</v>
      </c>
      <c r="AI17" s="13">
        <f>+[33]Salidas!$D33</f>
        <v>2625</v>
      </c>
      <c r="AJ17" s="13">
        <f>+[34]Salidas!$D33</f>
        <v>1231</v>
      </c>
    </row>
    <row r="18" spans="1:36" x14ac:dyDescent="0.2">
      <c r="A18" s="443"/>
      <c r="B18" s="39" t="s">
        <v>13</v>
      </c>
      <c r="C18" s="13">
        <f>+[1]Salidas!$D34</f>
        <v>3020</v>
      </c>
      <c r="D18" s="13">
        <f>+[2]Salidas!$D34</f>
        <v>3102</v>
      </c>
      <c r="E18" s="13">
        <f>+[3]Salidas!$D34</f>
        <v>3056</v>
      </c>
      <c r="F18" s="13">
        <f>+[4]Salidas!$D34</f>
        <v>2853</v>
      </c>
      <c r="G18" s="13">
        <f>+[5]Salidas!$D34</f>
        <v>2541</v>
      </c>
      <c r="H18" s="13">
        <f>+[6]Salidas!$D34</f>
        <v>1543</v>
      </c>
      <c r="I18" s="13">
        <f>+[7]Salidas!$D34</f>
        <v>2806</v>
      </c>
      <c r="J18" s="13">
        <f>+[8]Salidas!$D34</f>
        <v>2842</v>
      </c>
      <c r="K18" s="13">
        <f>+[9]Salidas!$D34</f>
        <v>2984</v>
      </c>
      <c r="L18" s="13">
        <f>+[10]Salidas!$D34</f>
        <v>2913</v>
      </c>
      <c r="M18" s="13">
        <f>+[11]Salidas!$D34</f>
        <v>2814</v>
      </c>
      <c r="N18" s="13">
        <f>+[12]Salidas!$D34</f>
        <v>2297</v>
      </c>
      <c r="O18" s="13">
        <f>+[13]Salidas!$D34</f>
        <v>1369</v>
      </c>
      <c r="P18" s="13">
        <f>+[14]Salidas!$D34</f>
        <v>2833</v>
      </c>
      <c r="Q18" s="13">
        <f>+[15]Salidas!$D34</f>
        <v>2765</v>
      </c>
      <c r="R18" s="13">
        <f>+[16]Salidas!$D34</f>
        <v>2704</v>
      </c>
      <c r="S18" s="13">
        <f>+[17]Salidas!$D34</f>
        <v>3201</v>
      </c>
      <c r="T18" s="13">
        <f>+[18]Salidas!$D34</f>
        <v>2899</v>
      </c>
      <c r="U18" s="13">
        <f>+[19]Salidas!$D34</f>
        <v>2510</v>
      </c>
      <c r="V18" s="13">
        <f>+[20]Salidas!$D34</f>
        <v>1650</v>
      </c>
      <c r="W18" s="13">
        <f>+[21]Salidas!$D34</f>
        <v>2887</v>
      </c>
      <c r="X18" s="13">
        <f>+[22]Salidas!$D34</f>
        <v>2806</v>
      </c>
      <c r="Y18" s="13">
        <f>+[23]Salidas!$D34</f>
        <v>2763</v>
      </c>
      <c r="Z18" s="13">
        <f>+[24]Salidas!$D34</f>
        <v>2795</v>
      </c>
      <c r="AA18" s="13">
        <f>+[25]Salidas!$D34</f>
        <v>2832</v>
      </c>
      <c r="AB18" s="13">
        <f>+[26]Salidas!$D34</f>
        <v>2339</v>
      </c>
      <c r="AC18" s="13">
        <f>+[27]Salidas!$D34</f>
        <v>1521</v>
      </c>
      <c r="AD18" s="13">
        <f>+[28]Salidas!$D34</f>
        <v>2953</v>
      </c>
      <c r="AE18" s="13">
        <f>+[29]Salidas!$D34</f>
        <v>2939</v>
      </c>
      <c r="AF18" s="13">
        <f>+[30]Salidas!$D34</f>
        <v>2917</v>
      </c>
      <c r="AG18" s="13">
        <f>+[31]Salidas!$D34</f>
        <v>2824</v>
      </c>
      <c r="AH18" s="13">
        <f>+[32]Salidas!$D34</f>
        <v>2825</v>
      </c>
      <c r="AI18" s="13">
        <f>+[33]Salidas!$D34</f>
        <v>2367</v>
      </c>
      <c r="AJ18" s="13">
        <f>+[34]Salidas!$D34</f>
        <v>1383</v>
      </c>
    </row>
    <row r="19" spans="1:36" ht="13.5" thickBot="1" x14ac:dyDescent="0.25">
      <c r="A19" s="443"/>
      <c r="B19" s="40" t="s">
        <v>14</v>
      </c>
      <c r="C19" s="13">
        <f>+[1]Salidas!$D35</f>
        <v>6462</v>
      </c>
      <c r="D19" s="13">
        <f>+[2]Salidas!$D35</f>
        <v>6365</v>
      </c>
      <c r="E19" s="13">
        <f>+[3]Salidas!$D35</f>
        <v>6466</v>
      </c>
      <c r="F19" s="13">
        <f>+[4]Salidas!$D35</f>
        <v>6858</v>
      </c>
      <c r="G19" s="13">
        <f>+[5]Salidas!$D35</f>
        <v>4599</v>
      </c>
      <c r="H19" s="13">
        <f>+[6]Salidas!$D35</f>
        <v>1584</v>
      </c>
      <c r="I19" s="13">
        <f>+[7]Salidas!$D35</f>
        <v>6585</v>
      </c>
      <c r="J19" s="13">
        <f>+[8]Salidas!$D35</f>
        <v>6570</v>
      </c>
      <c r="K19" s="13">
        <f>+[9]Salidas!$D35</f>
        <v>6685</v>
      </c>
      <c r="L19" s="13">
        <f>+[10]Salidas!$D35</f>
        <v>6607</v>
      </c>
      <c r="M19" s="13">
        <f>+[11]Salidas!$D35</f>
        <v>6686</v>
      </c>
      <c r="N19" s="13">
        <f>+[12]Salidas!$D35</f>
        <v>4814</v>
      </c>
      <c r="O19" s="13">
        <f>+[13]Salidas!$D35</f>
        <v>1529</v>
      </c>
      <c r="P19" s="13">
        <f>+[14]Salidas!$D35</f>
        <v>5653</v>
      </c>
      <c r="Q19" s="13">
        <f>+[15]Salidas!$D35</f>
        <v>5716</v>
      </c>
      <c r="R19" s="13">
        <f>+[16]Salidas!$D35</f>
        <v>6483</v>
      </c>
      <c r="S19" s="13">
        <f>+[17]Salidas!$D35</f>
        <v>6764</v>
      </c>
      <c r="T19" s="13">
        <f>+[18]Salidas!$D35</f>
        <v>6773</v>
      </c>
      <c r="U19" s="13">
        <f>+[19]Salidas!$D35</f>
        <v>4598</v>
      </c>
      <c r="V19" s="13">
        <f>+[20]Salidas!$D35</f>
        <v>1595</v>
      </c>
      <c r="W19" s="13">
        <f>+[21]Salidas!$D35</f>
        <v>6639</v>
      </c>
      <c r="X19" s="13">
        <f>+[22]Salidas!$D35</f>
        <v>6589</v>
      </c>
      <c r="Y19" s="13">
        <f>+[23]Salidas!$D35</f>
        <v>5737</v>
      </c>
      <c r="Z19" s="13">
        <f>+[24]Salidas!$D35</f>
        <v>6650</v>
      </c>
      <c r="AA19" s="13">
        <f>+[25]Salidas!$D35</f>
        <v>6714</v>
      </c>
      <c r="AB19" s="13">
        <f>+[26]Salidas!$D35</f>
        <v>4491</v>
      </c>
      <c r="AC19" s="13">
        <f>+[27]Salidas!$D35</f>
        <v>1216</v>
      </c>
      <c r="AD19" s="13">
        <f>+[28]Salidas!$D35</f>
        <v>6426</v>
      </c>
      <c r="AE19" s="13">
        <f>+[29]Salidas!$D35</f>
        <v>5731</v>
      </c>
      <c r="AF19" s="13">
        <f>+[30]Salidas!$D35</f>
        <v>5615</v>
      </c>
      <c r="AG19" s="13">
        <f>+[31]Salidas!$D35</f>
        <v>6517</v>
      </c>
      <c r="AH19" s="13">
        <f>+[32]Salidas!$D35</f>
        <v>6653</v>
      </c>
      <c r="AI19" s="13">
        <f>+[33]Salidas!$D35</f>
        <v>4755</v>
      </c>
      <c r="AJ19" s="13">
        <f>+[34]Salidas!$D35</f>
        <v>1665</v>
      </c>
    </row>
    <row r="20" spans="1:36" x14ac:dyDescent="0.2">
      <c r="A20" s="443"/>
      <c r="B20" s="38" t="s">
        <v>77</v>
      </c>
      <c r="C20" s="13">
        <f>+[1]Salidas!$D36</f>
        <v>26618</v>
      </c>
      <c r="D20" s="13">
        <f>+[2]Salidas!$D36</f>
        <v>25281</v>
      </c>
      <c r="E20" s="13">
        <f>+[3]Salidas!$D36</f>
        <v>25664</v>
      </c>
      <c r="F20" s="13">
        <f>+[4]Salidas!$D36</f>
        <v>26794</v>
      </c>
      <c r="G20" s="13">
        <f>+[5]Salidas!$D36</f>
        <v>15064</v>
      </c>
      <c r="H20" s="13">
        <f>+[6]Salidas!$D36</f>
        <v>2719</v>
      </c>
      <c r="I20" s="13">
        <f>+[7]Salidas!$D36</f>
        <v>25324</v>
      </c>
      <c r="J20" s="13">
        <f>+[8]Salidas!$D36</f>
        <v>26022</v>
      </c>
      <c r="K20" s="13">
        <f>+[9]Salidas!$D36</f>
        <v>26217</v>
      </c>
      <c r="L20" s="13">
        <f>+[10]Salidas!$D36</f>
        <v>26763</v>
      </c>
      <c r="M20" s="13">
        <f>+[11]Salidas!$D36</f>
        <v>27039</v>
      </c>
      <c r="N20" s="13">
        <f>+[12]Salidas!$D36</f>
        <v>15215</v>
      </c>
      <c r="O20" s="13">
        <f>+[13]Salidas!$D36</f>
        <v>2859</v>
      </c>
      <c r="P20" s="13">
        <f>+[14]Salidas!$D36</f>
        <v>25518</v>
      </c>
      <c r="Q20" s="13">
        <f>+[15]Salidas!$D36</f>
        <v>27100</v>
      </c>
      <c r="R20" s="13">
        <f>+[16]Salidas!$D36</f>
        <v>25152</v>
      </c>
      <c r="S20" s="13">
        <f>+[17]Salidas!$D36</f>
        <v>25871</v>
      </c>
      <c r="T20" s="13">
        <f>+[18]Salidas!$D36</f>
        <v>27854</v>
      </c>
      <c r="U20" s="13">
        <f>+[19]Salidas!$D36</f>
        <v>15557</v>
      </c>
      <c r="V20" s="13">
        <f>+[20]Salidas!$D36</f>
        <v>2930</v>
      </c>
      <c r="W20" s="13">
        <f>+[21]Salidas!$D36</f>
        <v>25994</v>
      </c>
      <c r="X20" s="13">
        <f>+[22]Salidas!$D36</f>
        <v>27302</v>
      </c>
      <c r="Y20" s="13">
        <f>+[23]Salidas!$D36</f>
        <v>26631</v>
      </c>
      <c r="Z20" s="13">
        <f>+[24]Salidas!$D36</f>
        <v>26297</v>
      </c>
      <c r="AA20" s="13">
        <f>+[25]Salidas!$D36</f>
        <v>27280</v>
      </c>
      <c r="AB20" s="13">
        <f>+[26]Salidas!$D36</f>
        <v>15223</v>
      </c>
      <c r="AC20" s="13">
        <f>+[27]Salidas!$D36</f>
        <v>2856</v>
      </c>
      <c r="AD20" s="13">
        <f>+[28]Salidas!$D36</f>
        <v>26135</v>
      </c>
      <c r="AE20" s="13">
        <f>+[29]Salidas!$D36</f>
        <v>27260</v>
      </c>
      <c r="AF20" s="13">
        <f>+[30]Salidas!$D36</f>
        <v>26906</v>
      </c>
      <c r="AG20" s="13">
        <f>+[31]Salidas!$D36</f>
        <v>27494</v>
      </c>
      <c r="AH20" s="13">
        <f>+[32]Salidas!$D36</f>
        <v>28463</v>
      </c>
      <c r="AI20" s="13">
        <f>+[33]Salidas!$D36</f>
        <v>16098</v>
      </c>
      <c r="AJ20" s="13">
        <f>+[34]Salidas!$D36</f>
        <v>2840</v>
      </c>
    </row>
    <row r="21" spans="1:36" x14ac:dyDescent="0.2">
      <c r="A21" s="443"/>
      <c r="B21" s="39" t="s">
        <v>17</v>
      </c>
      <c r="C21" s="13">
        <f>+[1]Salidas!$D37</f>
        <v>20527</v>
      </c>
      <c r="D21" s="13">
        <f>+[2]Salidas!$D37</f>
        <v>21905</v>
      </c>
      <c r="E21" s="13">
        <f>+[3]Salidas!$D37</f>
        <v>21815</v>
      </c>
      <c r="F21" s="13">
        <f>+[4]Salidas!$D37</f>
        <v>24256</v>
      </c>
      <c r="G21" s="13">
        <f>+[5]Salidas!$D37</f>
        <v>12815</v>
      </c>
      <c r="H21" s="13">
        <f>+[6]Salidas!$D37</f>
        <v>2732</v>
      </c>
      <c r="I21" s="13">
        <f>+[7]Salidas!$D37</f>
        <v>21734</v>
      </c>
      <c r="J21" s="13">
        <f>+[8]Salidas!$D37</f>
        <v>22012</v>
      </c>
      <c r="K21" s="13">
        <f>+[9]Salidas!$D37</f>
        <v>21902</v>
      </c>
      <c r="L21" s="13">
        <f>+[10]Salidas!$D37</f>
        <v>22742</v>
      </c>
      <c r="M21" s="13">
        <f>+[11]Salidas!$D37</f>
        <v>23122</v>
      </c>
      <c r="N21" s="13">
        <f>+[12]Salidas!$D37</f>
        <v>13054</v>
      </c>
      <c r="O21" s="13">
        <f>+[13]Salidas!$D37</f>
        <v>2799</v>
      </c>
      <c r="P21" s="13">
        <f>+[14]Salidas!$D37</f>
        <v>20792</v>
      </c>
      <c r="Q21" s="13">
        <f>+[15]Salidas!$D37</f>
        <v>21079</v>
      </c>
      <c r="R21" s="13">
        <f>+[16]Salidas!$D37</f>
        <v>20809</v>
      </c>
      <c r="S21" s="13">
        <f>+[17]Salidas!$D37</f>
        <v>21452</v>
      </c>
      <c r="T21" s="13">
        <f>+[18]Salidas!$D37</f>
        <v>23395</v>
      </c>
      <c r="U21" s="13">
        <f>+[19]Salidas!$D37</f>
        <v>13314</v>
      </c>
      <c r="V21" s="13">
        <f>+[20]Salidas!$D37</f>
        <v>2863</v>
      </c>
      <c r="W21" s="13">
        <f>+[21]Salidas!$D37</f>
        <v>19897</v>
      </c>
      <c r="X21" s="13">
        <f>+[22]Salidas!$D37</f>
        <v>21564</v>
      </c>
      <c r="Y21" s="13">
        <f>+[23]Salidas!$D37</f>
        <v>21562</v>
      </c>
      <c r="Z21" s="13">
        <f>+[24]Salidas!$D37</f>
        <v>21204</v>
      </c>
      <c r="AA21" s="13">
        <f>+[25]Salidas!$D37</f>
        <v>23601</v>
      </c>
      <c r="AB21" s="13">
        <f>+[26]Salidas!$D37</f>
        <v>13253</v>
      </c>
      <c r="AC21" s="13">
        <f>+[27]Salidas!$D37</f>
        <v>2715</v>
      </c>
      <c r="AD21" s="13">
        <f>+[28]Salidas!$D37</f>
        <v>22095</v>
      </c>
      <c r="AE21" s="13">
        <f>+[29]Salidas!$D37</f>
        <v>22074</v>
      </c>
      <c r="AF21" s="13">
        <f>+[30]Salidas!$D37</f>
        <v>21919</v>
      </c>
      <c r="AG21" s="13">
        <f>+[31]Salidas!$D37</f>
        <v>22192</v>
      </c>
      <c r="AH21" s="13">
        <f>+[32]Salidas!$D37</f>
        <v>24563</v>
      </c>
      <c r="AI21" s="13">
        <f>+[33]Salidas!$D37</f>
        <v>14511</v>
      </c>
      <c r="AJ21" s="13">
        <f>+[34]Salidas!$D37</f>
        <v>2744</v>
      </c>
    </row>
    <row r="22" spans="1:36" x14ac:dyDescent="0.2">
      <c r="A22" s="443"/>
      <c r="B22" s="39" t="s">
        <v>50</v>
      </c>
      <c r="C22" s="13">
        <f>+[1]Salidas!$D38</f>
        <v>16081</v>
      </c>
      <c r="D22" s="13">
        <f>+[2]Salidas!$D38</f>
        <v>17328</v>
      </c>
      <c r="E22" s="13">
        <f>+[3]Salidas!$D38</f>
        <v>17654</v>
      </c>
      <c r="F22" s="13">
        <f>+[4]Salidas!$D38</f>
        <v>17410</v>
      </c>
      <c r="G22" s="13">
        <f>+[5]Salidas!$D38</f>
        <v>6795</v>
      </c>
      <c r="H22" s="13">
        <f>+[6]Salidas!$D38</f>
        <v>1686</v>
      </c>
      <c r="I22" s="13">
        <f>+[7]Salidas!$D38</f>
        <v>17150</v>
      </c>
      <c r="J22" s="13">
        <f>+[8]Salidas!$D38</f>
        <v>17531</v>
      </c>
      <c r="K22" s="13">
        <f>+[9]Salidas!$D38</f>
        <v>17152</v>
      </c>
      <c r="L22" s="13">
        <f>+[10]Salidas!$D38</f>
        <v>17498</v>
      </c>
      <c r="M22" s="13">
        <f>+[11]Salidas!$D38</f>
        <v>17125</v>
      </c>
      <c r="N22" s="13">
        <f>+[12]Salidas!$D38</f>
        <v>7318</v>
      </c>
      <c r="O22" s="13">
        <f>+[13]Salidas!$D38</f>
        <v>1636</v>
      </c>
      <c r="P22" s="13">
        <f>+[14]Salidas!$D38</f>
        <v>18100</v>
      </c>
      <c r="Q22" s="13">
        <f>+[15]Salidas!$D38</f>
        <v>17715</v>
      </c>
      <c r="R22" s="13">
        <f>+[16]Salidas!$D38</f>
        <v>17694</v>
      </c>
      <c r="S22" s="13">
        <f>+[17]Salidas!$D38</f>
        <v>18110</v>
      </c>
      <c r="T22" s="13">
        <f>+[18]Salidas!$D38</f>
        <v>18403</v>
      </c>
      <c r="U22" s="13">
        <f>+[19]Salidas!$D38</f>
        <v>7564</v>
      </c>
      <c r="V22" s="13">
        <f>+[20]Salidas!$D38</f>
        <v>1683</v>
      </c>
      <c r="W22" s="13">
        <f>+[21]Salidas!$D38</f>
        <v>18600</v>
      </c>
      <c r="X22" s="13">
        <f>+[22]Salidas!$D38</f>
        <v>18473</v>
      </c>
      <c r="Y22" s="13">
        <f>+[23]Salidas!$D38</f>
        <v>18463</v>
      </c>
      <c r="Z22" s="13">
        <f>+[24]Salidas!$D38</f>
        <v>18186</v>
      </c>
      <c r="AA22" s="13">
        <f>+[25]Salidas!$D38</f>
        <v>18600</v>
      </c>
      <c r="AB22" s="13">
        <f>+[26]Salidas!$D38</f>
        <v>7387</v>
      </c>
      <c r="AC22" s="13">
        <f>+[27]Salidas!$D38</f>
        <v>1584</v>
      </c>
      <c r="AD22" s="13">
        <f>+[28]Salidas!$D38</f>
        <v>18642</v>
      </c>
      <c r="AE22" s="13">
        <f>+[29]Salidas!$D38</f>
        <v>18738</v>
      </c>
      <c r="AF22" s="13">
        <f>+[30]Salidas!$D38</f>
        <v>18530</v>
      </c>
      <c r="AG22" s="13">
        <f>+[31]Salidas!$D38</f>
        <v>18408</v>
      </c>
      <c r="AH22" s="13">
        <f>+[32]Salidas!$D38</f>
        <v>18974</v>
      </c>
      <c r="AI22" s="13">
        <f>+[33]Salidas!$D38</f>
        <v>7208</v>
      </c>
      <c r="AJ22" s="13">
        <f>+[34]Salidas!$D38</f>
        <v>1425</v>
      </c>
    </row>
    <row r="23" spans="1:36" x14ac:dyDescent="0.2">
      <c r="A23" s="443"/>
      <c r="B23" s="39" t="s">
        <v>49</v>
      </c>
      <c r="C23" s="13">
        <f>+[1]Salidas!$D39</f>
        <v>32731</v>
      </c>
      <c r="D23" s="13">
        <f>+[2]Salidas!$D39</f>
        <v>32880</v>
      </c>
      <c r="E23" s="13">
        <f>+[3]Salidas!$D39</f>
        <v>34414</v>
      </c>
      <c r="F23" s="13">
        <f>+[4]Salidas!$D39</f>
        <v>34580</v>
      </c>
      <c r="G23" s="13">
        <f>+[5]Salidas!$D39</f>
        <v>13820</v>
      </c>
      <c r="H23" s="13">
        <f>+[6]Salidas!$D39</f>
        <v>4181</v>
      </c>
      <c r="I23" s="13">
        <f>+[7]Salidas!$D39</f>
        <v>33206</v>
      </c>
      <c r="J23" s="13">
        <f>+[8]Salidas!$D39</f>
        <v>35040</v>
      </c>
      <c r="K23" s="13">
        <f>+[9]Salidas!$D39</f>
        <v>32442</v>
      </c>
      <c r="L23" s="13">
        <f>+[10]Salidas!$D39</f>
        <v>34086</v>
      </c>
      <c r="M23" s="13">
        <f>+[11]Salidas!$D39</f>
        <v>34026</v>
      </c>
      <c r="N23" s="13">
        <f>+[12]Salidas!$D39</f>
        <v>15458</v>
      </c>
      <c r="O23" s="13">
        <f>+[13]Salidas!$D39</f>
        <v>3972</v>
      </c>
      <c r="P23" s="13">
        <f>+[14]Salidas!$D39</f>
        <v>32935</v>
      </c>
      <c r="Q23" s="13">
        <f>+[15]Salidas!$D39</f>
        <v>33705</v>
      </c>
      <c r="R23" s="13">
        <f>+[16]Salidas!$D39</f>
        <v>32361</v>
      </c>
      <c r="S23" s="13">
        <f>+[17]Salidas!$D39</f>
        <v>34215</v>
      </c>
      <c r="T23" s="13">
        <f>+[18]Salidas!$D39</f>
        <v>34612</v>
      </c>
      <c r="U23" s="13">
        <f>+[19]Salidas!$D39</f>
        <v>15662</v>
      </c>
      <c r="V23" s="13">
        <f>+[20]Salidas!$D39</f>
        <v>4267</v>
      </c>
      <c r="W23" s="13">
        <f>+[21]Salidas!$D39</f>
        <v>33462</v>
      </c>
      <c r="X23" s="13">
        <f>+[22]Salidas!$D39</f>
        <v>35686</v>
      </c>
      <c r="Y23" s="13">
        <f>+[23]Salidas!$D39</f>
        <v>32566</v>
      </c>
      <c r="Z23" s="13">
        <f>+[24]Salidas!$D39</f>
        <v>34740</v>
      </c>
      <c r="AA23" s="13">
        <f>+[25]Salidas!$D39</f>
        <v>34256</v>
      </c>
      <c r="AB23" s="13">
        <f>+[26]Salidas!$D39</f>
        <v>14969</v>
      </c>
      <c r="AC23" s="13">
        <f>+[27]Salidas!$D39</f>
        <v>4180</v>
      </c>
      <c r="AD23" s="13">
        <f>+[28]Salidas!$D39</f>
        <v>35149</v>
      </c>
      <c r="AE23" s="13">
        <f>+[29]Salidas!$D39</f>
        <v>35893</v>
      </c>
      <c r="AF23" s="13">
        <f>+[30]Salidas!$D39</f>
        <v>35381</v>
      </c>
      <c r="AG23" s="13">
        <f>+[31]Salidas!$D39</f>
        <v>33867</v>
      </c>
      <c r="AH23" s="13">
        <f>+[32]Salidas!$D39</f>
        <v>35770</v>
      </c>
      <c r="AI23" s="13">
        <f>+[33]Salidas!$D39</f>
        <v>15312</v>
      </c>
      <c r="AJ23" s="13">
        <f>+[34]Salidas!$D39</f>
        <v>3326</v>
      </c>
    </row>
    <row r="24" spans="1:36" x14ac:dyDescent="0.2">
      <c r="A24" s="443"/>
      <c r="B24" s="39" t="s">
        <v>80</v>
      </c>
      <c r="C24" s="13">
        <f>+[1]Salidas!$D40</f>
        <v>13197</v>
      </c>
      <c r="D24" s="13">
        <f>+[2]Salidas!$D40</f>
        <v>13799</v>
      </c>
      <c r="E24" s="13">
        <f>+[3]Salidas!$D40</f>
        <v>13613</v>
      </c>
      <c r="F24" s="13">
        <f>+[4]Salidas!$D40</f>
        <v>13545</v>
      </c>
      <c r="G24" s="13">
        <f>+[5]Salidas!$D40</f>
        <v>6951</v>
      </c>
      <c r="H24" s="13">
        <f>+[6]Salidas!$D40</f>
        <v>2509</v>
      </c>
      <c r="I24" s="13">
        <f>+[7]Salidas!$D40</f>
        <v>13451</v>
      </c>
      <c r="J24" s="13">
        <f>+[8]Salidas!$D40</f>
        <v>13868</v>
      </c>
      <c r="K24" s="13">
        <f>+[9]Salidas!$D40</f>
        <v>13764</v>
      </c>
      <c r="L24" s="13">
        <f>+[10]Salidas!$D40</f>
        <v>13836</v>
      </c>
      <c r="M24" s="13">
        <f>+[11]Salidas!$D40</f>
        <v>13475</v>
      </c>
      <c r="N24" s="13">
        <f>+[12]Salidas!$D40</f>
        <v>7085</v>
      </c>
      <c r="O24" s="13">
        <f>+[13]Salidas!$D40</f>
        <v>2570</v>
      </c>
      <c r="P24" s="13">
        <f>+[14]Salidas!$D40</f>
        <v>14058</v>
      </c>
      <c r="Q24" s="13">
        <f>+[15]Salidas!$D40</f>
        <v>13235</v>
      </c>
      <c r="R24" s="13">
        <f>+[16]Salidas!$D40</f>
        <v>13279</v>
      </c>
      <c r="S24" s="13">
        <f>+[17]Salidas!$D40</f>
        <v>13578</v>
      </c>
      <c r="T24" s="13">
        <f>+[18]Salidas!$D40</f>
        <v>13554</v>
      </c>
      <c r="U24" s="13">
        <f>+[19]Salidas!$D40</f>
        <v>7214</v>
      </c>
      <c r="V24" s="13">
        <f>+[20]Salidas!$D40</f>
        <v>2500</v>
      </c>
      <c r="W24" s="13">
        <f>+[21]Salidas!$D40</f>
        <v>14131</v>
      </c>
      <c r="X24" s="13">
        <f>+[22]Salidas!$D40</f>
        <v>14470</v>
      </c>
      <c r="Y24" s="13">
        <f>+[23]Salidas!$D40</f>
        <v>13910</v>
      </c>
      <c r="Z24" s="13">
        <f>+[24]Salidas!$D40</f>
        <v>13997</v>
      </c>
      <c r="AA24" s="13">
        <f>+[25]Salidas!$D40</f>
        <v>13460</v>
      </c>
      <c r="AB24" s="13">
        <f>+[26]Salidas!$D40</f>
        <v>7447</v>
      </c>
      <c r="AC24" s="13">
        <f>+[27]Salidas!$D40</f>
        <v>2398</v>
      </c>
      <c r="AD24" s="13">
        <f>+[28]Salidas!$D40</f>
        <v>14106</v>
      </c>
      <c r="AE24" s="13">
        <f>+[29]Salidas!$D40</f>
        <v>14114</v>
      </c>
      <c r="AF24" s="13">
        <f>+[30]Salidas!$D40</f>
        <v>14182</v>
      </c>
      <c r="AG24" s="13">
        <f>+[31]Salidas!$D40</f>
        <v>14532</v>
      </c>
      <c r="AH24" s="13">
        <f>+[32]Salidas!$D40</f>
        <v>14079</v>
      </c>
      <c r="AI24" s="13">
        <f>+[33]Salidas!$D40</f>
        <v>7309</v>
      </c>
      <c r="AJ24" s="13">
        <f>+[34]Salidas!$D40</f>
        <v>2436</v>
      </c>
    </row>
    <row r="25" spans="1:36" x14ac:dyDescent="0.2">
      <c r="A25" s="443"/>
      <c r="B25" s="39" t="s">
        <v>81</v>
      </c>
      <c r="C25" s="13">
        <f>+[1]Salidas!$D41</f>
        <v>0</v>
      </c>
      <c r="D25" s="13">
        <f>+[2]Salidas!$D41</f>
        <v>0</v>
      </c>
      <c r="E25" s="13">
        <f>+[3]Salidas!$D41</f>
        <v>0</v>
      </c>
      <c r="F25" s="13">
        <f>+[4]Salidas!$D41</f>
        <v>0</v>
      </c>
      <c r="G25" s="13">
        <f>+[5]Salidas!$D41</f>
        <v>0</v>
      </c>
      <c r="H25" s="13">
        <f>+[6]Salidas!$D41</f>
        <v>0</v>
      </c>
      <c r="I25" s="13">
        <f>+[7]Salidas!$D41</f>
        <v>0</v>
      </c>
      <c r="J25" s="13">
        <f>+[8]Salidas!$D41</f>
        <v>0</v>
      </c>
      <c r="K25" s="13">
        <f>+[9]Salidas!$D41</f>
        <v>0</v>
      </c>
      <c r="L25" s="13">
        <f>+[10]Salidas!$D41</f>
        <v>0</v>
      </c>
      <c r="M25" s="13">
        <f>+[11]Salidas!$D41</f>
        <v>0</v>
      </c>
      <c r="N25" s="13">
        <f>+[12]Salidas!$D41</f>
        <v>0</v>
      </c>
      <c r="O25" s="13">
        <f>+[13]Salidas!$D41</f>
        <v>0</v>
      </c>
      <c r="P25" s="13">
        <f>+[14]Salidas!$D41</f>
        <v>0</v>
      </c>
      <c r="Q25" s="13">
        <f>+[15]Salidas!$D41</f>
        <v>0</v>
      </c>
      <c r="R25" s="13">
        <f>+[16]Salidas!$D41</f>
        <v>0</v>
      </c>
      <c r="S25" s="13">
        <f>+[17]Salidas!$D41</f>
        <v>0</v>
      </c>
      <c r="T25" s="13">
        <f>+[18]Salidas!$D41</f>
        <v>0</v>
      </c>
      <c r="U25" s="13">
        <f>+[19]Salidas!$D41</f>
        <v>0</v>
      </c>
      <c r="V25" s="13">
        <f>+[20]Salidas!$D41</f>
        <v>0</v>
      </c>
      <c r="W25" s="13">
        <f>+[21]Salidas!$D41</f>
        <v>0</v>
      </c>
      <c r="X25" s="13">
        <f>+[22]Salidas!$D41</f>
        <v>0</v>
      </c>
      <c r="Y25" s="13">
        <f>+[23]Salidas!$D41</f>
        <v>0</v>
      </c>
      <c r="Z25" s="13">
        <f>+[24]Salidas!$D41</f>
        <v>0</v>
      </c>
      <c r="AA25" s="13">
        <f>+[25]Salidas!$D41</f>
        <v>0</v>
      </c>
      <c r="AB25" s="13">
        <f>+[26]Salidas!$D41</f>
        <v>0</v>
      </c>
      <c r="AC25" s="13">
        <f>+[27]Salidas!$D41</f>
        <v>0</v>
      </c>
      <c r="AD25" s="13">
        <f>+[28]Salidas!$D41</f>
        <v>0</v>
      </c>
      <c r="AE25" s="13">
        <f>+[29]Salidas!$D41</f>
        <v>0</v>
      </c>
      <c r="AF25" s="13">
        <f>+[30]Salidas!$D41</f>
        <v>0</v>
      </c>
      <c r="AG25" s="13">
        <f>+[31]Salidas!$D41</f>
        <v>0</v>
      </c>
      <c r="AH25" s="13">
        <f>+[32]Salidas!$D41</f>
        <v>0</v>
      </c>
      <c r="AI25" s="13">
        <f>+[33]Salidas!$D41</f>
        <v>0</v>
      </c>
      <c r="AJ25" s="13">
        <f>+[34]Salidas!$D41</f>
        <v>0</v>
      </c>
    </row>
    <row r="26" spans="1:36" x14ac:dyDescent="0.2">
      <c r="A26" s="443"/>
      <c r="B26" s="39" t="s">
        <v>19</v>
      </c>
      <c r="C26" s="13">
        <f>+[1]Salidas!$D42</f>
        <v>14559</v>
      </c>
      <c r="D26" s="13">
        <f>+[2]Salidas!$D42</f>
        <v>15046</v>
      </c>
      <c r="E26" s="13">
        <f>+[3]Salidas!$D42</f>
        <v>15284</v>
      </c>
      <c r="F26" s="13">
        <f>+[4]Salidas!$D42</f>
        <v>15401</v>
      </c>
      <c r="G26" s="13">
        <f>+[5]Salidas!$D42</f>
        <v>7716</v>
      </c>
      <c r="H26" s="13">
        <f>+[6]Salidas!$D42</f>
        <v>2818</v>
      </c>
      <c r="I26" s="13">
        <f>+[7]Salidas!$D42</f>
        <v>15061</v>
      </c>
      <c r="J26" s="13">
        <f>+[8]Salidas!$D42</f>
        <v>14754</v>
      </c>
      <c r="K26" s="13">
        <f>+[9]Salidas!$D42</f>
        <v>15039</v>
      </c>
      <c r="L26" s="13">
        <f>+[10]Salidas!$D42</f>
        <v>15283</v>
      </c>
      <c r="M26" s="13">
        <f>+[11]Salidas!$D42</f>
        <v>14353</v>
      </c>
      <c r="N26" s="13">
        <f>+[12]Salidas!$D42</f>
        <v>8063</v>
      </c>
      <c r="O26" s="13">
        <f>+[13]Salidas!$D42</f>
        <v>2807</v>
      </c>
      <c r="P26" s="13">
        <f>+[14]Salidas!$D42</f>
        <v>14898</v>
      </c>
      <c r="Q26" s="13">
        <f>+[15]Salidas!$D42</f>
        <v>14438</v>
      </c>
      <c r="R26" s="13">
        <f>+[16]Salidas!$D42</f>
        <v>14658</v>
      </c>
      <c r="S26" s="13">
        <f>+[17]Salidas!$D42</f>
        <v>14897</v>
      </c>
      <c r="T26" s="13">
        <f>+[18]Salidas!$D42</f>
        <v>15742</v>
      </c>
      <c r="U26" s="13">
        <f>+[19]Salidas!$D42</f>
        <v>8059</v>
      </c>
      <c r="V26" s="13">
        <f>+[20]Salidas!$D42</f>
        <v>2900</v>
      </c>
      <c r="W26" s="13">
        <f>+[21]Salidas!$D42</f>
        <v>15256</v>
      </c>
      <c r="X26" s="13">
        <f>+[22]Salidas!$D42</f>
        <v>15276</v>
      </c>
      <c r="Y26" s="13">
        <f>+[23]Salidas!$D42</f>
        <v>15457</v>
      </c>
      <c r="Z26" s="13">
        <f>+[24]Salidas!$D42</f>
        <v>14888</v>
      </c>
      <c r="AA26" s="13">
        <f>+[25]Salidas!$D42</f>
        <v>15371</v>
      </c>
      <c r="AB26" s="13">
        <f>+[26]Salidas!$D42</f>
        <v>8215</v>
      </c>
      <c r="AC26" s="13">
        <f>+[27]Salidas!$D42</f>
        <v>2706</v>
      </c>
      <c r="AD26" s="13">
        <f>+[28]Salidas!$D42</f>
        <v>15579</v>
      </c>
      <c r="AE26" s="13">
        <f>+[29]Salidas!$D42</f>
        <v>15871</v>
      </c>
      <c r="AF26" s="13">
        <f>+[30]Salidas!$D42</f>
        <v>15603</v>
      </c>
      <c r="AG26" s="13">
        <f>+[31]Salidas!$D42</f>
        <v>15751</v>
      </c>
      <c r="AH26" s="13">
        <f>+[32]Salidas!$D42</f>
        <v>16387</v>
      </c>
      <c r="AI26" s="13">
        <f>+[33]Salidas!$D42</f>
        <v>8323</v>
      </c>
      <c r="AJ26" s="13">
        <f>+[34]Salidas!$D42</f>
        <v>2681</v>
      </c>
    </row>
    <row r="27" spans="1:36" x14ac:dyDescent="0.2">
      <c r="A27" s="443"/>
      <c r="B27" s="39" t="s">
        <v>20</v>
      </c>
      <c r="C27" s="13">
        <f>+[1]Salidas!$D43</f>
        <v>18779</v>
      </c>
      <c r="D27" s="13">
        <f>+[2]Salidas!$D43</f>
        <v>19869</v>
      </c>
      <c r="E27" s="13">
        <f>+[3]Salidas!$D43</f>
        <v>19976</v>
      </c>
      <c r="F27" s="13">
        <f>+[4]Salidas!$D43</f>
        <v>19975</v>
      </c>
      <c r="G27" s="13">
        <f>+[5]Salidas!$D43</f>
        <v>11865</v>
      </c>
      <c r="H27" s="13">
        <f>+[6]Salidas!$D43</f>
        <v>3850</v>
      </c>
      <c r="I27" s="13">
        <f>+[7]Salidas!$D43</f>
        <v>19457</v>
      </c>
      <c r="J27" s="13">
        <f>+[8]Salidas!$D43</f>
        <v>19940</v>
      </c>
      <c r="K27" s="13">
        <f>+[9]Salidas!$D43</f>
        <v>19723</v>
      </c>
      <c r="L27" s="13">
        <f>+[10]Salidas!$D43</f>
        <v>20144</v>
      </c>
      <c r="M27" s="13">
        <f>+[11]Salidas!$D43</f>
        <v>19929</v>
      </c>
      <c r="N27" s="13">
        <f>+[12]Salidas!$D43</f>
        <v>12190</v>
      </c>
      <c r="O27" s="13">
        <f>+[13]Salidas!$D43</f>
        <v>3926</v>
      </c>
      <c r="P27" s="13">
        <f>+[14]Salidas!$D43</f>
        <v>20038</v>
      </c>
      <c r="Q27" s="13">
        <f>+[15]Salidas!$D43</f>
        <v>19609</v>
      </c>
      <c r="R27" s="13">
        <f>+[16]Salidas!$D43</f>
        <v>19552</v>
      </c>
      <c r="S27" s="13">
        <f>+[17]Salidas!$D43</f>
        <v>19748</v>
      </c>
      <c r="T27" s="13">
        <f>+[18]Salidas!$D43</f>
        <v>20413</v>
      </c>
      <c r="U27" s="13">
        <f>+[19]Salidas!$D43</f>
        <v>12444</v>
      </c>
      <c r="V27" s="13">
        <f>+[20]Salidas!$D43</f>
        <v>4301</v>
      </c>
      <c r="W27" s="13">
        <f>+[21]Salidas!$D43</f>
        <v>19574</v>
      </c>
      <c r="X27" s="13">
        <f>+[22]Salidas!$D43</f>
        <v>19398</v>
      </c>
      <c r="Y27" s="13">
        <f>+[23]Salidas!$D43</f>
        <v>19907</v>
      </c>
      <c r="Z27" s="13">
        <f>+[24]Salidas!$D43</f>
        <v>19063</v>
      </c>
      <c r="AA27" s="13">
        <f>+[25]Salidas!$D43</f>
        <v>20043</v>
      </c>
      <c r="AB27" s="13">
        <f>+[26]Salidas!$D43</f>
        <v>12193</v>
      </c>
      <c r="AC27" s="13">
        <f>+[27]Salidas!$D43</f>
        <v>3971</v>
      </c>
      <c r="AD27" s="13">
        <f>+[28]Salidas!$D43</f>
        <v>20150</v>
      </c>
      <c r="AE27" s="13">
        <f>+[29]Salidas!$D43</f>
        <v>20200</v>
      </c>
      <c r="AF27" s="13">
        <f>+[30]Salidas!$D43</f>
        <v>19398</v>
      </c>
      <c r="AG27" s="13">
        <f>+[31]Salidas!$D43</f>
        <v>20254</v>
      </c>
      <c r="AH27" s="13">
        <f>+[32]Salidas!$D43</f>
        <v>20675</v>
      </c>
      <c r="AI27" s="13">
        <f>+[33]Salidas!$D43</f>
        <v>13020</v>
      </c>
      <c r="AJ27" s="13">
        <f>+[34]Salidas!$D43</f>
        <v>4055</v>
      </c>
    </row>
    <row r="28" spans="1:36" x14ac:dyDescent="0.2">
      <c r="A28" s="443"/>
      <c r="B28" s="39" t="s">
        <v>21</v>
      </c>
      <c r="C28" s="13">
        <f>+[1]Salidas!$D44</f>
        <v>13907</v>
      </c>
      <c r="D28" s="13">
        <f>+[2]Salidas!$D44</f>
        <v>14801</v>
      </c>
      <c r="E28" s="13">
        <f>+[3]Salidas!$D44</f>
        <v>15043</v>
      </c>
      <c r="F28" s="13">
        <f>+[4]Salidas!$D44</f>
        <v>14801</v>
      </c>
      <c r="G28" s="13">
        <f>+[5]Salidas!$D44</f>
        <v>10478</v>
      </c>
      <c r="H28" s="13">
        <f>+[6]Salidas!$D44</f>
        <v>5009</v>
      </c>
      <c r="I28" s="13">
        <f>+[7]Salidas!$D44</f>
        <v>14284</v>
      </c>
      <c r="J28" s="13">
        <f>+[8]Salidas!$D44</f>
        <v>14452</v>
      </c>
      <c r="K28" s="13">
        <f>+[9]Salidas!$D44</f>
        <v>14579</v>
      </c>
      <c r="L28" s="13">
        <f>+[10]Salidas!$D44</f>
        <v>14812</v>
      </c>
      <c r="M28" s="13">
        <f>+[11]Salidas!$D44</f>
        <v>14184</v>
      </c>
      <c r="N28" s="13">
        <f>+[12]Salidas!$D44</f>
        <v>10301</v>
      </c>
      <c r="O28" s="13">
        <f>+[13]Salidas!$D44</f>
        <v>4787</v>
      </c>
      <c r="P28" s="13">
        <f>+[14]Salidas!$D44</f>
        <v>14310</v>
      </c>
      <c r="Q28" s="13">
        <f>+[15]Salidas!$D44</f>
        <v>14324</v>
      </c>
      <c r="R28" s="13">
        <f>+[16]Salidas!$D44</f>
        <v>14356</v>
      </c>
      <c r="S28" s="13">
        <f>+[17]Salidas!$D44</f>
        <v>16261</v>
      </c>
      <c r="T28" s="13">
        <f>+[18]Salidas!$D44</f>
        <v>14987</v>
      </c>
      <c r="U28" s="13">
        <f>+[19]Salidas!$D44</f>
        <v>10297</v>
      </c>
      <c r="V28" s="13">
        <f>+[20]Salidas!$D44</f>
        <v>4994</v>
      </c>
      <c r="W28" s="13">
        <f>+[21]Salidas!$D44</f>
        <v>13624</v>
      </c>
      <c r="X28" s="13">
        <f>+[22]Salidas!$D44</f>
        <v>14735</v>
      </c>
      <c r="Y28" s="13">
        <f>+[23]Salidas!$D44</f>
        <v>14640</v>
      </c>
      <c r="Z28" s="13">
        <f>+[24]Salidas!$D44</f>
        <v>15691</v>
      </c>
      <c r="AA28" s="13">
        <f>+[25]Salidas!$D44</f>
        <v>14676</v>
      </c>
      <c r="AB28" s="13">
        <f>+[26]Salidas!$D44</f>
        <v>10870</v>
      </c>
      <c r="AC28" s="13">
        <f>+[27]Salidas!$D44</f>
        <v>4967</v>
      </c>
      <c r="AD28" s="13">
        <f>+[28]Salidas!$D44</f>
        <v>14527</v>
      </c>
      <c r="AE28" s="13">
        <f>+[29]Salidas!$D44</f>
        <v>14077</v>
      </c>
      <c r="AF28" s="13">
        <f>+[30]Salidas!$D44</f>
        <v>14402</v>
      </c>
      <c r="AG28" s="13">
        <f>+[31]Salidas!$D44</f>
        <v>15197</v>
      </c>
      <c r="AH28" s="13">
        <f>+[32]Salidas!$D44</f>
        <v>15318</v>
      </c>
      <c r="AI28" s="13">
        <f>+[33]Salidas!$D44</f>
        <v>11070</v>
      </c>
      <c r="AJ28" s="13">
        <f>+[34]Salidas!$D44</f>
        <v>4849</v>
      </c>
    </row>
    <row r="29" spans="1:36" x14ac:dyDescent="0.2">
      <c r="A29" s="443"/>
      <c r="B29" s="39" t="s">
        <v>84</v>
      </c>
      <c r="C29" s="13">
        <f>+[1]Salidas!$D45</f>
        <v>2085</v>
      </c>
      <c r="D29" s="13">
        <f>+[2]Salidas!$D45</f>
        <v>1979</v>
      </c>
      <c r="E29" s="13">
        <f>+[3]Salidas!$D45</f>
        <v>2112</v>
      </c>
      <c r="F29" s="13">
        <f>+[4]Salidas!$D45</f>
        <v>2135</v>
      </c>
      <c r="G29" s="13">
        <f>+[5]Salidas!$D45</f>
        <v>1696</v>
      </c>
      <c r="H29" s="13">
        <f>+[6]Salidas!$D45</f>
        <v>904</v>
      </c>
      <c r="I29" s="13">
        <f>+[7]Salidas!$D45</f>
        <v>2026</v>
      </c>
      <c r="J29" s="13">
        <f>+[8]Salidas!$D45</f>
        <v>2012</v>
      </c>
      <c r="K29" s="13">
        <f>+[9]Salidas!$D45</f>
        <v>1863</v>
      </c>
      <c r="L29" s="13">
        <f>+[10]Salidas!$D45</f>
        <v>2090</v>
      </c>
      <c r="M29" s="13">
        <f>+[11]Salidas!$D45</f>
        <v>2023</v>
      </c>
      <c r="N29" s="13">
        <f>+[12]Salidas!$D45</f>
        <v>1705</v>
      </c>
      <c r="O29" s="13">
        <f>+[13]Salidas!$D45</f>
        <v>887</v>
      </c>
      <c r="P29" s="13">
        <f>+[14]Salidas!$D45</f>
        <v>2013</v>
      </c>
      <c r="Q29" s="13">
        <f>+[15]Salidas!$D45</f>
        <v>1954</v>
      </c>
      <c r="R29" s="13">
        <f>+[16]Salidas!$D45</f>
        <v>2077</v>
      </c>
      <c r="S29" s="13">
        <f>+[17]Salidas!$D45</f>
        <v>2107</v>
      </c>
      <c r="T29" s="13">
        <f>+[18]Salidas!$D45</f>
        <v>2168</v>
      </c>
      <c r="U29" s="13">
        <f>+[19]Salidas!$D45</f>
        <v>1842</v>
      </c>
      <c r="V29" s="13">
        <f>+[20]Salidas!$D45</f>
        <v>1069</v>
      </c>
      <c r="W29" s="13">
        <f>+[21]Salidas!$D45</f>
        <v>2130</v>
      </c>
      <c r="X29" s="13">
        <f>+[22]Salidas!$D45</f>
        <v>2160</v>
      </c>
      <c r="Y29" s="13">
        <f>+[23]Salidas!$D45</f>
        <v>2000</v>
      </c>
      <c r="Z29" s="13">
        <f>+[24]Salidas!$D45</f>
        <v>2008</v>
      </c>
      <c r="AA29" s="13">
        <f>+[25]Salidas!$D45</f>
        <v>2122</v>
      </c>
      <c r="AB29" s="13">
        <f>+[26]Salidas!$D45</f>
        <v>1803</v>
      </c>
      <c r="AC29" s="13">
        <f>+[27]Salidas!$D45</f>
        <v>1020</v>
      </c>
      <c r="AD29" s="13">
        <f>+[28]Salidas!$D45</f>
        <v>1970</v>
      </c>
      <c r="AE29" s="13">
        <f>+[29]Salidas!$D45</f>
        <v>2161</v>
      </c>
      <c r="AF29" s="13">
        <f>+[30]Salidas!$D45</f>
        <v>2085</v>
      </c>
      <c r="AG29" s="13">
        <f>+[31]Salidas!$D45</f>
        <v>1921</v>
      </c>
      <c r="AH29" s="13">
        <f>+[32]Salidas!$D45</f>
        <v>2037</v>
      </c>
      <c r="AI29" s="13">
        <f>+[33]Salidas!$D45</f>
        <v>1935</v>
      </c>
      <c r="AJ29" s="13">
        <f>+[34]Salidas!$D45</f>
        <v>954</v>
      </c>
    </row>
    <row r="30" spans="1:36" x14ac:dyDescent="0.2">
      <c r="A30" s="443"/>
      <c r="B30" s="39" t="s">
        <v>85</v>
      </c>
      <c r="C30" s="13">
        <f>+[1]Salidas!$D46</f>
        <v>17895</v>
      </c>
      <c r="D30" s="13">
        <f>+[2]Salidas!$D46</f>
        <v>18243</v>
      </c>
      <c r="E30" s="13">
        <f>+[3]Salidas!$D46</f>
        <v>18302</v>
      </c>
      <c r="F30" s="13">
        <f>+[4]Salidas!$D46</f>
        <v>18059</v>
      </c>
      <c r="G30" s="13">
        <f>+[5]Salidas!$D46</f>
        <v>11220</v>
      </c>
      <c r="H30" s="13">
        <f>+[6]Salidas!$D46</f>
        <v>4655</v>
      </c>
      <c r="I30" s="13">
        <f>+[7]Salidas!$D46</f>
        <v>18143</v>
      </c>
      <c r="J30" s="13">
        <f>+[8]Salidas!$D46</f>
        <v>18440</v>
      </c>
      <c r="K30" s="13">
        <f>+[9]Salidas!$D46</f>
        <v>18251</v>
      </c>
      <c r="L30" s="13">
        <f>+[10]Salidas!$D46</f>
        <v>18120</v>
      </c>
      <c r="M30" s="13">
        <f>+[11]Salidas!$D46</f>
        <v>17556</v>
      </c>
      <c r="N30" s="13">
        <f>+[12]Salidas!$D46</f>
        <v>11195</v>
      </c>
      <c r="O30" s="13">
        <f>+[13]Salidas!$D46</f>
        <v>4674</v>
      </c>
      <c r="P30" s="13">
        <f>+[14]Salidas!$D46</f>
        <v>18006</v>
      </c>
      <c r="Q30" s="13">
        <f>+[15]Salidas!$D46</f>
        <v>18013</v>
      </c>
      <c r="R30" s="13">
        <f>+[16]Salidas!$D46</f>
        <v>17707</v>
      </c>
      <c r="S30" s="13">
        <f>+[17]Salidas!$D46</f>
        <v>17804</v>
      </c>
      <c r="T30" s="13">
        <f>+[18]Salidas!$D46</f>
        <v>18136</v>
      </c>
      <c r="U30" s="13">
        <f>+[19]Salidas!$D46</f>
        <v>11182</v>
      </c>
      <c r="V30" s="13">
        <f>+[20]Salidas!$D46</f>
        <v>4693</v>
      </c>
      <c r="W30" s="13">
        <f>+[21]Salidas!$D46</f>
        <v>18105</v>
      </c>
      <c r="X30" s="13">
        <f>+[22]Salidas!$D46</f>
        <v>17899</v>
      </c>
      <c r="Y30" s="13">
        <f>+[23]Salidas!$D46</f>
        <v>18317</v>
      </c>
      <c r="Z30" s="13">
        <f>+[24]Salidas!$D46</f>
        <v>18113</v>
      </c>
      <c r="AA30" s="13">
        <f>+[25]Salidas!$D46</f>
        <v>18021</v>
      </c>
      <c r="AB30" s="13">
        <f>+[26]Salidas!$D46</f>
        <v>11513</v>
      </c>
      <c r="AC30" s="13">
        <f>+[27]Salidas!$D46</f>
        <v>4741</v>
      </c>
      <c r="AD30" s="13">
        <f>+[28]Salidas!$D46</f>
        <v>18352</v>
      </c>
      <c r="AE30" s="13">
        <f>+[29]Salidas!$D46</f>
        <v>18486</v>
      </c>
      <c r="AF30" s="13">
        <f>+[30]Salidas!$D46</f>
        <v>18271</v>
      </c>
      <c r="AG30" s="13">
        <f>+[31]Salidas!$D46</f>
        <v>18538</v>
      </c>
      <c r="AH30" s="13">
        <f>+[32]Salidas!$D46</f>
        <v>18880</v>
      </c>
      <c r="AI30" s="13">
        <f>+[33]Salidas!$D46</f>
        <v>11798</v>
      </c>
      <c r="AJ30" s="13">
        <f>+[34]Salidas!$D46</f>
        <v>4684</v>
      </c>
    </row>
    <row r="31" spans="1:36" x14ac:dyDescent="0.2">
      <c r="A31" s="443"/>
      <c r="B31" s="39" t="s">
        <v>82</v>
      </c>
      <c r="C31" s="13">
        <f>+[1]Salidas!$D47</f>
        <v>1482</v>
      </c>
      <c r="D31" s="13">
        <f>+[2]Salidas!$D47</f>
        <v>1403</v>
      </c>
      <c r="E31" s="13">
        <f>+[3]Salidas!$D47</f>
        <v>1170</v>
      </c>
      <c r="F31" s="13">
        <f>+[4]Salidas!$D47</f>
        <v>1461</v>
      </c>
      <c r="G31" s="13">
        <f>+[5]Salidas!$D47</f>
        <v>1225</v>
      </c>
      <c r="H31" s="13">
        <f>+[6]Salidas!$D47</f>
        <v>909</v>
      </c>
      <c r="I31" s="13">
        <f>+[7]Salidas!$D47</f>
        <v>1406</v>
      </c>
      <c r="J31" s="13">
        <f>+[8]Salidas!$D47</f>
        <v>1596</v>
      </c>
      <c r="K31" s="13">
        <f>+[9]Salidas!$D47</f>
        <v>1442</v>
      </c>
      <c r="L31" s="13">
        <f>+[10]Salidas!$D47</f>
        <v>1488</v>
      </c>
      <c r="M31" s="13">
        <f>+[11]Salidas!$D47</f>
        <v>1451</v>
      </c>
      <c r="N31" s="13">
        <f>+[12]Salidas!$D47</f>
        <v>1260</v>
      </c>
      <c r="O31" s="13">
        <f>+[13]Salidas!$D47</f>
        <v>742</v>
      </c>
      <c r="P31" s="13">
        <f>+[14]Salidas!$D47</f>
        <v>1460</v>
      </c>
      <c r="Q31" s="13">
        <f>+[15]Salidas!$D47</f>
        <v>1421</v>
      </c>
      <c r="R31" s="13">
        <f>+[16]Salidas!$D47</f>
        <v>1481</v>
      </c>
      <c r="S31" s="13">
        <f>+[17]Salidas!$D47</f>
        <v>1418</v>
      </c>
      <c r="T31" s="13">
        <f>+[18]Salidas!$D47</f>
        <v>1374</v>
      </c>
      <c r="U31" s="13">
        <f>+[19]Salidas!$D47</f>
        <v>1303</v>
      </c>
      <c r="V31" s="13">
        <f>+[20]Salidas!$D47</f>
        <v>779</v>
      </c>
      <c r="W31" s="13">
        <f>+[21]Salidas!$D47</f>
        <v>1767</v>
      </c>
      <c r="X31" s="13">
        <f>+[22]Salidas!$D47</f>
        <v>1524</v>
      </c>
      <c r="Y31" s="13">
        <f>+[23]Salidas!$D47</f>
        <v>1418</v>
      </c>
      <c r="Z31" s="13">
        <f>+[24]Salidas!$D47</f>
        <v>1482</v>
      </c>
      <c r="AA31" s="13">
        <f>+[25]Salidas!$D47</f>
        <v>1454</v>
      </c>
      <c r="AB31" s="13">
        <f>+[26]Salidas!$D47</f>
        <v>1291</v>
      </c>
      <c r="AC31" s="13">
        <f>+[27]Salidas!$D47</f>
        <v>821</v>
      </c>
      <c r="AD31" s="13">
        <f>+[28]Salidas!$D47</f>
        <v>1514</v>
      </c>
      <c r="AE31" s="13">
        <f>+[29]Salidas!$D47</f>
        <v>1418</v>
      </c>
      <c r="AF31" s="13">
        <f>+[30]Salidas!$D47</f>
        <v>1535</v>
      </c>
      <c r="AG31" s="13">
        <f>+[31]Salidas!$D47</f>
        <v>1505</v>
      </c>
      <c r="AH31" s="13">
        <f>+[32]Salidas!$D47</f>
        <v>1413</v>
      </c>
      <c r="AI31" s="13">
        <f>+[33]Salidas!$D47</f>
        <v>1294</v>
      </c>
      <c r="AJ31" s="13">
        <f>+[34]Salidas!$D47</f>
        <v>806</v>
      </c>
    </row>
    <row r="32" spans="1:36" x14ac:dyDescent="0.2">
      <c r="A32" s="443"/>
      <c r="B32" s="39" t="s">
        <v>83</v>
      </c>
      <c r="C32" s="13">
        <f>+[1]Salidas!$D48</f>
        <v>10928</v>
      </c>
      <c r="D32" s="13">
        <f>+[2]Salidas!$D48</f>
        <v>11167</v>
      </c>
      <c r="E32" s="13">
        <f>+[3]Salidas!$D48</f>
        <v>11245</v>
      </c>
      <c r="F32" s="13">
        <f>+[4]Salidas!$D48</f>
        <v>10784</v>
      </c>
      <c r="G32" s="13">
        <f>+[5]Salidas!$D48</f>
        <v>6403</v>
      </c>
      <c r="H32" s="13">
        <f>+[6]Salidas!$D48</f>
        <v>2103</v>
      </c>
      <c r="I32" s="13">
        <f>+[7]Salidas!$D48</f>
        <v>11078</v>
      </c>
      <c r="J32" s="13">
        <f>+[8]Salidas!$D48</f>
        <v>11425</v>
      </c>
      <c r="K32" s="13">
        <f>+[9]Salidas!$D48</f>
        <v>11060</v>
      </c>
      <c r="L32" s="13">
        <f>+[10]Salidas!$D48</f>
        <v>11162</v>
      </c>
      <c r="M32" s="13">
        <f>+[11]Salidas!$D48</f>
        <v>10838</v>
      </c>
      <c r="N32" s="13">
        <f>+[12]Salidas!$D48</f>
        <v>6290</v>
      </c>
      <c r="O32" s="13">
        <f>+[13]Salidas!$D48</f>
        <v>2191</v>
      </c>
      <c r="P32" s="13">
        <f>+[14]Salidas!$D48</f>
        <v>10922</v>
      </c>
      <c r="Q32" s="13">
        <f>+[15]Salidas!$D48</f>
        <v>11077</v>
      </c>
      <c r="R32" s="13">
        <f>+[16]Salidas!$D48</f>
        <v>10963</v>
      </c>
      <c r="S32" s="13">
        <f>+[17]Salidas!$D48</f>
        <v>11079</v>
      </c>
      <c r="T32" s="13">
        <f>+[18]Salidas!$D48</f>
        <v>11028</v>
      </c>
      <c r="U32" s="13">
        <f>+[19]Salidas!$D48</f>
        <v>6311</v>
      </c>
      <c r="V32" s="13">
        <f>+[20]Salidas!$D48</f>
        <v>2067</v>
      </c>
      <c r="W32" s="13">
        <f>+[21]Salidas!$D48</f>
        <v>10863</v>
      </c>
      <c r="X32" s="13">
        <f>+[22]Salidas!$D48</f>
        <v>11408</v>
      </c>
      <c r="Y32" s="13">
        <f>+[23]Salidas!$D48</f>
        <v>11167</v>
      </c>
      <c r="Z32" s="13">
        <f>+[24]Salidas!$D48</f>
        <v>11233</v>
      </c>
      <c r="AA32" s="13">
        <f>+[25]Salidas!$D48</f>
        <v>10844</v>
      </c>
      <c r="AB32" s="13">
        <f>+[26]Salidas!$D48</f>
        <v>6491</v>
      </c>
      <c r="AC32" s="13">
        <f>+[27]Salidas!$D48</f>
        <v>2180</v>
      </c>
      <c r="AD32" s="13">
        <f>+[28]Salidas!$D48</f>
        <v>11329</v>
      </c>
      <c r="AE32" s="13">
        <f>+[29]Salidas!$D48</f>
        <v>11504</v>
      </c>
      <c r="AF32" s="13">
        <f>+[30]Salidas!$D48</f>
        <v>11292</v>
      </c>
      <c r="AG32" s="13">
        <f>+[31]Salidas!$D48</f>
        <v>11403</v>
      </c>
      <c r="AH32" s="13">
        <f>+[32]Salidas!$D48</f>
        <v>11499</v>
      </c>
      <c r="AI32" s="13">
        <f>+[33]Salidas!$D48</f>
        <v>6379</v>
      </c>
      <c r="AJ32" s="13">
        <f>+[34]Salidas!$D48</f>
        <v>2113</v>
      </c>
    </row>
    <row r="33" spans="1:36" x14ac:dyDescent="0.2">
      <c r="A33" s="443"/>
      <c r="B33" s="39" t="s">
        <v>22</v>
      </c>
      <c r="C33" s="13">
        <f>+[1]Salidas!$D49</f>
        <v>15275</v>
      </c>
      <c r="D33" s="13">
        <f>+[2]Salidas!$D49</f>
        <v>15502</v>
      </c>
      <c r="E33" s="13">
        <f>+[3]Salidas!$D49</f>
        <v>16326</v>
      </c>
      <c r="F33" s="13">
        <f>+[4]Salidas!$D49</f>
        <v>15200</v>
      </c>
      <c r="G33" s="13">
        <f>+[5]Salidas!$D49</f>
        <v>9891</v>
      </c>
      <c r="H33" s="13">
        <f>+[6]Salidas!$D49</f>
        <v>5044</v>
      </c>
      <c r="I33" s="13">
        <f>+[7]Salidas!$D49</f>
        <v>15399</v>
      </c>
      <c r="J33" s="13">
        <f>+[8]Salidas!$D49</f>
        <v>15567</v>
      </c>
      <c r="K33" s="13">
        <f>+[9]Salidas!$D49</f>
        <v>15255</v>
      </c>
      <c r="L33" s="13">
        <f>+[10]Salidas!$D49</f>
        <v>15514</v>
      </c>
      <c r="M33" s="13">
        <f>+[11]Salidas!$D49</f>
        <v>15059</v>
      </c>
      <c r="N33" s="13">
        <f>+[12]Salidas!$D49</f>
        <v>9928</v>
      </c>
      <c r="O33" s="13">
        <f>+[13]Salidas!$D49</f>
        <v>4894</v>
      </c>
      <c r="P33" s="13">
        <f>+[14]Salidas!$D49</f>
        <v>15432</v>
      </c>
      <c r="Q33" s="13">
        <f>+[15]Salidas!$D49</f>
        <v>15349</v>
      </c>
      <c r="R33" s="13">
        <f>+[16]Salidas!$D49</f>
        <v>14997</v>
      </c>
      <c r="S33" s="13">
        <f>+[17]Salidas!$D49</f>
        <v>15213</v>
      </c>
      <c r="T33" s="13">
        <f>+[18]Salidas!$D49</f>
        <v>15333</v>
      </c>
      <c r="U33" s="13">
        <f>+[19]Salidas!$D49</f>
        <v>10119</v>
      </c>
      <c r="V33" s="13">
        <f>+[20]Salidas!$D49</f>
        <v>4932</v>
      </c>
      <c r="W33" s="13">
        <f>+[21]Salidas!$D49</f>
        <v>15866</v>
      </c>
      <c r="X33" s="13">
        <f>+[22]Salidas!$D49</f>
        <v>15467</v>
      </c>
      <c r="Y33" s="13">
        <f>+[23]Salidas!$D49</f>
        <v>15393</v>
      </c>
      <c r="Z33" s="13">
        <f>+[24]Salidas!$D49</f>
        <v>15300</v>
      </c>
      <c r="AA33" s="13">
        <f>+[25]Salidas!$D49</f>
        <v>15278</v>
      </c>
      <c r="AB33" s="13">
        <f>+[26]Salidas!$D49</f>
        <v>10080</v>
      </c>
      <c r="AC33" s="13">
        <f>+[27]Salidas!$D49</f>
        <v>4796</v>
      </c>
      <c r="AD33" s="13">
        <f>+[28]Salidas!$D49</f>
        <v>15556</v>
      </c>
      <c r="AE33" s="13">
        <f>+[29]Salidas!$D49</f>
        <v>15780</v>
      </c>
      <c r="AF33" s="13">
        <f>+[30]Salidas!$D49</f>
        <v>15820</v>
      </c>
      <c r="AG33" s="13">
        <f>+[31]Salidas!$D49</f>
        <v>15522</v>
      </c>
      <c r="AH33" s="13">
        <f>+[32]Salidas!$D49</f>
        <v>15838</v>
      </c>
      <c r="AI33" s="13">
        <f>+[33]Salidas!$D49</f>
        <v>10376</v>
      </c>
      <c r="AJ33" s="13">
        <f>+[34]Salidas!$D49</f>
        <v>4932</v>
      </c>
    </row>
    <row r="34" spans="1:36" x14ac:dyDescent="0.2">
      <c r="A34" s="443"/>
      <c r="B34" s="39" t="s">
        <v>86</v>
      </c>
      <c r="C34" s="13">
        <f>+[1]Salidas!$D50</f>
        <v>898</v>
      </c>
      <c r="D34" s="13">
        <f>+[2]Salidas!$D50</f>
        <v>1056</v>
      </c>
      <c r="E34" s="13">
        <f>+[3]Salidas!$D50</f>
        <v>1078</v>
      </c>
      <c r="F34" s="13">
        <f>+[4]Salidas!$D50</f>
        <v>949</v>
      </c>
      <c r="G34" s="13">
        <f>+[5]Salidas!$D50</f>
        <v>839</v>
      </c>
      <c r="H34" s="13">
        <f>+[6]Salidas!$D50</f>
        <v>442</v>
      </c>
      <c r="I34" s="13">
        <f>+[7]Salidas!$D50</f>
        <v>930</v>
      </c>
      <c r="J34" s="13">
        <f>+[8]Salidas!$D50</f>
        <v>967</v>
      </c>
      <c r="K34" s="13">
        <f>+[9]Salidas!$D50</f>
        <v>925</v>
      </c>
      <c r="L34" s="13">
        <f>+[10]Salidas!$D50</f>
        <v>959</v>
      </c>
      <c r="M34" s="13">
        <f>+[11]Salidas!$D50</f>
        <v>972</v>
      </c>
      <c r="N34" s="13">
        <f>+[12]Salidas!$D50</f>
        <v>738</v>
      </c>
      <c r="O34" s="13">
        <f>+[13]Salidas!$D50</f>
        <v>418</v>
      </c>
      <c r="P34" s="13">
        <f>+[14]Salidas!$D50</f>
        <v>915</v>
      </c>
      <c r="Q34" s="13">
        <f>+[15]Salidas!$D50</f>
        <v>928</v>
      </c>
      <c r="R34" s="13">
        <f>+[16]Salidas!$D50</f>
        <v>895</v>
      </c>
      <c r="S34" s="13">
        <f>+[17]Salidas!$D50</f>
        <v>905</v>
      </c>
      <c r="T34" s="13">
        <f>+[18]Salidas!$D50</f>
        <v>1001</v>
      </c>
      <c r="U34" s="13">
        <f>+[19]Salidas!$D50</f>
        <v>814</v>
      </c>
      <c r="V34" s="13">
        <f>+[20]Salidas!$D50</f>
        <v>472</v>
      </c>
      <c r="W34" s="13">
        <f>+[21]Salidas!$D50</f>
        <v>934</v>
      </c>
      <c r="X34" s="13">
        <f>+[22]Salidas!$D50</f>
        <v>942</v>
      </c>
      <c r="Y34" s="13">
        <f>+[23]Salidas!$D50</f>
        <v>960</v>
      </c>
      <c r="Z34" s="13">
        <f>+[24]Salidas!$D50</f>
        <v>970</v>
      </c>
      <c r="AA34" s="13">
        <f>+[25]Salidas!$D50</f>
        <v>1005</v>
      </c>
      <c r="AB34" s="13">
        <f>+[26]Salidas!$D50</f>
        <v>875</v>
      </c>
      <c r="AC34" s="13">
        <f>+[27]Salidas!$D50</f>
        <v>413</v>
      </c>
      <c r="AD34" s="13">
        <f>+[28]Salidas!$D50</f>
        <v>945</v>
      </c>
      <c r="AE34" s="13">
        <f>+[29]Salidas!$D50</f>
        <v>929</v>
      </c>
      <c r="AF34" s="13">
        <f>+[30]Salidas!$D50</f>
        <v>881</v>
      </c>
      <c r="AG34" s="13">
        <f>+[31]Salidas!$D50</f>
        <v>899</v>
      </c>
      <c r="AH34" s="13">
        <f>+[32]Salidas!$D50</f>
        <v>942</v>
      </c>
      <c r="AI34" s="13">
        <f>+[33]Salidas!$D50</f>
        <v>753</v>
      </c>
      <c r="AJ34" s="13">
        <f>+[34]Salidas!$D50</f>
        <v>342</v>
      </c>
    </row>
    <row r="35" spans="1:36" x14ac:dyDescent="0.2">
      <c r="A35" s="443"/>
      <c r="B35" s="39" t="s">
        <v>87</v>
      </c>
      <c r="C35" s="13">
        <f>+[1]Salidas!$D51</f>
        <v>7872</v>
      </c>
      <c r="D35" s="13">
        <f>+[2]Salidas!$D51</f>
        <v>8012</v>
      </c>
      <c r="E35" s="13">
        <f>+[3]Salidas!$D51</f>
        <v>8417</v>
      </c>
      <c r="F35" s="13">
        <f>+[4]Salidas!$D51</f>
        <v>7514</v>
      </c>
      <c r="G35" s="13">
        <f>+[5]Salidas!$D51</f>
        <v>4806</v>
      </c>
      <c r="H35" s="13">
        <f>+[6]Salidas!$D51</f>
        <v>1654</v>
      </c>
      <c r="I35" s="13">
        <f>+[7]Salidas!$D51</f>
        <v>7806</v>
      </c>
      <c r="J35" s="13">
        <f>+[8]Salidas!$D51</f>
        <v>8025</v>
      </c>
      <c r="K35" s="13">
        <f>+[9]Salidas!$D51</f>
        <v>7987</v>
      </c>
      <c r="L35" s="13">
        <f>+[10]Salidas!$D51</f>
        <v>8011</v>
      </c>
      <c r="M35" s="13">
        <f>+[11]Salidas!$D51</f>
        <v>7625</v>
      </c>
      <c r="N35" s="13">
        <f>+[12]Salidas!$D51</f>
        <v>5001</v>
      </c>
      <c r="O35" s="13">
        <f>+[13]Salidas!$D51</f>
        <v>1705</v>
      </c>
      <c r="P35" s="13">
        <f>+[14]Salidas!$D51</f>
        <v>8031</v>
      </c>
      <c r="Q35" s="13">
        <f>+[15]Salidas!$D51</f>
        <v>8006</v>
      </c>
      <c r="R35" s="13">
        <f>+[16]Salidas!$D51</f>
        <v>7888</v>
      </c>
      <c r="S35" s="13">
        <f>+[17]Salidas!$D51</f>
        <v>7848</v>
      </c>
      <c r="T35" s="13">
        <f>+[18]Salidas!$D51</f>
        <v>7692</v>
      </c>
      <c r="U35" s="13">
        <f>+[19]Salidas!$D51</f>
        <v>4983</v>
      </c>
      <c r="V35" s="13">
        <f>+[20]Salidas!$D51</f>
        <v>1686</v>
      </c>
      <c r="W35" s="13">
        <f>+[21]Salidas!$D51</f>
        <v>7795</v>
      </c>
      <c r="X35" s="13">
        <f>+[22]Salidas!$D51</f>
        <v>7901</v>
      </c>
      <c r="Y35" s="13">
        <f>+[23]Salidas!$D51</f>
        <v>7901</v>
      </c>
      <c r="Z35" s="13">
        <f>+[24]Salidas!$D51</f>
        <v>7792</v>
      </c>
      <c r="AA35" s="13">
        <f>+[25]Salidas!$D51</f>
        <v>8027</v>
      </c>
      <c r="AB35" s="13">
        <f>+[26]Salidas!$D51</f>
        <v>5339</v>
      </c>
      <c r="AC35" s="13">
        <f>+[27]Salidas!$D51</f>
        <v>1746</v>
      </c>
      <c r="AD35" s="13">
        <f>+[28]Salidas!$D51</f>
        <v>7995</v>
      </c>
      <c r="AE35" s="13">
        <f>+[29]Salidas!$D51</f>
        <v>8131</v>
      </c>
      <c r="AF35" s="13">
        <f>+[30]Salidas!$D51</f>
        <v>8350</v>
      </c>
      <c r="AG35" s="13">
        <f>+[31]Salidas!$D51</f>
        <v>8029</v>
      </c>
      <c r="AH35" s="13">
        <f>+[32]Salidas!$D51</f>
        <v>8008</v>
      </c>
      <c r="AI35" s="13">
        <f>+[33]Salidas!$D51</f>
        <v>4896</v>
      </c>
      <c r="AJ35" s="13">
        <f>+[34]Salidas!$D51</f>
        <v>1771</v>
      </c>
    </row>
    <row r="36" spans="1:36" x14ac:dyDescent="0.2">
      <c r="A36" s="443"/>
      <c r="B36" s="39" t="s">
        <v>88</v>
      </c>
      <c r="C36" s="13">
        <f>+[1]Salidas!$D52</f>
        <v>437</v>
      </c>
      <c r="D36" s="13">
        <f>+[2]Salidas!$D52</f>
        <v>585</v>
      </c>
      <c r="E36" s="13">
        <f>+[3]Salidas!$D52</f>
        <v>554</v>
      </c>
      <c r="F36" s="13">
        <f>+[4]Salidas!$D52</f>
        <v>488</v>
      </c>
      <c r="G36" s="13">
        <f>+[5]Salidas!$D52</f>
        <v>407</v>
      </c>
      <c r="H36" s="13">
        <f>+[6]Salidas!$D52</f>
        <v>206</v>
      </c>
      <c r="I36" s="13">
        <f>+[7]Salidas!$D52</f>
        <v>546</v>
      </c>
      <c r="J36" s="13">
        <f>+[8]Salidas!$D52</f>
        <v>482</v>
      </c>
      <c r="K36" s="13">
        <f>+[9]Salidas!$D52</f>
        <v>523</v>
      </c>
      <c r="L36" s="13">
        <f>+[10]Salidas!$D52</f>
        <v>502</v>
      </c>
      <c r="M36" s="13">
        <f>+[11]Salidas!$D52</f>
        <v>442</v>
      </c>
      <c r="N36" s="13">
        <f>+[12]Salidas!$D52</f>
        <v>341</v>
      </c>
      <c r="O36" s="13">
        <f>+[13]Salidas!$D52</f>
        <v>248</v>
      </c>
      <c r="P36" s="13">
        <f>+[14]Salidas!$D52</f>
        <v>441</v>
      </c>
      <c r="Q36" s="13">
        <f>+[15]Salidas!$D52</f>
        <v>536</v>
      </c>
      <c r="R36" s="13">
        <f>+[16]Salidas!$D52</f>
        <v>462</v>
      </c>
      <c r="S36" s="13">
        <f>+[17]Salidas!$D52</f>
        <v>454</v>
      </c>
      <c r="T36" s="13">
        <f>+[18]Salidas!$D52</f>
        <v>455</v>
      </c>
      <c r="U36" s="13">
        <f>+[19]Salidas!$D52</f>
        <v>381</v>
      </c>
      <c r="V36" s="13">
        <f>+[20]Salidas!$D52</f>
        <v>247</v>
      </c>
      <c r="W36" s="13">
        <f>+[21]Salidas!$D52</f>
        <v>504</v>
      </c>
      <c r="X36" s="13">
        <f>+[22]Salidas!$D52</f>
        <v>492</v>
      </c>
      <c r="Y36" s="13">
        <f>+[23]Salidas!$D52</f>
        <v>480</v>
      </c>
      <c r="Z36" s="13">
        <f>+[24]Salidas!$D52</f>
        <v>446</v>
      </c>
      <c r="AA36" s="13">
        <f>+[25]Salidas!$D52</f>
        <v>441</v>
      </c>
      <c r="AB36" s="13">
        <f>+[26]Salidas!$D52</f>
        <v>416</v>
      </c>
      <c r="AC36" s="13">
        <f>+[27]Salidas!$D52</f>
        <v>257</v>
      </c>
      <c r="AD36" s="13">
        <f>+[28]Salidas!$D52</f>
        <v>469</v>
      </c>
      <c r="AE36" s="13">
        <f>+[29]Salidas!$D52</f>
        <v>508</v>
      </c>
      <c r="AF36" s="13">
        <f>+[30]Salidas!$D52</f>
        <v>468</v>
      </c>
      <c r="AG36" s="13">
        <f>+[31]Salidas!$D52</f>
        <v>452</v>
      </c>
      <c r="AH36" s="13">
        <f>+[32]Salidas!$D52</f>
        <v>436</v>
      </c>
      <c r="AI36" s="13">
        <f>+[33]Salidas!$D52</f>
        <v>372</v>
      </c>
      <c r="AJ36" s="13">
        <f>+[34]Salidas!$D52</f>
        <v>263</v>
      </c>
    </row>
    <row r="37" spans="1:36" x14ac:dyDescent="0.2">
      <c r="A37" s="443"/>
      <c r="B37" s="39" t="s">
        <v>89</v>
      </c>
      <c r="C37" s="13">
        <f>+[1]Salidas!$D53</f>
        <v>4984</v>
      </c>
      <c r="D37" s="13">
        <f>+[2]Salidas!$D53</f>
        <v>5127</v>
      </c>
      <c r="E37" s="13">
        <f>+[3]Salidas!$D53</f>
        <v>5067</v>
      </c>
      <c r="F37" s="13">
        <f>+[4]Salidas!$D53</f>
        <v>4995</v>
      </c>
      <c r="G37" s="13">
        <f>+[5]Salidas!$D53</f>
        <v>3241</v>
      </c>
      <c r="H37" s="13">
        <f>+[6]Salidas!$D53</f>
        <v>1333</v>
      </c>
      <c r="I37" s="13">
        <f>+[7]Salidas!$D53</f>
        <v>4961</v>
      </c>
      <c r="J37" s="13">
        <f>+[8]Salidas!$D53</f>
        <v>5151</v>
      </c>
      <c r="K37" s="13">
        <f>+[9]Salidas!$D53</f>
        <v>5110</v>
      </c>
      <c r="L37" s="13">
        <f>+[10]Salidas!$D53</f>
        <v>5003</v>
      </c>
      <c r="M37" s="13">
        <f>+[11]Salidas!$D53</f>
        <v>4948</v>
      </c>
      <c r="N37" s="13">
        <f>+[12]Salidas!$D53</f>
        <v>3115</v>
      </c>
      <c r="O37" s="13">
        <f>+[13]Salidas!$D53</f>
        <v>1354</v>
      </c>
      <c r="P37" s="13">
        <f>+[14]Salidas!$D53</f>
        <v>5058</v>
      </c>
      <c r="Q37" s="13">
        <f>+[15]Salidas!$D53</f>
        <v>4959</v>
      </c>
      <c r="R37" s="13">
        <f>+[16]Salidas!$D53</f>
        <v>5046</v>
      </c>
      <c r="S37" s="13">
        <f>+[17]Salidas!$D53</f>
        <v>5037</v>
      </c>
      <c r="T37" s="13">
        <f>+[18]Salidas!$D53</f>
        <v>5051</v>
      </c>
      <c r="U37" s="13">
        <f>+[19]Salidas!$D53</f>
        <v>3160</v>
      </c>
      <c r="V37" s="13">
        <f>+[20]Salidas!$D53</f>
        <v>1381</v>
      </c>
      <c r="W37" s="13">
        <f>+[21]Salidas!$D53</f>
        <v>4913</v>
      </c>
      <c r="X37" s="13">
        <f>+[22]Salidas!$D53</f>
        <v>4999</v>
      </c>
      <c r="Y37" s="13">
        <f>+[23]Salidas!$D53</f>
        <v>5169</v>
      </c>
      <c r="Z37" s="13">
        <f>+[24]Salidas!$D53</f>
        <v>5043</v>
      </c>
      <c r="AA37" s="13">
        <f>+[25]Salidas!$D53</f>
        <v>4972</v>
      </c>
      <c r="AB37" s="13">
        <f>+[26]Salidas!$D53</f>
        <v>3327</v>
      </c>
      <c r="AC37" s="13">
        <f>+[27]Salidas!$D53</f>
        <v>1359</v>
      </c>
      <c r="AD37" s="13">
        <f>+[28]Salidas!$D53</f>
        <v>4958</v>
      </c>
      <c r="AE37" s="13">
        <f>+[29]Salidas!$D53</f>
        <v>5079</v>
      </c>
      <c r="AF37" s="13">
        <f>+[30]Salidas!$D53</f>
        <v>5154</v>
      </c>
      <c r="AG37" s="13">
        <f>+[31]Salidas!$D53</f>
        <v>5103</v>
      </c>
      <c r="AH37" s="13">
        <f>+[32]Salidas!$D53</f>
        <v>4849</v>
      </c>
      <c r="AI37" s="13">
        <f>+[33]Salidas!$D53</f>
        <v>3330</v>
      </c>
      <c r="AJ37" s="13">
        <f>+[34]Salidas!$D53</f>
        <v>1384</v>
      </c>
    </row>
    <row r="38" spans="1:36" x14ac:dyDescent="0.2">
      <c r="A38" s="443"/>
      <c r="B38" s="39" t="s">
        <v>78</v>
      </c>
      <c r="C38" s="13">
        <f>+[1]Salidas!$D54</f>
        <v>1655</v>
      </c>
      <c r="D38" s="13">
        <f>+[2]Salidas!$D54</f>
        <v>1682</v>
      </c>
      <c r="E38" s="13">
        <f>+[3]Salidas!$D54</f>
        <v>1617</v>
      </c>
      <c r="F38" s="13">
        <f>+[4]Salidas!$D54</f>
        <v>1586</v>
      </c>
      <c r="G38" s="13">
        <f>+[5]Salidas!$D54</f>
        <v>920</v>
      </c>
      <c r="H38" s="13">
        <f>+[6]Salidas!$D54</f>
        <v>661</v>
      </c>
      <c r="I38" s="13">
        <f>+[7]Salidas!$D54</f>
        <v>1448</v>
      </c>
      <c r="J38" s="13">
        <f>+[8]Salidas!$D54</f>
        <v>1426</v>
      </c>
      <c r="K38" s="13">
        <f>+[9]Salidas!$D54</f>
        <v>1333</v>
      </c>
      <c r="L38" s="13">
        <f>+[10]Salidas!$D54</f>
        <v>1425</v>
      </c>
      <c r="M38" s="13">
        <f>+[11]Salidas!$D54</f>
        <v>1454</v>
      </c>
      <c r="N38" s="13">
        <f>+[12]Salidas!$D54</f>
        <v>902</v>
      </c>
      <c r="O38" s="13">
        <f>+[13]Salidas!$D54</f>
        <v>561</v>
      </c>
      <c r="P38" s="13">
        <f>+[14]Salidas!$D54</f>
        <v>1428</v>
      </c>
      <c r="Q38" s="13">
        <f>+[15]Salidas!$D54</f>
        <v>1431</v>
      </c>
      <c r="R38" s="13">
        <f>+[16]Salidas!$D54</f>
        <v>1339</v>
      </c>
      <c r="S38" s="13">
        <f>+[17]Salidas!$D54</f>
        <v>1408</v>
      </c>
      <c r="T38" s="13">
        <f>+[18]Salidas!$D54</f>
        <v>1435</v>
      </c>
      <c r="U38" s="13">
        <f>+[19]Salidas!$D54</f>
        <v>890</v>
      </c>
      <c r="V38" s="13">
        <f>+[20]Salidas!$D54</f>
        <v>548</v>
      </c>
      <c r="W38" s="13">
        <f>+[21]Salidas!$D54</f>
        <v>1397</v>
      </c>
      <c r="X38" s="13">
        <f>+[22]Salidas!$D54</f>
        <v>1447</v>
      </c>
      <c r="Y38" s="13">
        <f>+[23]Salidas!$D54</f>
        <v>1347</v>
      </c>
      <c r="Z38" s="13">
        <f>+[24]Salidas!$D54</f>
        <v>1353</v>
      </c>
      <c r="AA38" s="13">
        <f>+[25]Salidas!$D54</f>
        <v>1368</v>
      </c>
      <c r="AB38" s="13">
        <f>+[26]Salidas!$D54</f>
        <v>866</v>
      </c>
      <c r="AC38" s="13">
        <f>+[27]Salidas!$D54</f>
        <v>589</v>
      </c>
      <c r="AD38" s="13">
        <f>+[28]Salidas!$D54</f>
        <v>2271</v>
      </c>
      <c r="AE38" s="13">
        <f>+[29]Salidas!$D54</f>
        <v>1455</v>
      </c>
      <c r="AF38" s="13">
        <f>+[30]Salidas!$D54</f>
        <v>1357</v>
      </c>
      <c r="AG38" s="13">
        <f>+[31]Salidas!$D54</f>
        <v>1511</v>
      </c>
      <c r="AH38" s="13">
        <f>+[32]Salidas!$D54</f>
        <v>1326</v>
      </c>
      <c r="AI38" s="13">
        <f>+[33]Salidas!$D54</f>
        <v>866</v>
      </c>
      <c r="AJ38" s="13">
        <f>+[34]Salidas!$D54</f>
        <v>515</v>
      </c>
    </row>
    <row r="39" spans="1:36" x14ac:dyDescent="0.2">
      <c r="A39" s="443"/>
      <c r="B39" s="39" t="s">
        <v>79</v>
      </c>
      <c r="C39" s="13">
        <f>+[1]Salidas!$D55</f>
        <v>17905</v>
      </c>
      <c r="D39" s="13">
        <f>+[2]Salidas!$D55</f>
        <v>18626</v>
      </c>
      <c r="E39" s="13">
        <f>+[3]Salidas!$D55</f>
        <v>19084</v>
      </c>
      <c r="F39" s="13">
        <f>+[4]Salidas!$D55</f>
        <v>18183</v>
      </c>
      <c r="G39" s="13">
        <f>+[5]Salidas!$D55</f>
        <v>11493</v>
      </c>
      <c r="H39" s="13">
        <f>+[6]Salidas!$D55</f>
        <v>5044</v>
      </c>
      <c r="I39" s="13">
        <f>+[7]Salidas!$D55</f>
        <v>19213</v>
      </c>
      <c r="J39" s="13">
        <f>+[8]Salidas!$D55</f>
        <v>19904</v>
      </c>
      <c r="K39" s="13">
        <f>+[9]Salidas!$D55</f>
        <v>19347</v>
      </c>
      <c r="L39" s="13">
        <f>+[10]Salidas!$D55</f>
        <v>19437</v>
      </c>
      <c r="M39" s="13">
        <f>+[11]Salidas!$D55</f>
        <v>19367</v>
      </c>
      <c r="N39" s="13">
        <f>+[12]Salidas!$D55</f>
        <v>11222</v>
      </c>
      <c r="O39" s="13">
        <f>+[13]Salidas!$D55</f>
        <v>4667</v>
      </c>
      <c r="P39" s="13">
        <f>+[14]Salidas!$D55</f>
        <v>19156</v>
      </c>
      <c r="Q39" s="13">
        <f>+[15]Salidas!$D55</f>
        <v>19527</v>
      </c>
      <c r="R39" s="13">
        <f>+[16]Salidas!$D55</f>
        <v>19076</v>
      </c>
      <c r="S39" s="13">
        <f>+[17]Salidas!$D55</f>
        <v>19493</v>
      </c>
      <c r="T39" s="13">
        <f>+[18]Salidas!$D55</f>
        <v>19555</v>
      </c>
      <c r="U39" s="13">
        <f>+[19]Salidas!$D55</f>
        <v>11856</v>
      </c>
      <c r="V39" s="13">
        <f>+[20]Salidas!$D55</f>
        <v>5017</v>
      </c>
      <c r="W39" s="13">
        <f>+[21]Salidas!$D55</f>
        <v>19934</v>
      </c>
      <c r="X39" s="13">
        <f>+[22]Salidas!$D55</f>
        <v>20188</v>
      </c>
      <c r="Y39" s="13">
        <f>+[23]Salidas!$D55</f>
        <v>19917</v>
      </c>
      <c r="Z39" s="13">
        <f>+[24]Salidas!$D55</f>
        <v>19233</v>
      </c>
      <c r="AA39" s="13">
        <f>+[25]Salidas!$D55</f>
        <v>19214</v>
      </c>
      <c r="AB39" s="13">
        <f>+[26]Salidas!$D55</f>
        <v>12005</v>
      </c>
      <c r="AC39" s="13">
        <f>+[27]Salidas!$D55</f>
        <v>5098</v>
      </c>
      <c r="AD39" s="13">
        <f>+[28]Salidas!$D55</f>
        <v>19183</v>
      </c>
      <c r="AE39" s="13">
        <f>+[29]Salidas!$D55</f>
        <v>20587</v>
      </c>
      <c r="AF39" s="13">
        <f>+[30]Salidas!$D55</f>
        <v>20190</v>
      </c>
      <c r="AG39" s="13">
        <f>+[31]Salidas!$D55</f>
        <v>20098</v>
      </c>
      <c r="AH39" s="13">
        <f>+[32]Salidas!$D55</f>
        <v>19590</v>
      </c>
      <c r="AI39" s="13">
        <f>+[33]Salidas!$D55</f>
        <v>12309</v>
      </c>
      <c r="AJ39" s="13">
        <f>+[34]Salidas!$D55</f>
        <v>5001</v>
      </c>
    </row>
    <row r="40" spans="1:36" s="12" customFormat="1" ht="12" customHeight="1" thickBot="1" x14ac:dyDescent="0.25">
      <c r="A40" s="443"/>
      <c r="B40" s="73" t="s">
        <v>110</v>
      </c>
      <c r="C40" s="55">
        <f>+[1]Salidas!$D56</f>
        <v>106464</v>
      </c>
      <c r="D40" s="55">
        <f>+[2]Salidas!$D56</f>
        <v>107844</v>
      </c>
      <c r="E40" s="55">
        <f>+[3]Salidas!$D56</f>
        <v>111318</v>
      </c>
      <c r="F40" s="55">
        <f>+[4]Salidas!$D56</f>
        <v>111625</v>
      </c>
      <c r="G40" s="55">
        <f>+[5]Salidas!$D56</f>
        <v>83153</v>
      </c>
      <c r="H40" s="55">
        <f>+[6]Salidas!$D56</f>
        <v>50388</v>
      </c>
      <c r="I40" s="55">
        <f>+[7]Salidas!$D56</f>
        <v>109505</v>
      </c>
      <c r="J40" s="55">
        <f>+[8]Salidas!$D56</f>
        <v>112778</v>
      </c>
      <c r="K40" s="55">
        <f>+[9]Salidas!$D56</f>
        <v>110262</v>
      </c>
      <c r="L40" s="55">
        <f>+[10]Salidas!$D56</f>
        <v>111760</v>
      </c>
      <c r="M40" s="55">
        <f>+[11]Salidas!$D56</f>
        <v>112365</v>
      </c>
      <c r="N40" s="55">
        <f>+[12]Salidas!$D56</f>
        <v>82751</v>
      </c>
      <c r="O40" s="55">
        <f>+[13]Salidas!$D56</f>
        <v>47897</v>
      </c>
      <c r="P40" s="55">
        <f>+[14]Salidas!$D56</f>
        <v>110635</v>
      </c>
      <c r="Q40" s="55">
        <f>+[15]Salidas!$D56</f>
        <v>109511</v>
      </c>
      <c r="R40" s="55">
        <f>+[16]Salidas!$D56</f>
        <v>108783</v>
      </c>
      <c r="S40" s="55">
        <f>+[17]Salidas!$D56</f>
        <v>109139</v>
      </c>
      <c r="T40" s="55">
        <f>+[18]Salidas!$D56</f>
        <v>111800</v>
      </c>
      <c r="U40" s="55">
        <f>+[19]Salidas!$D56</f>
        <v>83519</v>
      </c>
      <c r="V40" s="55">
        <f>+[20]Salidas!$D56</f>
        <v>49653</v>
      </c>
      <c r="W40" s="55">
        <f>+[21]Salidas!$D56</f>
        <v>111568</v>
      </c>
      <c r="X40" s="55">
        <f>+[22]Salidas!$D56</f>
        <v>112280</v>
      </c>
      <c r="Y40" s="55">
        <f>+[23]Salidas!$D56</f>
        <v>109892</v>
      </c>
      <c r="Z40" s="55">
        <f>+[24]Salidas!$D56</f>
        <v>110774</v>
      </c>
      <c r="AA40" s="55">
        <f>+[25]Salidas!$D56</f>
        <v>111066</v>
      </c>
      <c r="AB40" s="55">
        <f>+[26]Salidas!$D56</f>
        <v>85142</v>
      </c>
      <c r="AC40" s="55">
        <f>+[27]Salidas!$D56</f>
        <v>47731</v>
      </c>
      <c r="AD40" s="55">
        <f>+[28]Salidas!$D56</f>
        <v>110908</v>
      </c>
      <c r="AE40" s="55">
        <f>+[29]Salidas!$D56</f>
        <v>113130</v>
      </c>
      <c r="AF40" s="55">
        <f>+[30]Salidas!$D56</f>
        <v>113922</v>
      </c>
      <c r="AG40" s="55">
        <f>+[31]Salidas!$D56</f>
        <v>112117</v>
      </c>
      <c r="AH40" s="55">
        <f>+[32]Salidas!$D56</f>
        <v>118706</v>
      </c>
      <c r="AI40" s="55">
        <f>+[33]Salidas!$D56</f>
        <v>89021</v>
      </c>
      <c r="AJ40" s="55">
        <f>+[34]Salidas!$D56</f>
        <v>49224</v>
      </c>
    </row>
    <row r="41" spans="1:36" s="12" customFormat="1" x14ac:dyDescent="0.2">
      <c r="A41" s="443"/>
      <c r="B41" s="114" t="s">
        <v>23</v>
      </c>
      <c r="C41" s="14">
        <f>[1]Salidas!$D64</f>
        <v>21765</v>
      </c>
      <c r="D41" s="14">
        <f>[2]Salidas!$D64</f>
        <v>21634</v>
      </c>
      <c r="E41" s="14">
        <f>[3]Salidas!$D64</f>
        <v>20980</v>
      </c>
      <c r="F41" s="14">
        <f>[4]Salidas!$D64</f>
        <v>21999</v>
      </c>
      <c r="G41" s="14">
        <f>[5]Salidas!$D64</f>
        <v>11893</v>
      </c>
      <c r="H41" s="14">
        <f>[6]Salidas!$D64</f>
        <v>2326</v>
      </c>
      <c r="I41" s="14">
        <f>[7]Salidas!$D64</f>
        <v>21571</v>
      </c>
      <c r="J41" s="14">
        <f>[8]Salidas!$D64</f>
        <v>21727</v>
      </c>
      <c r="K41" s="14">
        <f>[9]Salidas!$D64</f>
        <v>21303</v>
      </c>
      <c r="L41" s="14">
        <f>[10]Salidas!$D64</f>
        <v>21239</v>
      </c>
      <c r="M41" s="14">
        <f>[11]Salidas!$D64</f>
        <v>21835</v>
      </c>
      <c r="N41" s="14">
        <f>[12]Salidas!$D64</f>
        <v>12609</v>
      </c>
      <c r="O41" s="14">
        <f>[13]Salidas!$D64</f>
        <v>2334</v>
      </c>
      <c r="P41" s="14">
        <f>[14]Salidas!$D64</f>
        <v>21212</v>
      </c>
      <c r="Q41" s="14">
        <f>[15]Salidas!$D64</f>
        <v>18537</v>
      </c>
      <c r="R41" s="14">
        <f>[16]Salidas!$D64</f>
        <v>21025</v>
      </c>
      <c r="S41" s="14">
        <f>[17]Salidas!$D64</f>
        <v>21530</v>
      </c>
      <c r="T41" s="14">
        <f>[18]Salidas!$D64</f>
        <v>21957</v>
      </c>
      <c r="U41" s="14">
        <f>[19]Salidas!$D64</f>
        <v>12598</v>
      </c>
      <c r="V41" s="14">
        <f>[20]Salidas!$D64</f>
        <v>2314</v>
      </c>
      <c r="W41" s="14">
        <f>[21]Salidas!$D64</f>
        <v>21753</v>
      </c>
      <c r="X41" s="14">
        <f>[22]Salidas!$D64</f>
        <v>21674</v>
      </c>
      <c r="Y41" s="14">
        <f>[23]Salidas!$D64</f>
        <v>22125</v>
      </c>
      <c r="Z41" s="14">
        <f>[24]Salidas!$D64</f>
        <v>21050</v>
      </c>
      <c r="AA41" s="14">
        <f>[25]Salidas!$D64</f>
        <v>22199</v>
      </c>
      <c r="AB41" s="14">
        <f>[26]Salidas!$D64</f>
        <v>12566</v>
      </c>
      <c r="AC41" s="14">
        <f>[27]Salidas!$D64</f>
        <v>2512</v>
      </c>
      <c r="AD41" s="14">
        <f>[28]Salidas!$D64</f>
        <v>21787</v>
      </c>
      <c r="AE41" s="14">
        <f>[29]Salidas!$D64</f>
        <v>22748</v>
      </c>
      <c r="AF41" s="14">
        <f>[30]Salidas!$D64</f>
        <v>22672</v>
      </c>
      <c r="AG41" s="14">
        <f>[31]Salidas!$D64</f>
        <v>22656</v>
      </c>
      <c r="AH41" s="14">
        <f>[32]Salidas!$D64</f>
        <v>23174</v>
      </c>
      <c r="AI41" s="14">
        <f>[33]Salidas!$D64</f>
        <v>13216</v>
      </c>
      <c r="AJ41" s="14">
        <f>[34]Salidas!$D64</f>
        <v>2402</v>
      </c>
    </row>
    <row r="42" spans="1:36" x14ac:dyDescent="0.2">
      <c r="A42" s="443"/>
      <c r="B42" s="39" t="s">
        <v>24</v>
      </c>
      <c r="C42" s="14">
        <f>[1]Salidas!$D65</f>
        <v>17235</v>
      </c>
      <c r="D42" s="14">
        <f>[2]Salidas!$D65</f>
        <v>17333</v>
      </c>
      <c r="E42" s="14">
        <f>[3]Salidas!$D65</f>
        <v>16598</v>
      </c>
      <c r="F42" s="14">
        <f>[4]Salidas!$D65</f>
        <v>17049</v>
      </c>
      <c r="G42" s="14">
        <f>[5]Salidas!$D65</f>
        <v>5899</v>
      </c>
      <c r="H42" s="14">
        <f>[6]Salidas!$D65</f>
        <v>877</v>
      </c>
      <c r="I42" s="14">
        <f>[7]Salidas!$D65</f>
        <v>14460</v>
      </c>
      <c r="J42" s="14">
        <f>[8]Salidas!$D65</f>
        <v>15807</v>
      </c>
      <c r="K42" s="14">
        <f>[9]Salidas!$D65</f>
        <v>15234</v>
      </c>
      <c r="L42" s="14">
        <f>[10]Salidas!$D65</f>
        <v>15375</v>
      </c>
      <c r="M42" s="14">
        <f>[11]Salidas!$D65</f>
        <v>15147</v>
      </c>
      <c r="N42" s="14">
        <f>[12]Salidas!$D65</f>
        <v>6283</v>
      </c>
      <c r="O42" s="14">
        <f>[13]Salidas!$D65</f>
        <v>846</v>
      </c>
      <c r="P42" s="14">
        <f>[14]Salidas!$D65</f>
        <v>15352</v>
      </c>
      <c r="Q42" s="14">
        <f>[15]Salidas!$D65</f>
        <v>15198</v>
      </c>
      <c r="R42" s="14">
        <f>[16]Salidas!$D65</f>
        <v>15036</v>
      </c>
      <c r="S42" s="14">
        <f>[17]Salidas!$D65</f>
        <v>15434</v>
      </c>
      <c r="T42" s="14">
        <f>[18]Salidas!$D65</f>
        <v>15365</v>
      </c>
      <c r="U42" s="14">
        <f>[19]Salidas!$D65</f>
        <v>6534</v>
      </c>
      <c r="V42" s="14">
        <f>[20]Salidas!$D65</f>
        <v>910</v>
      </c>
      <c r="W42" s="14">
        <f>[21]Salidas!$D65</f>
        <v>15403</v>
      </c>
      <c r="X42" s="14">
        <f>[22]Salidas!$D65</f>
        <v>15450</v>
      </c>
      <c r="Y42" s="14">
        <f>[23]Salidas!$D65</f>
        <v>15639</v>
      </c>
      <c r="Z42" s="14">
        <f>[24]Salidas!$D65</f>
        <v>15120</v>
      </c>
      <c r="AA42" s="14">
        <f>[25]Salidas!$D65</f>
        <v>15290</v>
      </c>
      <c r="AB42" s="14">
        <f>[26]Salidas!$D65</f>
        <v>6705</v>
      </c>
      <c r="AC42" s="14">
        <f>[27]Salidas!$D65</f>
        <v>915</v>
      </c>
      <c r="AD42" s="14">
        <f>[28]Salidas!$D65</f>
        <v>15401</v>
      </c>
      <c r="AE42" s="14">
        <f>[29]Salidas!$D65</f>
        <v>15982</v>
      </c>
      <c r="AF42" s="14">
        <f>[30]Salidas!$D65</f>
        <v>15556</v>
      </c>
      <c r="AG42" s="14">
        <f>[31]Salidas!$D65</f>
        <v>15605</v>
      </c>
      <c r="AH42" s="14">
        <f>[32]Salidas!$D65</f>
        <v>15485</v>
      </c>
      <c r="AI42" s="14">
        <f>[33]Salidas!$D65</f>
        <v>6411</v>
      </c>
      <c r="AJ42" s="14">
        <f>[34]Salidas!$D65</f>
        <v>853</v>
      </c>
    </row>
    <row r="43" spans="1:36" x14ac:dyDescent="0.2">
      <c r="A43" s="443"/>
      <c r="B43" s="39" t="s">
        <v>25</v>
      </c>
      <c r="C43" s="14">
        <f>[1]Salidas!$D66</f>
        <v>17923</v>
      </c>
      <c r="D43" s="14">
        <f>[2]Salidas!$D66</f>
        <v>18533</v>
      </c>
      <c r="E43" s="14">
        <f>[3]Salidas!$D66</f>
        <v>16375</v>
      </c>
      <c r="F43" s="14">
        <f>[4]Salidas!$D66</f>
        <v>19481</v>
      </c>
      <c r="G43" s="14">
        <f>[5]Salidas!$D66</f>
        <v>12647</v>
      </c>
      <c r="H43" s="14">
        <f>[6]Salidas!$D66</f>
        <v>4865</v>
      </c>
      <c r="I43" s="14">
        <f>[7]Salidas!$D66</f>
        <v>23636</v>
      </c>
      <c r="J43" s="14">
        <f>[8]Salidas!$D66</f>
        <v>26271</v>
      </c>
      <c r="K43" s="14">
        <f>[9]Salidas!$D66</f>
        <v>26284</v>
      </c>
      <c r="L43" s="14">
        <f>[10]Salidas!$D66</f>
        <v>26749</v>
      </c>
      <c r="M43" s="14">
        <f>[11]Salidas!$D66</f>
        <v>27024</v>
      </c>
      <c r="N43" s="14">
        <f>[12]Salidas!$D66</f>
        <v>14046</v>
      </c>
      <c r="O43" s="14">
        <f>[13]Salidas!$D66</f>
        <v>4620</v>
      </c>
      <c r="P43" s="14">
        <f>[14]Salidas!$D66</f>
        <v>26820</v>
      </c>
      <c r="Q43" s="14">
        <f>[15]Salidas!$D66</f>
        <v>26034</v>
      </c>
      <c r="R43" s="14">
        <f>[16]Salidas!$D66</f>
        <v>26257</v>
      </c>
      <c r="S43" s="14">
        <f>[17]Salidas!$D66</f>
        <v>26421</v>
      </c>
      <c r="T43" s="14">
        <f>[18]Salidas!$D66</f>
        <v>28202</v>
      </c>
      <c r="U43" s="14">
        <f>[19]Salidas!$D66</f>
        <v>14705</v>
      </c>
      <c r="V43" s="14">
        <f>[20]Salidas!$D66</f>
        <v>4859</v>
      </c>
      <c r="W43" s="14">
        <f>[21]Salidas!$D66</f>
        <v>26569</v>
      </c>
      <c r="X43" s="14">
        <f>[22]Salidas!$D66</f>
        <v>27321</v>
      </c>
      <c r="Y43" s="14">
        <f>[23]Salidas!$D66</f>
        <v>27380</v>
      </c>
      <c r="Z43" s="14">
        <f>[24]Salidas!$D66</f>
        <v>26802</v>
      </c>
      <c r="AA43" s="14">
        <f>[25]Salidas!$D66</f>
        <v>28329</v>
      </c>
      <c r="AB43" s="14">
        <f>[26]Salidas!$D66</f>
        <v>15214</v>
      </c>
      <c r="AC43" s="14">
        <f>[27]Salidas!$D66</f>
        <v>4848</v>
      </c>
      <c r="AD43" s="14">
        <f>[28]Salidas!$D66</f>
        <v>27293</v>
      </c>
      <c r="AE43" s="14">
        <f>[29]Salidas!$D66</f>
        <v>28678</v>
      </c>
      <c r="AF43" s="14">
        <f>[30]Salidas!$D66</f>
        <v>28441</v>
      </c>
      <c r="AG43" s="14">
        <f>[31]Salidas!$D66</f>
        <v>28276</v>
      </c>
      <c r="AH43" s="14">
        <f>[32]Salidas!$D66</f>
        <v>29217</v>
      </c>
      <c r="AI43" s="14">
        <f>[33]Salidas!$D66</f>
        <v>15400</v>
      </c>
      <c r="AJ43" s="14">
        <f>[34]Salidas!$D66</f>
        <v>4888</v>
      </c>
    </row>
    <row r="44" spans="1:36" x14ac:dyDescent="0.2">
      <c r="A44" s="443"/>
      <c r="B44" s="39" t="s">
        <v>26</v>
      </c>
      <c r="C44" s="14">
        <f>[1]Salidas!$D67</f>
        <v>7426</v>
      </c>
      <c r="D44" s="14">
        <f>[2]Salidas!$D67</f>
        <v>7701</v>
      </c>
      <c r="E44" s="14">
        <f>[3]Salidas!$D67</f>
        <v>7591</v>
      </c>
      <c r="F44" s="14">
        <f>[4]Salidas!$D67</f>
        <v>7659</v>
      </c>
      <c r="G44" s="14">
        <f>[5]Salidas!$D67</f>
        <v>3145</v>
      </c>
      <c r="H44" s="14">
        <f>[6]Salidas!$D67</f>
        <v>1004</v>
      </c>
      <c r="I44" s="14">
        <f>[7]Salidas!$D67</f>
        <v>10083</v>
      </c>
      <c r="J44" s="14">
        <f>[8]Salidas!$D67</f>
        <v>10273</v>
      </c>
      <c r="K44" s="14">
        <f>[9]Salidas!$D67</f>
        <v>10106</v>
      </c>
      <c r="L44" s="14">
        <f>[10]Salidas!$D67</f>
        <v>9889</v>
      </c>
      <c r="M44" s="14">
        <f>[11]Salidas!$D67</f>
        <v>9921</v>
      </c>
      <c r="N44" s="14">
        <f>[12]Salidas!$D67</f>
        <v>4182</v>
      </c>
      <c r="O44" s="14">
        <f>[13]Salidas!$D67</f>
        <v>1131</v>
      </c>
      <c r="P44" s="14">
        <f>[14]Salidas!$D67</f>
        <v>10222</v>
      </c>
      <c r="Q44" s="14">
        <f>[15]Salidas!$D67</f>
        <v>10078</v>
      </c>
      <c r="R44" s="14">
        <f>[16]Salidas!$D67</f>
        <v>9999</v>
      </c>
      <c r="S44" s="14">
        <f>[17]Salidas!$D67</f>
        <v>10499</v>
      </c>
      <c r="T44" s="14">
        <f>[18]Salidas!$D67</f>
        <v>10665</v>
      </c>
      <c r="U44" s="14">
        <f>[19]Salidas!$D67</f>
        <v>4393</v>
      </c>
      <c r="V44" s="14">
        <f>[20]Salidas!$D67</f>
        <v>1148</v>
      </c>
      <c r="W44" s="14">
        <f>[21]Salidas!$D67</f>
        <v>10574</v>
      </c>
      <c r="X44" s="14">
        <f>[22]Salidas!$D67</f>
        <v>10947</v>
      </c>
      <c r="Y44" s="14">
        <f>[23]Salidas!$D67</f>
        <v>10741</v>
      </c>
      <c r="Z44" s="14">
        <f>[24]Salidas!$D67</f>
        <v>10484</v>
      </c>
      <c r="AA44" s="14">
        <f>[25]Salidas!$D67</f>
        <v>10733</v>
      </c>
      <c r="AB44" s="14">
        <f>[26]Salidas!$D67</f>
        <v>4443</v>
      </c>
      <c r="AC44" s="14">
        <f>[27]Salidas!$D67</f>
        <v>1047</v>
      </c>
      <c r="AD44" s="14">
        <f>[28]Salidas!$D67</f>
        <v>10659</v>
      </c>
      <c r="AE44" s="14">
        <f>[29]Salidas!$D67</f>
        <v>10924</v>
      </c>
      <c r="AF44" s="14">
        <f>[30]Salidas!$D67</f>
        <v>10712</v>
      </c>
      <c r="AG44" s="14">
        <f>[31]Salidas!$D67</f>
        <v>10834</v>
      </c>
      <c r="AH44" s="14">
        <f>[32]Salidas!$D67</f>
        <v>10987</v>
      </c>
      <c r="AI44" s="14">
        <f>[33]Salidas!$D67</f>
        <v>4549</v>
      </c>
      <c r="AJ44" s="14">
        <f>[34]Salidas!$D67</f>
        <v>1179</v>
      </c>
    </row>
    <row r="45" spans="1:36" x14ac:dyDescent="0.2">
      <c r="A45" s="443"/>
      <c r="B45" s="39" t="s">
        <v>96</v>
      </c>
      <c r="C45" s="14">
        <f>[1]Salidas!$D68</f>
        <v>10102</v>
      </c>
      <c r="D45" s="14">
        <f>[2]Salidas!$D68</f>
        <v>9654</v>
      </c>
      <c r="E45" s="14">
        <f>[3]Salidas!$D68</f>
        <v>9328</v>
      </c>
      <c r="F45" s="14">
        <f>[4]Salidas!$D68</f>
        <v>9738</v>
      </c>
      <c r="G45" s="14">
        <f>[5]Salidas!$D68</f>
        <v>4418</v>
      </c>
      <c r="H45" s="14">
        <f>[6]Salidas!$D68</f>
        <v>1470</v>
      </c>
      <c r="I45" s="14">
        <f>[7]Salidas!$D68</f>
        <v>7731</v>
      </c>
      <c r="J45" s="14">
        <f>[8]Salidas!$D68</f>
        <v>8750</v>
      </c>
      <c r="K45" s="14">
        <f>[9]Salidas!$D68</f>
        <v>7335</v>
      </c>
      <c r="L45" s="14">
        <f>[10]Salidas!$D68</f>
        <v>7273</v>
      </c>
      <c r="M45" s="14">
        <f>[11]Salidas!$D68</f>
        <v>7403</v>
      </c>
      <c r="N45" s="14">
        <f>[12]Salidas!$D68</f>
        <v>4462</v>
      </c>
      <c r="O45" s="14">
        <f>[13]Salidas!$D68</f>
        <v>1532</v>
      </c>
      <c r="P45" s="14">
        <f>[14]Salidas!$D68</f>
        <v>7424</v>
      </c>
      <c r="Q45" s="14">
        <f>[15]Salidas!$D68</f>
        <v>7828</v>
      </c>
      <c r="R45" s="14">
        <f>[16]Salidas!$D68</f>
        <v>7002</v>
      </c>
      <c r="S45" s="14">
        <f>[17]Salidas!$D68</f>
        <v>6885</v>
      </c>
      <c r="T45" s="14">
        <f>[18]Salidas!$D68</f>
        <v>7462</v>
      </c>
      <c r="U45" s="14">
        <f>[19]Salidas!$D68</f>
        <v>4484</v>
      </c>
      <c r="V45" s="14">
        <f>[20]Salidas!$D68</f>
        <v>1689</v>
      </c>
      <c r="W45" s="14">
        <f>[21]Salidas!$D68</f>
        <v>6973</v>
      </c>
      <c r="X45" s="14">
        <f>[22]Salidas!$D68</f>
        <v>7064</v>
      </c>
      <c r="Y45" s="14">
        <f>[23]Salidas!$D68</f>
        <v>7251</v>
      </c>
      <c r="Z45" s="14">
        <f>[24]Salidas!$D68</f>
        <v>6954</v>
      </c>
      <c r="AA45" s="14">
        <f>[25]Salidas!$D68</f>
        <v>7116</v>
      </c>
      <c r="AB45" s="14">
        <f>[26]Salidas!$D68</f>
        <v>4255</v>
      </c>
      <c r="AC45" s="14">
        <f>[27]Salidas!$D68</f>
        <v>1367</v>
      </c>
      <c r="AD45" s="14">
        <f>[28]Salidas!$D68</f>
        <v>7043</v>
      </c>
      <c r="AE45" s="14">
        <f>[29]Salidas!$D68</f>
        <v>7408</v>
      </c>
      <c r="AF45" s="14">
        <f>[30]Salidas!$D68</f>
        <v>7260</v>
      </c>
      <c r="AG45" s="14">
        <f>[31]Salidas!$D68</f>
        <v>7259</v>
      </c>
      <c r="AH45" s="14">
        <f>[32]Salidas!$D68</f>
        <v>7188</v>
      </c>
      <c r="AI45" s="14">
        <f>[33]Salidas!$D68</f>
        <v>4327</v>
      </c>
      <c r="AJ45" s="14">
        <f>[34]Salidas!$D68</f>
        <v>1511</v>
      </c>
    </row>
    <row r="46" spans="1:36" x14ac:dyDescent="0.2">
      <c r="A46" s="443"/>
      <c r="B46" s="39" t="s">
        <v>95</v>
      </c>
      <c r="C46" s="14">
        <f>[1]Salidas!$D69</f>
        <v>14451</v>
      </c>
      <c r="D46" s="14">
        <f>[2]Salidas!$D69</f>
        <v>15454</v>
      </c>
      <c r="E46" s="14">
        <f>[3]Salidas!$D69</f>
        <v>15116</v>
      </c>
      <c r="F46" s="14">
        <f>[4]Salidas!$D69</f>
        <v>14923</v>
      </c>
      <c r="G46" s="14">
        <f>[5]Salidas!$D69</f>
        <v>8042</v>
      </c>
      <c r="H46" s="14">
        <f>[6]Salidas!$D69</f>
        <v>2617</v>
      </c>
      <c r="I46" s="14">
        <f>[7]Salidas!$D69</f>
        <v>13772</v>
      </c>
      <c r="J46" s="14">
        <f>[8]Salidas!$D69</f>
        <v>13593</v>
      </c>
      <c r="K46" s="14">
        <f>[9]Salidas!$D69</f>
        <v>14317</v>
      </c>
      <c r="L46" s="14">
        <f>[10]Salidas!$D69</f>
        <v>13683</v>
      </c>
      <c r="M46" s="14">
        <f>[11]Salidas!$D69</f>
        <v>13962</v>
      </c>
      <c r="N46" s="14">
        <f>[12]Salidas!$D69</f>
        <v>8433</v>
      </c>
      <c r="O46" s="14">
        <f>[13]Salidas!$D69</f>
        <v>2809</v>
      </c>
      <c r="P46" s="14">
        <f>[14]Salidas!$D69</f>
        <v>14017</v>
      </c>
      <c r="Q46" s="14">
        <f>[15]Salidas!$D69</f>
        <v>13449</v>
      </c>
      <c r="R46" s="14">
        <f>[16]Salidas!$D69</f>
        <v>13493</v>
      </c>
      <c r="S46" s="14">
        <f>[17]Salidas!$D69</f>
        <v>13929</v>
      </c>
      <c r="T46" s="14">
        <f>[18]Salidas!$D69</f>
        <v>14224</v>
      </c>
      <c r="U46" s="14">
        <f>[19]Salidas!$D69</f>
        <v>8472</v>
      </c>
      <c r="V46" s="14">
        <f>[20]Salidas!$D69</f>
        <v>2699</v>
      </c>
      <c r="W46" s="14">
        <f>[21]Salidas!$D69</f>
        <v>14194</v>
      </c>
      <c r="X46" s="14">
        <f>[22]Salidas!$D69</f>
        <v>14166</v>
      </c>
      <c r="Y46" s="14">
        <f>[23]Salidas!$D69</f>
        <v>14326</v>
      </c>
      <c r="Z46" s="14">
        <f>[24]Salidas!$D69</f>
        <v>13766</v>
      </c>
      <c r="AA46" s="14">
        <f>[25]Salidas!$D69</f>
        <v>14046</v>
      </c>
      <c r="AB46" s="14">
        <f>[26]Salidas!$D69</f>
        <v>8445</v>
      </c>
      <c r="AC46" s="14">
        <f>[27]Salidas!$D69</f>
        <v>2761</v>
      </c>
      <c r="AD46" s="14">
        <f>[28]Salidas!$D69</f>
        <v>14415</v>
      </c>
      <c r="AE46" s="14">
        <f>[29]Salidas!$D69</f>
        <v>14299</v>
      </c>
      <c r="AF46" s="14">
        <f>[30]Salidas!$D69</f>
        <v>14307</v>
      </c>
      <c r="AG46" s="14">
        <f>[31]Salidas!$D69</f>
        <v>14048</v>
      </c>
      <c r="AH46" s="14">
        <f>[32]Salidas!$D69</f>
        <v>14543</v>
      </c>
      <c r="AI46" s="14">
        <f>[33]Salidas!$D69</f>
        <v>8778</v>
      </c>
      <c r="AJ46" s="14">
        <f>[34]Salidas!$D69</f>
        <v>2776</v>
      </c>
    </row>
    <row r="47" spans="1:36" x14ac:dyDescent="0.2">
      <c r="A47" s="443"/>
      <c r="B47" s="39" t="s">
        <v>27</v>
      </c>
      <c r="C47" s="14">
        <f>[1]Salidas!$D70</f>
        <v>19510</v>
      </c>
      <c r="D47" s="14">
        <f>[2]Salidas!$D70</f>
        <v>20239</v>
      </c>
      <c r="E47" s="14">
        <f>[3]Salidas!$D70</f>
        <v>20917</v>
      </c>
      <c r="F47" s="14">
        <f>[4]Salidas!$D70</f>
        <v>22410</v>
      </c>
      <c r="G47" s="14">
        <f>[5]Salidas!$D70</f>
        <v>17979</v>
      </c>
      <c r="H47" s="14">
        <f>[6]Salidas!$D70</f>
        <v>6254</v>
      </c>
      <c r="I47" s="14">
        <f>[7]Salidas!$D70</f>
        <v>23506</v>
      </c>
      <c r="J47" s="14">
        <f>[8]Salidas!$D70</f>
        <v>24434</v>
      </c>
      <c r="K47" s="14">
        <f>[9]Salidas!$D70</f>
        <v>24838</v>
      </c>
      <c r="L47" s="14">
        <f>[10]Salidas!$D70</f>
        <v>25701</v>
      </c>
      <c r="M47" s="14">
        <f>[11]Salidas!$D70</f>
        <v>25814</v>
      </c>
      <c r="N47" s="14">
        <f>[12]Salidas!$D70</f>
        <v>19461</v>
      </c>
      <c r="O47" s="14">
        <f>[13]Salidas!$D70</f>
        <v>6007</v>
      </c>
      <c r="P47" s="14">
        <f>[14]Salidas!$D70</f>
        <v>26140</v>
      </c>
      <c r="Q47" s="14">
        <f>[15]Salidas!$D70</f>
        <v>25258</v>
      </c>
      <c r="R47" s="14">
        <f>[16]Salidas!$D70</f>
        <v>25921</v>
      </c>
      <c r="S47" s="14">
        <f>[17]Salidas!$D70</f>
        <v>25833</v>
      </c>
      <c r="T47" s="14">
        <f>[18]Salidas!$D70</f>
        <v>28033</v>
      </c>
      <c r="U47" s="14">
        <f>[19]Salidas!$D70</f>
        <v>20362</v>
      </c>
      <c r="V47" s="14">
        <f>[20]Salidas!$D70</f>
        <v>6470</v>
      </c>
      <c r="W47" s="14">
        <f>[21]Salidas!$D70</f>
        <v>26711</v>
      </c>
      <c r="X47" s="14">
        <f>[22]Salidas!$D70</f>
        <v>27072</v>
      </c>
      <c r="Y47" s="14">
        <f>[23]Salidas!$D70</f>
        <v>27000</v>
      </c>
      <c r="Z47" s="14">
        <f>[24]Salidas!$D70</f>
        <v>25872</v>
      </c>
      <c r="AA47" s="14">
        <f>[25]Salidas!$D70</f>
        <v>28427</v>
      </c>
      <c r="AB47" s="14">
        <f>[26]Salidas!$D70</f>
        <v>20104</v>
      </c>
      <c r="AC47" s="14">
        <f>[27]Salidas!$D70</f>
        <v>6210</v>
      </c>
      <c r="AD47" s="14">
        <f>[28]Salidas!$D70</f>
        <v>27326</v>
      </c>
      <c r="AE47" s="14">
        <f>[29]Salidas!$D70</f>
        <v>27735</v>
      </c>
      <c r="AF47" s="14">
        <f>[30]Salidas!$D70</f>
        <v>28100</v>
      </c>
      <c r="AG47" s="14">
        <f>[31]Salidas!$D70</f>
        <v>28446</v>
      </c>
      <c r="AH47" s="14">
        <f>[32]Salidas!$D70</f>
        <v>29795</v>
      </c>
      <c r="AI47" s="14">
        <f>[33]Salidas!$D70</f>
        <v>21950</v>
      </c>
      <c r="AJ47" s="14">
        <f>[34]Salidas!$D70</f>
        <v>6503</v>
      </c>
    </row>
    <row r="48" spans="1:36" x14ac:dyDescent="0.2">
      <c r="A48" s="443"/>
      <c r="B48" s="39" t="s">
        <v>51</v>
      </c>
      <c r="C48" s="14">
        <f>[1]Salidas!$D71</f>
        <v>10688</v>
      </c>
      <c r="D48" s="14">
        <f>[2]Salidas!$D71</f>
        <v>11242</v>
      </c>
      <c r="E48" s="14">
        <f>[3]Salidas!$D71</f>
        <v>11538</v>
      </c>
      <c r="F48" s="14">
        <f>[4]Salidas!$D71</f>
        <v>12014</v>
      </c>
      <c r="G48" s="14">
        <f>[5]Salidas!$D71</f>
        <v>7739</v>
      </c>
      <c r="H48" s="14">
        <f>[6]Salidas!$D71</f>
        <v>2136</v>
      </c>
      <c r="I48" s="14">
        <f>[7]Salidas!$D71</f>
        <v>13385</v>
      </c>
      <c r="J48" s="14">
        <f>[8]Salidas!$D71</f>
        <v>13571</v>
      </c>
      <c r="K48" s="14">
        <f>[9]Salidas!$D71</f>
        <v>13771</v>
      </c>
      <c r="L48" s="14">
        <f>[10]Salidas!$D71</f>
        <v>13550</v>
      </c>
      <c r="M48" s="14">
        <f>[11]Salidas!$D71</f>
        <v>14082</v>
      </c>
      <c r="N48" s="14">
        <f>[12]Salidas!$D71</f>
        <v>8439</v>
      </c>
      <c r="O48" s="14">
        <f>[13]Salidas!$D71</f>
        <v>2070</v>
      </c>
      <c r="P48" s="14">
        <f>[14]Salidas!$D71</f>
        <v>13483</v>
      </c>
      <c r="Q48" s="14">
        <f>[15]Salidas!$D71</f>
        <v>12994</v>
      </c>
      <c r="R48" s="14">
        <f>[16]Salidas!$D71</f>
        <v>13428</v>
      </c>
      <c r="S48" s="14">
        <f>[17]Salidas!$D71</f>
        <v>13557</v>
      </c>
      <c r="T48" s="14">
        <f>[18]Salidas!$D71</f>
        <v>14764</v>
      </c>
      <c r="U48" s="14">
        <f>[19]Salidas!$D71</f>
        <v>9212</v>
      </c>
      <c r="V48" s="14">
        <f>[20]Salidas!$D71</f>
        <v>2202</v>
      </c>
      <c r="W48" s="14">
        <f>[21]Salidas!$D71</f>
        <v>14040</v>
      </c>
      <c r="X48" s="14">
        <f>[22]Salidas!$D71</f>
        <v>13950</v>
      </c>
      <c r="Y48" s="14">
        <f>[23]Salidas!$D71</f>
        <v>14246</v>
      </c>
      <c r="Z48" s="14">
        <f>[24]Salidas!$D71</f>
        <v>13910</v>
      </c>
      <c r="AA48" s="14">
        <f>[25]Salidas!$D71</f>
        <v>14484</v>
      </c>
      <c r="AB48" s="14">
        <f>[26]Salidas!$D71</f>
        <v>8752</v>
      </c>
      <c r="AC48" s="14">
        <f>[27]Salidas!$D71</f>
        <v>2234</v>
      </c>
      <c r="AD48" s="14">
        <f>[28]Salidas!$D71</f>
        <v>14175</v>
      </c>
      <c r="AE48" s="14">
        <f>[29]Salidas!$D71</f>
        <v>14139</v>
      </c>
      <c r="AF48" s="14">
        <f>[30]Salidas!$D71</f>
        <v>14916</v>
      </c>
      <c r="AG48" s="14">
        <f>[31]Salidas!$D71</f>
        <v>14772</v>
      </c>
      <c r="AH48" s="14">
        <f>[32]Salidas!$D71</f>
        <v>15154</v>
      </c>
      <c r="AI48" s="14">
        <f>[33]Salidas!$D71</f>
        <v>9126</v>
      </c>
      <c r="AJ48" s="14">
        <f>[34]Salidas!$D71</f>
        <v>2049</v>
      </c>
    </row>
    <row r="49" spans="1:36" x14ac:dyDescent="0.2">
      <c r="A49" s="443"/>
      <c r="B49" s="45" t="s">
        <v>57</v>
      </c>
      <c r="C49" s="14">
        <f>[1]Salidas!$D72</f>
        <v>12469</v>
      </c>
      <c r="D49" s="14">
        <f>[2]Salidas!$D72</f>
        <v>12431</v>
      </c>
      <c r="E49" s="14">
        <f>[3]Salidas!$D72</f>
        <v>12435</v>
      </c>
      <c r="F49" s="14">
        <f>[4]Salidas!$D72</f>
        <v>12647</v>
      </c>
      <c r="G49" s="14">
        <f>[5]Salidas!$D72</f>
        <v>7536</v>
      </c>
      <c r="H49" s="14">
        <f>[6]Salidas!$D72</f>
        <v>1978</v>
      </c>
      <c r="I49" s="14">
        <f>[7]Salidas!$D72</f>
        <v>10127</v>
      </c>
      <c r="J49" s="14">
        <f>[8]Salidas!$D72</f>
        <v>9997</v>
      </c>
      <c r="K49" s="14">
        <f>[9]Salidas!$D72</f>
        <v>9698</v>
      </c>
      <c r="L49" s="14">
        <f>[10]Salidas!$D72</f>
        <v>9776</v>
      </c>
      <c r="M49" s="14">
        <f>[11]Salidas!$D72</f>
        <v>10156</v>
      </c>
      <c r="N49" s="14">
        <f>[12]Salidas!$D72</f>
        <v>6930</v>
      </c>
      <c r="O49" s="14">
        <f>[13]Salidas!$D72</f>
        <v>1773</v>
      </c>
      <c r="P49" s="14">
        <f>[14]Salidas!$D72</f>
        <v>9574</v>
      </c>
      <c r="Q49" s="14">
        <f>[15]Salidas!$D72</f>
        <v>9116</v>
      </c>
      <c r="R49" s="14">
        <f>[16]Salidas!$D72</f>
        <v>9329</v>
      </c>
      <c r="S49" s="14">
        <f>[17]Salidas!$D72</f>
        <v>9308</v>
      </c>
      <c r="T49" s="14">
        <f>[18]Salidas!$D72</f>
        <v>10262</v>
      </c>
      <c r="U49" s="14">
        <f>[19]Salidas!$D72</f>
        <v>7299</v>
      </c>
      <c r="V49" s="14">
        <f>[20]Salidas!$D72</f>
        <v>1794</v>
      </c>
      <c r="W49" s="14">
        <f>[21]Salidas!$D72</f>
        <v>9571</v>
      </c>
      <c r="X49" s="14">
        <f>[22]Salidas!$D72</f>
        <v>9603</v>
      </c>
      <c r="Y49" s="14">
        <f>[23]Salidas!$D72</f>
        <v>9623</v>
      </c>
      <c r="Z49" s="14">
        <f>[24]Salidas!$D72</f>
        <v>9440</v>
      </c>
      <c r="AA49" s="14">
        <f>[25]Salidas!$D72</f>
        <v>9999</v>
      </c>
      <c r="AB49" s="14">
        <f>[26]Salidas!$D72</f>
        <v>6775</v>
      </c>
      <c r="AC49" s="14">
        <f>[27]Salidas!$D72</f>
        <v>1894</v>
      </c>
      <c r="AD49" s="14">
        <f>[28]Salidas!$D72</f>
        <v>9755</v>
      </c>
      <c r="AE49" s="14">
        <f>[29]Salidas!$D72</f>
        <v>9868</v>
      </c>
      <c r="AF49" s="14">
        <f>[30]Salidas!$D72</f>
        <v>10006</v>
      </c>
      <c r="AG49" s="14">
        <f>[31]Salidas!$D72</f>
        <v>10159</v>
      </c>
      <c r="AH49" s="14">
        <f>[32]Salidas!$D72</f>
        <v>10538</v>
      </c>
      <c r="AI49" s="14">
        <f>[33]Salidas!$D72</f>
        <v>7353</v>
      </c>
      <c r="AJ49" s="14">
        <f>[34]Salidas!$D72</f>
        <v>1898</v>
      </c>
    </row>
    <row r="50" spans="1:36" x14ac:dyDescent="0.2">
      <c r="A50" s="443"/>
      <c r="B50" s="45" t="s">
        <v>58</v>
      </c>
      <c r="C50" s="14">
        <f>[1]Salidas!$D73</f>
        <v>5980</v>
      </c>
      <c r="D50" s="14">
        <f>[2]Salidas!$D73</f>
        <v>6405</v>
      </c>
      <c r="E50" s="14">
        <f>[3]Salidas!$D73</f>
        <v>6132</v>
      </c>
      <c r="F50" s="14">
        <f>[4]Salidas!$D73</f>
        <v>6433</v>
      </c>
      <c r="G50" s="14">
        <f>[5]Salidas!$D73</f>
        <v>4214</v>
      </c>
      <c r="H50" s="14">
        <f>[6]Salidas!$D73</f>
        <v>1233</v>
      </c>
      <c r="I50" s="14">
        <f>[7]Salidas!$D73</f>
        <v>6015</v>
      </c>
      <c r="J50" s="14">
        <f>[8]Salidas!$D73</f>
        <v>6439</v>
      </c>
      <c r="K50" s="14">
        <f>[9]Salidas!$D73</f>
        <v>6211</v>
      </c>
      <c r="L50" s="14">
        <f>[10]Salidas!$D73</f>
        <v>6472</v>
      </c>
      <c r="M50" s="14">
        <f>[11]Salidas!$D73</f>
        <v>6554</v>
      </c>
      <c r="N50" s="14">
        <f>[12]Salidas!$D73</f>
        <v>4205</v>
      </c>
      <c r="O50" s="14">
        <f>[13]Salidas!$D73</f>
        <v>1208</v>
      </c>
      <c r="P50" s="14">
        <f>[14]Salidas!$D73</f>
        <v>6264</v>
      </c>
      <c r="Q50" s="14">
        <f>[15]Salidas!$D73</f>
        <v>6379</v>
      </c>
      <c r="R50" s="14">
        <f>[16]Salidas!$D73</f>
        <v>6338</v>
      </c>
      <c r="S50" s="14">
        <f>[17]Salidas!$D73</f>
        <v>6256</v>
      </c>
      <c r="T50" s="14">
        <f>[18]Salidas!$D73</f>
        <v>6476</v>
      </c>
      <c r="U50" s="14">
        <f>[19]Salidas!$D73</f>
        <v>4411</v>
      </c>
      <c r="V50" s="14">
        <f>[20]Salidas!$D73</f>
        <v>1423</v>
      </c>
      <c r="W50" s="14">
        <f>[21]Salidas!$D73</f>
        <v>6673</v>
      </c>
      <c r="X50" s="14">
        <f>[22]Salidas!$D73</f>
        <v>6789</v>
      </c>
      <c r="Y50" s="14">
        <f>[23]Salidas!$D73</f>
        <v>6522</v>
      </c>
      <c r="Z50" s="14">
        <f>[24]Salidas!$D73</f>
        <v>6376</v>
      </c>
      <c r="AA50" s="14">
        <f>[25]Salidas!$D73</f>
        <v>6856</v>
      </c>
      <c r="AB50" s="14">
        <f>[26]Salidas!$D73</f>
        <v>4653</v>
      </c>
      <c r="AC50" s="14">
        <f>[27]Salidas!$D73</f>
        <v>1462</v>
      </c>
      <c r="AD50" s="14">
        <f>[28]Salidas!$D73</f>
        <v>6406</v>
      </c>
      <c r="AE50" s="14">
        <f>[29]Salidas!$D73</f>
        <v>6856</v>
      </c>
      <c r="AF50" s="14">
        <f>[30]Salidas!$D73</f>
        <v>6830</v>
      </c>
      <c r="AG50" s="14">
        <f>[31]Salidas!$D73</f>
        <v>6700</v>
      </c>
      <c r="AH50" s="14">
        <f>[32]Salidas!$D73</f>
        <v>7018</v>
      </c>
      <c r="AI50" s="14">
        <f>[33]Salidas!$D73</f>
        <v>4716</v>
      </c>
      <c r="AJ50" s="14">
        <f>[34]Salidas!$D73</f>
        <v>1450</v>
      </c>
    </row>
    <row r="51" spans="1:36" x14ac:dyDescent="0.2">
      <c r="A51" s="443"/>
      <c r="B51" s="45" t="s">
        <v>30</v>
      </c>
      <c r="C51" s="14">
        <f>[1]Salidas!$D74</f>
        <v>25533</v>
      </c>
      <c r="D51" s="14">
        <f>[2]Salidas!$D74</f>
        <v>24247</v>
      </c>
      <c r="E51" s="14">
        <f>[3]Salidas!$D74</f>
        <v>24150</v>
      </c>
      <c r="F51" s="14">
        <f>[4]Salidas!$D74</f>
        <v>25622</v>
      </c>
      <c r="G51" s="14">
        <f>[5]Salidas!$D74</f>
        <v>15075</v>
      </c>
      <c r="H51" s="14">
        <f>[6]Salidas!$D74</f>
        <v>4391</v>
      </c>
      <c r="I51" s="14">
        <f>[7]Salidas!$D74</f>
        <v>23797</v>
      </c>
      <c r="J51" s="14">
        <f>[8]Salidas!$D74</f>
        <v>26956</v>
      </c>
      <c r="K51" s="14">
        <f>[9]Salidas!$D74</f>
        <v>24217</v>
      </c>
      <c r="L51" s="14">
        <f>[10]Salidas!$D74</f>
        <v>24805</v>
      </c>
      <c r="M51" s="14">
        <f>[11]Salidas!$D74</f>
        <v>25899</v>
      </c>
      <c r="N51" s="14">
        <f>[12]Salidas!$D74</f>
        <v>15479</v>
      </c>
      <c r="O51" s="14">
        <f>[13]Salidas!$D74</f>
        <v>4372</v>
      </c>
      <c r="P51" s="14">
        <f>[14]Salidas!$D74</f>
        <v>24136</v>
      </c>
      <c r="Q51" s="14">
        <f>[15]Salidas!$D74</f>
        <v>24914</v>
      </c>
      <c r="R51" s="14">
        <f>[16]Salidas!$D74</f>
        <v>23120</v>
      </c>
      <c r="S51" s="14">
        <f>[17]Salidas!$D74</f>
        <v>23612</v>
      </c>
      <c r="T51" s="14">
        <f>[18]Salidas!$D74</f>
        <v>26142</v>
      </c>
      <c r="U51" s="14">
        <f>[19]Salidas!$D74</f>
        <v>15834</v>
      </c>
      <c r="V51" s="14">
        <f>[20]Salidas!$D74</f>
        <v>4412</v>
      </c>
      <c r="W51" s="14">
        <f>[21]Salidas!$D74</f>
        <v>25329</v>
      </c>
      <c r="X51" s="14">
        <f>[22]Salidas!$D74</f>
        <v>27042</v>
      </c>
      <c r="Y51" s="14">
        <f>[23]Salidas!$D74</f>
        <v>24939</v>
      </c>
      <c r="Z51" s="14">
        <f>[24]Salidas!$D74</f>
        <v>23762</v>
      </c>
      <c r="AA51" s="14">
        <f>[25]Salidas!$D74</f>
        <v>25813</v>
      </c>
      <c r="AB51" s="14">
        <f>[26]Salidas!$D74</f>
        <v>16099</v>
      </c>
      <c r="AC51" s="14">
        <f>[27]Salidas!$D74</f>
        <v>4430</v>
      </c>
      <c r="AD51" s="14">
        <f>[28]Salidas!$D74</f>
        <v>25164</v>
      </c>
      <c r="AE51" s="14">
        <f>[29]Salidas!$D74</f>
        <v>26765</v>
      </c>
      <c r="AF51" s="14">
        <f>[30]Salidas!$D74</f>
        <v>25142</v>
      </c>
      <c r="AG51" s="14">
        <f>[31]Salidas!$D74</f>
        <v>25868</v>
      </c>
      <c r="AH51" s="14">
        <f>[32]Salidas!$D74</f>
        <v>26952</v>
      </c>
      <c r="AI51" s="14">
        <f>[33]Salidas!$D74</f>
        <v>16939</v>
      </c>
      <c r="AJ51" s="14">
        <f>[34]Salidas!$D74</f>
        <v>4426</v>
      </c>
    </row>
    <row r="52" spans="1:36" x14ac:dyDescent="0.2">
      <c r="A52" s="443"/>
      <c r="B52" s="45" t="s">
        <v>29</v>
      </c>
      <c r="C52" s="14">
        <f>[1]Salidas!$D75</f>
        <v>19661</v>
      </c>
      <c r="D52" s="14">
        <f>[2]Salidas!$D75</f>
        <v>19928</v>
      </c>
      <c r="E52" s="14">
        <f>[3]Salidas!$D75</f>
        <v>19044</v>
      </c>
      <c r="F52" s="14">
        <f>[4]Salidas!$D75</f>
        <v>19774</v>
      </c>
      <c r="G52" s="14">
        <f>[5]Salidas!$D75</f>
        <v>11141</v>
      </c>
      <c r="H52" s="14">
        <f>[6]Salidas!$D75</f>
        <v>2653</v>
      </c>
      <c r="I52" s="14">
        <f>[7]Salidas!$D75</f>
        <v>19348</v>
      </c>
      <c r="J52" s="14">
        <f>[8]Salidas!$D75</f>
        <v>18643</v>
      </c>
      <c r="K52" s="14">
        <f>[9]Salidas!$D75</f>
        <v>18754</v>
      </c>
      <c r="L52" s="14">
        <f>[10]Salidas!$D75</f>
        <v>19272</v>
      </c>
      <c r="M52" s="14">
        <f>[11]Salidas!$D75</f>
        <v>19197</v>
      </c>
      <c r="N52" s="14">
        <f>[12]Salidas!$D75</f>
        <v>11588</v>
      </c>
      <c r="O52" s="14">
        <f>[13]Salidas!$D75</f>
        <v>2617</v>
      </c>
      <c r="P52" s="14">
        <f>[14]Salidas!$D75</f>
        <v>18003</v>
      </c>
      <c r="Q52" s="14">
        <f>[15]Salidas!$D75</f>
        <v>17840</v>
      </c>
      <c r="R52" s="14">
        <f>[16]Salidas!$D75</f>
        <v>17216</v>
      </c>
      <c r="S52" s="14">
        <f>[17]Salidas!$D75</f>
        <v>17993</v>
      </c>
      <c r="T52" s="14">
        <f>[18]Salidas!$D75</f>
        <v>18345</v>
      </c>
      <c r="U52" s="14">
        <f>[19]Salidas!$D75</f>
        <v>10718</v>
      </c>
      <c r="V52" s="14">
        <f>[20]Salidas!$D75</f>
        <v>2459</v>
      </c>
      <c r="W52" s="14">
        <f>[21]Salidas!$D75</f>
        <v>18481</v>
      </c>
      <c r="X52" s="14">
        <f>[22]Salidas!$D75</f>
        <v>18498</v>
      </c>
      <c r="Y52" s="14">
        <f>[23]Salidas!$D75</f>
        <v>18244</v>
      </c>
      <c r="Z52" s="14">
        <f>[24]Salidas!$D75</f>
        <v>18333</v>
      </c>
      <c r="AA52" s="14">
        <f>[25]Salidas!$D75</f>
        <v>19004</v>
      </c>
      <c r="AB52" s="14">
        <f>[26]Salidas!$D75</f>
        <v>10695</v>
      </c>
      <c r="AC52" s="14">
        <f>[27]Salidas!$D75</f>
        <v>2426</v>
      </c>
      <c r="AD52" s="14">
        <f>[28]Salidas!$D75</f>
        <v>18462</v>
      </c>
      <c r="AE52" s="14">
        <f>[29]Salidas!$D75</f>
        <v>19200</v>
      </c>
      <c r="AF52" s="14">
        <f>[30]Salidas!$D75</f>
        <v>18547</v>
      </c>
      <c r="AG52" s="14">
        <f>[31]Salidas!$D75</f>
        <v>18806</v>
      </c>
      <c r="AH52" s="14">
        <f>[32]Salidas!$D75</f>
        <v>19385</v>
      </c>
      <c r="AI52" s="14">
        <f>[33]Salidas!$D75</f>
        <v>11338</v>
      </c>
      <c r="AJ52" s="14">
        <f>[34]Salidas!$D75</f>
        <v>2696</v>
      </c>
    </row>
    <row r="53" spans="1:36" x14ac:dyDescent="0.2">
      <c r="A53" s="443"/>
      <c r="B53" s="45" t="s">
        <v>64</v>
      </c>
      <c r="C53" s="14">
        <f>[1]Salidas!$D76</f>
        <v>11822</v>
      </c>
      <c r="D53" s="14">
        <f>[2]Salidas!$D76</f>
        <v>12217</v>
      </c>
      <c r="E53" s="14">
        <f>[3]Salidas!$D76</f>
        <v>12951</v>
      </c>
      <c r="F53" s="14">
        <f>[4]Salidas!$D76</f>
        <v>13796</v>
      </c>
      <c r="G53" s="14">
        <f>[5]Salidas!$D76</f>
        <v>7191</v>
      </c>
      <c r="H53" s="14">
        <f>[6]Salidas!$D76</f>
        <v>2447</v>
      </c>
      <c r="I53" s="14">
        <f>[7]Salidas!$D76</f>
        <v>13177</v>
      </c>
      <c r="J53" s="14">
        <f>[8]Salidas!$D76</f>
        <v>13261</v>
      </c>
      <c r="K53" s="14">
        <f>[9]Salidas!$D76</f>
        <v>13456</v>
      </c>
      <c r="L53" s="14">
        <f>[10]Salidas!$D76</f>
        <v>13920</v>
      </c>
      <c r="M53" s="14">
        <f>[11]Salidas!$D76</f>
        <v>13883</v>
      </c>
      <c r="N53" s="14">
        <f>[12]Salidas!$D76</f>
        <v>7392</v>
      </c>
      <c r="O53" s="14">
        <f>[13]Salidas!$D76</f>
        <v>2660</v>
      </c>
      <c r="P53" s="14">
        <f>[14]Salidas!$D76</f>
        <v>15299</v>
      </c>
      <c r="Q53" s="14">
        <f>[15]Salidas!$D76</f>
        <v>15266</v>
      </c>
      <c r="R53" s="14">
        <f>[16]Salidas!$D76</f>
        <v>15939</v>
      </c>
      <c r="S53" s="14">
        <f>[17]Salidas!$D76</f>
        <v>16132</v>
      </c>
      <c r="T53" s="14">
        <f>[18]Salidas!$D76</f>
        <v>17279</v>
      </c>
      <c r="U53" s="14">
        <f>[19]Salidas!$D76</f>
        <v>9666</v>
      </c>
      <c r="V53" s="14">
        <f>[20]Salidas!$D76</f>
        <v>3184</v>
      </c>
      <c r="W53" s="14">
        <f>[21]Salidas!$D76</f>
        <v>16595</v>
      </c>
      <c r="X53" s="14">
        <f>[22]Salidas!$D76</f>
        <v>16858</v>
      </c>
      <c r="Y53" s="14">
        <f>[23]Salidas!$D76</f>
        <v>16342</v>
      </c>
      <c r="Z53" s="14">
        <f>[24]Salidas!$D76</f>
        <v>17039</v>
      </c>
      <c r="AA53" s="14">
        <f>[25]Salidas!$D76</f>
        <v>17658</v>
      </c>
      <c r="AB53" s="14">
        <f>[26]Salidas!$D76</f>
        <v>10030</v>
      </c>
      <c r="AC53" s="14">
        <f>[27]Salidas!$D76</f>
        <v>2869</v>
      </c>
      <c r="AD53" s="14">
        <f>[28]Salidas!$D76</f>
        <v>16853</v>
      </c>
      <c r="AE53" s="14">
        <f>[29]Salidas!$D76</f>
        <v>17332</v>
      </c>
      <c r="AF53" s="14">
        <f>[30]Salidas!$D76</f>
        <v>17548</v>
      </c>
      <c r="AG53" s="14">
        <f>[31]Salidas!$D76</f>
        <v>17650</v>
      </c>
      <c r="AH53" s="14">
        <f>[32]Salidas!$D76</f>
        <v>18152</v>
      </c>
      <c r="AI53" s="14">
        <f>[33]Salidas!$D76</f>
        <v>10687</v>
      </c>
      <c r="AJ53" s="14">
        <f>[34]Salidas!$D76</f>
        <v>2941</v>
      </c>
    </row>
    <row r="54" spans="1:36" x14ac:dyDescent="0.2">
      <c r="A54" s="443"/>
      <c r="B54" s="45" t="s">
        <v>90</v>
      </c>
      <c r="C54" s="14">
        <f>[1]Salidas!$D77</f>
        <v>10639</v>
      </c>
      <c r="D54" s="14">
        <f>[2]Salidas!$D77</f>
        <v>11258</v>
      </c>
      <c r="E54" s="14">
        <f>[3]Salidas!$D77</f>
        <v>10783</v>
      </c>
      <c r="F54" s="14">
        <f>[4]Salidas!$D77</f>
        <v>11252</v>
      </c>
      <c r="G54" s="14">
        <f>[5]Salidas!$D77</f>
        <v>5468</v>
      </c>
      <c r="H54" s="14">
        <f>[6]Salidas!$D77</f>
        <v>1467</v>
      </c>
      <c r="I54" s="14">
        <f>[7]Salidas!$D77</f>
        <v>11428</v>
      </c>
      <c r="J54" s="14">
        <f>[8]Salidas!$D77</f>
        <v>11520</v>
      </c>
      <c r="K54" s="14">
        <f>[9]Salidas!$D77</f>
        <v>11759</v>
      </c>
      <c r="L54" s="14">
        <f>[10]Salidas!$D77</f>
        <v>11877</v>
      </c>
      <c r="M54" s="14">
        <f>[11]Salidas!$D77</f>
        <v>11846</v>
      </c>
      <c r="N54" s="14">
        <f>[12]Salidas!$D77</f>
        <v>5646</v>
      </c>
      <c r="O54" s="14">
        <f>[13]Salidas!$D77</f>
        <v>1483</v>
      </c>
      <c r="P54" s="14">
        <f>[14]Salidas!$D77</f>
        <v>13118</v>
      </c>
      <c r="Q54" s="14">
        <f>[15]Salidas!$D77</f>
        <v>12856</v>
      </c>
      <c r="R54" s="14">
        <f>[16]Salidas!$D77</f>
        <v>13496</v>
      </c>
      <c r="S54" s="14">
        <f>[17]Salidas!$D77</f>
        <v>13895</v>
      </c>
      <c r="T54" s="14">
        <f>[18]Salidas!$D77</f>
        <v>14227</v>
      </c>
      <c r="U54" s="14">
        <f>[19]Salidas!$D77</f>
        <v>7362</v>
      </c>
      <c r="V54" s="14">
        <f>[20]Salidas!$D77</f>
        <v>1841</v>
      </c>
      <c r="W54" s="14">
        <f>[21]Salidas!$D77</f>
        <v>14289</v>
      </c>
      <c r="X54" s="14">
        <f>[22]Salidas!$D77</f>
        <v>14439</v>
      </c>
      <c r="Y54" s="14">
        <f>[23]Salidas!$D77</f>
        <v>14284</v>
      </c>
      <c r="Z54" s="14">
        <f>[24]Salidas!$D77</f>
        <v>14446</v>
      </c>
      <c r="AA54" s="14">
        <f>[25]Salidas!$D77</f>
        <v>14347</v>
      </c>
      <c r="AB54" s="14">
        <f>[26]Salidas!$D77</f>
        <v>7453</v>
      </c>
      <c r="AC54" s="14">
        <f>[27]Salidas!$D77</f>
        <v>1998</v>
      </c>
      <c r="AD54" s="14">
        <f>[28]Salidas!$D77</f>
        <v>14362</v>
      </c>
      <c r="AE54" s="14">
        <f>[29]Salidas!$D77</f>
        <v>14759</v>
      </c>
      <c r="AF54" s="14">
        <f>[30]Salidas!$D77</f>
        <v>14657</v>
      </c>
      <c r="AG54" s="14">
        <f>[31]Salidas!$D77</f>
        <v>14976</v>
      </c>
      <c r="AH54" s="14">
        <f>[32]Salidas!$D77</f>
        <v>15249</v>
      </c>
      <c r="AI54" s="14">
        <f>[33]Salidas!$D77</f>
        <v>7878</v>
      </c>
      <c r="AJ54" s="14">
        <f>[34]Salidas!$D77</f>
        <v>2006</v>
      </c>
    </row>
    <row r="55" spans="1:36" x14ac:dyDescent="0.2">
      <c r="A55" s="443"/>
      <c r="B55" s="45" t="s">
        <v>94</v>
      </c>
      <c r="C55" s="14">
        <f>[1]Salidas!$D78</f>
        <v>13161</v>
      </c>
      <c r="D55" s="14">
        <f>[2]Salidas!$D78</f>
        <v>15381</v>
      </c>
      <c r="E55" s="14">
        <f>[3]Salidas!$D78</f>
        <v>14412</v>
      </c>
      <c r="F55" s="14">
        <f>[4]Salidas!$D78</f>
        <v>14664</v>
      </c>
      <c r="G55" s="14">
        <f>[5]Salidas!$D78</f>
        <v>7154</v>
      </c>
      <c r="H55" s="14">
        <f>[6]Salidas!$D78</f>
        <v>2085</v>
      </c>
      <c r="I55" s="14">
        <f>[7]Salidas!$D78</f>
        <v>14363</v>
      </c>
      <c r="J55" s="14">
        <f>[8]Salidas!$D78</f>
        <v>14588</v>
      </c>
      <c r="K55" s="14">
        <f>[9]Salidas!$D78</f>
        <v>14800</v>
      </c>
      <c r="L55" s="14">
        <f>[10]Salidas!$D78</f>
        <v>14602</v>
      </c>
      <c r="M55" s="14">
        <f>[11]Salidas!$D78</f>
        <v>14501</v>
      </c>
      <c r="N55" s="14">
        <f>[12]Salidas!$D78</f>
        <v>7090</v>
      </c>
      <c r="O55" s="14">
        <f>[13]Salidas!$D78</f>
        <v>1680</v>
      </c>
      <c r="P55" s="14">
        <f>[14]Salidas!$D78</f>
        <v>14037</v>
      </c>
      <c r="Q55" s="14">
        <f>[15]Salidas!$D78</f>
        <v>14260</v>
      </c>
      <c r="R55" s="14">
        <f>[16]Salidas!$D78</f>
        <v>13968</v>
      </c>
      <c r="S55" s="14">
        <f>[17]Salidas!$D78</f>
        <v>12985</v>
      </c>
      <c r="T55" s="14">
        <f>[18]Salidas!$D78</f>
        <v>13511</v>
      </c>
      <c r="U55" s="14">
        <f>[19]Salidas!$D78</f>
        <v>5762</v>
      </c>
      <c r="V55" s="14">
        <f>[20]Salidas!$D78</f>
        <v>1372</v>
      </c>
      <c r="W55" s="14">
        <f>[21]Salidas!$D78</f>
        <v>11336</v>
      </c>
      <c r="X55" s="14">
        <f>[22]Salidas!$D78</f>
        <v>11552</v>
      </c>
      <c r="Y55" s="14">
        <f>[23]Salidas!$D78</f>
        <v>11333</v>
      </c>
      <c r="Z55" s="14">
        <f>[24]Salidas!$D78</f>
        <v>10071</v>
      </c>
      <c r="AA55" s="14">
        <f>[25]Salidas!$D78</f>
        <v>11446</v>
      </c>
      <c r="AB55" s="14">
        <f>[26]Salidas!$D78</f>
        <v>5316</v>
      </c>
      <c r="AC55" s="14">
        <f>[27]Salidas!$D78</f>
        <v>1319</v>
      </c>
      <c r="AD55" s="14">
        <f>[28]Salidas!$D78</f>
        <v>11728</v>
      </c>
      <c r="AE55" s="14">
        <f>[29]Salidas!$D78</f>
        <v>11694</v>
      </c>
      <c r="AF55" s="14">
        <f>[30]Salidas!$D78</f>
        <v>11644</v>
      </c>
      <c r="AG55" s="14">
        <f>[31]Salidas!$D78</f>
        <v>11951</v>
      </c>
      <c r="AH55" s="14">
        <f>[32]Salidas!$D78</f>
        <v>11630</v>
      </c>
      <c r="AI55" s="14">
        <f>[33]Salidas!$D78</f>
        <v>5389</v>
      </c>
      <c r="AJ55" s="14">
        <f>[34]Salidas!$D78</f>
        <v>1522</v>
      </c>
    </row>
    <row r="56" spans="1:36" x14ac:dyDescent="0.2">
      <c r="A56" s="443"/>
      <c r="B56" s="45" t="s">
        <v>93</v>
      </c>
      <c r="C56" s="14">
        <f>[1]Salidas!$D79</f>
        <v>9655</v>
      </c>
      <c r="D56" s="14">
        <f>[2]Salidas!$D79</f>
        <v>9844</v>
      </c>
      <c r="E56" s="14">
        <f>[3]Salidas!$D79</f>
        <v>9509</v>
      </c>
      <c r="F56" s="14">
        <f>[4]Salidas!$D79</f>
        <v>9662</v>
      </c>
      <c r="G56" s="14">
        <f>[5]Salidas!$D79</f>
        <v>3131</v>
      </c>
      <c r="H56" s="14">
        <f>[6]Salidas!$D79</f>
        <v>870</v>
      </c>
      <c r="I56" s="14">
        <f>[7]Salidas!$D79</f>
        <v>9798</v>
      </c>
      <c r="J56" s="14">
        <f>[8]Salidas!$D79</f>
        <v>10145</v>
      </c>
      <c r="K56" s="14">
        <f>[9]Salidas!$D79</f>
        <v>10104</v>
      </c>
      <c r="L56" s="14">
        <f>[10]Salidas!$D79</f>
        <v>9985</v>
      </c>
      <c r="M56" s="14">
        <f>[11]Salidas!$D79</f>
        <v>9830</v>
      </c>
      <c r="N56" s="14">
        <f>[12]Salidas!$D79</f>
        <v>3301</v>
      </c>
      <c r="O56" s="14">
        <f>[13]Salidas!$D79</f>
        <v>661</v>
      </c>
      <c r="P56" s="14">
        <f>[14]Salidas!$D79</f>
        <v>9655</v>
      </c>
      <c r="Q56" s="14">
        <f>[15]Salidas!$D79</f>
        <v>9387</v>
      </c>
      <c r="R56" s="14">
        <f>[16]Salidas!$D79</f>
        <v>9608</v>
      </c>
      <c r="S56" s="14">
        <f>[17]Salidas!$D79</f>
        <v>9760</v>
      </c>
      <c r="T56" s="14">
        <f>[18]Salidas!$D79</f>
        <v>9772</v>
      </c>
      <c r="U56" s="14">
        <f>[19]Salidas!$D79</f>
        <v>3165</v>
      </c>
      <c r="V56" s="14">
        <f>[20]Salidas!$D79</f>
        <v>744</v>
      </c>
      <c r="W56" s="14">
        <f>[21]Salidas!$D79</f>
        <v>9959</v>
      </c>
      <c r="X56" s="14">
        <f>[22]Salidas!$D79</f>
        <v>9941</v>
      </c>
      <c r="Y56" s="14">
        <f>[23]Salidas!$D79</f>
        <v>10006</v>
      </c>
      <c r="Z56" s="14">
        <f>[24]Salidas!$D79</f>
        <v>9757</v>
      </c>
      <c r="AA56" s="14">
        <f>[25]Salidas!$D79</f>
        <v>9773</v>
      </c>
      <c r="AB56" s="14">
        <f>[26]Salidas!$D79</f>
        <v>3219</v>
      </c>
      <c r="AC56" s="14">
        <f>[27]Salidas!$D79</f>
        <v>745</v>
      </c>
      <c r="AD56" s="14">
        <f>[28]Salidas!$D79</f>
        <v>10063</v>
      </c>
      <c r="AE56" s="14">
        <f>[29]Salidas!$D79</f>
        <v>10496</v>
      </c>
      <c r="AF56" s="14">
        <f>[30]Salidas!$D79</f>
        <v>10090</v>
      </c>
      <c r="AG56" s="14">
        <f>[31]Salidas!$D79</f>
        <v>10240</v>
      </c>
      <c r="AH56" s="14">
        <f>[32]Salidas!$D79</f>
        <v>10071</v>
      </c>
      <c r="AI56" s="14">
        <f>[33]Salidas!$D79</f>
        <v>3334</v>
      </c>
      <c r="AJ56" s="14">
        <f>[34]Salidas!$D79</f>
        <v>726</v>
      </c>
    </row>
    <row r="57" spans="1:36" x14ac:dyDescent="0.2">
      <c r="A57" s="443"/>
      <c r="B57" s="45" t="s">
        <v>97</v>
      </c>
      <c r="C57" s="14">
        <f>[1]Salidas!$D80</f>
        <v>13834</v>
      </c>
      <c r="D57" s="14">
        <f>[2]Salidas!$D80</f>
        <v>13879</v>
      </c>
      <c r="E57" s="14">
        <f>[3]Salidas!$D80</f>
        <v>13447</v>
      </c>
      <c r="F57" s="14">
        <f>[4]Salidas!$D80</f>
        <v>13922</v>
      </c>
      <c r="G57" s="14">
        <f>[5]Salidas!$D80</f>
        <v>7177</v>
      </c>
      <c r="H57" s="14">
        <f>[6]Salidas!$D80</f>
        <v>1833</v>
      </c>
      <c r="I57" s="14">
        <f>[7]Salidas!$D80</f>
        <v>15050</v>
      </c>
      <c r="J57" s="14">
        <f>[8]Salidas!$D80</f>
        <v>14974</v>
      </c>
      <c r="K57" s="14">
        <f>[9]Salidas!$D80</f>
        <v>14678</v>
      </c>
      <c r="L57" s="14">
        <f>[10]Salidas!$D80</f>
        <v>14732</v>
      </c>
      <c r="M57" s="14">
        <f>[11]Salidas!$D80</f>
        <v>14952</v>
      </c>
      <c r="N57" s="14">
        <f>[12]Salidas!$D80</f>
        <v>7159</v>
      </c>
      <c r="O57" s="14">
        <f>[13]Salidas!$D80</f>
        <v>1655</v>
      </c>
      <c r="P57" s="14">
        <f>[14]Salidas!$D80</f>
        <v>15505</v>
      </c>
      <c r="Q57" s="14">
        <f>[15]Salidas!$D80</f>
        <v>14235</v>
      </c>
      <c r="R57" s="14">
        <f>[16]Salidas!$D80</f>
        <v>14426</v>
      </c>
      <c r="S57" s="14">
        <f>[17]Salidas!$D80</f>
        <v>14762</v>
      </c>
      <c r="T57" s="14">
        <f>[18]Salidas!$D80</f>
        <v>15495</v>
      </c>
      <c r="U57" s="14">
        <f>[19]Salidas!$D80</f>
        <v>7333</v>
      </c>
      <c r="V57" s="14">
        <f>[20]Salidas!$D80</f>
        <v>2048</v>
      </c>
      <c r="W57" s="14">
        <f>[21]Salidas!$D80</f>
        <v>15963</v>
      </c>
      <c r="X57" s="14">
        <f>[22]Salidas!$D80</f>
        <v>16195</v>
      </c>
      <c r="Y57" s="14">
        <f>[23]Salidas!$D80</f>
        <v>16115</v>
      </c>
      <c r="Z57" s="14">
        <f>[24]Salidas!$D80</f>
        <v>15678</v>
      </c>
      <c r="AA57" s="14">
        <f>[25]Salidas!$D80</f>
        <v>15912</v>
      </c>
      <c r="AB57" s="14">
        <f>[26]Salidas!$D80</f>
        <v>7524</v>
      </c>
      <c r="AC57" s="14">
        <f>[27]Salidas!$D80</f>
        <v>1552</v>
      </c>
      <c r="AD57" s="14">
        <f>[28]Salidas!$D80</f>
        <v>16148</v>
      </c>
      <c r="AE57" s="14">
        <f>[29]Salidas!$D80</f>
        <v>16439</v>
      </c>
      <c r="AF57" s="14">
        <f>[30]Salidas!$D80</f>
        <v>16259</v>
      </c>
      <c r="AG57" s="14">
        <f>[31]Salidas!$D80</f>
        <v>16183</v>
      </c>
      <c r="AH57" s="14">
        <f>[32]Salidas!$D80</f>
        <v>16267</v>
      </c>
      <c r="AI57" s="14">
        <f>[33]Salidas!$D80</f>
        <v>7526</v>
      </c>
      <c r="AJ57" s="14">
        <f>[34]Salidas!$D80</f>
        <v>1776</v>
      </c>
    </row>
    <row r="58" spans="1:36" x14ac:dyDescent="0.2">
      <c r="A58" s="443"/>
      <c r="B58" s="45" t="s">
        <v>98</v>
      </c>
      <c r="C58" s="14">
        <f>[1]Salidas!$D81</f>
        <v>11309</v>
      </c>
      <c r="D58" s="14">
        <f>[2]Salidas!$D81</f>
        <v>11552</v>
      </c>
      <c r="E58" s="14">
        <f>[3]Salidas!$D81</f>
        <v>11184</v>
      </c>
      <c r="F58" s="14">
        <f>[4]Salidas!$D81</f>
        <v>11788</v>
      </c>
      <c r="G58" s="14">
        <f>[5]Salidas!$D81</f>
        <v>5029</v>
      </c>
      <c r="H58" s="14">
        <f>[6]Salidas!$D81</f>
        <v>1633</v>
      </c>
      <c r="I58" s="14">
        <f>[7]Salidas!$D81</f>
        <v>11897</v>
      </c>
      <c r="J58" s="14">
        <f>[8]Salidas!$D81</f>
        <v>11884</v>
      </c>
      <c r="K58" s="14">
        <f>[9]Salidas!$D81</f>
        <v>12137</v>
      </c>
      <c r="L58" s="14">
        <f>[10]Salidas!$D81</f>
        <v>11972</v>
      </c>
      <c r="M58" s="14">
        <f>[11]Salidas!$D81</f>
        <v>12005</v>
      </c>
      <c r="N58" s="14">
        <f>[12]Salidas!$D81</f>
        <v>4512</v>
      </c>
      <c r="O58" s="14">
        <f>[13]Salidas!$D81</f>
        <v>1634</v>
      </c>
      <c r="P58" s="14">
        <f>[14]Salidas!$D81</f>
        <v>11925</v>
      </c>
      <c r="Q58" s="14">
        <f>[15]Salidas!$D81</f>
        <v>11244</v>
      </c>
      <c r="R58" s="14">
        <f>[16]Salidas!$D81</f>
        <v>11913</v>
      </c>
      <c r="S58" s="14">
        <f>[17]Salidas!$D81</f>
        <v>11898</v>
      </c>
      <c r="T58" s="14">
        <f>[18]Salidas!$D81</f>
        <v>11769</v>
      </c>
      <c r="U58" s="14">
        <f>[19]Salidas!$D81</f>
        <v>4305</v>
      </c>
      <c r="V58" s="14">
        <f>[20]Salidas!$D81</f>
        <v>2028</v>
      </c>
      <c r="W58" s="14">
        <f>[21]Salidas!$D81</f>
        <v>12109</v>
      </c>
      <c r="X58" s="14">
        <f>[22]Salidas!$D81</f>
        <v>12326</v>
      </c>
      <c r="Y58" s="14">
        <f>[23]Salidas!$D81</f>
        <v>12368</v>
      </c>
      <c r="Z58" s="14">
        <f>[24]Salidas!$D81</f>
        <v>11853</v>
      </c>
      <c r="AA58" s="14">
        <f>[25]Salidas!$D81</f>
        <v>12220</v>
      </c>
      <c r="AB58" s="14">
        <f>[26]Salidas!$D81</f>
        <v>4992</v>
      </c>
      <c r="AC58" s="14">
        <f>[27]Salidas!$D81</f>
        <v>1740</v>
      </c>
      <c r="AD58" s="14">
        <f>[28]Salidas!$D81</f>
        <v>12407</v>
      </c>
      <c r="AE58" s="14">
        <f>[29]Salidas!$D81</f>
        <v>12277</v>
      </c>
      <c r="AF58" s="14">
        <f>[30]Salidas!$D81</f>
        <v>12465</v>
      </c>
      <c r="AG58" s="14">
        <f>[31]Salidas!$D81</f>
        <v>12276</v>
      </c>
      <c r="AH58" s="14">
        <f>[32]Salidas!$D81</f>
        <v>12241</v>
      </c>
      <c r="AI58" s="14">
        <f>[33]Salidas!$D81</f>
        <v>4828</v>
      </c>
      <c r="AJ58" s="14">
        <f>[34]Salidas!$D81</f>
        <v>1630</v>
      </c>
    </row>
    <row r="59" spans="1:36" x14ac:dyDescent="0.2">
      <c r="A59" s="443"/>
      <c r="B59" s="45" t="s">
        <v>62</v>
      </c>
      <c r="C59" s="14">
        <f>[1]Salidas!$D82</f>
        <v>21707</v>
      </c>
      <c r="D59" s="14">
        <f>[2]Salidas!$D82</f>
        <v>22327</v>
      </c>
      <c r="E59" s="14">
        <f>[3]Salidas!$D82</f>
        <v>22545</v>
      </c>
      <c r="F59" s="14">
        <f>[4]Salidas!$D82</f>
        <v>22390</v>
      </c>
      <c r="G59" s="14">
        <f>[5]Salidas!$D82</f>
        <v>7313</v>
      </c>
      <c r="H59" s="14">
        <f>[6]Salidas!$D82</f>
        <v>2466</v>
      </c>
      <c r="I59" s="14">
        <f>[7]Salidas!$D82</f>
        <v>22319</v>
      </c>
      <c r="J59" s="14">
        <f>[8]Salidas!$D82</f>
        <v>22866</v>
      </c>
      <c r="K59" s="14">
        <f>[9]Salidas!$D82</f>
        <v>22087</v>
      </c>
      <c r="L59" s="14">
        <f>[10]Salidas!$D82</f>
        <v>23119</v>
      </c>
      <c r="M59" s="14">
        <f>[11]Salidas!$D82</f>
        <v>22857</v>
      </c>
      <c r="N59" s="14">
        <f>[12]Salidas!$D82</f>
        <v>7123</v>
      </c>
      <c r="O59" s="14">
        <f>[13]Salidas!$D82</f>
        <v>3187</v>
      </c>
      <c r="P59" s="14">
        <f>[14]Salidas!$D82</f>
        <v>22806</v>
      </c>
      <c r="Q59" s="14">
        <f>[15]Salidas!$D82</f>
        <v>21419</v>
      </c>
      <c r="R59" s="14">
        <f>[16]Salidas!$D82</f>
        <v>21228</v>
      </c>
      <c r="S59" s="14">
        <f>[17]Salidas!$D82</f>
        <v>21553</v>
      </c>
      <c r="T59" s="14">
        <f>[18]Salidas!$D82</f>
        <v>23122</v>
      </c>
      <c r="U59" s="14">
        <f>[19]Salidas!$D82</f>
        <v>7320</v>
      </c>
      <c r="V59" s="14">
        <f>[20]Salidas!$D82</f>
        <v>2764</v>
      </c>
      <c r="W59" s="14">
        <f>[21]Salidas!$D82</f>
        <v>21938</v>
      </c>
      <c r="X59" s="14">
        <f>[22]Salidas!$D82</f>
        <v>23126</v>
      </c>
      <c r="Y59" s="14">
        <f>[23]Salidas!$D82</f>
        <v>23168</v>
      </c>
      <c r="Z59" s="14">
        <f>[24]Salidas!$D82</f>
        <v>23226</v>
      </c>
      <c r="AA59" s="14">
        <f>[25]Salidas!$D82</f>
        <v>23519</v>
      </c>
      <c r="AB59" s="14">
        <f>[26]Salidas!$D82</f>
        <v>7727</v>
      </c>
      <c r="AC59" s="14">
        <f>[27]Salidas!$D82</f>
        <v>2349</v>
      </c>
      <c r="AD59" s="14">
        <f>[28]Salidas!$D82</f>
        <v>23633</v>
      </c>
      <c r="AE59" s="14">
        <f>[29]Salidas!$D82</f>
        <v>23938</v>
      </c>
      <c r="AF59" s="14">
        <f>[30]Salidas!$D82</f>
        <v>23341</v>
      </c>
      <c r="AG59" s="14">
        <f>[31]Salidas!$D82</f>
        <v>23713</v>
      </c>
      <c r="AH59" s="14">
        <f>[32]Salidas!$D82</f>
        <v>24301</v>
      </c>
      <c r="AI59" s="14">
        <f>[33]Salidas!$D82</f>
        <v>7186</v>
      </c>
      <c r="AJ59" s="14">
        <f>[34]Salidas!$D82</f>
        <v>2038</v>
      </c>
    </row>
    <row r="60" spans="1:36" x14ac:dyDescent="0.2">
      <c r="A60" s="443"/>
      <c r="B60" s="45" t="s">
        <v>61</v>
      </c>
      <c r="C60" s="14">
        <f>[1]Salidas!$D83</f>
        <v>0</v>
      </c>
      <c r="D60" s="14">
        <f>[2]Salidas!$D83</f>
        <v>0</v>
      </c>
      <c r="E60" s="14">
        <f>[3]Salidas!$D83</f>
        <v>0</v>
      </c>
      <c r="F60" s="14">
        <f>[4]Salidas!$D83</f>
        <v>0</v>
      </c>
      <c r="G60" s="14">
        <f>[5]Salidas!$D83</f>
        <v>0</v>
      </c>
      <c r="H60" s="14">
        <f>[6]Salidas!$D83</f>
        <v>0</v>
      </c>
      <c r="I60" s="14">
        <f>[7]Salidas!$D83</f>
        <v>0</v>
      </c>
      <c r="J60" s="14">
        <f>[8]Salidas!$D83</f>
        <v>0</v>
      </c>
      <c r="K60" s="14">
        <f>[9]Salidas!$D83</f>
        <v>0</v>
      </c>
      <c r="L60" s="14">
        <f>[10]Salidas!$D83</f>
        <v>0</v>
      </c>
      <c r="M60" s="14">
        <f>[11]Salidas!$D83</f>
        <v>0</v>
      </c>
      <c r="N60" s="14">
        <f>[12]Salidas!$D83</f>
        <v>0</v>
      </c>
      <c r="O60" s="14">
        <f>[13]Salidas!$D83</f>
        <v>0</v>
      </c>
      <c r="P60" s="14">
        <f>[14]Salidas!$D83</f>
        <v>0</v>
      </c>
      <c r="Q60" s="14">
        <f>[15]Salidas!$D83</f>
        <v>0</v>
      </c>
      <c r="R60" s="14">
        <f>[16]Salidas!$D83</f>
        <v>0</v>
      </c>
      <c r="S60" s="14">
        <f>[17]Salidas!$D83</f>
        <v>0</v>
      </c>
      <c r="T60" s="14">
        <f>[18]Salidas!$D83</f>
        <v>0</v>
      </c>
      <c r="U60" s="14">
        <f>[19]Salidas!$D83</f>
        <v>0</v>
      </c>
      <c r="V60" s="14">
        <f>[20]Salidas!$D83</f>
        <v>0</v>
      </c>
      <c r="W60" s="14">
        <f>[21]Salidas!$D83</f>
        <v>0</v>
      </c>
      <c r="X60" s="14">
        <f>[22]Salidas!$D83</f>
        <v>0</v>
      </c>
      <c r="Y60" s="14">
        <f>[23]Salidas!$D83</f>
        <v>0</v>
      </c>
      <c r="Z60" s="14">
        <f>[24]Salidas!$D83</f>
        <v>0</v>
      </c>
      <c r="AA60" s="14">
        <f>[25]Salidas!$D83</f>
        <v>0</v>
      </c>
      <c r="AB60" s="14">
        <f>[26]Salidas!$D83</f>
        <v>0</v>
      </c>
      <c r="AC60" s="14">
        <f>[27]Salidas!$D83</f>
        <v>0</v>
      </c>
      <c r="AD60" s="14">
        <f>[28]Salidas!$D83</f>
        <v>0</v>
      </c>
      <c r="AE60" s="14">
        <f>[29]Salidas!$D83</f>
        <v>0</v>
      </c>
      <c r="AF60" s="14">
        <f>[30]Salidas!$D83</f>
        <v>0</v>
      </c>
      <c r="AG60" s="14">
        <f>[31]Salidas!$D83</f>
        <v>0</v>
      </c>
      <c r="AH60" s="14">
        <f>[32]Salidas!$D83</f>
        <v>0</v>
      </c>
      <c r="AI60" s="14">
        <f>[33]Salidas!$D83</f>
        <v>0</v>
      </c>
      <c r="AJ60" s="14">
        <f>[34]Salidas!$D83</f>
        <v>0</v>
      </c>
    </row>
    <row r="61" spans="1:36" x14ac:dyDescent="0.2">
      <c r="A61" s="443"/>
      <c r="B61" s="45" t="s">
        <v>189</v>
      </c>
      <c r="C61" s="14">
        <f>[1]Salidas!$D84</f>
        <v>7674</v>
      </c>
      <c r="D61" s="14">
        <f>[2]Salidas!$D84</f>
        <v>7906</v>
      </c>
      <c r="E61" s="14">
        <f>[3]Salidas!$D84</f>
        <v>8084</v>
      </c>
      <c r="F61" s="14">
        <f>[4]Salidas!$D84</f>
        <v>8566</v>
      </c>
      <c r="G61" s="14">
        <f>[5]Salidas!$D84</f>
        <v>4788</v>
      </c>
      <c r="H61" s="14">
        <f>[6]Salidas!$D84</f>
        <v>1982</v>
      </c>
      <c r="I61" s="14">
        <f>[7]Salidas!$D84</f>
        <v>8143</v>
      </c>
      <c r="J61" s="14">
        <f>[8]Salidas!$D84</f>
        <v>8085</v>
      </c>
      <c r="K61" s="14">
        <f>[9]Salidas!$D84</f>
        <v>7944</v>
      </c>
      <c r="L61" s="14">
        <f>[10]Salidas!$D84</f>
        <v>8512</v>
      </c>
      <c r="M61" s="14">
        <f>[11]Salidas!$D84</f>
        <v>8821</v>
      </c>
      <c r="N61" s="14">
        <f>[12]Salidas!$D84</f>
        <v>4988</v>
      </c>
      <c r="O61" s="14">
        <f>[13]Salidas!$D84</f>
        <v>1921</v>
      </c>
      <c r="P61" s="14">
        <f>[14]Salidas!$D84</f>
        <v>8282</v>
      </c>
      <c r="Q61" s="14">
        <f>[15]Salidas!$D84</f>
        <v>7701</v>
      </c>
      <c r="R61" s="14">
        <f>[16]Salidas!$D84</f>
        <v>7471</v>
      </c>
      <c r="S61" s="14">
        <f>[17]Salidas!$D84</f>
        <v>8221</v>
      </c>
      <c r="T61" s="14">
        <f>[18]Salidas!$D84</f>
        <v>9169</v>
      </c>
      <c r="U61" s="14">
        <f>[19]Salidas!$D84</f>
        <v>5050</v>
      </c>
      <c r="V61" s="14">
        <f>[20]Salidas!$D84</f>
        <v>2198</v>
      </c>
      <c r="W61" s="14">
        <f>[21]Salidas!$D84</f>
        <v>8371</v>
      </c>
      <c r="X61" s="14">
        <f>[22]Salidas!$D84</f>
        <v>8532</v>
      </c>
      <c r="Y61" s="14">
        <f>[23]Salidas!$D84</f>
        <v>8330</v>
      </c>
      <c r="Z61" s="14">
        <f>[24]Salidas!$D84</f>
        <v>8418</v>
      </c>
      <c r="AA61" s="14">
        <f>[25]Salidas!$D84</f>
        <v>8850</v>
      </c>
      <c r="AB61" s="14">
        <f>[26]Salidas!$D84</f>
        <v>5026</v>
      </c>
      <c r="AC61" s="14">
        <f>[27]Salidas!$D84</f>
        <v>1895</v>
      </c>
      <c r="AD61" s="14">
        <f>[28]Salidas!$D84</f>
        <v>8617</v>
      </c>
      <c r="AE61" s="14">
        <f>[29]Salidas!$D84</f>
        <v>8643</v>
      </c>
      <c r="AF61" s="14">
        <f>[30]Salidas!$D84</f>
        <v>8773</v>
      </c>
      <c r="AG61" s="14">
        <f>[31]Salidas!$D84</f>
        <v>8801</v>
      </c>
      <c r="AH61" s="14">
        <f>[32]Salidas!$D84</f>
        <v>9100</v>
      </c>
      <c r="AI61" s="14">
        <f>[33]Salidas!$D84</f>
        <v>5187</v>
      </c>
      <c r="AJ61" s="14">
        <f>[34]Salidas!$D84</f>
        <v>1808</v>
      </c>
    </row>
    <row r="62" spans="1:36" x14ac:dyDescent="0.2">
      <c r="A62" s="443"/>
      <c r="B62" s="45" t="s">
        <v>190</v>
      </c>
      <c r="C62" s="14">
        <f>[1]Salidas!$D85</f>
        <v>5149</v>
      </c>
      <c r="D62" s="14">
        <f>[2]Salidas!$D85</f>
        <v>4971</v>
      </c>
      <c r="E62" s="14">
        <f>[3]Salidas!$D85</f>
        <v>5186</v>
      </c>
      <c r="F62" s="14">
        <f>[4]Salidas!$D85</f>
        <v>5307</v>
      </c>
      <c r="G62" s="14">
        <f>[5]Salidas!$D85</f>
        <v>3916</v>
      </c>
      <c r="H62" s="14">
        <f>[6]Salidas!$D85</f>
        <v>1445</v>
      </c>
      <c r="I62" s="14">
        <f>[7]Salidas!$D85</f>
        <v>4871</v>
      </c>
      <c r="J62" s="14">
        <f>[8]Salidas!$D85</f>
        <v>5080</v>
      </c>
      <c r="K62" s="14">
        <f>[9]Salidas!$D85</f>
        <v>5063</v>
      </c>
      <c r="L62" s="14">
        <f>[10]Salidas!$D85</f>
        <v>5130</v>
      </c>
      <c r="M62" s="14">
        <f>[11]Salidas!$D85</f>
        <v>5167</v>
      </c>
      <c r="N62" s="14">
        <f>[12]Salidas!$D85</f>
        <v>3766</v>
      </c>
      <c r="O62" s="14">
        <f>[13]Salidas!$D85</f>
        <v>1335</v>
      </c>
      <c r="P62" s="14">
        <f>[14]Salidas!$D85</f>
        <v>4777</v>
      </c>
      <c r="Q62" s="14">
        <f>[15]Salidas!$D85</f>
        <v>4860</v>
      </c>
      <c r="R62" s="14">
        <f>[16]Salidas!$D85</f>
        <v>4932</v>
      </c>
      <c r="S62" s="14">
        <f>[17]Salidas!$D85</f>
        <v>5028</v>
      </c>
      <c r="T62" s="14">
        <f>[18]Salidas!$D85</f>
        <v>5188</v>
      </c>
      <c r="U62" s="14">
        <f>[19]Salidas!$D85</f>
        <v>3894</v>
      </c>
      <c r="V62" s="14">
        <f>[20]Salidas!$D85</f>
        <v>1413</v>
      </c>
      <c r="W62" s="14">
        <f>[21]Salidas!$D85</f>
        <v>5140</v>
      </c>
      <c r="X62" s="14">
        <f>[22]Salidas!$D85</f>
        <v>5266</v>
      </c>
      <c r="Y62" s="14">
        <f>[23]Salidas!$D85</f>
        <v>5190</v>
      </c>
      <c r="Z62" s="14">
        <f>[24]Salidas!$D85</f>
        <v>5073</v>
      </c>
      <c r="AA62" s="14">
        <f>[25]Salidas!$D85</f>
        <v>5241</v>
      </c>
      <c r="AB62" s="14">
        <f>[26]Salidas!$D85</f>
        <v>3878</v>
      </c>
      <c r="AC62" s="14">
        <f>[27]Salidas!$D85</f>
        <v>1361</v>
      </c>
      <c r="AD62" s="14">
        <f>[28]Salidas!$D85</f>
        <v>5202</v>
      </c>
      <c r="AE62" s="14">
        <f>[29]Salidas!$D85</f>
        <v>5367</v>
      </c>
      <c r="AF62" s="14">
        <f>[30]Salidas!$D85</f>
        <v>5250</v>
      </c>
      <c r="AG62" s="14">
        <f>[31]Salidas!$D85</f>
        <v>5563</v>
      </c>
      <c r="AH62" s="14">
        <f>[32]Salidas!$D85</f>
        <v>5125</v>
      </c>
      <c r="AI62" s="14">
        <f>[33]Salidas!$D85</f>
        <v>4029</v>
      </c>
      <c r="AJ62" s="14">
        <f>[34]Salidas!$D85</f>
        <v>1217</v>
      </c>
    </row>
    <row r="63" spans="1:36" x14ac:dyDescent="0.2">
      <c r="A63" s="443"/>
      <c r="B63" s="45" t="s">
        <v>31</v>
      </c>
      <c r="C63" s="14">
        <f>[1]Salidas!$D86</f>
        <v>21514</v>
      </c>
      <c r="D63" s="14">
        <f>[2]Salidas!$D86</f>
        <v>21785</v>
      </c>
      <c r="E63" s="14">
        <f>[3]Salidas!$D86</f>
        <v>21341</v>
      </c>
      <c r="F63" s="14">
        <f>[4]Salidas!$D86</f>
        <v>22845</v>
      </c>
      <c r="G63" s="14">
        <f>[5]Salidas!$D86</f>
        <v>15210</v>
      </c>
      <c r="H63" s="14">
        <f>[6]Salidas!$D86</f>
        <v>5233</v>
      </c>
      <c r="I63" s="14">
        <f>[7]Salidas!$D86</f>
        <v>21584</v>
      </c>
      <c r="J63" s="14">
        <f>[8]Salidas!$D86</f>
        <v>22092</v>
      </c>
      <c r="K63" s="14">
        <f>[9]Salidas!$D86</f>
        <v>21403</v>
      </c>
      <c r="L63" s="14">
        <f>[10]Salidas!$D86</f>
        <v>22287</v>
      </c>
      <c r="M63" s="14">
        <f>[11]Salidas!$D86</f>
        <v>22850</v>
      </c>
      <c r="N63" s="14">
        <f>[12]Salidas!$D86</f>
        <v>14911</v>
      </c>
      <c r="O63" s="14">
        <f>[13]Salidas!$D86</f>
        <v>5024</v>
      </c>
      <c r="P63" s="14">
        <f>[14]Salidas!$D86</f>
        <v>21895</v>
      </c>
      <c r="Q63" s="14">
        <f>[15]Salidas!$D86</f>
        <v>20902</v>
      </c>
      <c r="R63" s="14">
        <f>[16]Salidas!$D86</f>
        <v>20557</v>
      </c>
      <c r="S63" s="14">
        <f>[17]Salidas!$D86</f>
        <v>21674</v>
      </c>
      <c r="T63" s="14">
        <f>[18]Salidas!$D86</f>
        <v>22854</v>
      </c>
      <c r="U63" s="14">
        <f>[19]Salidas!$D86</f>
        <v>15171</v>
      </c>
      <c r="V63" s="14">
        <f>[20]Salidas!$D86</f>
        <v>5183</v>
      </c>
      <c r="W63" s="14">
        <f>[21]Salidas!$D86</f>
        <v>21939</v>
      </c>
      <c r="X63" s="14">
        <f>[22]Salidas!$D86</f>
        <v>22183</v>
      </c>
      <c r="Y63" s="14">
        <f>[23]Salidas!$D86</f>
        <v>21937</v>
      </c>
      <c r="Z63" s="14">
        <f>[24]Salidas!$D86</f>
        <v>21931</v>
      </c>
      <c r="AA63" s="14">
        <f>[25]Salidas!$D86</f>
        <v>22583</v>
      </c>
      <c r="AB63" s="14">
        <f>[26]Salidas!$D86</f>
        <v>15078</v>
      </c>
      <c r="AC63" s="14">
        <f>[27]Salidas!$D86</f>
        <v>5330</v>
      </c>
      <c r="AD63" s="14">
        <f>[28]Salidas!$D86</f>
        <v>21785</v>
      </c>
      <c r="AE63" s="14">
        <f>[29]Salidas!$D86</f>
        <v>22940</v>
      </c>
      <c r="AF63" s="14">
        <f>[30]Salidas!$D86</f>
        <v>22812</v>
      </c>
      <c r="AG63" s="14">
        <f>[31]Salidas!$D86</f>
        <v>22818</v>
      </c>
      <c r="AH63" s="14">
        <f>[32]Salidas!$D86</f>
        <v>21722</v>
      </c>
      <c r="AI63" s="14">
        <f>[33]Salidas!$D86</f>
        <v>13199</v>
      </c>
      <c r="AJ63" s="14">
        <f>[34]Salidas!$D86</f>
        <v>4247</v>
      </c>
    </row>
    <row r="64" spans="1:36" x14ac:dyDescent="0.2">
      <c r="A64" s="443"/>
      <c r="B64" s="45" t="s">
        <v>32</v>
      </c>
      <c r="C64" s="14">
        <f>[1]Salidas!$D87</f>
        <v>7830</v>
      </c>
      <c r="D64" s="14">
        <f>[2]Salidas!$D87</f>
        <v>7762</v>
      </c>
      <c r="E64" s="14">
        <f>[3]Salidas!$D87</f>
        <v>7675</v>
      </c>
      <c r="F64" s="14">
        <f>[4]Salidas!$D87</f>
        <v>7888</v>
      </c>
      <c r="G64" s="14">
        <f>[5]Salidas!$D87</f>
        <v>4824</v>
      </c>
      <c r="H64" s="14">
        <f>[6]Salidas!$D87</f>
        <v>1611</v>
      </c>
      <c r="I64" s="14">
        <f>[7]Salidas!$D87</f>
        <v>7749</v>
      </c>
      <c r="J64" s="14">
        <f>[8]Salidas!$D87</f>
        <v>8053</v>
      </c>
      <c r="K64" s="14">
        <f>[9]Salidas!$D87</f>
        <v>7623</v>
      </c>
      <c r="L64" s="14">
        <f>[10]Salidas!$D87</f>
        <v>8087</v>
      </c>
      <c r="M64" s="14">
        <f>[11]Salidas!$D87</f>
        <v>7834</v>
      </c>
      <c r="N64" s="14">
        <f>[12]Salidas!$D87</f>
        <v>4896</v>
      </c>
      <c r="O64" s="14">
        <f>[13]Salidas!$D87</f>
        <v>1476</v>
      </c>
      <c r="P64" s="14">
        <f>[14]Salidas!$D87</f>
        <v>7704</v>
      </c>
      <c r="Q64" s="14">
        <f>[15]Salidas!$D87</f>
        <v>7763</v>
      </c>
      <c r="R64" s="14">
        <f>[16]Salidas!$D87</f>
        <v>7637</v>
      </c>
      <c r="S64" s="14">
        <f>[17]Salidas!$D87</f>
        <v>7925</v>
      </c>
      <c r="T64" s="14">
        <f>[18]Salidas!$D87</f>
        <v>7912</v>
      </c>
      <c r="U64" s="14">
        <f>[19]Salidas!$D87</f>
        <v>4825</v>
      </c>
      <c r="V64" s="14">
        <f>[20]Salidas!$D87</f>
        <v>1561</v>
      </c>
      <c r="W64" s="14">
        <f>[21]Salidas!$D87</f>
        <v>8001</v>
      </c>
      <c r="X64" s="14">
        <f>[22]Salidas!$D87</f>
        <v>7952</v>
      </c>
      <c r="Y64" s="14">
        <f>[23]Salidas!$D87</f>
        <v>7651</v>
      </c>
      <c r="Z64" s="14">
        <f>[24]Salidas!$D87</f>
        <v>7645</v>
      </c>
      <c r="AA64" s="14">
        <f>[25]Salidas!$D87</f>
        <v>7810</v>
      </c>
      <c r="AB64" s="14">
        <f>[26]Salidas!$D87</f>
        <v>4783</v>
      </c>
      <c r="AC64" s="14">
        <f>[27]Salidas!$D87</f>
        <v>1541</v>
      </c>
      <c r="AD64" s="14">
        <f>[28]Salidas!$D87</f>
        <v>7926</v>
      </c>
      <c r="AE64" s="14">
        <f>[29]Salidas!$D87</f>
        <v>8089</v>
      </c>
      <c r="AF64" s="14">
        <f>[30]Salidas!$D87</f>
        <v>8112</v>
      </c>
      <c r="AG64" s="14">
        <f>[31]Salidas!$D87</f>
        <v>8028</v>
      </c>
      <c r="AH64" s="14">
        <f>[32]Salidas!$D87</f>
        <v>7801</v>
      </c>
      <c r="AI64" s="14">
        <f>[33]Salidas!$D87</f>
        <v>4609</v>
      </c>
      <c r="AJ64" s="14">
        <f>[34]Salidas!$D87</f>
        <v>1437</v>
      </c>
    </row>
    <row r="65" spans="1:36" x14ac:dyDescent="0.2">
      <c r="A65" s="443"/>
      <c r="B65" s="81" t="s">
        <v>137</v>
      </c>
      <c r="C65" s="55">
        <f>[1]Salidas!$D88</f>
        <v>11431</v>
      </c>
      <c r="D65" s="55">
        <f>[2]Salidas!$D88</f>
        <v>11735</v>
      </c>
      <c r="E65" s="55">
        <f>[3]Salidas!$D88</f>
        <v>11062</v>
      </c>
      <c r="F65" s="55">
        <f>[4]Salidas!$D88</f>
        <v>11140</v>
      </c>
      <c r="G65" s="55">
        <f>[5]Salidas!$D88</f>
        <v>9830</v>
      </c>
      <c r="H65" s="55">
        <f>[6]Salidas!$D88</f>
        <v>3746</v>
      </c>
      <c r="I65" s="55">
        <f>[7]Salidas!$D88</f>
        <v>11494</v>
      </c>
      <c r="J65" s="55">
        <f>[8]Salidas!$D88</f>
        <v>11681</v>
      </c>
      <c r="K65" s="55">
        <f>[9]Salidas!$D88</f>
        <v>11163</v>
      </c>
      <c r="L65" s="55">
        <f>[10]Salidas!$D88</f>
        <v>11217</v>
      </c>
      <c r="M65" s="55">
        <f>[11]Salidas!$D88</f>
        <v>11154</v>
      </c>
      <c r="N65" s="55">
        <f>[12]Salidas!$D88</f>
        <v>9388</v>
      </c>
      <c r="O65" s="55">
        <f>[13]Salidas!$D88</f>
        <v>3074</v>
      </c>
      <c r="P65" s="55">
        <f>[14]Salidas!$D88</f>
        <v>10949</v>
      </c>
      <c r="Q65" s="55">
        <f>[15]Salidas!$D88</f>
        <v>10462</v>
      </c>
      <c r="R65" s="55">
        <f>[16]Salidas!$D88</f>
        <v>10395</v>
      </c>
      <c r="S65" s="55">
        <f>[17]Salidas!$D88</f>
        <v>10357</v>
      </c>
      <c r="T65" s="55">
        <f>[18]Salidas!$D88</f>
        <v>11244</v>
      </c>
      <c r="U65" s="55">
        <f>[19]Salidas!$D88</f>
        <v>9270</v>
      </c>
      <c r="V65" s="55">
        <f>[20]Salidas!$D88</f>
        <v>3218</v>
      </c>
      <c r="W65" s="55">
        <f>[21]Salidas!$D88</f>
        <v>11620</v>
      </c>
      <c r="X65" s="55">
        <f>[22]Salidas!$D88</f>
        <v>11333</v>
      </c>
      <c r="Y65" s="55">
        <f>[23]Salidas!$D88</f>
        <v>11399</v>
      </c>
      <c r="Z65" s="55">
        <f>[24]Salidas!$D88</f>
        <v>10891</v>
      </c>
      <c r="AA65" s="55">
        <f>[25]Salidas!$D88</f>
        <v>11386</v>
      </c>
      <c r="AB65" s="55">
        <f>[26]Salidas!$D88</f>
        <v>9182</v>
      </c>
      <c r="AC65" s="55">
        <f>[27]Salidas!$D88</f>
        <v>3468</v>
      </c>
      <c r="AD65" s="55">
        <f>[28]Salidas!$D88</f>
        <v>11599</v>
      </c>
      <c r="AE65" s="55">
        <f>[29]Salidas!$D88</f>
        <v>11901</v>
      </c>
      <c r="AF65" s="55">
        <f>[30]Salidas!$D88</f>
        <v>11991</v>
      </c>
      <c r="AG65" s="55">
        <f>[31]Salidas!$D88</f>
        <v>12085</v>
      </c>
      <c r="AH65" s="55">
        <f>[32]Salidas!$D88</f>
        <v>11248</v>
      </c>
      <c r="AI65" s="55">
        <f>[33]Salidas!$D88</f>
        <v>8629</v>
      </c>
      <c r="AJ65" s="55">
        <f>[34]Salidas!$D88</f>
        <v>3047</v>
      </c>
    </row>
    <row r="66" spans="1:36" x14ac:dyDescent="0.2">
      <c r="A66" s="443"/>
      <c r="B66" s="71" t="s">
        <v>138</v>
      </c>
      <c r="C66" s="55">
        <f>[1]Salidas!$D89</f>
        <v>53884</v>
      </c>
      <c r="D66" s="55">
        <f>[2]Salidas!$D89</f>
        <v>56946</v>
      </c>
      <c r="E66" s="55">
        <f>[3]Salidas!$D89</f>
        <v>53269</v>
      </c>
      <c r="F66" s="55">
        <f>[4]Salidas!$D89</f>
        <v>55453</v>
      </c>
      <c r="G66" s="55">
        <f>[5]Salidas!$D89</f>
        <v>39439</v>
      </c>
      <c r="H66" s="55">
        <f>[6]Salidas!$D89</f>
        <v>14781</v>
      </c>
      <c r="I66" s="55">
        <f>[7]Salidas!$D89</f>
        <v>54486</v>
      </c>
      <c r="J66" s="55">
        <f>[8]Salidas!$D89</f>
        <v>54862</v>
      </c>
      <c r="K66" s="55">
        <f>[9]Salidas!$D89</f>
        <v>54912</v>
      </c>
      <c r="L66" s="55">
        <f>[10]Salidas!$D89</f>
        <v>54465</v>
      </c>
      <c r="M66" s="55">
        <f>[11]Salidas!$D89</f>
        <v>55106</v>
      </c>
      <c r="N66" s="55">
        <f>[12]Salidas!$D89</f>
        <v>37319</v>
      </c>
      <c r="O66" s="55">
        <f>[13]Salidas!$D89</f>
        <v>12237</v>
      </c>
      <c r="P66" s="55">
        <f>[14]Salidas!$D89</f>
        <v>53805</v>
      </c>
      <c r="Q66" s="55">
        <f>[15]Salidas!$D89</f>
        <v>45588</v>
      </c>
      <c r="R66" s="55">
        <f>[16]Salidas!$D89</f>
        <v>51219</v>
      </c>
      <c r="S66" s="55">
        <f>[17]Salidas!$D89</f>
        <v>52069</v>
      </c>
      <c r="T66" s="55">
        <f>[18]Salidas!$D89</f>
        <v>55656</v>
      </c>
      <c r="U66" s="55">
        <f>[19]Salidas!$D89</f>
        <v>36295</v>
      </c>
      <c r="V66" s="55">
        <f>[20]Salidas!$D89</f>
        <v>11834</v>
      </c>
      <c r="W66" s="55">
        <f>[21]Salidas!$D89</f>
        <v>54597</v>
      </c>
      <c r="X66" s="55">
        <f>[22]Salidas!$D89</f>
        <v>54511</v>
      </c>
      <c r="Y66" s="55">
        <f>[23]Salidas!$D89</f>
        <v>55511</v>
      </c>
      <c r="Z66" s="55">
        <f>[24]Salidas!$D89</f>
        <v>52688</v>
      </c>
      <c r="AA66" s="55">
        <f>[25]Salidas!$D89</f>
        <v>54917</v>
      </c>
      <c r="AB66" s="55">
        <f>[26]Salidas!$D89</f>
        <v>35391</v>
      </c>
      <c r="AC66" s="55">
        <f>[27]Salidas!$D89</f>
        <v>12311</v>
      </c>
      <c r="AD66" s="55">
        <f>[28]Salidas!$D89</f>
        <v>54202</v>
      </c>
      <c r="AE66" s="55">
        <f>[29]Salidas!$D89</f>
        <v>56609</v>
      </c>
      <c r="AF66" s="55">
        <f>[30]Salidas!$D89</f>
        <v>57357</v>
      </c>
      <c r="AG66" s="55">
        <f>[31]Salidas!$D89</f>
        <v>56905</v>
      </c>
      <c r="AH66" s="55">
        <f>[32]Salidas!$D89</f>
        <v>33047</v>
      </c>
      <c r="AI66" s="55">
        <f>[33]Salidas!$D89</f>
        <v>24605</v>
      </c>
      <c r="AJ66" s="55">
        <f>[34]Salidas!$D89</f>
        <v>9060</v>
      </c>
    </row>
    <row r="67" spans="1:36" x14ac:dyDescent="0.2">
      <c r="A67" s="443"/>
      <c r="B67" s="71" t="s">
        <v>139</v>
      </c>
      <c r="C67" s="55">
        <f>[1]Salidas!$D90</f>
        <v>14174</v>
      </c>
      <c r="D67" s="55">
        <f>[2]Salidas!$D90</f>
        <v>15653</v>
      </c>
      <c r="E67" s="55">
        <f>[3]Salidas!$D90</f>
        <v>13451</v>
      </c>
      <c r="F67" s="55">
        <f>[4]Salidas!$D90</f>
        <v>13950</v>
      </c>
      <c r="G67" s="55">
        <f>[5]Salidas!$D90</f>
        <v>18208</v>
      </c>
      <c r="H67" s="55">
        <f>[6]Salidas!$D90</f>
        <v>7146</v>
      </c>
      <c r="I67" s="55">
        <f>[7]Salidas!$D90</f>
        <v>13600</v>
      </c>
      <c r="J67" s="55">
        <f>[8]Salidas!$D90</f>
        <v>13271</v>
      </c>
      <c r="K67" s="55">
        <f>[9]Salidas!$D90</f>
        <v>15086</v>
      </c>
      <c r="L67" s="55">
        <f>[10]Salidas!$D90</f>
        <v>12773</v>
      </c>
      <c r="M67" s="55">
        <f>[11]Salidas!$D90</f>
        <v>13208</v>
      </c>
      <c r="N67" s="55">
        <f>[12]Salidas!$D90</f>
        <v>18655</v>
      </c>
      <c r="O67" s="55">
        <f>[13]Salidas!$D90</f>
        <v>5500</v>
      </c>
      <c r="P67" s="55">
        <f>[14]Salidas!$D90</f>
        <v>12676</v>
      </c>
      <c r="Q67" s="55">
        <f>[15]Salidas!$D90</f>
        <v>12152</v>
      </c>
      <c r="R67" s="55">
        <f>[16]Salidas!$D90</f>
        <v>13258</v>
      </c>
      <c r="S67" s="55">
        <f>[17]Salidas!$D90</f>
        <v>12788</v>
      </c>
      <c r="T67" s="55">
        <f>[18]Salidas!$D90</f>
        <v>13325</v>
      </c>
      <c r="U67" s="55">
        <f>[19]Salidas!$D90</f>
        <v>18210</v>
      </c>
      <c r="V67" s="55">
        <f>[20]Salidas!$D90</f>
        <v>5601</v>
      </c>
      <c r="W67" s="55">
        <f>[21]Salidas!$D90</f>
        <v>12728</v>
      </c>
      <c r="X67" s="55">
        <f>[22]Salidas!$D90</f>
        <v>12687</v>
      </c>
      <c r="Y67" s="55">
        <f>[23]Salidas!$D90</f>
        <v>13485</v>
      </c>
      <c r="Z67" s="55">
        <f>[24]Salidas!$D90</f>
        <v>11876</v>
      </c>
      <c r="AA67" s="55">
        <f>[25]Salidas!$D90</f>
        <v>12551</v>
      </c>
      <c r="AB67" s="55">
        <f>[26]Salidas!$D90</f>
        <v>17698</v>
      </c>
      <c r="AC67" s="55">
        <f>[27]Salidas!$D90</f>
        <v>5191</v>
      </c>
      <c r="AD67" s="55">
        <f>[28]Salidas!$D90</f>
        <v>12667</v>
      </c>
      <c r="AE67" s="55">
        <f>[29]Salidas!$D90</f>
        <v>13037</v>
      </c>
      <c r="AF67" s="55">
        <f>[30]Salidas!$D90</f>
        <v>14256</v>
      </c>
      <c r="AG67" s="55">
        <f>[31]Salidas!$D90</f>
        <v>13216</v>
      </c>
      <c r="AH67" s="55">
        <f>[32]Salidas!$D90</f>
        <v>13547</v>
      </c>
      <c r="AI67" s="55">
        <f>[33]Salidas!$D90</f>
        <v>17497</v>
      </c>
      <c r="AJ67" s="55">
        <f>[34]Salidas!$D90</f>
        <v>5204</v>
      </c>
    </row>
    <row r="68" spans="1:36" x14ac:dyDescent="0.2">
      <c r="A68" s="443"/>
      <c r="B68" s="39" t="s">
        <v>33</v>
      </c>
      <c r="C68" s="14">
        <f>[1]Salidas!$D91</f>
        <v>2381</v>
      </c>
      <c r="D68" s="14">
        <f>[2]Salidas!$D91</f>
        <v>2419</v>
      </c>
      <c r="E68" s="14">
        <f>[3]Salidas!$D91</f>
        <v>2358</v>
      </c>
      <c r="F68" s="14">
        <f>[4]Salidas!$D91</f>
        <v>2263</v>
      </c>
      <c r="G68" s="14">
        <f>[5]Salidas!$D91</f>
        <v>1979</v>
      </c>
      <c r="H68" s="14">
        <f>[6]Salidas!$D91</f>
        <v>623</v>
      </c>
      <c r="I68" s="14">
        <f>[7]Salidas!$D91</f>
        <v>2123</v>
      </c>
      <c r="J68" s="14">
        <f>[8]Salidas!$D91</f>
        <v>2180</v>
      </c>
      <c r="K68" s="14">
        <f>[9]Salidas!$D91</f>
        <v>2167</v>
      </c>
      <c r="L68" s="14">
        <f>[10]Salidas!$D91</f>
        <v>2151</v>
      </c>
      <c r="M68" s="14">
        <f>[11]Salidas!$D91</f>
        <v>2430</v>
      </c>
      <c r="N68" s="14">
        <f>[12]Salidas!$D91</f>
        <v>2211</v>
      </c>
      <c r="O68" s="14">
        <f>[13]Salidas!$D91</f>
        <v>652</v>
      </c>
      <c r="P68" s="14">
        <f>[14]Salidas!$D91</f>
        <v>2704</v>
      </c>
      <c r="Q68" s="14">
        <f>[15]Salidas!$D91</f>
        <v>2584</v>
      </c>
      <c r="R68" s="14">
        <f>[16]Salidas!$D91</f>
        <v>2590</v>
      </c>
      <c r="S68" s="14">
        <f>[17]Salidas!$D91</f>
        <v>2774</v>
      </c>
      <c r="T68" s="14">
        <f>[18]Salidas!$D91</f>
        <v>2650</v>
      </c>
      <c r="U68" s="14">
        <f>[19]Salidas!$D91</f>
        <v>2115</v>
      </c>
      <c r="V68" s="14">
        <f>[20]Salidas!$D91</f>
        <v>661</v>
      </c>
      <c r="W68" s="14">
        <f>[21]Salidas!$D91</f>
        <v>2718</v>
      </c>
      <c r="X68" s="14">
        <f>[22]Salidas!$D91</f>
        <v>2724</v>
      </c>
      <c r="Y68" s="14">
        <f>[23]Salidas!$D91</f>
        <v>2754</v>
      </c>
      <c r="Z68" s="14">
        <f>[24]Salidas!$D91</f>
        <v>2604</v>
      </c>
      <c r="AA68" s="14">
        <f>[25]Salidas!$D91</f>
        <v>2628</v>
      </c>
      <c r="AB68" s="14">
        <f>[26]Salidas!$D91</f>
        <v>2156</v>
      </c>
      <c r="AC68" s="14">
        <f>[27]Salidas!$D91</f>
        <v>562</v>
      </c>
      <c r="AD68" s="14">
        <f>[28]Salidas!$D91</f>
        <v>2756</v>
      </c>
      <c r="AE68" s="14">
        <f>[29]Salidas!$D91</f>
        <v>2687</v>
      </c>
      <c r="AF68" s="14">
        <f>[30]Salidas!$D91</f>
        <v>2802</v>
      </c>
      <c r="AG68" s="14">
        <f>[31]Salidas!$D91</f>
        <v>2715</v>
      </c>
      <c r="AH68" s="14">
        <f>[32]Salidas!$D91</f>
        <v>2806</v>
      </c>
      <c r="AI68" s="14">
        <f>[33]Salidas!$D91</f>
        <v>2079</v>
      </c>
      <c r="AJ68" s="14">
        <f>[34]Salidas!$D91</f>
        <v>509</v>
      </c>
    </row>
    <row r="69" spans="1:36" ht="13.5" thickBot="1" x14ac:dyDescent="0.25">
      <c r="A69" s="443"/>
      <c r="B69" s="40" t="s">
        <v>34</v>
      </c>
      <c r="C69" s="14">
        <f>[1]Salidas!$D92</f>
        <v>4765</v>
      </c>
      <c r="D69" s="14">
        <f>[2]Salidas!$D92</f>
        <v>4844</v>
      </c>
      <c r="E69" s="14">
        <f>[3]Salidas!$D92</f>
        <v>4925</v>
      </c>
      <c r="F69" s="14">
        <f>[4]Salidas!$D92</f>
        <v>5109</v>
      </c>
      <c r="G69" s="14">
        <f>[5]Salidas!$D92</f>
        <v>4224</v>
      </c>
      <c r="H69" s="14">
        <f>[6]Salidas!$D92</f>
        <v>2787</v>
      </c>
      <c r="I69" s="14">
        <f>[7]Salidas!$D92</f>
        <v>4622</v>
      </c>
      <c r="J69" s="14">
        <f>[8]Salidas!$D92</f>
        <v>4485</v>
      </c>
      <c r="K69" s="14">
        <f>[9]Salidas!$D92</f>
        <v>4569</v>
      </c>
      <c r="L69" s="14">
        <f>[10]Salidas!$D92</f>
        <v>4626</v>
      </c>
      <c r="M69" s="14">
        <f>[11]Salidas!$D92</f>
        <v>4908</v>
      </c>
      <c r="N69" s="14">
        <f>[12]Salidas!$D92</f>
        <v>4083</v>
      </c>
      <c r="O69" s="14">
        <f>[13]Salidas!$D92</f>
        <v>2510</v>
      </c>
      <c r="P69" s="14">
        <f>[14]Salidas!$D92</f>
        <v>4734</v>
      </c>
      <c r="Q69" s="14">
        <f>[15]Salidas!$D92</f>
        <v>4617</v>
      </c>
      <c r="R69" s="14">
        <f>[16]Salidas!$D92</f>
        <v>4465</v>
      </c>
      <c r="S69" s="14">
        <f>[17]Salidas!$D92</f>
        <v>4510</v>
      </c>
      <c r="T69" s="14">
        <f>[18]Salidas!$D92</f>
        <v>5076</v>
      </c>
      <c r="U69" s="14">
        <f>[19]Salidas!$D92</f>
        <v>4159</v>
      </c>
      <c r="V69" s="14">
        <f>[20]Salidas!$D92</f>
        <v>2391</v>
      </c>
      <c r="W69" s="14">
        <f>[21]Salidas!$D92</f>
        <v>4985</v>
      </c>
      <c r="X69" s="14">
        <f>[22]Salidas!$D92</f>
        <v>4868</v>
      </c>
      <c r="Y69" s="14">
        <f>[23]Salidas!$D92</f>
        <v>4457</v>
      </c>
      <c r="Z69" s="14">
        <f>[24]Salidas!$D92</f>
        <v>4359</v>
      </c>
      <c r="AA69" s="14">
        <f>[25]Salidas!$D92</f>
        <v>4929</v>
      </c>
      <c r="AB69" s="14">
        <f>[26]Salidas!$D92</f>
        <v>4097</v>
      </c>
      <c r="AC69" s="14">
        <f>[27]Salidas!$D92</f>
        <v>2516</v>
      </c>
      <c r="AD69" s="14">
        <f>[28]Salidas!$D92</f>
        <v>4851</v>
      </c>
      <c r="AE69" s="14">
        <f>[29]Salidas!$D92</f>
        <v>4892</v>
      </c>
      <c r="AF69" s="14">
        <f>[30]Salidas!$D92</f>
        <v>4867</v>
      </c>
      <c r="AG69" s="14">
        <f>[31]Salidas!$D92</f>
        <v>4861</v>
      </c>
      <c r="AH69" s="14">
        <f>[32]Salidas!$D92</f>
        <v>5192</v>
      </c>
      <c r="AI69" s="14">
        <f>[33]Salidas!$D92</f>
        <v>4149</v>
      </c>
      <c r="AJ69" s="14">
        <f>[34]Salidas!$D92</f>
        <v>2403</v>
      </c>
    </row>
    <row r="70" spans="1:36" x14ac:dyDescent="0.2">
      <c r="A70" s="443"/>
      <c r="B70" s="38" t="s">
        <v>128</v>
      </c>
      <c r="C70" s="14">
        <f>[1]Salidas!$D93</f>
        <v>0</v>
      </c>
      <c r="D70" s="14">
        <f>[2]Salidas!$D93</f>
        <v>0</v>
      </c>
      <c r="E70" s="14">
        <f>[3]Salidas!$D93</f>
        <v>0</v>
      </c>
      <c r="F70" s="14">
        <f>[4]Salidas!$D93</f>
        <v>0</v>
      </c>
      <c r="G70" s="14">
        <f>[5]Salidas!$D93</f>
        <v>0</v>
      </c>
      <c r="H70" s="14">
        <f>[6]Salidas!$D93</f>
        <v>0</v>
      </c>
      <c r="I70" s="14">
        <f>[7]Salidas!$D93</f>
        <v>0</v>
      </c>
      <c r="J70" s="14">
        <f>[8]Salidas!$D93</f>
        <v>0</v>
      </c>
      <c r="K70" s="14">
        <f>[9]Salidas!$D93</f>
        <v>0</v>
      </c>
      <c r="L70" s="14">
        <f>[10]Salidas!$D93</f>
        <v>0</v>
      </c>
      <c r="M70" s="14">
        <f>[11]Salidas!$D93</f>
        <v>0</v>
      </c>
      <c r="N70" s="14">
        <f>[12]Salidas!$D93</f>
        <v>0</v>
      </c>
      <c r="O70" s="14">
        <f>[13]Salidas!$D93</f>
        <v>0</v>
      </c>
      <c r="P70" s="14">
        <f>[14]Salidas!$D93</f>
        <v>0</v>
      </c>
      <c r="Q70" s="14">
        <f>[15]Salidas!$D93</f>
        <v>0</v>
      </c>
      <c r="R70" s="14">
        <f>[16]Salidas!$D93</f>
        <v>0</v>
      </c>
      <c r="S70" s="14">
        <f>[17]Salidas!$D93</f>
        <v>0</v>
      </c>
      <c r="T70" s="14">
        <f>[18]Salidas!$D93</f>
        <v>0</v>
      </c>
      <c r="U70" s="14">
        <f>[19]Salidas!$D93</f>
        <v>0</v>
      </c>
      <c r="V70" s="14">
        <f>[20]Salidas!$D93</f>
        <v>0</v>
      </c>
      <c r="W70" s="14">
        <f>[21]Salidas!$D93</f>
        <v>0</v>
      </c>
      <c r="X70" s="14">
        <f>[22]Salidas!$D93</f>
        <v>0</v>
      </c>
      <c r="Y70" s="14">
        <f>[23]Salidas!$D93</f>
        <v>0</v>
      </c>
      <c r="Z70" s="14">
        <f>[24]Salidas!$D93</f>
        <v>0</v>
      </c>
      <c r="AA70" s="14">
        <f>[25]Salidas!$D93</f>
        <v>0</v>
      </c>
      <c r="AB70" s="14">
        <f>[26]Salidas!$D93</f>
        <v>0</v>
      </c>
      <c r="AC70" s="14">
        <f>[27]Salidas!$D93</f>
        <v>0</v>
      </c>
      <c r="AD70" s="14">
        <f>[28]Salidas!$D93</f>
        <v>0</v>
      </c>
      <c r="AE70" s="14">
        <f>[29]Salidas!$D93</f>
        <v>0</v>
      </c>
      <c r="AF70" s="14">
        <f>[30]Salidas!$D93</f>
        <v>0</v>
      </c>
      <c r="AG70" s="14">
        <f>[31]Salidas!$D93</f>
        <v>0</v>
      </c>
      <c r="AH70" s="14">
        <f>[32]Salidas!$D93</f>
        <v>11964</v>
      </c>
      <c r="AI70" s="14">
        <f>[33]Salidas!$D93</f>
        <v>6184</v>
      </c>
      <c r="AJ70" s="14">
        <f>[34]Salidas!$D93</f>
        <v>1264</v>
      </c>
    </row>
    <row r="71" spans="1:36" x14ac:dyDescent="0.2">
      <c r="A71" s="443"/>
      <c r="B71" s="39" t="s">
        <v>129</v>
      </c>
      <c r="C71" s="14">
        <f>[1]Salidas!$D94</f>
        <v>0</v>
      </c>
      <c r="D71" s="14">
        <f>[2]Salidas!$D94</f>
        <v>0</v>
      </c>
      <c r="E71" s="14">
        <f>[3]Salidas!$D94</f>
        <v>0</v>
      </c>
      <c r="F71" s="14">
        <f>[4]Salidas!$D94</f>
        <v>0</v>
      </c>
      <c r="G71" s="14">
        <f>[5]Salidas!$D94</f>
        <v>0</v>
      </c>
      <c r="H71" s="14">
        <f>[6]Salidas!$D94</f>
        <v>0</v>
      </c>
      <c r="I71" s="14">
        <f>[7]Salidas!$D94</f>
        <v>0</v>
      </c>
      <c r="J71" s="14">
        <f>[8]Salidas!$D94</f>
        <v>0</v>
      </c>
      <c r="K71" s="14">
        <f>[9]Salidas!$D94</f>
        <v>0</v>
      </c>
      <c r="L71" s="14">
        <f>[10]Salidas!$D94</f>
        <v>0</v>
      </c>
      <c r="M71" s="14">
        <f>[11]Salidas!$D94</f>
        <v>0</v>
      </c>
      <c r="N71" s="14">
        <f>[12]Salidas!$D94</f>
        <v>0</v>
      </c>
      <c r="O71" s="14">
        <f>[13]Salidas!$D94</f>
        <v>0</v>
      </c>
      <c r="P71" s="14">
        <f>[14]Salidas!$D94</f>
        <v>0</v>
      </c>
      <c r="Q71" s="14">
        <f>[15]Salidas!$D94</f>
        <v>0</v>
      </c>
      <c r="R71" s="14">
        <f>[16]Salidas!$D94</f>
        <v>0</v>
      </c>
      <c r="S71" s="14">
        <f>[17]Salidas!$D94</f>
        <v>0</v>
      </c>
      <c r="T71" s="14">
        <f>[18]Salidas!$D94</f>
        <v>0</v>
      </c>
      <c r="U71" s="14">
        <f>[19]Salidas!$D94</f>
        <v>0</v>
      </c>
      <c r="V71" s="14">
        <f>[20]Salidas!$D94</f>
        <v>0</v>
      </c>
      <c r="W71" s="14">
        <f>[21]Salidas!$D94</f>
        <v>0</v>
      </c>
      <c r="X71" s="14">
        <f>[22]Salidas!$D94</f>
        <v>0</v>
      </c>
      <c r="Y71" s="14">
        <f>[23]Salidas!$D94</f>
        <v>0</v>
      </c>
      <c r="Z71" s="14">
        <f>[24]Salidas!$D94</f>
        <v>0</v>
      </c>
      <c r="AA71" s="14">
        <f>[25]Salidas!$D94</f>
        <v>0</v>
      </c>
      <c r="AB71" s="14">
        <f>[26]Salidas!$D94</f>
        <v>0</v>
      </c>
      <c r="AC71" s="14">
        <f>[27]Salidas!$D94</f>
        <v>0</v>
      </c>
      <c r="AD71" s="14">
        <f>[28]Salidas!$D94</f>
        <v>0</v>
      </c>
      <c r="AE71" s="14">
        <f>[29]Salidas!$D94</f>
        <v>0</v>
      </c>
      <c r="AF71" s="14">
        <f>[30]Salidas!$D94</f>
        <v>0</v>
      </c>
      <c r="AG71" s="14">
        <f>[31]Salidas!$D94</f>
        <v>5</v>
      </c>
      <c r="AH71" s="14">
        <f>[32]Salidas!$D94</f>
        <v>14171</v>
      </c>
      <c r="AI71" s="14">
        <f>[33]Salidas!$D94</f>
        <v>8123</v>
      </c>
      <c r="AJ71" s="14">
        <f>[34]Salidas!$D94</f>
        <v>1173</v>
      </c>
    </row>
    <row r="72" spans="1:36" x14ac:dyDescent="0.2">
      <c r="A72" s="443"/>
      <c r="B72" s="39" t="s">
        <v>131</v>
      </c>
      <c r="C72" s="14">
        <f>[1]Salidas!$D95</f>
        <v>0</v>
      </c>
      <c r="D72" s="14">
        <f>[2]Salidas!$D95</f>
        <v>0</v>
      </c>
      <c r="E72" s="14">
        <f>[3]Salidas!$D95</f>
        <v>0</v>
      </c>
      <c r="F72" s="14">
        <f>[4]Salidas!$D95</f>
        <v>0</v>
      </c>
      <c r="G72" s="14">
        <f>[5]Salidas!$D95</f>
        <v>0</v>
      </c>
      <c r="H72" s="14">
        <f>[6]Salidas!$D95</f>
        <v>0</v>
      </c>
      <c r="I72" s="14">
        <f>[7]Salidas!$D95</f>
        <v>0</v>
      </c>
      <c r="J72" s="14">
        <f>[8]Salidas!$D95</f>
        <v>0</v>
      </c>
      <c r="K72" s="14">
        <f>[9]Salidas!$D95</f>
        <v>0</v>
      </c>
      <c r="L72" s="14">
        <f>[10]Salidas!$D95</f>
        <v>0</v>
      </c>
      <c r="M72" s="14">
        <f>[11]Salidas!$D95</f>
        <v>0</v>
      </c>
      <c r="N72" s="14">
        <f>[12]Salidas!$D95</f>
        <v>0</v>
      </c>
      <c r="O72" s="14">
        <f>[13]Salidas!$D95</f>
        <v>0</v>
      </c>
      <c r="P72" s="14">
        <f>[14]Salidas!$D95</f>
        <v>0</v>
      </c>
      <c r="Q72" s="14">
        <f>[15]Salidas!$D95</f>
        <v>0</v>
      </c>
      <c r="R72" s="14">
        <f>[16]Salidas!$D95</f>
        <v>0</v>
      </c>
      <c r="S72" s="14">
        <f>[17]Salidas!$D95</f>
        <v>0</v>
      </c>
      <c r="T72" s="14">
        <f>[18]Salidas!$D95</f>
        <v>0</v>
      </c>
      <c r="U72" s="14">
        <f>[19]Salidas!$D95</f>
        <v>0</v>
      </c>
      <c r="V72" s="14">
        <f>[20]Salidas!$D95</f>
        <v>0</v>
      </c>
      <c r="W72" s="14">
        <f>[21]Salidas!$D95</f>
        <v>0</v>
      </c>
      <c r="X72" s="14">
        <f>[22]Salidas!$D95</f>
        <v>0</v>
      </c>
      <c r="Y72" s="14">
        <f>[23]Salidas!$D95</f>
        <v>0</v>
      </c>
      <c r="Z72" s="14">
        <f>[24]Salidas!$D95</f>
        <v>0</v>
      </c>
      <c r="AA72" s="14">
        <f>[25]Salidas!$D95</f>
        <v>0</v>
      </c>
      <c r="AB72" s="14">
        <f>[26]Salidas!$D95</f>
        <v>0</v>
      </c>
      <c r="AC72" s="14">
        <f>[27]Salidas!$D95</f>
        <v>0</v>
      </c>
      <c r="AD72" s="14">
        <f>[28]Salidas!$D95</f>
        <v>0</v>
      </c>
      <c r="AE72" s="14">
        <f>[29]Salidas!$D95</f>
        <v>0</v>
      </c>
      <c r="AF72" s="14">
        <f>[30]Salidas!$D95</f>
        <v>0</v>
      </c>
      <c r="AG72" s="14">
        <f>[31]Salidas!$D95</f>
        <v>91</v>
      </c>
      <c r="AH72" s="14">
        <f>[32]Salidas!$D95</f>
        <v>5366</v>
      </c>
      <c r="AI72" s="14">
        <f>[33]Salidas!$D95</f>
        <v>4780</v>
      </c>
      <c r="AJ72" s="14">
        <f>[34]Salidas!$D95</f>
        <v>1298</v>
      </c>
    </row>
    <row r="73" spans="1:36" ht="13.5" thickBot="1" x14ac:dyDescent="0.25">
      <c r="A73" s="443"/>
      <c r="B73" s="40" t="s">
        <v>131</v>
      </c>
      <c r="C73" s="14">
        <f>[1]Salidas!$D96</f>
        <v>0</v>
      </c>
      <c r="D73" s="14">
        <f>[2]Salidas!$D96</f>
        <v>0</v>
      </c>
      <c r="E73" s="14">
        <f>[3]Salidas!$D96</f>
        <v>0</v>
      </c>
      <c r="F73" s="14">
        <f>[4]Salidas!$D96</f>
        <v>0</v>
      </c>
      <c r="G73" s="14">
        <f>[5]Salidas!$D96</f>
        <v>0</v>
      </c>
      <c r="H73" s="14">
        <f>[6]Salidas!$D96</f>
        <v>0</v>
      </c>
      <c r="I73" s="14">
        <f>[7]Salidas!$D96</f>
        <v>0</v>
      </c>
      <c r="J73" s="14">
        <f>[8]Salidas!$D96</f>
        <v>0</v>
      </c>
      <c r="K73" s="14">
        <f>[9]Salidas!$D96</f>
        <v>0</v>
      </c>
      <c r="L73" s="14">
        <f>[10]Salidas!$D96</f>
        <v>0</v>
      </c>
      <c r="M73" s="14">
        <f>[11]Salidas!$D96</f>
        <v>0</v>
      </c>
      <c r="N73" s="14">
        <f>[12]Salidas!$D96</f>
        <v>0</v>
      </c>
      <c r="O73" s="14">
        <f>[13]Salidas!$D96</f>
        <v>0</v>
      </c>
      <c r="P73" s="14">
        <f>[14]Salidas!$D96</f>
        <v>0</v>
      </c>
      <c r="Q73" s="14">
        <f>[15]Salidas!$D96</f>
        <v>0</v>
      </c>
      <c r="R73" s="14">
        <f>[16]Salidas!$D96</f>
        <v>0</v>
      </c>
      <c r="S73" s="14">
        <f>[17]Salidas!$D96</f>
        <v>0</v>
      </c>
      <c r="T73" s="14">
        <f>[18]Salidas!$D96</f>
        <v>0</v>
      </c>
      <c r="U73" s="14">
        <f>[19]Salidas!$D96</f>
        <v>0</v>
      </c>
      <c r="V73" s="14">
        <f>[20]Salidas!$D96</f>
        <v>0</v>
      </c>
      <c r="W73" s="14">
        <f>[21]Salidas!$D96</f>
        <v>0</v>
      </c>
      <c r="X73" s="14">
        <f>[22]Salidas!$D96</f>
        <v>0</v>
      </c>
      <c r="Y73" s="14">
        <f>[23]Salidas!$D96</f>
        <v>0</v>
      </c>
      <c r="Z73" s="14">
        <f>[24]Salidas!$D96</f>
        <v>0</v>
      </c>
      <c r="AA73" s="14">
        <f>[25]Salidas!$D96</f>
        <v>0</v>
      </c>
      <c r="AB73" s="14">
        <f>[26]Salidas!$D96</f>
        <v>0</v>
      </c>
      <c r="AC73" s="14">
        <f>[27]Salidas!$D96</f>
        <v>0</v>
      </c>
      <c r="AD73" s="14">
        <f>[28]Salidas!$D96</f>
        <v>0</v>
      </c>
      <c r="AE73" s="14">
        <f>[29]Salidas!$D96</f>
        <v>0</v>
      </c>
      <c r="AF73" s="14">
        <f>[30]Salidas!$D96</f>
        <v>0</v>
      </c>
      <c r="AG73" s="14">
        <f>[31]Salidas!$D96</f>
        <v>21</v>
      </c>
      <c r="AH73" s="14">
        <f>[32]Salidas!$D96</f>
        <v>1733</v>
      </c>
      <c r="AI73" s="14">
        <f>[33]Salidas!$D96</f>
        <v>1573</v>
      </c>
      <c r="AJ73" s="14">
        <f>[34]Salidas!$D96</f>
        <v>663</v>
      </c>
    </row>
    <row r="74" spans="1:36" x14ac:dyDescent="0.2">
      <c r="A74" s="443"/>
      <c r="B74" s="85" t="s">
        <v>140</v>
      </c>
      <c r="C74" s="14">
        <f>[1]Salidas!$D97</f>
        <v>3437</v>
      </c>
      <c r="D74" s="14">
        <f>[2]Salidas!$D97</f>
        <v>3525</v>
      </c>
      <c r="E74" s="14">
        <f>[3]Salidas!$D97</f>
        <v>3488</v>
      </c>
      <c r="F74" s="14">
        <f>[4]Salidas!$D97</f>
        <v>3433</v>
      </c>
      <c r="G74" s="14">
        <f>[5]Salidas!$D97</f>
        <v>2602</v>
      </c>
      <c r="H74" s="14">
        <f>[6]Salidas!$D97</f>
        <v>847</v>
      </c>
      <c r="I74" s="14">
        <f>[7]Salidas!$D97</f>
        <v>3456</v>
      </c>
      <c r="J74" s="14">
        <f>[8]Salidas!$D97</f>
        <v>3631</v>
      </c>
      <c r="K74" s="14">
        <f>[9]Salidas!$D97</f>
        <v>3396</v>
      </c>
      <c r="L74" s="14">
        <f>[10]Salidas!$D97</f>
        <v>3441</v>
      </c>
      <c r="M74" s="14">
        <f>[11]Salidas!$D97</f>
        <v>3712</v>
      </c>
      <c r="N74" s="14">
        <f>[12]Salidas!$D97</f>
        <v>2379</v>
      </c>
      <c r="O74" s="14">
        <f>[13]Salidas!$D97</f>
        <v>724</v>
      </c>
      <c r="P74" s="14">
        <f>[14]Salidas!$D97</f>
        <v>3151</v>
      </c>
      <c r="Q74" s="14">
        <f>[15]Salidas!$D97</f>
        <v>2782</v>
      </c>
      <c r="R74" s="14">
        <f>[16]Salidas!$D97</f>
        <v>3084</v>
      </c>
      <c r="S74" s="14">
        <f>[17]Salidas!$D97</f>
        <v>3128</v>
      </c>
      <c r="T74" s="14">
        <f>[18]Salidas!$D97</f>
        <v>3595</v>
      </c>
      <c r="U74" s="14">
        <f>[19]Salidas!$D97</f>
        <v>2527</v>
      </c>
      <c r="V74" s="14">
        <f>[20]Salidas!$D97</f>
        <v>815</v>
      </c>
      <c r="W74" s="14">
        <f>[21]Salidas!$D97</f>
        <v>3430</v>
      </c>
      <c r="X74" s="14">
        <f>[22]Salidas!$D97</f>
        <v>3451</v>
      </c>
      <c r="Y74" s="14">
        <f>[23]Salidas!$D97</f>
        <v>3448</v>
      </c>
      <c r="Z74" s="14">
        <f>[24]Salidas!$D97</f>
        <v>3493</v>
      </c>
      <c r="AA74" s="14">
        <f>[25]Salidas!$D97</f>
        <v>3613</v>
      </c>
      <c r="AB74" s="14">
        <f>[26]Salidas!$D97</f>
        <v>2602</v>
      </c>
      <c r="AC74" s="14">
        <f>[27]Salidas!$D97</f>
        <v>788</v>
      </c>
      <c r="AD74" s="14">
        <f>[28]Salidas!$D97</f>
        <v>3426</v>
      </c>
      <c r="AE74" s="14">
        <f>[29]Salidas!$D97</f>
        <v>3538</v>
      </c>
      <c r="AF74" s="14">
        <f>[30]Salidas!$D97</f>
        <v>3671</v>
      </c>
      <c r="AG74" s="14">
        <f>[31]Salidas!$D97</f>
        <v>3580</v>
      </c>
      <c r="AH74" s="14">
        <f>[32]Salidas!$D97</f>
        <v>3746</v>
      </c>
      <c r="AI74" s="14">
        <f>[33]Salidas!$D97</f>
        <v>2882</v>
      </c>
      <c r="AJ74" s="14">
        <f>[34]Salidas!$D97</f>
        <v>816</v>
      </c>
    </row>
    <row r="75" spans="1:36" x14ac:dyDescent="0.2">
      <c r="A75" s="443"/>
      <c r="B75" s="72" t="s">
        <v>141</v>
      </c>
      <c r="C75" s="14">
        <f>[1]Salidas!$D98</f>
        <v>1509</v>
      </c>
      <c r="D75" s="14">
        <f>[2]Salidas!$D98</f>
        <v>1546</v>
      </c>
      <c r="E75" s="14">
        <f>[3]Salidas!$D98</f>
        <v>1620</v>
      </c>
      <c r="F75" s="14">
        <f>[4]Salidas!$D98</f>
        <v>1561</v>
      </c>
      <c r="G75" s="14">
        <f>[5]Salidas!$D98</f>
        <v>1583</v>
      </c>
      <c r="H75" s="14">
        <f>[6]Salidas!$D98</f>
        <v>597</v>
      </c>
      <c r="I75" s="14">
        <f>[7]Salidas!$D98</f>
        <v>1512</v>
      </c>
      <c r="J75" s="14">
        <f>[8]Salidas!$D98</f>
        <v>1519</v>
      </c>
      <c r="K75" s="14">
        <f>[9]Salidas!$D98</f>
        <v>1414</v>
      </c>
      <c r="L75" s="14">
        <f>[10]Salidas!$D98</f>
        <v>1547</v>
      </c>
      <c r="M75" s="14">
        <f>[11]Salidas!$D98</f>
        <v>1682</v>
      </c>
      <c r="N75" s="14">
        <f>[12]Salidas!$D98</f>
        <v>1461</v>
      </c>
      <c r="O75" s="14">
        <f>[13]Salidas!$D98</f>
        <v>538</v>
      </c>
      <c r="P75" s="14">
        <f>[14]Salidas!$D98</f>
        <v>1540</v>
      </c>
      <c r="Q75" s="14">
        <f>[15]Salidas!$D98</f>
        <v>1116</v>
      </c>
      <c r="R75" s="14">
        <f>[16]Salidas!$D98</f>
        <v>1368</v>
      </c>
      <c r="S75" s="14">
        <f>[17]Salidas!$D98</f>
        <v>1344</v>
      </c>
      <c r="T75" s="14">
        <f>[18]Salidas!$D98</f>
        <v>1563</v>
      </c>
      <c r="U75" s="14">
        <f>[19]Salidas!$D98</f>
        <v>1505</v>
      </c>
      <c r="V75" s="14">
        <f>[20]Salidas!$D98</f>
        <v>612</v>
      </c>
      <c r="W75" s="14">
        <f>[21]Salidas!$D98</f>
        <v>1532</v>
      </c>
      <c r="X75" s="14">
        <f>[22]Salidas!$D98</f>
        <v>1469</v>
      </c>
      <c r="Y75" s="14">
        <f>[23]Salidas!$D98</f>
        <v>1655</v>
      </c>
      <c r="Z75" s="14">
        <f>[24]Salidas!$D98</f>
        <v>1548</v>
      </c>
      <c r="AA75" s="14">
        <f>[25]Salidas!$D98</f>
        <v>1538</v>
      </c>
      <c r="AB75" s="14">
        <f>[26]Salidas!$D98</f>
        <v>1431</v>
      </c>
      <c r="AC75" s="14">
        <f>[27]Salidas!$D98</f>
        <v>552</v>
      </c>
      <c r="AD75" s="14">
        <f>[28]Salidas!$D98</f>
        <v>1541</v>
      </c>
      <c r="AE75" s="14">
        <f>[29]Salidas!$D98</f>
        <v>1717</v>
      </c>
      <c r="AF75" s="14">
        <f>[30]Salidas!$D98</f>
        <v>1623</v>
      </c>
      <c r="AG75" s="14">
        <f>[31]Salidas!$D98</f>
        <v>1582</v>
      </c>
      <c r="AH75" s="14">
        <f>[32]Salidas!$D98</f>
        <v>1579</v>
      </c>
      <c r="AI75" s="14">
        <f>[33]Salidas!$D98</f>
        <v>1547</v>
      </c>
      <c r="AJ75" s="14">
        <f>[34]Salidas!$D98</f>
        <v>665</v>
      </c>
    </row>
    <row r="76" spans="1:36" x14ac:dyDescent="0.2">
      <c r="A76" s="443"/>
      <c r="B76" s="72" t="s">
        <v>142</v>
      </c>
      <c r="C76" s="14">
        <f>[1]Salidas!$D99</f>
        <v>3466</v>
      </c>
      <c r="D76" s="14">
        <f>[2]Salidas!$D99</f>
        <v>3562</v>
      </c>
      <c r="E76" s="14">
        <f>[3]Salidas!$D99</f>
        <v>3579</v>
      </c>
      <c r="F76" s="14">
        <f>[4]Salidas!$D99</f>
        <v>3539</v>
      </c>
      <c r="G76" s="14">
        <f>[5]Salidas!$D99</f>
        <v>3359</v>
      </c>
      <c r="H76" s="14">
        <f>[6]Salidas!$D99</f>
        <v>1279</v>
      </c>
      <c r="I76" s="14">
        <f>[7]Salidas!$D99</f>
        <v>3617</v>
      </c>
      <c r="J76" s="14">
        <f>[8]Salidas!$D99</f>
        <v>3603</v>
      </c>
      <c r="K76" s="14">
        <f>[9]Salidas!$D99</f>
        <v>3856</v>
      </c>
      <c r="L76" s="14">
        <f>[10]Salidas!$D99</f>
        <v>3569</v>
      </c>
      <c r="M76" s="14">
        <f>[11]Salidas!$D99</f>
        <v>3658</v>
      </c>
      <c r="N76" s="14">
        <f>[12]Salidas!$D99</f>
        <v>3201</v>
      </c>
      <c r="O76" s="14">
        <f>[13]Salidas!$D99</f>
        <v>1087</v>
      </c>
      <c r="P76" s="14">
        <f>[14]Salidas!$D99</f>
        <v>3479</v>
      </c>
      <c r="Q76" s="14">
        <f>[15]Salidas!$D99</f>
        <v>2762</v>
      </c>
      <c r="R76" s="14">
        <f>[16]Salidas!$D99</f>
        <v>3165</v>
      </c>
      <c r="S76" s="14">
        <f>[17]Salidas!$D99</f>
        <v>3248</v>
      </c>
      <c r="T76" s="14">
        <f>[18]Salidas!$D99</f>
        <v>3637</v>
      </c>
      <c r="U76" s="14">
        <f>[19]Salidas!$D99</f>
        <v>3129</v>
      </c>
      <c r="V76" s="14">
        <f>[20]Salidas!$D99</f>
        <v>1177</v>
      </c>
      <c r="W76" s="14">
        <f>[21]Salidas!$D99</f>
        <v>3566</v>
      </c>
      <c r="X76" s="14">
        <f>[22]Salidas!$D99</f>
        <v>3531</v>
      </c>
      <c r="Y76" s="14">
        <f>[23]Salidas!$D99</f>
        <v>3543</v>
      </c>
      <c r="Z76" s="14">
        <f>[24]Salidas!$D99</f>
        <v>3466</v>
      </c>
      <c r="AA76" s="14">
        <f>[25]Salidas!$D99</f>
        <v>3360</v>
      </c>
      <c r="AB76" s="14">
        <f>[26]Salidas!$D99</f>
        <v>3250</v>
      </c>
      <c r="AC76" s="14">
        <f>[27]Salidas!$D99</f>
        <v>1121</v>
      </c>
      <c r="AD76" s="14">
        <f>[28]Salidas!$D99</f>
        <v>3642</v>
      </c>
      <c r="AE76" s="14">
        <f>[29]Salidas!$D99</f>
        <v>3682</v>
      </c>
      <c r="AF76" s="14">
        <f>[30]Salidas!$D99</f>
        <v>3696</v>
      </c>
      <c r="AG76" s="14">
        <f>[31]Salidas!$D99</f>
        <v>3822</v>
      </c>
      <c r="AH76" s="14">
        <f>[32]Salidas!$D99</f>
        <v>3768</v>
      </c>
      <c r="AI76" s="14">
        <f>[33]Salidas!$D99</f>
        <v>3516</v>
      </c>
      <c r="AJ76" s="14">
        <f>[34]Salidas!$D99</f>
        <v>1177</v>
      </c>
    </row>
    <row r="77" spans="1:36" x14ac:dyDescent="0.2">
      <c r="A77" s="443"/>
      <c r="B77" s="72" t="s">
        <v>143</v>
      </c>
      <c r="C77" s="14">
        <f>[1]Salidas!$D100</f>
        <v>4039</v>
      </c>
      <c r="D77" s="14">
        <f>[2]Salidas!$D100</f>
        <v>4151</v>
      </c>
      <c r="E77" s="14">
        <f>[3]Salidas!$D100</f>
        <v>3974</v>
      </c>
      <c r="F77" s="14">
        <f>[4]Salidas!$D100</f>
        <v>4105</v>
      </c>
      <c r="G77" s="14">
        <f>[5]Salidas!$D100</f>
        <v>4705</v>
      </c>
      <c r="H77" s="14">
        <f>[6]Salidas!$D100</f>
        <v>2091</v>
      </c>
      <c r="I77" s="14">
        <f>[7]Salidas!$D100</f>
        <v>3943</v>
      </c>
      <c r="J77" s="14">
        <f>[8]Salidas!$D100</f>
        <v>3829</v>
      </c>
      <c r="K77" s="14">
        <f>[9]Salidas!$D100</f>
        <v>3661</v>
      </c>
      <c r="L77" s="14">
        <f>[10]Salidas!$D100</f>
        <v>3774</v>
      </c>
      <c r="M77" s="14">
        <f>[11]Salidas!$D100</f>
        <v>3955</v>
      </c>
      <c r="N77" s="14">
        <f>[12]Salidas!$D100</f>
        <v>4384</v>
      </c>
      <c r="O77" s="14">
        <f>[13]Salidas!$D100</f>
        <v>1808</v>
      </c>
      <c r="P77" s="14">
        <f>[14]Salidas!$D100</f>
        <v>3597</v>
      </c>
      <c r="Q77" s="14">
        <f>[15]Salidas!$D100</f>
        <v>2815</v>
      </c>
      <c r="R77" s="14">
        <f>[16]Salidas!$D100</f>
        <v>3322</v>
      </c>
      <c r="S77" s="14">
        <f>[17]Salidas!$D100</f>
        <v>3447</v>
      </c>
      <c r="T77" s="14">
        <f>[18]Salidas!$D100</f>
        <v>4018</v>
      </c>
      <c r="U77" s="14">
        <f>[19]Salidas!$D100</f>
        <v>4439</v>
      </c>
      <c r="V77" s="14">
        <f>[20]Salidas!$D100</f>
        <v>1911</v>
      </c>
      <c r="W77" s="14">
        <f>[21]Salidas!$D100</f>
        <v>3887</v>
      </c>
      <c r="X77" s="14">
        <f>[22]Salidas!$D100</f>
        <v>3768</v>
      </c>
      <c r="Y77" s="14">
        <f>[23]Salidas!$D100</f>
        <v>3580</v>
      </c>
      <c r="Z77" s="14">
        <f>[24]Salidas!$D100</f>
        <v>3629</v>
      </c>
      <c r="AA77" s="14">
        <f>[25]Salidas!$D100</f>
        <v>3878</v>
      </c>
      <c r="AB77" s="14">
        <f>[26]Salidas!$D100</f>
        <v>4465</v>
      </c>
      <c r="AC77" s="14">
        <f>[27]Salidas!$D100</f>
        <v>1938</v>
      </c>
      <c r="AD77" s="14">
        <f>[28]Salidas!$D100</f>
        <v>3860</v>
      </c>
      <c r="AE77" s="14">
        <f>[29]Salidas!$D100</f>
        <v>3969</v>
      </c>
      <c r="AF77" s="14">
        <f>[30]Salidas!$D100</f>
        <v>3842</v>
      </c>
      <c r="AG77" s="14">
        <f>[31]Salidas!$D100</f>
        <v>4077</v>
      </c>
      <c r="AH77" s="14">
        <f>[32]Salidas!$D100</f>
        <v>4428</v>
      </c>
      <c r="AI77" s="14">
        <f>[33]Salidas!$D100</f>
        <v>4939</v>
      </c>
      <c r="AJ77" s="14">
        <f>[34]Salidas!$D100</f>
        <v>2001</v>
      </c>
    </row>
    <row r="78" spans="1:36" x14ac:dyDescent="0.2">
      <c r="A78" s="443"/>
      <c r="B78" s="81" t="s">
        <v>144</v>
      </c>
      <c r="C78" s="140">
        <f>[1]Salidas!$D101</f>
        <v>0</v>
      </c>
      <c r="D78" s="140">
        <f>[2]Salidas!$D101</f>
        <v>0</v>
      </c>
      <c r="E78" s="140">
        <f>[3]Salidas!$D101</f>
        <v>0</v>
      </c>
      <c r="F78" s="140">
        <f>[4]Salidas!$D101</f>
        <v>0</v>
      </c>
      <c r="G78" s="140">
        <f>[5]Salidas!$D101</f>
        <v>0</v>
      </c>
      <c r="H78" s="140">
        <f>[6]Salidas!$D101</f>
        <v>0</v>
      </c>
      <c r="I78" s="140">
        <f>[7]Salidas!$D101</f>
        <v>0</v>
      </c>
      <c r="J78" s="140">
        <f>[8]Salidas!$D101</f>
        <v>0</v>
      </c>
      <c r="K78" s="140">
        <f>[9]Salidas!$D101</f>
        <v>0</v>
      </c>
      <c r="L78" s="140">
        <f>[10]Salidas!$D101</f>
        <v>0</v>
      </c>
      <c r="M78" s="140">
        <f>[11]Salidas!$D101</f>
        <v>0</v>
      </c>
      <c r="N78" s="140">
        <f>[12]Salidas!$D101</f>
        <v>0</v>
      </c>
      <c r="O78" s="140">
        <f>[13]Salidas!$D101</f>
        <v>0</v>
      </c>
      <c r="P78" s="140">
        <f>[14]Salidas!$D101</f>
        <v>0</v>
      </c>
      <c r="Q78" s="140">
        <f>[15]Salidas!$D101</f>
        <v>0</v>
      </c>
      <c r="R78" s="140">
        <f>[16]Salidas!$D101</f>
        <v>0</v>
      </c>
      <c r="S78" s="140">
        <f>[17]Salidas!$D101</f>
        <v>0</v>
      </c>
      <c r="T78" s="140">
        <f>[18]Salidas!$D101</f>
        <v>0</v>
      </c>
      <c r="U78" s="140">
        <f>[19]Salidas!$D101</f>
        <v>0</v>
      </c>
      <c r="V78" s="140">
        <f>[20]Salidas!$D101</f>
        <v>0</v>
      </c>
      <c r="W78" s="140">
        <f>[21]Salidas!$D101</f>
        <v>0</v>
      </c>
      <c r="X78" s="140">
        <f>[22]Salidas!$D101</f>
        <v>0</v>
      </c>
      <c r="Y78" s="140">
        <f>[23]Salidas!$D101</f>
        <v>0</v>
      </c>
      <c r="Z78" s="140">
        <f>[24]Salidas!$D101</f>
        <v>0</v>
      </c>
      <c r="AA78" s="140">
        <f>[25]Salidas!$D101</f>
        <v>0</v>
      </c>
      <c r="AB78" s="140">
        <f>[26]Salidas!$D101</f>
        <v>0</v>
      </c>
      <c r="AC78" s="140">
        <f>[27]Salidas!$D101</f>
        <v>0</v>
      </c>
      <c r="AD78" s="140">
        <f>[28]Salidas!$D101</f>
        <v>0</v>
      </c>
      <c r="AE78" s="140">
        <f>[29]Salidas!$D101</f>
        <v>0</v>
      </c>
      <c r="AF78" s="140">
        <f>[30]Salidas!$D101</f>
        <v>0</v>
      </c>
      <c r="AG78" s="140">
        <f>[31]Salidas!$D101</f>
        <v>0</v>
      </c>
      <c r="AH78" s="140">
        <f>[32]Salidas!$D101</f>
        <v>0</v>
      </c>
      <c r="AI78" s="140">
        <f>[33]Salidas!$D101</f>
        <v>0</v>
      </c>
      <c r="AJ78" s="140">
        <f>[34]Salidas!$D101</f>
        <v>0</v>
      </c>
    </row>
    <row r="79" spans="1:36" x14ac:dyDescent="0.2">
      <c r="A79" s="443"/>
      <c r="B79" s="81" t="s">
        <v>145</v>
      </c>
      <c r="C79" s="140">
        <f>[1]Salidas!$D102</f>
        <v>5645</v>
      </c>
      <c r="D79" s="140">
        <f>[2]Salidas!$D102</f>
        <v>5576</v>
      </c>
      <c r="E79" s="140">
        <f>[3]Salidas!$D102</f>
        <v>5646</v>
      </c>
      <c r="F79" s="140">
        <f>[4]Salidas!$D102</f>
        <v>5746</v>
      </c>
      <c r="G79" s="140">
        <f>[5]Salidas!$D102</f>
        <v>4368</v>
      </c>
      <c r="H79" s="140">
        <f>[6]Salidas!$D102</f>
        <v>975</v>
      </c>
      <c r="I79" s="140">
        <f>[7]Salidas!$D102</f>
        <v>5515</v>
      </c>
      <c r="J79" s="140">
        <f>[8]Salidas!$D102</f>
        <v>5496</v>
      </c>
      <c r="K79" s="140">
        <f>[9]Salidas!$D102</f>
        <v>5692</v>
      </c>
      <c r="L79" s="140">
        <f>[10]Salidas!$D102</f>
        <v>5419</v>
      </c>
      <c r="M79" s="140">
        <f>[11]Salidas!$D102</f>
        <v>5460</v>
      </c>
      <c r="N79" s="140">
        <f>[12]Salidas!$D102</f>
        <v>4187</v>
      </c>
      <c r="O79" s="140">
        <f>[13]Salidas!$D102</f>
        <v>893</v>
      </c>
      <c r="P79" s="140">
        <f>[14]Salidas!$D102</f>
        <v>5598</v>
      </c>
      <c r="Q79" s="140">
        <f>[15]Salidas!$D102</f>
        <v>4599</v>
      </c>
      <c r="R79" s="140">
        <f>[16]Salidas!$D102</f>
        <v>5018</v>
      </c>
      <c r="S79" s="140">
        <f>[17]Salidas!$D102</f>
        <v>5054</v>
      </c>
      <c r="T79" s="140">
        <f>[18]Salidas!$D102</f>
        <v>5617</v>
      </c>
      <c r="U79" s="140">
        <f>[19]Salidas!$D102</f>
        <v>4241</v>
      </c>
      <c r="V79" s="140">
        <f>[20]Salidas!$D102</f>
        <v>810</v>
      </c>
      <c r="W79" s="140">
        <f>[21]Salidas!$D102</f>
        <v>5404</v>
      </c>
      <c r="X79" s="140">
        <f>[22]Salidas!$D102</f>
        <v>5458</v>
      </c>
      <c r="Y79" s="140">
        <f>[23]Salidas!$D102</f>
        <v>5261</v>
      </c>
      <c r="Z79" s="140">
        <f>[24]Salidas!$D102</f>
        <v>5238</v>
      </c>
      <c r="AA79" s="140">
        <f>[25]Salidas!$D102</f>
        <v>5520</v>
      </c>
      <c r="AB79" s="140">
        <f>[26]Salidas!$D102</f>
        <v>4137</v>
      </c>
      <c r="AC79" s="140">
        <f>[27]Salidas!$D102</f>
        <v>927</v>
      </c>
      <c r="AD79" s="140">
        <f>[28]Salidas!$D102</f>
        <v>5533</v>
      </c>
      <c r="AE79" s="140">
        <f>[29]Salidas!$D102</f>
        <v>5575</v>
      </c>
      <c r="AF79" s="140">
        <f>[30]Salidas!$D102</f>
        <v>5596</v>
      </c>
      <c r="AG79" s="140">
        <f>[31]Salidas!$D102</f>
        <v>5614</v>
      </c>
      <c r="AH79" s="140">
        <f>[32]Salidas!$D102</f>
        <v>5996</v>
      </c>
      <c r="AI79" s="140">
        <f>[33]Salidas!$D102</f>
        <v>4354</v>
      </c>
      <c r="AJ79" s="140">
        <f>[34]Salidas!$D102</f>
        <v>983</v>
      </c>
    </row>
    <row r="80" spans="1:36" x14ac:dyDescent="0.2">
      <c r="A80" s="443"/>
      <c r="B80" s="72" t="s">
        <v>146</v>
      </c>
      <c r="C80" s="14">
        <f>[1]Salidas!$D103</f>
        <v>2261</v>
      </c>
      <c r="D80" s="14">
        <f>[2]Salidas!$D103</f>
        <v>2332</v>
      </c>
      <c r="E80" s="14">
        <f>[3]Salidas!$D103</f>
        <v>2296</v>
      </c>
      <c r="F80" s="14">
        <f>[4]Salidas!$D103</f>
        <v>2615</v>
      </c>
      <c r="G80" s="14">
        <f>[5]Salidas!$D103</f>
        <v>1190</v>
      </c>
      <c r="H80" s="14">
        <f>[6]Salidas!$D103</f>
        <v>274</v>
      </c>
      <c r="I80" s="14">
        <f>[7]Salidas!$D103</f>
        <v>2247</v>
      </c>
      <c r="J80" s="14">
        <f>[8]Salidas!$D103</f>
        <v>2248</v>
      </c>
      <c r="K80" s="14">
        <f>[9]Salidas!$D103</f>
        <v>2388</v>
      </c>
      <c r="L80" s="14">
        <f>[10]Salidas!$D103</f>
        <v>2223</v>
      </c>
      <c r="M80" s="14">
        <f>[11]Salidas!$D103</f>
        <v>2355</v>
      </c>
      <c r="N80" s="14">
        <f>[12]Salidas!$D103</f>
        <v>1189</v>
      </c>
      <c r="O80" s="14">
        <f>[13]Salidas!$D103</f>
        <v>250</v>
      </c>
      <c r="P80" s="14">
        <f>[14]Salidas!$D103</f>
        <v>2232</v>
      </c>
      <c r="Q80" s="14">
        <f>[15]Salidas!$D103</f>
        <v>1933</v>
      </c>
      <c r="R80" s="14">
        <f>[16]Salidas!$D103</f>
        <v>2191</v>
      </c>
      <c r="S80" s="14">
        <f>[17]Salidas!$D103</f>
        <v>2168</v>
      </c>
      <c r="T80" s="14">
        <f>[18]Salidas!$D103</f>
        <v>2291</v>
      </c>
      <c r="U80" s="14">
        <f>[19]Salidas!$D103</f>
        <v>1180</v>
      </c>
      <c r="V80" s="14">
        <f>[20]Salidas!$D103</f>
        <v>238</v>
      </c>
      <c r="W80" s="14">
        <f>[21]Salidas!$D103</f>
        <v>2282</v>
      </c>
      <c r="X80" s="14">
        <f>[22]Salidas!$D103</f>
        <v>2207</v>
      </c>
      <c r="Y80" s="14">
        <f>[23]Salidas!$D103</f>
        <v>2357</v>
      </c>
      <c r="Z80" s="14">
        <f>[24]Salidas!$D103</f>
        <v>2219</v>
      </c>
      <c r="AA80" s="14">
        <f>[25]Salidas!$D103</f>
        <v>2266</v>
      </c>
      <c r="AB80" s="14">
        <f>[26]Salidas!$D103</f>
        <v>1219</v>
      </c>
      <c r="AC80" s="14">
        <f>[27]Salidas!$D103</f>
        <v>286</v>
      </c>
      <c r="AD80" s="14">
        <f>[28]Salidas!$D103</f>
        <v>2372</v>
      </c>
      <c r="AE80" s="14">
        <f>[29]Salidas!$D103</f>
        <v>2314</v>
      </c>
      <c r="AF80" s="14">
        <f>[30]Salidas!$D103</f>
        <v>2445</v>
      </c>
      <c r="AG80" s="14">
        <f>[31]Salidas!$D103</f>
        <v>2300</v>
      </c>
      <c r="AH80" s="14">
        <f>[32]Salidas!$D103</f>
        <v>2365</v>
      </c>
      <c r="AI80" s="14">
        <f>[33]Salidas!$D103</f>
        <v>1281</v>
      </c>
      <c r="AJ80" s="14">
        <f>[34]Salidas!$D103</f>
        <v>276</v>
      </c>
    </row>
    <row r="81" spans="1:36" x14ac:dyDescent="0.2">
      <c r="A81" s="443"/>
      <c r="B81" s="72" t="s">
        <v>147</v>
      </c>
      <c r="C81" s="14">
        <f>[1]Salidas!$D104</f>
        <v>3580</v>
      </c>
      <c r="D81" s="14">
        <f>[2]Salidas!$D104</f>
        <v>3713</v>
      </c>
      <c r="E81" s="14">
        <f>[3]Salidas!$D104</f>
        <v>3587</v>
      </c>
      <c r="F81" s="14">
        <f>[4]Salidas!$D104</f>
        <v>3702</v>
      </c>
      <c r="G81" s="14">
        <f>[5]Salidas!$D104</f>
        <v>1635</v>
      </c>
      <c r="H81" s="14">
        <f>[6]Salidas!$D104</f>
        <v>610</v>
      </c>
      <c r="I81" s="14">
        <f>[7]Salidas!$D104</f>
        <v>3745</v>
      </c>
      <c r="J81" s="14">
        <f>[8]Salidas!$D104</f>
        <v>3624</v>
      </c>
      <c r="K81" s="14">
        <f>[9]Salidas!$D104</f>
        <v>3733</v>
      </c>
      <c r="L81" s="14">
        <f>[10]Salidas!$D104</f>
        <v>3620</v>
      </c>
      <c r="M81" s="14">
        <f>[11]Salidas!$D104</f>
        <v>3489</v>
      </c>
      <c r="N81" s="14">
        <f>[12]Salidas!$D104</f>
        <v>1669</v>
      </c>
      <c r="O81" s="14">
        <f>[13]Salidas!$D104</f>
        <v>595</v>
      </c>
      <c r="P81" s="14">
        <f>[14]Salidas!$D104</f>
        <v>3446</v>
      </c>
      <c r="Q81" s="14">
        <f>[15]Salidas!$D104</f>
        <v>2741</v>
      </c>
      <c r="R81" s="14">
        <f>[16]Salidas!$D104</f>
        <v>3151</v>
      </c>
      <c r="S81" s="14">
        <f>[17]Salidas!$D104</f>
        <v>3215</v>
      </c>
      <c r="T81" s="14">
        <f>[18]Salidas!$D104</f>
        <v>3592</v>
      </c>
      <c r="U81" s="14">
        <f>[19]Salidas!$D104</f>
        <v>1617</v>
      </c>
      <c r="V81" s="14">
        <f>[20]Salidas!$D104</f>
        <v>508</v>
      </c>
      <c r="W81" s="14">
        <f>[21]Salidas!$D104</f>
        <v>3567</v>
      </c>
      <c r="X81" s="14">
        <f>[22]Salidas!$D104</f>
        <v>3623</v>
      </c>
      <c r="Y81" s="14">
        <f>[23]Salidas!$D104</f>
        <v>3598</v>
      </c>
      <c r="Z81" s="14">
        <f>[24]Salidas!$D104</f>
        <v>3551</v>
      </c>
      <c r="AA81" s="14">
        <f>[25]Salidas!$D104</f>
        <v>3497</v>
      </c>
      <c r="AB81" s="14">
        <f>[26]Salidas!$D104</f>
        <v>1647</v>
      </c>
      <c r="AC81" s="14">
        <f>[27]Salidas!$D104</f>
        <v>603</v>
      </c>
      <c r="AD81" s="14">
        <f>[28]Salidas!$D104</f>
        <v>3836</v>
      </c>
      <c r="AE81" s="14">
        <f>[29]Salidas!$D104</f>
        <v>3726</v>
      </c>
      <c r="AF81" s="14">
        <f>[30]Salidas!$D104</f>
        <v>3828</v>
      </c>
      <c r="AG81" s="14">
        <f>[31]Salidas!$D104</f>
        <v>3639</v>
      </c>
      <c r="AH81" s="14">
        <f>[32]Salidas!$D104</f>
        <v>3600</v>
      </c>
      <c r="AI81" s="14">
        <f>[33]Salidas!$D104</f>
        <v>1810</v>
      </c>
      <c r="AJ81" s="14">
        <f>[34]Salidas!$D104</f>
        <v>546</v>
      </c>
    </row>
    <row r="82" spans="1:36" x14ac:dyDescent="0.2">
      <c r="A82" s="443"/>
      <c r="B82" s="72" t="s">
        <v>148</v>
      </c>
      <c r="C82" s="14">
        <f>[1]Salidas!$D105</f>
        <v>3660</v>
      </c>
      <c r="D82" s="14">
        <f>[2]Salidas!$D105</f>
        <v>3583</v>
      </c>
      <c r="E82" s="14">
        <f>[3]Salidas!$D105</f>
        <v>3550</v>
      </c>
      <c r="F82" s="14">
        <f>[4]Salidas!$D105</f>
        <v>3338</v>
      </c>
      <c r="G82" s="14">
        <f>[5]Salidas!$D105</f>
        <v>2226</v>
      </c>
      <c r="H82" s="14">
        <f>[6]Salidas!$D105</f>
        <v>687</v>
      </c>
      <c r="I82" s="14">
        <f>[7]Salidas!$D105</f>
        <v>3526</v>
      </c>
      <c r="J82" s="14">
        <f>[8]Salidas!$D105</f>
        <v>3803</v>
      </c>
      <c r="K82" s="14">
        <f>[9]Salidas!$D105</f>
        <v>3599</v>
      </c>
      <c r="L82" s="14">
        <f>[10]Salidas!$D105</f>
        <v>3622</v>
      </c>
      <c r="M82" s="14">
        <f>[11]Salidas!$D105</f>
        <v>3598</v>
      </c>
      <c r="N82" s="14">
        <f>[12]Salidas!$D105</f>
        <v>2181</v>
      </c>
      <c r="O82" s="14">
        <f>[13]Salidas!$D105</f>
        <v>598</v>
      </c>
      <c r="P82" s="14">
        <f>[14]Salidas!$D105</f>
        <v>3517</v>
      </c>
      <c r="Q82" s="14">
        <f>[15]Salidas!$D105</f>
        <v>3350</v>
      </c>
      <c r="R82" s="14">
        <f>[16]Salidas!$D105</f>
        <v>3249</v>
      </c>
      <c r="S82" s="14">
        <f>[17]Salidas!$D105</f>
        <v>3476</v>
      </c>
      <c r="T82" s="14">
        <f>[18]Salidas!$D105</f>
        <v>3790</v>
      </c>
      <c r="U82" s="14">
        <f>[19]Salidas!$D105</f>
        <v>2228</v>
      </c>
      <c r="V82" s="14">
        <f>[20]Salidas!$D105</f>
        <v>630</v>
      </c>
      <c r="W82" s="14">
        <f>[21]Salidas!$D105</f>
        <v>3682</v>
      </c>
      <c r="X82" s="14">
        <f>[22]Salidas!$D105</f>
        <v>3631</v>
      </c>
      <c r="Y82" s="14">
        <f>[23]Salidas!$D105</f>
        <v>3672</v>
      </c>
      <c r="Z82" s="14">
        <f>[24]Salidas!$D105</f>
        <v>3555</v>
      </c>
      <c r="AA82" s="14">
        <f>[25]Salidas!$D105</f>
        <v>3692</v>
      </c>
      <c r="AB82" s="14">
        <f>[26]Salidas!$D105</f>
        <v>2305</v>
      </c>
      <c r="AC82" s="14">
        <f>[27]Salidas!$D105</f>
        <v>619</v>
      </c>
      <c r="AD82" s="14">
        <f>[28]Salidas!$D105</f>
        <v>3784</v>
      </c>
      <c r="AE82" s="14">
        <f>[29]Salidas!$D105</f>
        <v>3695</v>
      </c>
      <c r="AF82" s="14">
        <f>[30]Salidas!$D105</f>
        <v>3531</v>
      </c>
      <c r="AG82" s="14">
        <f>[31]Salidas!$D105</f>
        <v>3785</v>
      </c>
      <c r="AH82" s="14">
        <f>[32]Salidas!$D105</f>
        <v>3765</v>
      </c>
      <c r="AI82" s="14">
        <f>[33]Salidas!$D105</f>
        <v>2433</v>
      </c>
      <c r="AJ82" s="14">
        <f>[34]Salidas!$D105</f>
        <v>604</v>
      </c>
    </row>
    <row r="83" spans="1:36" x14ac:dyDescent="0.2">
      <c r="A83" s="443"/>
      <c r="B83" s="72" t="s">
        <v>149</v>
      </c>
      <c r="C83" s="14">
        <f>[1]Salidas!$D106</f>
        <v>5805</v>
      </c>
      <c r="D83" s="14">
        <f>[2]Salidas!$D106</f>
        <v>5804</v>
      </c>
      <c r="E83" s="14">
        <f>[3]Salidas!$D106</f>
        <v>5671</v>
      </c>
      <c r="F83" s="14">
        <f>[4]Salidas!$D106</f>
        <v>4449</v>
      </c>
      <c r="G83" s="14">
        <f>[5]Salidas!$D106</f>
        <v>3950</v>
      </c>
      <c r="H83" s="14">
        <f>[6]Salidas!$D106</f>
        <v>1611</v>
      </c>
      <c r="I83" s="14">
        <f>[7]Salidas!$D106</f>
        <v>5794</v>
      </c>
      <c r="J83" s="14">
        <f>[8]Salidas!$D106</f>
        <v>5655</v>
      </c>
      <c r="K83" s="14">
        <f>[9]Salidas!$D106</f>
        <v>5565</v>
      </c>
      <c r="L83" s="14">
        <f>[10]Salidas!$D106</f>
        <v>5648</v>
      </c>
      <c r="M83" s="14">
        <f>[11]Salidas!$D106</f>
        <v>5465</v>
      </c>
      <c r="N83" s="14">
        <f>[12]Salidas!$D106</f>
        <v>3965</v>
      </c>
      <c r="O83" s="14">
        <f>[13]Salidas!$D106</f>
        <v>1457</v>
      </c>
      <c r="P83" s="14">
        <f>[14]Salidas!$D106</f>
        <v>5468</v>
      </c>
      <c r="Q83" s="14">
        <f>[15]Salidas!$D106</f>
        <v>5832</v>
      </c>
      <c r="R83" s="14">
        <f>[16]Salidas!$D106</f>
        <v>4953</v>
      </c>
      <c r="S83" s="14">
        <f>[17]Salidas!$D106</f>
        <v>4892</v>
      </c>
      <c r="T83" s="14">
        <f>[18]Salidas!$D106</f>
        <v>5606</v>
      </c>
      <c r="U83" s="14">
        <f>[19]Salidas!$D106</f>
        <v>3875</v>
      </c>
      <c r="V83" s="14">
        <f>[20]Salidas!$D106</f>
        <v>1443</v>
      </c>
      <c r="W83" s="14">
        <f>[21]Salidas!$D106</f>
        <v>5529</v>
      </c>
      <c r="X83" s="14">
        <f>[22]Salidas!$D106</f>
        <v>5419</v>
      </c>
      <c r="Y83" s="14">
        <f>[23]Salidas!$D106</f>
        <v>5438</v>
      </c>
      <c r="Z83" s="14">
        <f>[24]Salidas!$D106</f>
        <v>5558</v>
      </c>
      <c r="AA83" s="14">
        <f>[25]Salidas!$D106</f>
        <v>5516</v>
      </c>
      <c r="AB83" s="14">
        <f>[26]Salidas!$D106</f>
        <v>3969</v>
      </c>
      <c r="AC83" s="14">
        <f>[27]Salidas!$D106</f>
        <v>1389</v>
      </c>
      <c r="AD83" s="14">
        <f>[28]Salidas!$D106</f>
        <v>5936</v>
      </c>
      <c r="AE83" s="14">
        <f>[29]Salidas!$D106</f>
        <v>5976</v>
      </c>
      <c r="AF83" s="14">
        <f>[30]Salidas!$D106</f>
        <v>6263</v>
      </c>
      <c r="AG83" s="14">
        <f>[31]Salidas!$D106</f>
        <v>6104</v>
      </c>
      <c r="AH83" s="14">
        <f>[32]Salidas!$D106</f>
        <v>6244</v>
      </c>
      <c r="AI83" s="14">
        <f>[33]Salidas!$D106</f>
        <v>4296</v>
      </c>
      <c r="AJ83" s="14">
        <f>[34]Salidas!$D106</f>
        <v>1714</v>
      </c>
    </row>
    <row r="84" spans="1:36" x14ac:dyDescent="0.2">
      <c r="A84" s="443"/>
      <c r="B84" s="72" t="s">
        <v>150</v>
      </c>
      <c r="C84" s="14">
        <f>[1]Salidas!$D107</f>
        <v>2696</v>
      </c>
      <c r="D84" s="14">
        <f>[2]Salidas!$D107</f>
        <v>2720</v>
      </c>
      <c r="E84" s="14">
        <f>[3]Salidas!$D107</f>
        <v>2730</v>
      </c>
      <c r="F84" s="14">
        <f>[4]Salidas!$D107</f>
        <v>2786</v>
      </c>
      <c r="G84" s="14">
        <f>[5]Salidas!$D107</f>
        <v>1381</v>
      </c>
      <c r="H84" s="14">
        <f>[6]Salidas!$D107</f>
        <v>376</v>
      </c>
      <c r="I84" s="14">
        <f>[7]Salidas!$D107</f>
        <v>2807</v>
      </c>
      <c r="J84" s="14">
        <f>[8]Salidas!$D107</f>
        <v>2722</v>
      </c>
      <c r="K84" s="14">
        <f>[9]Salidas!$D107</f>
        <v>2760</v>
      </c>
      <c r="L84" s="14">
        <f>[10]Salidas!$D107</f>
        <v>2836</v>
      </c>
      <c r="M84" s="14">
        <f>[11]Salidas!$D107</f>
        <v>2934</v>
      </c>
      <c r="N84" s="14">
        <f>[12]Salidas!$D107</f>
        <v>1440</v>
      </c>
      <c r="O84" s="14">
        <f>[13]Salidas!$D107</f>
        <v>329</v>
      </c>
      <c r="P84" s="14">
        <f>[14]Salidas!$D107</f>
        <v>2854</v>
      </c>
      <c r="Q84" s="14">
        <f>[15]Salidas!$D107</f>
        <v>2337</v>
      </c>
      <c r="R84" s="14">
        <f>[16]Salidas!$D107</f>
        <v>2609</v>
      </c>
      <c r="S84" s="14">
        <f>[17]Salidas!$D107</f>
        <v>2600</v>
      </c>
      <c r="T84" s="14">
        <f>[18]Salidas!$D107</f>
        <v>2771</v>
      </c>
      <c r="U84" s="14">
        <f>[19]Salidas!$D107</f>
        <v>1537</v>
      </c>
      <c r="V84" s="14">
        <f>[20]Salidas!$D107</f>
        <v>344</v>
      </c>
      <c r="W84" s="14">
        <f>[21]Salidas!$D107</f>
        <v>2848</v>
      </c>
      <c r="X84" s="14">
        <f>[22]Salidas!$D107</f>
        <v>2793</v>
      </c>
      <c r="Y84" s="14">
        <f>[23]Salidas!$D107</f>
        <v>2748</v>
      </c>
      <c r="Z84" s="14">
        <f>[24]Salidas!$D107</f>
        <v>2830</v>
      </c>
      <c r="AA84" s="14">
        <f>[25]Salidas!$D107</f>
        <v>2849</v>
      </c>
      <c r="AB84" s="14">
        <f>[26]Salidas!$D107</f>
        <v>1410</v>
      </c>
      <c r="AC84" s="14">
        <f>[27]Salidas!$D107</f>
        <v>402</v>
      </c>
      <c r="AD84" s="14">
        <f>[28]Salidas!$D107</f>
        <v>2826</v>
      </c>
      <c r="AE84" s="14">
        <f>[29]Salidas!$D107</f>
        <v>2838</v>
      </c>
      <c r="AF84" s="14">
        <f>[30]Salidas!$D107</f>
        <v>2999</v>
      </c>
      <c r="AG84" s="14">
        <f>[31]Salidas!$D107</f>
        <v>2936</v>
      </c>
      <c r="AH84" s="14">
        <f>[32]Salidas!$D107</f>
        <v>2882</v>
      </c>
      <c r="AI84" s="14">
        <f>[33]Salidas!$D107</f>
        <v>1513</v>
      </c>
      <c r="AJ84" s="14">
        <f>[34]Salidas!$D107</f>
        <v>397</v>
      </c>
    </row>
    <row r="85" spans="1:36" x14ac:dyDescent="0.2">
      <c r="A85" s="443"/>
      <c r="B85" s="72" t="s">
        <v>151</v>
      </c>
      <c r="C85" s="14">
        <f>[1]Salidas!$D108</f>
        <v>672</v>
      </c>
      <c r="D85" s="14">
        <f>[2]Salidas!$D108</f>
        <v>634</v>
      </c>
      <c r="E85" s="14">
        <f>[3]Salidas!$D108</f>
        <v>680</v>
      </c>
      <c r="F85" s="14">
        <f>[4]Salidas!$D108</f>
        <v>1805</v>
      </c>
      <c r="G85" s="14">
        <f>[5]Salidas!$D108</f>
        <v>308</v>
      </c>
      <c r="H85" s="14">
        <f>[6]Salidas!$D108</f>
        <v>169</v>
      </c>
      <c r="I85" s="14">
        <f>[7]Salidas!$D108</f>
        <v>725</v>
      </c>
      <c r="J85" s="14">
        <f>[8]Salidas!$D108</f>
        <v>699</v>
      </c>
      <c r="K85" s="14">
        <f>[9]Salidas!$D108</f>
        <v>643</v>
      </c>
      <c r="L85" s="14">
        <f>[10]Salidas!$D108</f>
        <v>738</v>
      </c>
      <c r="M85" s="14">
        <f>[11]Salidas!$D108</f>
        <v>681</v>
      </c>
      <c r="N85" s="14">
        <f>[12]Salidas!$D108</f>
        <v>410</v>
      </c>
      <c r="O85" s="14">
        <f>[13]Salidas!$D108</f>
        <v>141</v>
      </c>
      <c r="P85" s="14">
        <f>[14]Salidas!$D108</f>
        <v>722</v>
      </c>
      <c r="Q85" s="14">
        <f>[15]Salidas!$D108</f>
        <v>523</v>
      </c>
      <c r="R85" s="14">
        <f>[16]Salidas!$D108</f>
        <v>533</v>
      </c>
      <c r="S85" s="14">
        <f>[17]Salidas!$D108</f>
        <v>554</v>
      </c>
      <c r="T85" s="14">
        <f>[18]Salidas!$D108</f>
        <v>642</v>
      </c>
      <c r="U85" s="14">
        <f>[19]Salidas!$D108</f>
        <v>429</v>
      </c>
      <c r="V85" s="14">
        <f>[20]Salidas!$D108</f>
        <v>162</v>
      </c>
      <c r="W85" s="14">
        <f>[21]Salidas!$D108</f>
        <v>711</v>
      </c>
      <c r="X85" s="14">
        <f>[22]Salidas!$D108</f>
        <v>708</v>
      </c>
      <c r="Y85" s="14">
        <f>[23]Salidas!$D108</f>
        <v>688</v>
      </c>
      <c r="Z85" s="14">
        <f>[24]Salidas!$D108</f>
        <v>722</v>
      </c>
      <c r="AA85" s="14">
        <f>[25]Salidas!$D108</f>
        <v>688</v>
      </c>
      <c r="AB85" s="14">
        <f>[26]Salidas!$D108</f>
        <v>404</v>
      </c>
      <c r="AC85" s="14">
        <f>[27]Salidas!$D108</f>
        <v>131</v>
      </c>
      <c r="AD85" s="14">
        <f>[28]Salidas!$D108</f>
        <v>769</v>
      </c>
      <c r="AE85" s="14">
        <f>[29]Salidas!$D108</f>
        <v>759</v>
      </c>
      <c r="AF85" s="14">
        <f>[30]Salidas!$D108</f>
        <v>800</v>
      </c>
      <c r="AG85" s="14">
        <f>[31]Salidas!$D108</f>
        <v>784</v>
      </c>
      <c r="AH85" s="14">
        <f>[32]Salidas!$D108</f>
        <v>787</v>
      </c>
      <c r="AI85" s="14">
        <f>[33]Salidas!$D108</f>
        <v>381</v>
      </c>
      <c r="AJ85" s="14">
        <f>[34]Salidas!$D108</f>
        <v>136</v>
      </c>
    </row>
    <row r="86" spans="1:36" x14ac:dyDescent="0.2">
      <c r="A86" s="443"/>
      <c r="B86" s="72" t="s">
        <v>152</v>
      </c>
      <c r="C86" s="14">
        <f>[1]Salidas!$D109</f>
        <v>0</v>
      </c>
      <c r="D86" s="14">
        <f>[2]Salidas!$D109</f>
        <v>0</v>
      </c>
      <c r="E86" s="14">
        <f>[3]Salidas!$D109</f>
        <v>0</v>
      </c>
      <c r="F86" s="14">
        <f>[4]Salidas!$D109</f>
        <v>0</v>
      </c>
      <c r="G86" s="14">
        <f>[5]Salidas!$D109</f>
        <v>0</v>
      </c>
      <c r="H86" s="14">
        <f>[6]Salidas!$D109</f>
        <v>0</v>
      </c>
      <c r="I86" s="14">
        <f>[7]Salidas!$D109</f>
        <v>0</v>
      </c>
      <c r="J86" s="14">
        <f>[8]Salidas!$D109</f>
        <v>0</v>
      </c>
      <c r="K86" s="14">
        <f>[9]Salidas!$D109</f>
        <v>0</v>
      </c>
      <c r="L86" s="14">
        <f>[10]Salidas!$D109</f>
        <v>0</v>
      </c>
      <c r="M86" s="14">
        <f>[11]Salidas!$D109</f>
        <v>0</v>
      </c>
      <c r="N86" s="14">
        <f>[12]Salidas!$D109</f>
        <v>0</v>
      </c>
      <c r="O86" s="14">
        <f>[13]Salidas!$D109</f>
        <v>0</v>
      </c>
      <c r="P86" s="14">
        <f>[14]Salidas!$D109</f>
        <v>0</v>
      </c>
      <c r="Q86" s="14">
        <f>[15]Salidas!$D109</f>
        <v>0</v>
      </c>
      <c r="R86" s="14">
        <f>[16]Salidas!$D109</f>
        <v>0</v>
      </c>
      <c r="S86" s="14">
        <f>[17]Salidas!$D109</f>
        <v>0</v>
      </c>
      <c r="T86" s="14">
        <f>[18]Salidas!$D109</f>
        <v>0</v>
      </c>
      <c r="U86" s="14">
        <f>[19]Salidas!$D109</f>
        <v>0</v>
      </c>
      <c r="V86" s="14">
        <f>[20]Salidas!$D109</f>
        <v>0</v>
      </c>
      <c r="W86" s="14">
        <f>[21]Salidas!$D109</f>
        <v>0</v>
      </c>
      <c r="X86" s="14">
        <f>[22]Salidas!$D109</f>
        <v>0</v>
      </c>
      <c r="Y86" s="14">
        <f>[23]Salidas!$D109</f>
        <v>0</v>
      </c>
      <c r="Z86" s="14">
        <f>[24]Salidas!$D109</f>
        <v>0</v>
      </c>
      <c r="AA86" s="14">
        <f>[25]Salidas!$D109</f>
        <v>0</v>
      </c>
      <c r="AB86" s="14">
        <f>[26]Salidas!$D109</f>
        <v>0</v>
      </c>
      <c r="AC86" s="14">
        <f>[27]Salidas!$D109</f>
        <v>0</v>
      </c>
      <c r="AD86" s="14">
        <f>[28]Salidas!$D109</f>
        <v>0</v>
      </c>
      <c r="AE86" s="14">
        <f>[29]Salidas!$D109</f>
        <v>0</v>
      </c>
      <c r="AF86" s="14">
        <f>[30]Salidas!$D109</f>
        <v>0</v>
      </c>
      <c r="AG86" s="14">
        <f>[31]Salidas!$D109</f>
        <v>0</v>
      </c>
      <c r="AH86" s="14">
        <f>[32]Salidas!$D109</f>
        <v>0</v>
      </c>
      <c r="AI86" s="14">
        <f>[33]Salidas!$D109</f>
        <v>0</v>
      </c>
      <c r="AJ86" s="14">
        <f>[34]Salidas!$D109</f>
        <v>0</v>
      </c>
    </row>
    <row r="87" spans="1:36" ht="13.5" thickBot="1" x14ac:dyDescent="0.25">
      <c r="A87" s="443"/>
      <c r="B87" s="86" t="s">
        <v>153</v>
      </c>
      <c r="C87" s="14">
        <f>[1]Salidas!$D110</f>
        <v>3196</v>
      </c>
      <c r="D87" s="14">
        <f>[2]Salidas!$D110</f>
        <v>3379</v>
      </c>
      <c r="E87" s="14">
        <f>[3]Salidas!$D110</f>
        <v>3433</v>
      </c>
      <c r="F87" s="14">
        <f>[4]Salidas!$D110</f>
        <v>3630</v>
      </c>
      <c r="G87" s="14">
        <f>[5]Salidas!$D110</f>
        <v>1756</v>
      </c>
      <c r="H87" s="14">
        <f>[6]Salidas!$D110</f>
        <v>891</v>
      </c>
      <c r="I87" s="14">
        <f>[7]Salidas!$D110</f>
        <v>3382</v>
      </c>
      <c r="J87" s="14">
        <f>[8]Salidas!$D110</f>
        <v>3291</v>
      </c>
      <c r="K87" s="14">
        <f>[9]Salidas!$D110</f>
        <v>3306</v>
      </c>
      <c r="L87" s="14">
        <f>[10]Salidas!$D110</f>
        <v>3339</v>
      </c>
      <c r="M87" s="14">
        <f>[11]Salidas!$D110</f>
        <v>3246</v>
      </c>
      <c r="N87" s="14">
        <f>[12]Salidas!$D110</f>
        <v>1811</v>
      </c>
      <c r="O87" s="14">
        <f>[13]Salidas!$D110</f>
        <v>803</v>
      </c>
      <c r="P87" s="14">
        <f>[14]Salidas!$D110</f>
        <v>3384</v>
      </c>
      <c r="Q87" s="14">
        <f>[15]Salidas!$D110</f>
        <v>2784</v>
      </c>
      <c r="R87" s="14">
        <f>[16]Salidas!$D110</f>
        <v>2872</v>
      </c>
      <c r="S87" s="14">
        <f>[17]Salidas!$D110</f>
        <v>3037</v>
      </c>
      <c r="T87" s="14">
        <f>[18]Salidas!$D110</f>
        <v>3218</v>
      </c>
      <c r="U87" s="14">
        <f>[19]Salidas!$D110</f>
        <v>1629</v>
      </c>
      <c r="V87" s="14">
        <f>[20]Salidas!$D110</f>
        <v>806</v>
      </c>
      <c r="W87" s="14">
        <f>[21]Salidas!$D110</f>
        <v>3388</v>
      </c>
      <c r="X87" s="14">
        <f>[22]Salidas!$D110</f>
        <v>3387</v>
      </c>
      <c r="Y87" s="14">
        <f>[23]Salidas!$D110</f>
        <v>3470</v>
      </c>
      <c r="Z87" s="14">
        <f>[24]Salidas!$D110</f>
        <v>3442</v>
      </c>
      <c r="AA87" s="14">
        <f>[25]Salidas!$D110</f>
        <v>3693</v>
      </c>
      <c r="AB87" s="14">
        <f>[26]Salidas!$D110</f>
        <v>1850</v>
      </c>
      <c r="AC87" s="14">
        <f>[27]Salidas!$D110</f>
        <v>917</v>
      </c>
      <c r="AD87" s="14">
        <f>[28]Salidas!$D110</f>
        <v>3717</v>
      </c>
      <c r="AE87" s="14">
        <f>[29]Salidas!$D110</f>
        <v>3611</v>
      </c>
      <c r="AF87" s="14">
        <f>[30]Salidas!$D110</f>
        <v>3488</v>
      </c>
      <c r="AG87" s="14">
        <f>[31]Salidas!$D110</f>
        <v>3526</v>
      </c>
      <c r="AH87" s="14">
        <f>[32]Salidas!$D110</f>
        <v>3481</v>
      </c>
      <c r="AI87" s="14">
        <f>[33]Salidas!$D110</f>
        <v>1819</v>
      </c>
      <c r="AJ87" s="14">
        <f>[34]Salidas!$D110</f>
        <v>820</v>
      </c>
    </row>
    <row r="88" spans="1:36" x14ac:dyDescent="0.2">
      <c r="A88" s="443"/>
      <c r="B88" s="38" t="s">
        <v>35</v>
      </c>
      <c r="C88" s="14">
        <f>[1]Salidas!$D111</f>
        <v>3210</v>
      </c>
      <c r="D88" s="14">
        <f>[2]Salidas!$D111</f>
        <v>3152</v>
      </c>
      <c r="E88" s="14">
        <f>[3]Salidas!$D111</f>
        <v>3139</v>
      </c>
      <c r="F88" s="14">
        <f>[4]Salidas!$D111</f>
        <v>3296</v>
      </c>
      <c r="G88" s="14">
        <f>[5]Salidas!$D111</f>
        <v>2656</v>
      </c>
      <c r="H88" s="14">
        <f>[6]Salidas!$D111</f>
        <v>1677</v>
      </c>
      <c r="I88" s="14">
        <f>[7]Salidas!$D111</f>
        <v>3103</v>
      </c>
      <c r="J88" s="14">
        <f>[8]Salidas!$D111</f>
        <v>3223</v>
      </c>
      <c r="K88" s="14">
        <f>[9]Salidas!$D111</f>
        <v>3195</v>
      </c>
      <c r="L88" s="14">
        <f>[10]Salidas!$D111</f>
        <v>3129</v>
      </c>
      <c r="M88" s="14">
        <f>[11]Salidas!$D111</f>
        <v>3270</v>
      </c>
      <c r="N88" s="14">
        <f>[12]Salidas!$D111</f>
        <v>2608</v>
      </c>
      <c r="O88" s="14">
        <f>[13]Salidas!$D111</f>
        <v>1571</v>
      </c>
      <c r="P88" s="14">
        <f>[14]Salidas!$D111</f>
        <v>3236</v>
      </c>
      <c r="Q88" s="14">
        <f>[15]Salidas!$D111</f>
        <v>3044</v>
      </c>
      <c r="R88" s="14">
        <f>[16]Salidas!$D111</f>
        <v>3089</v>
      </c>
      <c r="S88" s="14">
        <f>[17]Salidas!$D111</f>
        <v>3172</v>
      </c>
      <c r="T88" s="14">
        <f>[18]Salidas!$D111</f>
        <v>3305</v>
      </c>
      <c r="U88" s="14">
        <f>[19]Salidas!$D111</f>
        <v>2689</v>
      </c>
      <c r="V88" s="14">
        <f>[20]Salidas!$D111</f>
        <v>1677</v>
      </c>
      <c r="W88" s="14">
        <f>[21]Salidas!$D111</f>
        <v>3197</v>
      </c>
      <c r="X88" s="14">
        <f>[22]Salidas!$D111</f>
        <v>3047</v>
      </c>
      <c r="Y88" s="14">
        <f>[23]Salidas!$D111</f>
        <v>3317</v>
      </c>
      <c r="Z88" s="14">
        <f>[24]Salidas!$D111</f>
        <v>3346</v>
      </c>
      <c r="AA88" s="14">
        <f>[25]Salidas!$D111</f>
        <v>3342</v>
      </c>
      <c r="AB88" s="14">
        <f>[26]Salidas!$D111</f>
        <v>2711</v>
      </c>
      <c r="AC88" s="14">
        <f>[27]Salidas!$D111</f>
        <v>1675</v>
      </c>
      <c r="AD88" s="14">
        <f>[28]Salidas!$D111</f>
        <v>3273</v>
      </c>
      <c r="AE88" s="14">
        <f>[29]Salidas!$D111</f>
        <v>3343</v>
      </c>
      <c r="AF88" s="14">
        <f>[30]Salidas!$D111</f>
        <v>3377</v>
      </c>
      <c r="AG88" s="14">
        <f>[31]Salidas!$D111</f>
        <v>3487</v>
      </c>
      <c r="AH88" s="14">
        <f>[32]Salidas!$D111</f>
        <v>3349</v>
      </c>
      <c r="AI88" s="14">
        <f>[33]Salidas!$D111</f>
        <v>2740</v>
      </c>
      <c r="AJ88" s="14">
        <f>[34]Salidas!$D111</f>
        <v>1514</v>
      </c>
    </row>
    <row r="89" spans="1:36" x14ac:dyDescent="0.2">
      <c r="A89" s="443"/>
      <c r="B89" s="43" t="s">
        <v>496</v>
      </c>
      <c r="C89" s="14">
        <f>[1]Salidas!$D112</f>
        <v>7740</v>
      </c>
      <c r="D89" s="14">
        <f>[2]Salidas!$D112</f>
        <v>7578</v>
      </c>
      <c r="E89" s="14">
        <f>[3]Salidas!$D112</f>
        <v>7473</v>
      </c>
      <c r="F89" s="14">
        <f>[4]Salidas!$D112</f>
        <v>7264</v>
      </c>
      <c r="G89" s="14">
        <f>[5]Salidas!$D112</f>
        <v>4413</v>
      </c>
      <c r="H89" s="14">
        <f>[6]Salidas!$D112</f>
        <v>2274</v>
      </c>
      <c r="I89" s="14">
        <f>[7]Salidas!$D112</f>
        <v>7383</v>
      </c>
      <c r="J89" s="14">
        <f>[8]Salidas!$D112</f>
        <v>7583</v>
      </c>
      <c r="K89" s="14">
        <f>[9]Salidas!$D112</f>
        <v>7237</v>
      </c>
      <c r="L89" s="14">
        <f>[10]Salidas!$D112</f>
        <v>7493</v>
      </c>
      <c r="M89" s="14">
        <f>[11]Salidas!$D112</f>
        <v>6893</v>
      </c>
      <c r="N89" s="14">
        <f>[12]Salidas!$D112</f>
        <v>4405</v>
      </c>
      <c r="O89" s="14">
        <f>[13]Salidas!$D112</f>
        <v>2075</v>
      </c>
      <c r="P89" s="14">
        <f>[14]Salidas!$D112</f>
        <v>7618</v>
      </c>
      <c r="Q89" s="14">
        <f>[15]Salidas!$D112</f>
        <v>7247</v>
      </c>
      <c r="R89" s="14">
        <f>[16]Salidas!$D112</f>
        <v>7084</v>
      </c>
      <c r="S89" s="14">
        <f>[17]Salidas!$D112</f>
        <v>7170</v>
      </c>
      <c r="T89" s="14">
        <f>[18]Salidas!$D112</f>
        <v>7260</v>
      </c>
      <c r="U89" s="14">
        <f>[19]Salidas!$D112</f>
        <v>4682</v>
      </c>
      <c r="V89" s="14">
        <f>[20]Salidas!$D112</f>
        <v>2240</v>
      </c>
      <c r="W89" s="14">
        <f>[21]Salidas!$D112</f>
        <v>7792</v>
      </c>
      <c r="X89" s="14">
        <f>[22]Salidas!$D112</f>
        <v>7752</v>
      </c>
      <c r="Y89" s="14">
        <f>[23]Salidas!$D112</f>
        <v>7724</v>
      </c>
      <c r="Z89" s="14">
        <f>[24]Salidas!$D112</f>
        <v>7618</v>
      </c>
      <c r="AA89" s="14">
        <f>[25]Salidas!$D112</f>
        <v>7199</v>
      </c>
      <c r="AB89" s="14">
        <f>[26]Salidas!$D112</f>
        <v>4447</v>
      </c>
      <c r="AC89" s="14">
        <f>[27]Salidas!$D112</f>
        <v>2232</v>
      </c>
      <c r="AD89" s="14">
        <f>[28]Salidas!$D112</f>
        <v>7671</v>
      </c>
      <c r="AE89" s="14">
        <f>[29]Salidas!$D112</f>
        <v>7603</v>
      </c>
      <c r="AF89" s="14">
        <f>[30]Salidas!$D112</f>
        <v>7831</v>
      </c>
      <c r="AG89" s="14">
        <f>[31]Salidas!$D112</f>
        <v>7593</v>
      </c>
      <c r="AH89" s="14">
        <f>[32]Salidas!$D112</f>
        <v>7362</v>
      </c>
      <c r="AI89" s="14">
        <f>[33]Salidas!$D112</f>
        <v>4540</v>
      </c>
      <c r="AJ89" s="14">
        <f>[34]Salidas!$D112</f>
        <v>2104</v>
      </c>
    </row>
    <row r="90" spans="1:36" x14ac:dyDescent="0.2">
      <c r="A90" s="443"/>
      <c r="B90" s="43" t="s">
        <v>497</v>
      </c>
      <c r="C90" s="14">
        <f>[1]Salidas!$D113</f>
        <v>3097</v>
      </c>
      <c r="D90" s="14">
        <f>[2]Salidas!$D113</f>
        <v>3157</v>
      </c>
      <c r="E90" s="14">
        <f>[3]Salidas!$D113</f>
        <v>3157</v>
      </c>
      <c r="F90" s="14">
        <f>[4]Salidas!$D113</f>
        <v>3143</v>
      </c>
      <c r="G90" s="14">
        <f>[5]Salidas!$D113</f>
        <v>2384</v>
      </c>
      <c r="H90" s="14">
        <f>[6]Salidas!$D113</f>
        <v>1017</v>
      </c>
      <c r="I90" s="14">
        <f>[7]Salidas!$D113</f>
        <v>3227</v>
      </c>
      <c r="J90" s="14">
        <f>[8]Salidas!$D113</f>
        <v>3365</v>
      </c>
      <c r="K90" s="14">
        <f>[9]Salidas!$D113</f>
        <v>3273</v>
      </c>
      <c r="L90" s="14">
        <f>[10]Salidas!$D113</f>
        <v>3267</v>
      </c>
      <c r="M90" s="14">
        <f>[11]Salidas!$D113</f>
        <v>3205</v>
      </c>
      <c r="N90" s="14">
        <f>[12]Salidas!$D113</f>
        <v>2414</v>
      </c>
      <c r="O90" s="14">
        <f>[13]Salidas!$D113</f>
        <v>1018</v>
      </c>
      <c r="P90" s="14">
        <f>[14]Salidas!$D113</f>
        <v>3305</v>
      </c>
      <c r="Q90" s="14">
        <f>[15]Salidas!$D113</f>
        <v>3381</v>
      </c>
      <c r="R90" s="14">
        <f>[16]Salidas!$D113</f>
        <v>3318</v>
      </c>
      <c r="S90" s="14">
        <f>[17]Salidas!$D113</f>
        <v>3320</v>
      </c>
      <c r="T90" s="14">
        <f>[18]Salidas!$D113</f>
        <v>3538</v>
      </c>
      <c r="U90" s="14">
        <f>[19]Salidas!$D113</f>
        <v>2462</v>
      </c>
      <c r="V90" s="14">
        <f>[20]Salidas!$D113</f>
        <v>1142</v>
      </c>
      <c r="W90" s="14">
        <f>[21]Salidas!$D113</f>
        <v>3601</v>
      </c>
      <c r="X90" s="14">
        <f>[22]Salidas!$D113</f>
        <v>3610</v>
      </c>
      <c r="Y90" s="14">
        <f>[23]Salidas!$D113</f>
        <v>3656</v>
      </c>
      <c r="Z90" s="14">
        <f>[24]Salidas!$D113</f>
        <v>3397</v>
      </c>
      <c r="AA90" s="14">
        <f>[25]Salidas!$D113</f>
        <v>3487</v>
      </c>
      <c r="AB90" s="14">
        <f>[26]Salidas!$D113</f>
        <v>2627</v>
      </c>
      <c r="AC90" s="14">
        <f>[27]Salidas!$D113</f>
        <v>1165</v>
      </c>
      <c r="AD90" s="14">
        <f>[28]Salidas!$D113</f>
        <v>3717</v>
      </c>
      <c r="AE90" s="14">
        <f>[29]Salidas!$D113</f>
        <v>3699</v>
      </c>
      <c r="AF90" s="14">
        <f>[30]Salidas!$D113</f>
        <v>3701</v>
      </c>
      <c r="AG90" s="14">
        <f>[31]Salidas!$D113</f>
        <v>3771</v>
      </c>
      <c r="AH90" s="14">
        <f>[32]Salidas!$D113</f>
        <v>3767</v>
      </c>
      <c r="AI90" s="14">
        <f>[33]Salidas!$D113</f>
        <v>2683</v>
      </c>
      <c r="AJ90" s="14">
        <f>[34]Salidas!$D113</f>
        <v>1207</v>
      </c>
    </row>
    <row r="91" spans="1:36" x14ac:dyDescent="0.2">
      <c r="A91" s="443"/>
      <c r="B91" s="39" t="s">
        <v>36</v>
      </c>
      <c r="C91" s="14">
        <f>[1]Salidas!$D114</f>
        <v>6825</v>
      </c>
      <c r="D91" s="14">
        <f>[2]Salidas!$D114</f>
        <v>7146</v>
      </c>
      <c r="E91" s="14">
        <f>[3]Salidas!$D114</f>
        <v>7148</v>
      </c>
      <c r="F91" s="14">
        <f>[4]Salidas!$D114</f>
        <v>6974</v>
      </c>
      <c r="G91" s="14">
        <f>[5]Salidas!$D114</f>
        <v>5153</v>
      </c>
      <c r="H91" s="14">
        <f>[6]Salidas!$D114</f>
        <v>2326</v>
      </c>
      <c r="I91" s="14">
        <f>[7]Salidas!$D114</f>
        <v>7107</v>
      </c>
      <c r="J91" s="14">
        <f>[8]Salidas!$D114</f>
        <v>7205</v>
      </c>
      <c r="K91" s="14">
        <f>[9]Salidas!$D114</f>
        <v>7155</v>
      </c>
      <c r="L91" s="14">
        <f>[10]Salidas!$D114</f>
        <v>6431</v>
      </c>
      <c r="M91" s="14">
        <f>[11]Salidas!$D114</f>
        <v>7202</v>
      </c>
      <c r="N91" s="14">
        <f>[12]Salidas!$D114</f>
        <v>5425</v>
      </c>
      <c r="O91" s="14">
        <f>[13]Salidas!$D114</f>
        <v>2476</v>
      </c>
      <c r="P91" s="14">
        <f>[14]Salidas!$D114</f>
        <v>7192</v>
      </c>
      <c r="Q91" s="14">
        <f>[15]Salidas!$D114</f>
        <v>6980</v>
      </c>
      <c r="R91" s="14">
        <f>[16]Salidas!$D114</f>
        <v>7104</v>
      </c>
      <c r="S91" s="14">
        <f>[17]Salidas!$D114</f>
        <v>7230</v>
      </c>
      <c r="T91" s="14">
        <f>[18]Salidas!$D114</f>
        <v>7383</v>
      </c>
      <c r="U91" s="14">
        <f>[19]Salidas!$D114</f>
        <v>5529</v>
      </c>
      <c r="V91" s="14">
        <f>[20]Salidas!$D114</f>
        <v>2397</v>
      </c>
      <c r="W91" s="14">
        <f>[21]Salidas!$D114</f>
        <v>7582</v>
      </c>
      <c r="X91" s="14">
        <f>[22]Salidas!$D114</f>
        <v>7367</v>
      </c>
      <c r="Y91" s="14">
        <f>[23]Salidas!$D114</f>
        <v>7209</v>
      </c>
      <c r="Z91" s="14">
        <f>[24]Salidas!$D114</f>
        <v>7276</v>
      </c>
      <c r="AA91" s="14">
        <f>[25]Salidas!$D114</f>
        <v>7145</v>
      </c>
      <c r="AB91" s="14">
        <f>[26]Salidas!$D114</f>
        <v>5611</v>
      </c>
      <c r="AC91" s="14">
        <f>[27]Salidas!$D114</f>
        <v>2337</v>
      </c>
      <c r="AD91" s="14">
        <f>[28]Salidas!$D114</f>
        <v>7626</v>
      </c>
      <c r="AE91" s="14">
        <f>[29]Salidas!$D114</f>
        <v>7532</v>
      </c>
      <c r="AF91" s="14">
        <f>[30]Salidas!$D114</f>
        <v>7565</v>
      </c>
      <c r="AG91" s="14">
        <f>[31]Salidas!$D114</f>
        <v>7808</v>
      </c>
      <c r="AH91" s="14">
        <f>[32]Salidas!$D114</f>
        <v>7604</v>
      </c>
      <c r="AI91" s="14">
        <f>[33]Salidas!$D114</f>
        <v>5562</v>
      </c>
      <c r="AJ91" s="14">
        <f>[34]Salidas!$D114</f>
        <v>2496</v>
      </c>
    </row>
    <row r="92" spans="1:36" x14ac:dyDescent="0.2">
      <c r="A92" s="443"/>
      <c r="B92" s="39" t="s">
        <v>37</v>
      </c>
      <c r="C92" s="14">
        <f>[1]Salidas!$D115</f>
        <v>9052</v>
      </c>
      <c r="D92" s="14">
        <f>[2]Salidas!$D115</f>
        <v>8799</v>
      </c>
      <c r="E92" s="14">
        <f>[3]Salidas!$D115</f>
        <v>8674</v>
      </c>
      <c r="F92" s="14">
        <f>[4]Salidas!$D115</f>
        <v>9156</v>
      </c>
      <c r="G92" s="14">
        <f>[5]Salidas!$D115</f>
        <v>7663</v>
      </c>
      <c r="H92" s="14">
        <f>[6]Salidas!$D115</f>
        <v>2569</v>
      </c>
      <c r="I92" s="14">
        <f>[7]Salidas!$D115</f>
        <v>8616</v>
      </c>
      <c r="J92" s="14">
        <f>[8]Salidas!$D115</f>
        <v>8615</v>
      </c>
      <c r="K92" s="14">
        <f>[9]Salidas!$D115</f>
        <v>8482</v>
      </c>
      <c r="L92" s="14">
        <f>[10]Salidas!$D115</f>
        <v>8234</v>
      </c>
      <c r="M92" s="14">
        <f>[11]Salidas!$D115</f>
        <v>9041</v>
      </c>
      <c r="N92" s="14">
        <f>[12]Salidas!$D115</f>
        <v>7900</v>
      </c>
      <c r="O92" s="14">
        <f>[13]Salidas!$D115</f>
        <v>2655</v>
      </c>
      <c r="P92" s="14">
        <f>[14]Salidas!$D115</f>
        <v>8858</v>
      </c>
      <c r="Q92" s="14">
        <f>[15]Salidas!$D115</f>
        <v>8988</v>
      </c>
      <c r="R92" s="14">
        <f>[16]Salidas!$D115</f>
        <v>8992</v>
      </c>
      <c r="S92" s="14">
        <f>[17]Salidas!$D115</f>
        <v>8821</v>
      </c>
      <c r="T92" s="14">
        <f>[18]Salidas!$D115</f>
        <v>9733</v>
      </c>
      <c r="U92" s="14">
        <f>[19]Salidas!$D115</f>
        <v>8315</v>
      </c>
      <c r="V92" s="14">
        <f>[20]Salidas!$D115</f>
        <v>2795</v>
      </c>
      <c r="W92" s="14">
        <f>[21]Salidas!$D115</f>
        <v>9173</v>
      </c>
      <c r="X92" s="14">
        <f>[22]Salidas!$D115</f>
        <v>9065</v>
      </c>
      <c r="Y92" s="14">
        <f>[23]Salidas!$D115</f>
        <v>8537</v>
      </c>
      <c r="Z92" s="14">
        <f>[24]Salidas!$D115</f>
        <v>8641</v>
      </c>
      <c r="AA92" s="14">
        <f>[25]Salidas!$D115</f>
        <v>9504</v>
      </c>
      <c r="AB92" s="14">
        <f>[26]Salidas!$D115</f>
        <v>8414</v>
      </c>
      <c r="AC92" s="14">
        <f>[27]Salidas!$D115</f>
        <v>2853</v>
      </c>
      <c r="AD92" s="14">
        <f>[28]Salidas!$D115</f>
        <v>9598</v>
      </c>
      <c r="AE92" s="14">
        <f>[29]Salidas!$D115</f>
        <v>9825</v>
      </c>
      <c r="AF92" s="14">
        <f>[30]Salidas!$D115</f>
        <v>9509</v>
      </c>
      <c r="AG92" s="14">
        <f>[31]Salidas!$D115</f>
        <v>9539</v>
      </c>
      <c r="AH92" s="14">
        <f>[32]Salidas!$D115</f>
        <v>10413</v>
      </c>
      <c r="AI92" s="14">
        <f>[33]Salidas!$D115</f>
        <v>8868</v>
      </c>
      <c r="AJ92" s="14">
        <f>[34]Salidas!$D115</f>
        <v>2704</v>
      </c>
    </row>
    <row r="93" spans="1:36" x14ac:dyDescent="0.2">
      <c r="A93" s="443"/>
      <c r="B93" s="39" t="s">
        <v>135</v>
      </c>
      <c r="C93" s="14">
        <f>[1]Salidas!$D116</f>
        <v>3694</v>
      </c>
      <c r="D93" s="14">
        <f>[2]Salidas!$D116</f>
        <v>3630</v>
      </c>
      <c r="E93" s="14">
        <f>[3]Salidas!$D116</f>
        <v>3581</v>
      </c>
      <c r="F93" s="14">
        <f>[4]Salidas!$D116</f>
        <v>3774</v>
      </c>
      <c r="G93" s="14">
        <f>[5]Salidas!$D116</f>
        <v>3556</v>
      </c>
      <c r="H93" s="14">
        <f>[6]Salidas!$D116</f>
        <v>1755</v>
      </c>
      <c r="I93" s="14">
        <f>[7]Salidas!$D116</f>
        <v>3538</v>
      </c>
      <c r="J93" s="14">
        <f>[8]Salidas!$D116</f>
        <v>3660</v>
      </c>
      <c r="K93" s="14">
        <f>[9]Salidas!$D116</f>
        <v>3536</v>
      </c>
      <c r="L93" s="14">
        <f>[10]Salidas!$D116</f>
        <v>3428</v>
      </c>
      <c r="M93" s="14">
        <f>[11]Salidas!$D116</f>
        <v>3738</v>
      </c>
      <c r="N93" s="14">
        <f>[12]Salidas!$D116</f>
        <v>3453</v>
      </c>
      <c r="O93" s="14">
        <f>[13]Salidas!$D116</f>
        <v>1695</v>
      </c>
      <c r="P93" s="14">
        <f>[14]Salidas!$D116</f>
        <v>3521</v>
      </c>
      <c r="Q93" s="14">
        <f>[15]Salidas!$D116</f>
        <v>3435</v>
      </c>
      <c r="R93" s="14">
        <f>[16]Salidas!$D116</f>
        <v>3540</v>
      </c>
      <c r="S93" s="14">
        <f>[17]Salidas!$D116</f>
        <v>3433</v>
      </c>
      <c r="T93" s="14">
        <f>[18]Salidas!$D116</f>
        <v>3732</v>
      </c>
      <c r="U93" s="14">
        <f>[19]Salidas!$D116</f>
        <v>3852</v>
      </c>
      <c r="V93" s="14">
        <f>[20]Salidas!$D116</f>
        <v>1848</v>
      </c>
      <c r="W93" s="14">
        <f>[21]Salidas!$D116</f>
        <v>3744</v>
      </c>
      <c r="X93" s="14">
        <f>[22]Salidas!$D116</f>
        <v>3588</v>
      </c>
      <c r="Y93" s="14">
        <f>[23]Salidas!$D116</f>
        <v>3380</v>
      </c>
      <c r="Z93" s="14">
        <f>[24]Salidas!$D116</f>
        <v>3464</v>
      </c>
      <c r="AA93" s="14">
        <f>[25]Salidas!$D116</f>
        <v>3793</v>
      </c>
      <c r="AB93" s="14">
        <f>[26]Salidas!$D116</f>
        <v>3748</v>
      </c>
      <c r="AC93" s="14">
        <f>[27]Salidas!$D116</f>
        <v>1676</v>
      </c>
      <c r="AD93" s="14">
        <f>[28]Salidas!$D116</f>
        <v>3649</v>
      </c>
      <c r="AE93" s="14">
        <f>[29]Salidas!$D116</f>
        <v>3865</v>
      </c>
      <c r="AF93" s="14">
        <f>[30]Salidas!$D116</f>
        <v>3754</v>
      </c>
      <c r="AG93" s="14">
        <f>[31]Salidas!$D116</f>
        <v>3780</v>
      </c>
      <c r="AH93" s="14">
        <f>[32]Salidas!$D116</f>
        <v>3894</v>
      </c>
      <c r="AI93" s="14">
        <f>[33]Salidas!$D116</f>
        <v>3921</v>
      </c>
      <c r="AJ93" s="14">
        <f>[34]Salidas!$D116</f>
        <v>1665</v>
      </c>
    </row>
    <row r="94" spans="1:36" x14ac:dyDescent="0.2">
      <c r="A94" s="443"/>
      <c r="B94" s="39" t="s">
        <v>136</v>
      </c>
      <c r="C94" s="14">
        <f>[1]Salidas!$D117</f>
        <v>16957</v>
      </c>
      <c r="D94" s="14">
        <f>[2]Salidas!$D117</f>
        <v>17206</v>
      </c>
      <c r="E94" s="14">
        <f>[3]Salidas!$D117</f>
        <v>16850</v>
      </c>
      <c r="F94" s="14">
        <f>[4]Salidas!$D117</f>
        <v>18197</v>
      </c>
      <c r="G94" s="14">
        <f>[5]Salidas!$D117</f>
        <v>15054</v>
      </c>
      <c r="H94" s="14">
        <f>[6]Salidas!$D117</f>
        <v>7663</v>
      </c>
      <c r="I94" s="14">
        <f>[7]Salidas!$D117</f>
        <v>16781</v>
      </c>
      <c r="J94" s="14">
        <f>[8]Salidas!$D117</f>
        <v>17206</v>
      </c>
      <c r="K94" s="14">
        <f>[9]Salidas!$D117</f>
        <v>17142</v>
      </c>
      <c r="L94" s="14">
        <f>[10]Salidas!$D117</f>
        <v>17314</v>
      </c>
      <c r="M94" s="14">
        <f>[11]Salidas!$D117</f>
        <v>18196</v>
      </c>
      <c r="N94" s="14">
        <f>[12]Salidas!$D117</f>
        <v>14864</v>
      </c>
      <c r="O94" s="14">
        <f>[13]Salidas!$D117</f>
        <v>7576</v>
      </c>
      <c r="P94" s="14">
        <f>[14]Salidas!$D117</f>
        <v>17489</v>
      </c>
      <c r="Q94" s="14">
        <f>[15]Salidas!$D117</f>
        <v>18263</v>
      </c>
      <c r="R94" s="14">
        <f>[16]Salidas!$D117</f>
        <v>19152</v>
      </c>
      <c r="S94" s="14">
        <f>[17]Salidas!$D117</f>
        <v>18225</v>
      </c>
      <c r="T94" s="14">
        <f>[18]Salidas!$D117</f>
        <v>18972</v>
      </c>
      <c r="U94" s="14">
        <f>[19]Salidas!$D117</f>
        <v>16372</v>
      </c>
      <c r="V94" s="14">
        <f>[20]Salidas!$D117</f>
        <v>8183</v>
      </c>
      <c r="W94" s="14">
        <f>[21]Salidas!$D117</f>
        <v>17874</v>
      </c>
      <c r="X94" s="14">
        <f>[22]Salidas!$D117</f>
        <v>18147</v>
      </c>
      <c r="Y94" s="14">
        <f>[23]Salidas!$D117</f>
        <v>17977</v>
      </c>
      <c r="Z94" s="14">
        <f>[24]Salidas!$D117</f>
        <v>18253</v>
      </c>
      <c r="AA94" s="14">
        <f>[25]Salidas!$D117</f>
        <v>18892</v>
      </c>
      <c r="AB94" s="14">
        <f>[26]Salidas!$D117</f>
        <v>16054</v>
      </c>
      <c r="AC94" s="14">
        <f>[27]Salidas!$D117</f>
        <v>8141</v>
      </c>
      <c r="AD94" s="14">
        <f>[28]Salidas!$D117</f>
        <v>18455</v>
      </c>
      <c r="AE94" s="14">
        <f>[29]Salidas!$D117</f>
        <v>18973</v>
      </c>
      <c r="AF94" s="14">
        <f>[30]Salidas!$D117</f>
        <v>19410</v>
      </c>
      <c r="AG94" s="14">
        <f>[31]Salidas!$D117</f>
        <v>19197</v>
      </c>
      <c r="AH94" s="14">
        <f>[32]Salidas!$D117</f>
        <v>20706</v>
      </c>
      <c r="AI94" s="14">
        <f>[33]Salidas!$D117</f>
        <v>16749</v>
      </c>
      <c r="AJ94" s="14">
        <f>[34]Salidas!$D117</f>
        <v>8381</v>
      </c>
    </row>
    <row r="95" spans="1:36" x14ac:dyDescent="0.2">
      <c r="A95" s="443"/>
      <c r="B95" s="39" t="s">
        <v>38</v>
      </c>
      <c r="C95" s="14">
        <f>[1]Salidas!$D118</f>
        <v>13768</v>
      </c>
      <c r="D95" s="14">
        <f>[2]Salidas!$D118</f>
        <v>13566</v>
      </c>
      <c r="E95" s="14">
        <f>[3]Salidas!$D118</f>
        <v>13439</v>
      </c>
      <c r="F95" s="14">
        <f>[4]Salidas!$D118</f>
        <v>13402</v>
      </c>
      <c r="G95" s="14">
        <f>[5]Salidas!$D118</f>
        <v>9629</v>
      </c>
      <c r="H95" s="14">
        <f>[6]Salidas!$D118</f>
        <v>4772</v>
      </c>
      <c r="I95" s="14">
        <f>[7]Salidas!$D118</f>
        <v>14021</v>
      </c>
      <c r="J95" s="14">
        <f>[8]Salidas!$D118</f>
        <v>13440</v>
      </c>
      <c r="K95" s="14">
        <f>[9]Salidas!$D118</f>
        <v>13292</v>
      </c>
      <c r="L95" s="14">
        <f>[10]Salidas!$D118</f>
        <v>13489</v>
      </c>
      <c r="M95" s="14">
        <f>[11]Salidas!$D118</f>
        <v>13105</v>
      </c>
      <c r="N95" s="14">
        <f>[12]Salidas!$D118</f>
        <v>9538</v>
      </c>
      <c r="O95" s="14">
        <f>[13]Salidas!$D118</f>
        <v>4443</v>
      </c>
      <c r="P95" s="14">
        <f>[14]Salidas!$D118</f>
        <v>13892</v>
      </c>
      <c r="Q95" s="14">
        <f>[15]Salidas!$D118</f>
        <v>13638</v>
      </c>
      <c r="R95" s="14">
        <f>[16]Salidas!$D118</f>
        <v>14060</v>
      </c>
      <c r="S95" s="14">
        <f>[17]Salidas!$D118</f>
        <v>13870</v>
      </c>
      <c r="T95" s="14">
        <f>[18]Salidas!$D118</f>
        <v>13663</v>
      </c>
      <c r="U95" s="14">
        <f>[19]Salidas!$D118</f>
        <v>9883</v>
      </c>
      <c r="V95" s="14">
        <f>[20]Salidas!$D118</f>
        <v>4811</v>
      </c>
      <c r="W95" s="14">
        <f>[21]Salidas!$D118</f>
        <v>15305</v>
      </c>
      <c r="X95" s="14">
        <f>[22]Salidas!$D118</f>
        <v>13945</v>
      </c>
      <c r="Y95" s="14">
        <f>[23]Salidas!$D118</f>
        <v>14077</v>
      </c>
      <c r="Z95" s="14">
        <f>[24]Salidas!$D118</f>
        <v>14016</v>
      </c>
      <c r="AA95" s="14">
        <f>[25]Salidas!$D118</f>
        <v>13817</v>
      </c>
      <c r="AB95" s="14">
        <f>[26]Salidas!$D118</f>
        <v>10032</v>
      </c>
      <c r="AC95" s="14">
        <f>[27]Salidas!$D118</f>
        <v>4541</v>
      </c>
      <c r="AD95" s="14">
        <f>[28]Salidas!$D118</f>
        <v>14216</v>
      </c>
      <c r="AE95" s="14">
        <f>[29]Salidas!$D118</f>
        <v>13630</v>
      </c>
      <c r="AF95" s="14">
        <f>[30]Salidas!$D118</f>
        <v>14024</v>
      </c>
      <c r="AG95" s="14">
        <f>[31]Salidas!$D118</f>
        <v>13857</v>
      </c>
      <c r="AH95" s="14">
        <f>[32]Salidas!$D118</f>
        <v>13924</v>
      </c>
      <c r="AI95" s="14">
        <f>[33]Salidas!$D118</f>
        <v>10247</v>
      </c>
      <c r="AJ95" s="14">
        <f>[34]Salidas!$D118</f>
        <v>4742</v>
      </c>
    </row>
    <row r="96" spans="1:36" x14ac:dyDescent="0.2">
      <c r="A96" s="443"/>
      <c r="B96" s="39" t="s">
        <v>39</v>
      </c>
      <c r="C96" s="14">
        <f>[1]Salidas!$D119</f>
        <v>5952</v>
      </c>
      <c r="D96" s="14">
        <f>[2]Salidas!$D119</f>
        <v>5865</v>
      </c>
      <c r="E96" s="14">
        <f>[3]Salidas!$D119</f>
        <v>5398</v>
      </c>
      <c r="F96" s="14">
        <f>[4]Salidas!$D119</f>
        <v>5873</v>
      </c>
      <c r="G96" s="14">
        <f>[5]Salidas!$D119</f>
        <v>4811</v>
      </c>
      <c r="H96" s="14">
        <f>[6]Salidas!$D119</f>
        <v>2964</v>
      </c>
      <c r="I96" s="14">
        <f>[7]Salidas!$D119</f>
        <v>6027</v>
      </c>
      <c r="J96" s="14">
        <f>[8]Salidas!$D119</f>
        <v>5967</v>
      </c>
      <c r="K96" s="14">
        <f>[9]Salidas!$D119</f>
        <v>5800</v>
      </c>
      <c r="L96" s="14">
        <f>[10]Salidas!$D119</f>
        <v>5864</v>
      </c>
      <c r="M96" s="14">
        <f>[11]Salidas!$D119</f>
        <v>5936</v>
      </c>
      <c r="N96" s="14">
        <f>[12]Salidas!$D119</f>
        <v>4801</v>
      </c>
      <c r="O96" s="14">
        <f>[13]Salidas!$D119</f>
        <v>2790</v>
      </c>
      <c r="P96" s="14">
        <f>[14]Salidas!$D119</f>
        <v>5993</v>
      </c>
      <c r="Q96" s="14">
        <f>[15]Salidas!$D119</f>
        <v>5976</v>
      </c>
      <c r="R96" s="14">
        <f>[16]Salidas!$D119</f>
        <v>5912</v>
      </c>
      <c r="S96" s="14">
        <f>[17]Salidas!$D119</f>
        <v>6073</v>
      </c>
      <c r="T96" s="14">
        <f>[18]Salidas!$D119</f>
        <v>6213</v>
      </c>
      <c r="U96" s="14">
        <f>[19]Salidas!$D119</f>
        <v>4881</v>
      </c>
      <c r="V96" s="14">
        <f>[20]Salidas!$D119</f>
        <v>2989</v>
      </c>
      <c r="W96" s="14">
        <f>[21]Salidas!$D119</f>
        <v>6208</v>
      </c>
      <c r="X96" s="14">
        <f>[22]Salidas!$D119</f>
        <v>6163</v>
      </c>
      <c r="Y96" s="14">
        <f>[23]Salidas!$D119</f>
        <v>5862</v>
      </c>
      <c r="Z96" s="14">
        <f>[24]Salidas!$D119</f>
        <v>5883</v>
      </c>
      <c r="AA96" s="14">
        <f>[25]Salidas!$D119</f>
        <v>5883</v>
      </c>
      <c r="AB96" s="14">
        <f>[26]Salidas!$D119</f>
        <v>4964</v>
      </c>
      <c r="AC96" s="14">
        <f>[27]Salidas!$D119</f>
        <v>2816</v>
      </c>
      <c r="AD96" s="14">
        <f>[28]Salidas!$D119</f>
        <v>6072</v>
      </c>
      <c r="AE96" s="14">
        <f>[29]Salidas!$D119</f>
        <v>6266</v>
      </c>
      <c r="AF96" s="14">
        <f>[30]Salidas!$D119</f>
        <v>6047</v>
      </c>
      <c r="AG96" s="14">
        <f>[31]Salidas!$D119</f>
        <v>5987</v>
      </c>
      <c r="AH96" s="14">
        <f>[32]Salidas!$D119</f>
        <v>5974</v>
      </c>
      <c r="AI96" s="14">
        <f>[33]Salidas!$D119</f>
        <v>4966</v>
      </c>
      <c r="AJ96" s="14">
        <f>[34]Salidas!$D119</f>
        <v>2697</v>
      </c>
    </row>
    <row r="97" spans="1:36" x14ac:dyDescent="0.2">
      <c r="A97" s="443"/>
      <c r="B97" s="39" t="s">
        <v>126</v>
      </c>
      <c r="C97" s="14">
        <f>[1]Salidas!$D120</f>
        <v>11090</v>
      </c>
      <c r="D97" s="14">
        <f>[2]Salidas!$D120</f>
        <v>11018</v>
      </c>
      <c r="E97" s="14">
        <f>[3]Salidas!$D120</f>
        <v>10466</v>
      </c>
      <c r="F97" s="14">
        <f>[4]Salidas!$D120</f>
        <v>10750</v>
      </c>
      <c r="G97" s="14">
        <f>[5]Salidas!$D120</f>
        <v>7883</v>
      </c>
      <c r="H97" s="14">
        <f>[6]Salidas!$D120</f>
        <v>4617</v>
      </c>
      <c r="I97" s="14">
        <f>[7]Salidas!$D120</f>
        <v>10876</v>
      </c>
      <c r="J97" s="14">
        <f>[8]Salidas!$D120</f>
        <v>11045</v>
      </c>
      <c r="K97" s="14">
        <f>[9]Salidas!$D120</f>
        <v>10860</v>
      </c>
      <c r="L97" s="14">
        <f>[10]Salidas!$D120</f>
        <v>10989</v>
      </c>
      <c r="M97" s="14">
        <f>[11]Salidas!$D120</f>
        <v>10811</v>
      </c>
      <c r="N97" s="14">
        <f>[12]Salidas!$D120</f>
        <v>7863</v>
      </c>
      <c r="O97" s="14">
        <f>[13]Salidas!$D120</f>
        <v>4383</v>
      </c>
      <c r="P97" s="14">
        <f>[14]Salidas!$D120</f>
        <v>11032</v>
      </c>
      <c r="Q97" s="14">
        <f>[15]Salidas!$D120</f>
        <v>11020</v>
      </c>
      <c r="R97" s="14">
        <f>[16]Salidas!$D120</f>
        <v>11224</v>
      </c>
      <c r="S97" s="14">
        <f>[17]Salidas!$D120</f>
        <v>10891</v>
      </c>
      <c r="T97" s="14">
        <f>[18]Salidas!$D120</f>
        <v>11215</v>
      </c>
      <c r="U97" s="14">
        <f>[19]Salidas!$D120</f>
        <v>8036</v>
      </c>
      <c r="V97" s="14">
        <f>[20]Salidas!$D120</f>
        <v>4504</v>
      </c>
      <c r="W97" s="14">
        <f>[21]Salidas!$D120</f>
        <v>11088</v>
      </c>
      <c r="X97" s="14">
        <f>[22]Salidas!$D120</f>
        <v>11238</v>
      </c>
      <c r="Y97" s="14">
        <f>[23]Salidas!$D120</f>
        <v>11095</v>
      </c>
      <c r="Z97" s="14">
        <f>[24]Salidas!$D120</f>
        <v>11220</v>
      </c>
      <c r="AA97" s="14">
        <f>[25]Salidas!$D120</f>
        <v>10870</v>
      </c>
      <c r="AB97" s="14">
        <f>[26]Salidas!$D120</f>
        <v>8114</v>
      </c>
      <c r="AC97" s="14">
        <f>[27]Salidas!$D120</f>
        <v>4523</v>
      </c>
      <c r="AD97" s="14">
        <f>[28]Salidas!$D120</f>
        <v>11397</v>
      </c>
      <c r="AE97" s="14">
        <f>[29]Salidas!$D120</f>
        <v>11455</v>
      </c>
      <c r="AF97" s="14">
        <f>[30]Salidas!$D120</f>
        <v>11410</v>
      </c>
      <c r="AG97" s="14">
        <f>[31]Salidas!$D120</f>
        <v>11314</v>
      </c>
      <c r="AH97" s="14">
        <f>[32]Salidas!$D120</f>
        <v>11254</v>
      </c>
      <c r="AI97" s="14">
        <f>[33]Salidas!$D120</f>
        <v>8343</v>
      </c>
      <c r="AJ97" s="14">
        <f>[34]Salidas!$D120</f>
        <v>4434</v>
      </c>
    </row>
    <row r="98" spans="1:36" x14ac:dyDescent="0.2">
      <c r="A98" s="443"/>
      <c r="B98" s="39" t="s">
        <v>40</v>
      </c>
      <c r="C98" s="14">
        <f>[1]Salidas!$D121</f>
        <v>4260</v>
      </c>
      <c r="D98" s="14">
        <f>[2]Salidas!$D121</f>
        <v>4295</v>
      </c>
      <c r="E98" s="14">
        <f>[3]Salidas!$D121</f>
        <v>4345</v>
      </c>
      <c r="F98" s="14">
        <f>[4]Salidas!$D121</f>
        <v>4172</v>
      </c>
      <c r="G98" s="14">
        <f>[5]Salidas!$D121</f>
        <v>2958</v>
      </c>
      <c r="H98" s="14">
        <f>[6]Salidas!$D121</f>
        <v>1246</v>
      </c>
      <c r="I98" s="14">
        <f>[7]Salidas!$D121</f>
        <v>4439</v>
      </c>
      <c r="J98" s="14">
        <f>[8]Salidas!$D121</f>
        <v>4432</v>
      </c>
      <c r="K98" s="14">
        <f>[9]Salidas!$D121</f>
        <v>4414</v>
      </c>
      <c r="L98" s="14">
        <f>[10]Salidas!$D121</f>
        <v>4328</v>
      </c>
      <c r="M98" s="14">
        <f>[11]Salidas!$D121</f>
        <v>4195</v>
      </c>
      <c r="N98" s="14">
        <f>[12]Salidas!$D121</f>
        <v>2865</v>
      </c>
      <c r="O98" s="14">
        <f>[13]Salidas!$D121</f>
        <v>1147</v>
      </c>
      <c r="P98" s="14">
        <f>[14]Salidas!$D121</f>
        <v>4409</v>
      </c>
      <c r="Q98" s="14">
        <f>[15]Salidas!$D121</f>
        <v>4395</v>
      </c>
      <c r="R98" s="14">
        <f>[16]Salidas!$D121</f>
        <v>4325</v>
      </c>
      <c r="S98" s="14">
        <f>[17]Salidas!$D121</f>
        <v>4230</v>
      </c>
      <c r="T98" s="14">
        <f>[18]Salidas!$D121</f>
        <v>4298</v>
      </c>
      <c r="U98" s="14">
        <f>[19]Salidas!$D121</f>
        <v>3023</v>
      </c>
      <c r="V98" s="14">
        <f>[20]Salidas!$D121</f>
        <v>1194</v>
      </c>
      <c r="W98" s="14">
        <f>[21]Salidas!$D121</f>
        <v>4322</v>
      </c>
      <c r="X98" s="14">
        <f>[22]Salidas!$D121</f>
        <v>4425</v>
      </c>
      <c r="Y98" s="14">
        <f>[23]Salidas!$D121</f>
        <v>4328</v>
      </c>
      <c r="Z98" s="14">
        <f>[24]Salidas!$D121</f>
        <v>4204</v>
      </c>
      <c r="AA98" s="14">
        <f>[25]Salidas!$D121</f>
        <v>4304</v>
      </c>
      <c r="AB98" s="14">
        <f>[26]Salidas!$D121</f>
        <v>2945</v>
      </c>
      <c r="AC98" s="14">
        <f>[27]Salidas!$D121</f>
        <v>1099</v>
      </c>
      <c r="AD98" s="14">
        <f>[28]Salidas!$D121</f>
        <v>4535</v>
      </c>
      <c r="AE98" s="14">
        <f>[29]Salidas!$D121</f>
        <v>4439</v>
      </c>
      <c r="AF98" s="14">
        <f>[30]Salidas!$D121</f>
        <v>4623</v>
      </c>
      <c r="AG98" s="14">
        <f>[31]Salidas!$D121</f>
        <v>4451</v>
      </c>
      <c r="AH98" s="14">
        <f>[32]Salidas!$D121</f>
        <v>4387</v>
      </c>
      <c r="AI98" s="14">
        <f>[33]Salidas!$D121</f>
        <v>3044</v>
      </c>
      <c r="AJ98" s="14">
        <f>[34]Salidas!$D121</f>
        <v>1113</v>
      </c>
    </row>
    <row r="99" spans="1:36" x14ac:dyDescent="0.2">
      <c r="A99" s="443"/>
      <c r="B99" s="65" t="s">
        <v>123</v>
      </c>
      <c r="C99" s="14">
        <f>[1]Salidas!$D122</f>
        <v>10617</v>
      </c>
      <c r="D99" s="14">
        <f>[2]Salidas!$D122</f>
        <v>10587</v>
      </c>
      <c r="E99" s="14">
        <f>[3]Salidas!$D122</f>
        <v>10651</v>
      </c>
      <c r="F99" s="14">
        <f>[4]Salidas!$D122</f>
        <v>9990</v>
      </c>
      <c r="G99" s="14">
        <f>[5]Salidas!$D122</f>
        <v>7616</v>
      </c>
      <c r="H99" s="14">
        <f>[6]Salidas!$D122</f>
        <v>5718</v>
      </c>
      <c r="I99" s="14">
        <f>[7]Salidas!$D122</f>
        <v>10788</v>
      </c>
      <c r="J99" s="14">
        <f>[8]Salidas!$D122</f>
        <v>10721</v>
      </c>
      <c r="K99" s="14">
        <f>[9]Salidas!$D122</f>
        <v>10526</v>
      </c>
      <c r="L99" s="14">
        <f>[10]Salidas!$D122</f>
        <v>10654</v>
      </c>
      <c r="M99" s="14">
        <f>[11]Salidas!$D122</f>
        <v>10464</v>
      </c>
      <c r="N99" s="14">
        <f>[12]Salidas!$D122</f>
        <v>7827</v>
      </c>
      <c r="O99" s="14">
        <f>[13]Salidas!$D122</f>
        <v>5711</v>
      </c>
      <c r="P99" s="14">
        <f>[14]Salidas!$D122</f>
        <v>10688</v>
      </c>
      <c r="Q99" s="14">
        <f>[15]Salidas!$D122</f>
        <v>10556</v>
      </c>
      <c r="R99" s="14">
        <f>[16]Salidas!$D122</f>
        <v>10601</v>
      </c>
      <c r="S99" s="14">
        <f>[17]Salidas!$D122</f>
        <v>10450</v>
      </c>
      <c r="T99" s="14">
        <f>[18]Salidas!$D122</f>
        <v>10731</v>
      </c>
      <c r="U99" s="14">
        <f>[19]Salidas!$D122</f>
        <v>8123</v>
      </c>
      <c r="V99" s="14">
        <f>[20]Salidas!$D122</f>
        <v>5742</v>
      </c>
      <c r="W99" s="14">
        <f>[21]Salidas!$D122</f>
        <v>10866</v>
      </c>
      <c r="X99" s="14">
        <f>[22]Salidas!$D122</f>
        <v>10750</v>
      </c>
      <c r="Y99" s="14">
        <f>[23]Salidas!$D122</f>
        <v>10605</v>
      </c>
      <c r="Z99" s="14">
        <f>[24]Salidas!$D122</f>
        <v>10376</v>
      </c>
      <c r="AA99" s="14">
        <f>[25]Salidas!$D122</f>
        <v>10443</v>
      </c>
      <c r="AB99" s="14">
        <f>[26]Salidas!$D122</f>
        <v>7831</v>
      </c>
      <c r="AC99" s="14">
        <f>[27]Salidas!$D122</f>
        <v>5742</v>
      </c>
      <c r="AD99" s="14">
        <f>[28]Salidas!$D122</f>
        <v>11025</v>
      </c>
      <c r="AE99" s="14">
        <f>[29]Salidas!$D122</f>
        <v>10928</v>
      </c>
      <c r="AF99" s="14">
        <f>[30]Salidas!$D122</f>
        <v>10851</v>
      </c>
      <c r="AG99" s="14">
        <f>[31]Salidas!$D122</f>
        <v>10814</v>
      </c>
      <c r="AH99" s="14">
        <f>[32]Salidas!$D122</f>
        <v>10420</v>
      </c>
      <c r="AI99" s="14">
        <f>[33]Salidas!$D122</f>
        <v>8204</v>
      </c>
      <c r="AJ99" s="14">
        <f>[34]Salidas!$D122</f>
        <v>5878</v>
      </c>
    </row>
    <row r="100" spans="1:36" x14ac:dyDescent="0.2">
      <c r="A100" s="443"/>
      <c r="B100" s="39" t="s">
        <v>52</v>
      </c>
      <c r="C100" s="14">
        <f>[1]Salidas!$D123</f>
        <v>3997</v>
      </c>
      <c r="D100" s="14">
        <f>[2]Salidas!$D123</f>
        <v>4045</v>
      </c>
      <c r="E100" s="14">
        <f>[3]Salidas!$D123</f>
        <v>4114</v>
      </c>
      <c r="F100" s="14">
        <f>[4]Salidas!$D123</f>
        <v>3985</v>
      </c>
      <c r="G100" s="14">
        <f>[5]Salidas!$D123</f>
        <v>3620</v>
      </c>
      <c r="H100" s="14">
        <f>[6]Salidas!$D123</f>
        <v>1963</v>
      </c>
      <c r="I100" s="14">
        <f>[7]Salidas!$D123</f>
        <v>4017</v>
      </c>
      <c r="J100" s="14">
        <f>[8]Salidas!$D123</f>
        <v>4148</v>
      </c>
      <c r="K100" s="14">
        <f>[9]Salidas!$D123</f>
        <v>4068</v>
      </c>
      <c r="L100" s="14">
        <f>[10]Salidas!$D123</f>
        <v>3999</v>
      </c>
      <c r="M100" s="14">
        <f>[11]Salidas!$D123</f>
        <v>3952</v>
      </c>
      <c r="N100" s="14">
        <f>[12]Salidas!$D123</f>
        <v>3691</v>
      </c>
      <c r="O100" s="14">
        <f>[13]Salidas!$D123</f>
        <v>2114</v>
      </c>
      <c r="P100" s="14">
        <f>[14]Salidas!$D123</f>
        <v>4051</v>
      </c>
      <c r="Q100" s="14">
        <f>[15]Salidas!$D123</f>
        <v>3975</v>
      </c>
      <c r="R100" s="14">
        <f>[16]Salidas!$D123</f>
        <v>4019</v>
      </c>
      <c r="S100" s="14">
        <f>[17]Salidas!$D123</f>
        <v>4086</v>
      </c>
      <c r="T100" s="14">
        <f>[18]Salidas!$D123</f>
        <v>3394</v>
      </c>
      <c r="U100" s="14">
        <f>[19]Salidas!$D123</f>
        <v>3665</v>
      </c>
      <c r="V100" s="14">
        <f>[20]Salidas!$D123</f>
        <v>1974</v>
      </c>
      <c r="W100" s="14">
        <f>[21]Salidas!$D123</f>
        <v>4174</v>
      </c>
      <c r="X100" s="14">
        <f>[22]Salidas!$D123</f>
        <v>4055</v>
      </c>
      <c r="Y100" s="14">
        <f>[23]Salidas!$D123</f>
        <v>4080</v>
      </c>
      <c r="Z100" s="14">
        <f>[24]Salidas!$D123</f>
        <v>3931</v>
      </c>
      <c r="AA100" s="14">
        <f>[25]Salidas!$D123</f>
        <v>4000</v>
      </c>
      <c r="AB100" s="14">
        <f>[26]Salidas!$D123</f>
        <v>3677</v>
      </c>
      <c r="AC100" s="14">
        <f>[27]Salidas!$D123</f>
        <v>1916</v>
      </c>
      <c r="AD100" s="14">
        <f>[28]Salidas!$D123</f>
        <v>4113</v>
      </c>
      <c r="AE100" s="14">
        <f>[29]Salidas!$D123</f>
        <v>4218</v>
      </c>
      <c r="AF100" s="14">
        <f>[30]Salidas!$D123</f>
        <v>4031</v>
      </c>
      <c r="AG100" s="14">
        <f>[31]Salidas!$D123</f>
        <v>4083</v>
      </c>
      <c r="AH100" s="14">
        <f>[32]Salidas!$D123</f>
        <v>4204</v>
      </c>
      <c r="AI100" s="14">
        <f>[33]Salidas!$D123</f>
        <v>3605</v>
      </c>
      <c r="AJ100" s="14">
        <f>[34]Salidas!$D123</f>
        <v>2005</v>
      </c>
    </row>
    <row r="101" spans="1:36" x14ac:dyDescent="0.2">
      <c r="A101" s="443"/>
      <c r="B101" s="39" t="s">
        <v>52</v>
      </c>
      <c r="C101" s="14">
        <f>[1]Salidas!$D124</f>
        <v>6078</v>
      </c>
      <c r="D101" s="14">
        <f>[2]Salidas!$D124</f>
        <v>6109</v>
      </c>
      <c r="E101" s="14">
        <f>[3]Salidas!$D124</f>
        <v>5913</v>
      </c>
      <c r="F101" s="14">
        <f>[4]Salidas!$D124</f>
        <v>6053</v>
      </c>
      <c r="G101" s="14">
        <f>[5]Salidas!$D124</f>
        <v>5101</v>
      </c>
      <c r="H101" s="14">
        <f>[6]Salidas!$D124</f>
        <v>3004</v>
      </c>
      <c r="I101" s="14">
        <f>[7]Salidas!$D124</f>
        <v>6056</v>
      </c>
      <c r="J101" s="14">
        <f>[8]Salidas!$D124</f>
        <v>6084</v>
      </c>
      <c r="K101" s="14">
        <f>[9]Salidas!$D124</f>
        <v>5954</v>
      </c>
      <c r="L101" s="14">
        <f>[10]Salidas!$D124</f>
        <v>5953</v>
      </c>
      <c r="M101" s="14">
        <f>[11]Salidas!$D124</f>
        <v>5987</v>
      </c>
      <c r="N101" s="14">
        <f>[12]Salidas!$D124</f>
        <v>5184</v>
      </c>
      <c r="O101" s="14">
        <f>[13]Salidas!$D124</f>
        <v>2644</v>
      </c>
      <c r="P101" s="14">
        <f>[14]Salidas!$D124</f>
        <v>6041</v>
      </c>
      <c r="Q101" s="14">
        <f>[15]Salidas!$D124</f>
        <v>6189</v>
      </c>
      <c r="R101" s="14">
        <f>[16]Salidas!$D124</f>
        <v>6210</v>
      </c>
      <c r="S101" s="14">
        <f>[17]Salidas!$D124</f>
        <v>5798</v>
      </c>
      <c r="T101" s="14">
        <f>[18]Salidas!$D124</f>
        <v>5118</v>
      </c>
      <c r="U101" s="14">
        <f>[19]Salidas!$D124</f>
        <v>5159</v>
      </c>
      <c r="V101" s="14">
        <f>[20]Salidas!$D124</f>
        <v>2947</v>
      </c>
      <c r="W101" s="14">
        <f>[21]Salidas!$D124</f>
        <v>6153</v>
      </c>
      <c r="X101" s="14">
        <f>[22]Salidas!$D124</f>
        <v>6102</v>
      </c>
      <c r="Y101" s="14">
        <f>[23]Salidas!$D124</f>
        <v>5958</v>
      </c>
      <c r="Z101" s="14">
        <f>[24]Salidas!$D124</f>
        <v>6116</v>
      </c>
      <c r="AA101" s="14">
        <f>[25]Salidas!$D124</f>
        <v>6109</v>
      </c>
      <c r="AB101" s="14">
        <f>[26]Salidas!$D124</f>
        <v>5302</v>
      </c>
      <c r="AC101" s="14">
        <f>[27]Salidas!$D124</f>
        <v>2773</v>
      </c>
      <c r="AD101" s="14">
        <f>[28]Salidas!$D124</f>
        <v>6264</v>
      </c>
      <c r="AE101" s="14">
        <f>[29]Salidas!$D124</f>
        <v>6414</v>
      </c>
      <c r="AF101" s="14">
        <f>[30]Salidas!$D124</f>
        <v>6444</v>
      </c>
      <c r="AG101" s="14">
        <f>[31]Salidas!$D124</f>
        <v>6375</v>
      </c>
      <c r="AH101" s="14">
        <f>[32]Salidas!$D124</f>
        <v>6263</v>
      </c>
      <c r="AI101" s="14">
        <f>[33]Salidas!$D124</f>
        <v>5330</v>
      </c>
      <c r="AJ101" s="14">
        <f>[34]Salidas!$D124</f>
        <v>2824</v>
      </c>
    </row>
    <row r="102" spans="1:36" x14ac:dyDescent="0.2">
      <c r="A102" s="443"/>
      <c r="B102" s="39" t="s">
        <v>41</v>
      </c>
      <c r="C102" s="14">
        <f>[1]Salidas!$D125</f>
        <v>3251</v>
      </c>
      <c r="D102" s="14">
        <f>[2]Salidas!$D125</f>
        <v>3303</v>
      </c>
      <c r="E102" s="14">
        <f>[3]Salidas!$D125</f>
        <v>3305</v>
      </c>
      <c r="F102" s="14">
        <f>[4]Salidas!$D125</f>
        <v>3246</v>
      </c>
      <c r="G102" s="14">
        <f>[5]Salidas!$D125</f>
        <v>2682</v>
      </c>
      <c r="H102" s="14">
        <f>[6]Salidas!$D125</f>
        <v>1478</v>
      </c>
      <c r="I102" s="14">
        <f>[7]Salidas!$D125</f>
        <v>3246</v>
      </c>
      <c r="J102" s="14">
        <f>[8]Salidas!$D125</f>
        <v>3282</v>
      </c>
      <c r="K102" s="14">
        <f>[9]Salidas!$D125</f>
        <v>3153</v>
      </c>
      <c r="L102" s="14">
        <f>[10]Salidas!$D125</f>
        <v>3257</v>
      </c>
      <c r="M102" s="14">
        <f>[11]Salidas!$D125</f>
        <v>3128</v>
      </c>
      <c r="N102" s="14">
        <f>[12]Salidas!$D125</f>
        <v>2585</v>
      </c>
      <c r="O102" s="14">
        <f>[13]Salidas!$D125</f>
        <v>1372</v>
      </c>
      <c r="P102" s="14">
        <f>[14]Salidas!$D125</f>
        <v>3305</v>
      </c>
      <c r="Q102" s="14">
        <f>[15]Salidas!$D125</f>
        <v>3355</v>
      </c>
      <c r="R102" s="14">
        <f>[16]Salidas!$D125</f>
        <v>3319</v>
      </c>
      <c r="S102" s="14">
        <f>[17]Salidas!$D125</f>
        <v>3236</v>
      </c>
      <c r="T102" s="14">
        <f>[18]Salidas!$D125</f>
        <v>3283</v>
      </c>
      <c r="U102" s="14">
        <f>[19]Salidas!$D125</f>
        <v>2700</v>
      </c>
      <c r="V102" s="14">
        <f>[20]Salidas!$D125</f>
        <v>1439</v>
      </c>
      <c r="W102" s="14">
        <f>[21]Salidas!$D125</f>
        <v>3369</v>
      </c>
      <c r="X102" s="14">
        <f>[22]Salidas!$D125</f>
        <v>3336</v>
      </c>
      <c r="Y102" s="14">
        <f>[23]Salidas!$D125</f>
        <v>3283</v>
      </c>
      <c r="Z102" s="14">
        <f>[24]Salidas!$D125</f>
        <v>3352</v>
      </c>
      <c r="AA102" s="14">
        <f>[25]Salidas!$D125</f>
        <v>3169</v>
      </c>
      <c r="AB102" s="14">
        <f>[26]Salidas!$D125</f>
        <v>2723</v>
      </c>
      <c r="AC102" s="14">
        <f>[27]Salidas!$D125</f>
        <v>1447</v>
      </c>
      <c r="AD102" s="14">
        <f>[28]Salidas!$D125</f>
        <v>3342</v>
      </c>
      <c r="AE102" s="14">
        <f>[29]Salidas!$D125</f>
        <v>3449</v>
      </c>
      <c r="AF102" s="14">
        <f>[30]Salidas!$D125</f>
        <v>3318</v>
      </c>
      <c r="AG102" s="14">
        <f>[31]Salidas!$D125</f>
        <v>3425</v>
      </c>
      <c r="AH102" s="14">
        <f>[32]Salidas!$D125</f>
        <v>3306</v>
      </c>
      <c r="AI102" s="14">
        <f>[33]Salidas!$D125</f>
        <v>2664</v>
      </c>
      <c r="AJ102" s="14">
        <f>[34]Salidas!$D125</f>
        <v>1333</v>
      </c>
    </row>
    <row r="103" spans="1:36" x14ac:dyDescent="0.2">
      <c r="A103" s="443"/>
      <c r="B103" s="39" t="s">
        <v>42</v>
      </c>
      <c r="C103" s="14">
        <f>[1]Salidas!$D126</f>
        <v>1692</v>
      </c>
      <c r="D103" s="14">
        <f>[2]Salidas!$D126</f>
        <v>1675</v>
      </c>
      <c r="E103" s="14">
        <f>[3]Salidas!$D126</f>
        <v>1678</v>
      </c>
      <c r="F103" s="14">
        <f>[4]Salidas!$D126</f>
        <v>1640</v>
      </c>
      <c r="G103" s="14">
        <f>[5]Salidas!$D126</f>
        <v>1369</v>
      </c>
      <c r="H103" s="14">
        <f>[6]Salidas!$D126</f>
        <v>662</v>
      </c>
      <c r="I103" s="14">
        <f>[7]Salidas!$D126</f>
        <v>1627</v>
      </c>
      <c r="J103" s="14">
        <f>[8]Salidas!$D126</f>
        <v>1607</v>
      </c>
      <c r="K103" s="14">
        <f>[9]Salidas!$D126</f>
        <v>1712</v>
      </c>
      <c r="L103" s="14">
        <f>[10]Salidas!$D126</f>
        <v>1611</v>
      </c>
      <c r="M103" s="14">
        <f>[11]Salidas!$D126</f>
        <v>1616</v>
      </c>
      <c r="N103" s="14">
        <f>[12]Salidas!$D126</f>
        <v>1290</v>
      </c>
      <c r="O103" s="14">
        <f>[13]Salidas!$D126</f>
        <v>738</v>
      </c>
      <c r="P103" s="14">
        <f>[14]Salidas!$D126</f>
        <v>1613</v>
      </c>
      <c r="Q103" s="14">
        <f>[15]Salidas!$D126</f>
        <v>1738</v>
      </c>
      <c r="R103" s="14">
        <f>[16]Salidas!$D126</f>
        <v>1664</v>
      </c>
      <c r="S103" s="14">
        <f>[17]Salidas!$D126</f>
        <v>1646</v>
      </c>
      <c r="T103" s="14">
        <f>[18]Salidas!$D126</f>
        <v>1629</v>
      </c>
      <c r="U103" s="14">
        <f>[19]Salidas!$D126</f>
        <v>1295</v>
      </c>
      <c r="V103" s="14">
        <f>[20]Salidas!$D126</f>
        <v>693</v>
      </c>
      <c r="W103" s="14">
        <f>[21]Salidas!$D126</f>
        <v>1639</v>
      </c>
      <c r="X103" s="14">
        <f>[22]Salidas!$D126</f>
        <v>1700</v>
      </c>
      <c r="Y103" s="14">
        <f>[23]Salidas!$D126</f>
        <v>1658</v>
      </c>
      <c r="Z103" s="14">
        <f>[24]Salidas!$D126</f>
        <v>1626</v>
      </c>
      <c r="AA103" s="14">
        <f>[25]Salidas!$D126</f>
        <v>1623</v>
      </c>
      <c r="AB103" s="14">
        <f>[26]Salidas!$D126</f>
        <v>1371</v>
      </c>
      <c r="AC103" s="14">
        <f>[27]Salidas!$D126</f>
        <v>697</v>
      </c>
      <c r="AD103" s="14">
        <f>[28]Salidas!$D126</f>
        <v>1633</v>
      </c>
      <c r="AE103" s="14">
        <f>[29]Salidas!$D126</f>
        <v>1757</v>
      </c>
      <c r="AF103" s="14">
        <f>[30]Salidas!$D126</f>
        <v>1718</v>
      </c>
      <c r="AG103" s="14">
        <f>[31]Salidas!$D126</f>
        <v>1668</v>
      </c>
      <c r="AH103" s="14">
        <f>[32]Salidas!$D126</f>
        <v>1722</v>
      </c>
      <c r="AI103" s="14">
        <f>[33]Salidas!$D126</f>
        <v>1303</v>
      </c>
      <c r="AJ103" s="14">
        <f>[34]Salidas!$D126</f>
        <v>622</v>
      </c>
    </row>
    <row r="104" spans="1:36" x14ac:dyDescent="0.2">
      <c r="A104" s="443"/>
      <c r="B104" s="39" t="s">
        <v>107</v>
      </c>
      <c r="C104" s="14">
        <f>[1]Salidas!$D127</f>
        <v>6611</v>
      </c>
      <c r="D104" s="14">
        <f>[2]Salidas!$D127</f>
        <v>6513</v>
      </c>
      <c r="E104" s="14">
        <f>[3]Salidas!$D127</f>
        <v>6358</v>
      </c>
      <c r="F104" s="14">
        <f>[4]Salidas!$D127</f>
        <v>6405</v>
      </c>
      <c r="G104" s="14">
        <f>[5]Salidas!$D127</f>
        <v>4779</v>
      </c>
      <c r="H104" s="14">
        <f>[6]Salidas!$D127</f>
        <v>2494</v>
      </c>
      <c r="I104" s="14">
        <f>[7]Salidas!$D127</f>
        <v>6560</v>
      </c>
      <c r="J104" s="14">
        <f>[8]Salidas!$D127</f>
        <v>6498</v>
      </c>
      <c r="K104" s="14">
        <f>[9]Salidas!$D127</f>
        <v>6403</v>
      </c>
      <c r="L104" s="14">
        <f>[10]Salidas!$D127</f>
        <v>6448</v>
      </c>
      <c r="M104" s="14">
        <f>[11]Salidas!$D127</f>
        <v>6526</v>
      </c>
      <c r="N104" s="14">
        <f>[12]Salidas!$D127</f>
        <v>4689</v>
      </c>
      <c r="O104" s="14">
        <f>[13]Salidas!$D127</f>
        <v>2332</v>
      </c>
      <c r="P104" s="14">
        <f>[14]Salidas!$D127</f>
        <v>6451</v>
      </c>
      <c r="Q104" s="14">
        <f>[15]Salidas!$D127</f>
        <v>6612</v>
      </c>
      <c r="R104" s="14">
        <f>[16]Salidas!$D127</f>
        <v>6646</v>
      </c>
      <c r="S104" s="14">
        <f>[17]Salidas!$D127</f>
        <v>6519</v>
      </c>
      <c r="T104" s="14">
        <f>[18]Salidas!$D127</f>
        <v>6587</v>
      </c>
      <c r="U104" s="14">
        <f>[19]Salidas!$D127</f>
        <v>5014</v>
      </c>
      <c r="V104" s="14">
        <f>[20]Salidas!$D127</f>
        <v>2434</v>
      </c>
      <c r="W104" s="14">
        <f>[21]Salidas!$D127</f>
        <v>6495</v>
      </c>
      <c r="X104" s="14">
        <f>[22]Salidas!$D127</f>
        <v>6524</v>
      </c>
      <c r="Y104" s="14">
        <f>[23]Salidas!$D127</f>
        <v>6516</v>
      </c>
      <c r="Z104" s="14">
        <f>[24]Salidas!$D127</f>
        <v>6565</v>
      </c>
      <c r="AA104" s="14">
        <f>[25]Salidas!$D127</f>
        <v>6545</v>
      </c>
      <c r="AB104" s="14">
        <f>[26]Salidas!$D127</f>
        <v>5163</v>
      </c>
      <c r="AC104" s="14">
        <f>[27]Salidas!$D127</f>
        <v>2494</v>
      </c>
      <c r="AD104" s="14">
        <f>[28]Salidas!$D127</f>
        <v>6806</v>
      </c>
      <c r="AE104" s="14">
        <f>[29]Salidas!$D127</f>
        <v>7033</v>
      </c>
      <c r="AF104" s="14">
        <f>[30]Salidas!$D127</f>
        <v>6996</v>
      </c>
      <c r="AG104" s="14">
        <f>[31]Salidas!$D127</f>
        <v>6996</v>
      </c>
      <c r="AH104" s="14">
        <f>[32]Salidas!$D127</f>
        <v>6829</v>
      </c>
      <c r="AI104" s="14">
        <f>[33]Salidas!$D127</f>
        <v>5303</v>
      </c>
      <c r="AJ104" s="14">
        <f>[34]Salidas!$D127</f>
        <v>2608</v>
      </c>
    </row>
    <row r="105" spans="1:36" x14ac:dyDescent="0.2">
      <c r="A105" s="443"/>
      <c r="B105" s="39" t="s">
        <v>108</v>
      </c>
      <c r="C105" s="14">
        <f>[1]Salidas!$D128</f>
        <v>13133</v>
      </c>
      <c r="D105" s="14">
        <f>[2]Salidas!$D128</f>
        <v>13452</v>
      </c>
      <c r="E105" s="14">
        <f>[3]Salidas!$D128</f>
        <v>13663</v>
      </c>
      <c r="F105" s="14">
        <f>[4]Salidas!$D128</f>
        <v>13669</v>
      </c>
      <c r="G105" s="14">
        <f>[5]Salidas!$D128</f>
        <v>10501</v>
      </c>
      <c r="H105" s="14">
        <f>[6]Salidas!$D128</f>
        <v>6431</v>
      </c>
      <c r="I105" s="14">
        <f>[7]Salidas!$D128</f>
        <v>13682</v>
      </c>
      <c r="J105" s="14">
        <f>[8]Salidas!$D128</f>
        <v>13709</v>
      </c>
      <c r="K105" s="14">
        <f>[9]Salidas!$D128</f>
        <v>13593</v>
      </c>
      <c r="L105" s="14">
        <f>[10]Salidas!$D128</f>
        <v>13525</v>
      </c>
      <c r="M105" s="14">
        <f>[11]Salidas!$D128</f>
        <v>13702</v>
      </c>
      <c r="N105" s="14">
        <f>[12]Salidas!$D128</f>
        <v>10614</v>
      </c>
      <c r="O105" s="14">
        <f>[13]Salidas!$D128</f>
        <v>5939</v>
      </c>
      <c r="P105" s="14">
        <f>[14]Salidas!$D128</f>
        <v>13582</v>
      </c>
      <c r="Q105" s="14">
        <f>[15]Salidas!$D128</f>
        <v>13509</v>
      </c>
      <c r="R105" s="14">
        <f>[16]Salidas!$D128</f>
        <v>13725</v>
      </c>
      <c r="S105" s="14">
        <f>[17]Salidas!$D128</f>
        <v>13777</v>
      </c>
      <c r="T105" s="14">
        <f>[18]Salidas!$D128</f>
        <v>13748</v>
      </c>
      <c r="U105" s="14">
        <f>[19]Salidas!$D128</f>
        <v>10700</v>
      </c>
      <c r="V105" s="14">
        <f>[20]Salidas!$D128</f>
        <v>6229</v>
      </c>
      <c r="W105" s="14">
        <f>[21]Salidas!$D128</f>
        <v>13655</v>
      </c>
      <c r="X105" s="14">
        <f>[22]Salidas!$D128</f>
        <v>13853</v>
      </c>
      <c r="Y105" s="14">
        <f>[23]Salidas!$D128</f>
        <v>13880</v>
      </c>
      <c r="Z105" s="14">
        <f>[24]Salidas!$D128</f>
        <v>13722</v>
      </c>
      <c r="AA105" s="14">
        <f>[25]Salidas!$D128</f>
        <v>13639</v>
      </c>
      <c r="AB105" s="14">
        <f>[26]Salidas!$D128</f>
        <v>10886</v>
      </c>
      <c r="AC105" s="14">
        <f>[27]Salidas!$D128</f>
        <v>6209</v>
      </c>
      <c r="AD105" s="14">
        <f>[28]Salidas!$D128</f>
        <v>13694</v>
      </c>
      <c r="AE105" s="14">
        <f>[29]Salidas!$D128</f>
        <v>14076</v>
      </c>
      <c r="AF105" s="14">
        <f>[30]Salidas!$D128</f>
        <v>14165</v>
      </c>
      <c r="AG105" s="14">
        <f>[31]Salidas!$D128</f>
        <v>14392</v>
      </c>
      <c r="AH105" s="14">
        <f>[32]Salidas!$D128</f>
        <v>14131</v>
      </c>
      <c r="AI105" s="14">
        <f>[33]Salidas!$D128</f>
        <v>11325</v>
      </c>
      <c r="AJ105" s="14">
        <f>[34]Salidas!$D128</f>
        <v>6085</v>
      </c>
    </row>
    <row r="106" spans="1:36" x14ac:dyDescent="0.2">
      <c r="A106" s="443"/>
      <c r="B106" s="65" t="s">
        <v>122</v>
      </c>
      <c r="C106" s="14">
        <f>[1]Salidas!$D129</f>
        <v>11282</v>
      </c>
      <c r="D106" s="14">
        <f>[2]Salidas!$D129</f>
        <v>10154</v>
      </c>
      <c r="E106" s="14">
        <f>[3]Salidas!$D129</f>
        <v>10217</v>
      </c>
      <c r="F106" s="14">
        <f>[4]Salidas!$D129</f>
        <v>10552</v>
      </c>
      <c r="G106" s="14">
        <f>[5]Salidas!$D129</f>
        <v>7514</v>
      </c>
      <c r="H106" s="14">
        <f>[6]Salidas!$D129</f>
        <v>5385</v>
      </c>
      <c r="I106" s="14">
        <f>[7]Salidas!$D129</f>
        <v>10510</v>
      </c>
      <c r="J106" s="14">
        <f>[8]Salidas!$D129</f>
        <v>11408</v>
      </c>
      <c r="K106" s="14">
        <f>[9]Salidas!$D129</f>
        <v>10500</v>
      </c>
      <c r="L106" s="14">
        <f>[10]Salidas!$D129</f>
        <v>10682</v>
      </c>
      <c r="M106" s="14">
        <f>[11]Salidas!$D129</f>
        <v>10407</v>
      </c>
      <c r="N106" s="14">
        <f>[12]Salidas!$D129</f>
        <v>7348</v>
      </c>
      <c r="O106" s="14">
        <f>[13]Salidas!$D129</f>
        <v>5196</v>
      </c>
      <c r="P106" s="14">
        <f>[14]Salidas!$D129</f>
        <v>10636</v>
      </c>
      <c r="Q106" s="14">
        <f>[15]Salidas!$D129</f>
        <v>11373</v>
      </c>
      <c r="R106" s="14">
        <f>[16]Salidas!$D129</f>
        <v>10575</v>
      </c>
      <c r="S106" s="14">
        <f>[17]Salidas!$D129</f>
        <v>10183</v>
      </c>
      <c r="T106" s="14">
        <f>[18]Salidas!$D129</f>
        <v>10612</v>
      </c>
      <c r="U106" s="14">
        <f>[19]Salidas!$D129</f>
        <v>6972</v>
      </c>
      <c r="V106" s="14">
        <f>[20]Salidas!$D129</f>
        <v>4865</v>
      </c>
      <c r="W106" s="14">
        <f>[21]Salidas!$D129</f>
        <v>10674</v>
      </c>
      <c r="X106" s="14">
        <f>[22]Salidas!$D129</f>
        <v>10672</v>
      </c>
      <c r="Y106" s="14">
        <f>[23]Salidas!$D129</f>
        <v>10064</v>
      </c>
      <c r="Z106" s="14">
        <f>[24]Salidas!$D129</f>
        <v>9754</v>
      </c>
      <c r="AA106" s="14">
        <f>[25]Salidas!$D129</f>
        <v>10028</v>
      </c>
      <c r="AB106" s="14">
        <f>[26]Salidas!$D129</f>
        <v>6922</v>
      </c>
      <c r="AC106" s="14">
        <f>[27]Salidas!$D129</f>
        <v>4555</v>
      </c>
      <c r="AD106" s="14">
        <f>[28]Salidas!$D129</f>
        <v>10015</v>
      </c>
      <c r="AE106" s="14">
        <f>[29]Salidas!$D129</f>
        <v>10705</v>
      </c>
      <c r="AF106" s="14">
        <f>[30]Salidas!$D129</f>
        <v>9890</v>
      </c>
      <c r="AG106" s="14">
        <f>[31]Salidas!$D129</f>
        <v>10162</v>
      </c>
      <c r="AH106" s="14">
        <f>[32]Salidas!$D129</f>
        <v>10217</v>
      </c>
      <c r="AI106" s="14">
        <f>[33]Salidas!$D129</f>
        <v>7740</v>
      </c>
      <c r="AJ106" s="14">
        <f>[34]Salidas!$D129</f>
        <v>4402</v>
      </c>
    </row>
    <row r="107" spans="1:36" s="12" customFormat="1" x14ac:dyDescent="0.2">
      <c r="A107" s="443"/>
      <c r="B107" s="65" t="s">
        <v>53</v>
      </c>
      <c r="C107" s="14">
        <f>[1]Salidas!$D130</f>
        <v>49864</v>
      </c>
      <c r="D107" s="14">
        <f>[2]Salidas!$D130</f>
        <v>51035</v>
      </c>
      <c r="E107" s="14">
        <f>[3]Salidas!$D130</f>
        <v>49050</v>
      </c>
      <c r="F107" s="14">
        <f>[4]Salidas!$D130</f>
        <v>50558</v>
      </c>
      <c r="G107" s="14">
        <f>[5]Salidas!$D130</f>
        <v>38883</v>
      </c>
      <c r="H107" s="14">
        <f>[6]Salidas!$D130</f>
        <v>20259</v>
      </c>
      <c r="I107" s="14">
        <f>[7]Salidas!$D130</f>
        <v>50973</v>
      </c>
      <c r="J107" s="14">
        <f>[8]Salidas!$D130</f>
        <v>50188</v>
      </c>
      <c r="K107" s="14">
        <f>[9]Salidas!$D130</f>
        <v>51676</v>
      </c>
      <c r="L107" s="14">
        <f>[10]Salidas!$D130</f>
        <v>52426</v>
      </c>
      <c r="M107" s="14">
        <f>[11]Salidas!$D130</f>
        <v>51586</v>
      </c>
      <c r="N107" s="14">
        <f>[12]Salidas!$D130</f>
        <v>39449</v>
      </c>
      <c r="O107" s="14">
        <f>[13]Salidas!$D130</f>
        <v>19553</v>
      </c>
      <c r="P107" s="14">
        <f>[14]Salidas!$D130</f>
        <v>52934</v>
      </c>
      <c r="Q107" s="14">
        <f>[15]Salidas!$D130</f>
        <v>53361</v>
      </c>
      <c r="R107" s="14">
        <f>[16]Salidas!$D130</f>
        <v>55413</v>
      </c>
      <c r="S107" s="14">
        <f>[17]Salidas!$D130</f>
        <v>54413</v>
      </c>
      <c r="T107" s="14">
        <f>[18]Salidas!$D130</f>
        <v>54699</v>
      </c>
      <c r="U107" s="14">
        <f>[19]Salidas!$D130</f>
        <v>41727</v>
      </c>
      <c r="V107" s="14">
        <f>[20]Salidas!$D130</f>
        <v>20562</v>
      </c>
      <c r="W107" s="14">
        <f>[21]Salidas!$D130</f>
        <v>53397</v>
      </c>
      <c r="X107" s="14">
        <f>[22]Salidas!$D130</f>
        <v>54733</v>
      </c>
      <c r="Y107" s="14">
        <f>[23]Salidas!$D130</f>
        <v>54458</v>
      </c>
      <c r="Z107" s="14">
        <f>[24]Salidas!$D130</f>
        <v>54640</v>
      </c>
      <c r="AA107" s="14">
        <f>[25]Salidas!$D130</f>
        <v>54069</v>
      </c>
      <c r="AB107" s="14">
        <f>[26]Salidas!$D130</f>
        <v>41928</v>
      </c>
      <c r="AC107" s="14">
        <f>[27]Salidas!$D130</f>
        <v>20212</v>
      </c>
      <c r="AD107" s="14">
        <f>[28]Salidas!$D130</f>
        <v>55104</v>
      </c>
      <c r="AE107" s="14">
        <f>[29]Salidas!$D130</f>
        <v>56618</v>
      </c>
      <c r="AF107" s="14">
        <f>[30]Salidas!$D130</f>
        <v>56438</v>
      </c>
      <c r="AG107" s="14">
        <f>[31]Salidas!$D130</f>
        <v>56283</v>
      </c>
      <c r="AH107" s="14">
        <f>[32]Salidas!$D130</f>
        <v>55593</v>
      </c>
      <c r="AI107" s="14">
        <f>[33]Salidas!$D130</f>
        <v>43326</v>
      </c>
      <c r="AJ107" s="14">
        <f>[34]Salidas!$D130</f>
        <v>20892</v>
      </c>
    </row>
    <row r="108" spans="1:36" s="12" customFormat="1" x14ac:dyDescent="0.2">
      <c r="A108" s="443"/>
      <c r="B108" s="42" t="s">
        <v>114</v>
      </c>
      <c r="C108" s="14">
        <f>[1]Salidas!$D139</f>
        <v>2234</v>
      </c>
      <c r="D108" s="14">
        <f>[2]Salidas!$D139</f>
        <v>2289</v>
      </c>
      <c r="E108" s="14">
        <f>[3]Salidas!$D139</f>
        <v>2232</v>
      </c>
      <c r="F108" s="14">
        <f>[4]Salidas!$D139</f>
        <v>2334</v>
      </c>
      <c r="G108" s="14">
        <f>[5]Salidas!$D139</f>
        <v>1744</v>
      </c>
      <c r="H108" s="14">
        <f>[6]Salidas!$D139</f>
        <v>801</v>
      </c>
      <c r="I108" s="14">
        <f>[7]Salidas!$D139</f>
        <v>2246</v>
      </c>
      <c r="J108" s="14">
        <f>[8]Salidas!$D139</f>
        <v>2358</v>
      </c>
      <c r="K108" s="14">
        <f>[9]Salidas!$D139</f>
        <v>2241</v>
      </c>
      <c r="L108" s="14">
        <f>[10]Salidas!$D139</f>
        <v>2296</v>
      </c>
      <c r="M108" s="14">
        <f>[11]Salidas!$D139</f>
        <v>2211</v>
      </c>
      <c r="N108" s="14">
        <f>[12]Salidas!$D139</f>
        <v>1718</v>
      </c>
      <c r="O108" s="14">
        <f>[13]Salidas!$D139</f>
        <v>810</v>
      </c>
      <c r="P108" s="14">
        <f>[14]Salidas!$D139</f>
        <v>2328</v>
      </c>
      <c r="Q108" s="14">
        <f>[15]Salidas!$D139</f>
        <v>2298</v>
      </c>
      <c r="R108" s="14">
        <f>[16]Salidas!$D139</f>
        <v>2232</v>
      </c>
      <c r="S108" s="14">
        <f>[17]Salidas!$D139</f>
        <v>2059</v>
      </c>
      <c r="T108" s="14">
        <f>[18]Salidas!$D139</f>
        <v>2265</v>
      </c>
      <c r="U108" s="14">
        <f>[19]Salidas!$D139</f>
        <v>1740</v>
      </c>
      <c r="V108" s="14">
        <f>[20]Salidas!$D139</f>
        <v>819</v>
      </c>
      <c r="W108" s="14">
        <f>[21]Salidas!$D139</f>
        <v>2295</v>
      </c>
      <c r="X108" s="14">
        <f>[22]Salidas!$D139</f>
        <v>2393</v>
      </c>
      <c r="Y108" s="14">
        <f>[23]Salidas!$D139</f>
        <v>2351</v>
      </c>
      <c r="Z108" s="14">
        <f>[24]Salidas!$D139</f>
        <v>2315</v>
      </c>
      <c r="AA108" s="14">
        <f>[25]Salidas!$D139</f>
        <v>2235</v>
      </c>
      <c r="AB108" s="14">
        <f>[26]Salidas!$D139</f>
        <v>1698</v>
      </c>
      <c r="AC108" s="14">
        <f>[27]Salidas!$D139</f>
        <v>890</v>
      </c>
      <c r="AD108" s="14">
        <f>[28]Salidas!$D139</f>
        <v>2385</v>
      </c>
      <c r="AE108" s="14">
        <f>[29]Salidas!$D139</f>
        <v>2372</v>
      </c>
      <c r="AF108" s="14">
        <f>[30]Salidas!$D139</f>
        <v>2446</v>
      </c>
      <c r="AG108" s="14">
        <f>[31]Salidas!$D139</f>
        <v>2352</v>
      </c>
      <c r="AH108" s="14">
        <f>[32]Salidas!$D139</f>
        <v>2183</v>
      </c>
      <c r="AI108" s="14">
        <f>[33]Salidas!$D139</f>
        <v>1744</v>
      </c>
      <c r="AJ108" s="14">
        <f>[34]Salidas!$D139</f>
        <v>858</v>
      </c>
    </row>
    <row r="109" spans="1:36" x14ac:dyDescent="0.2">
      <c r="A109" s="443"/>
      <c r="B109" s="39" t="s">
        <v>115</v>
      </c>
      <c r="C109" s="14">
        <f>[1]Salidas!$D140</f>
        <v>339</v>
      </c>
      <c r="D109" s="14">
        <f>[2]Salidas!$D140</f>
        <v>382</v>
      </c>
      <c r="E109" s="14">
        <f>[3]Salidas!$D140</f>
        <v>458</v>
      </c>
      <c r="F109" s="14">
        <f>[4]Salidas!$D140</f>
        <v>341</v>
      </c>
      <c r="G109" s="14">
        <f>[5]Salidas!$D140</f>
        <v>285</v>
      </c>
      <c r="H109" s="14">
        <f>[6]Salidas!$D140</f>
        <v>279</v>
      </c>
      <c r="I109" s="14">
        <f>[7]Salidas!$D140</f>
        <v>357</v>
      </c>
      <c r="J109" s="14">
        <f>[8]Salidas!$D140</f>
        <v>323</v>
      </c>
      <c r="K109" s="14">
        <f>[9]Salidas!$D140</f>
        <v>316</v>
      </c>
      <c r="L109" s="14">
        <f>[10]Salidas!$D140</f>
        <v>338</v>
      </c>
      <c r="M109" s="14">
        <f>[11]Salidas!$D140</f>
        <v>328</v>
      </c>
      <c r="N109" s="14">
        <f>[12]Salidas!$D140</f>
        <v>246</v>
      </c>
      <c r="O109" s="14">
        <f>[13]Salidas!$D140</f>
        <v>239</v>
      </c>
      <c r="P109" s="14">
        <f>[14]Salidas!$D140</f>
        <v>329</v>
      </c>
      <c r="Q109" s="14">
        <f>[15]Salidas!$D140</f>
        <v>350</v>
      </c>
      <c r="R109" s="14">
        <f>[16]Salidas!$D140</f>
        <v>336</v>
      </c>
      <c r="S109" s="14">
        <f>[17]Salidas!$D140</f>
        <v>298</v>
      </c>
      <c r="T109" s="14">
        <f>[18]Salidas!$D140</f>
        <v>375</v>
      </c>
      <c r="U109" s="14">
        <f>[19]Salidas!$D140</f>
        <v>300</v>
      </c>
      <c r="V109" s="14">
        <f>[20]Salidas!$D140</f>
        <v>291</v>
      </c>
      <c r="W109" s="14">
        <f>[21]Salidas!$D140</f>
        <v>340</v>
      </c>
      <c r="X109" s="14">
        <f>[22]Salidas!$D140</f>
        <v>406</v>
      </c>
      <c r="Y109" s="14">
        <f>[23]Salidas!$D140</f>
        <v>379</v>
      </c>
      <c r="Z109" s="14">
        <f>[24]Salidas!$D140</f>
        <v>345</v>
      </c>
      <c r="AA109" s="14">
        <f>[25]Salidas!$D140</f>
        <v>356</v>
      </c>
      <c r="AB109" s="14">
        <f>[26]Salidas!$D140</f>
        <v>330</v>
      </c>
      <c r="AC109" s="14">
        <f>[27]Salidas!$D140</f>
        <v>258</v>
      </c>
      <c r="AD109" s="14">
        <f>[28]Salidas!$D140</f>
        <v>364</v>
      </c>
      <c r="AE109" s="14">
        <f>[29]Salidas!$D140</f>
        <v>382</v>
      </c>
      <c r="AF109" s="14">
        <f>[30]Salidas!$D140</f>
        <v>362</v>
      </c>
      <c r="AG109" s="14">
        <f>[31]Salidas!$D140</f>
        <v>366</v>
      </c>
      <c r="AH109" s="14">
        <f>[32]Salidas!$D140</f>
        <v>390</v>
      </c>
      <c r="AI109" s="14">
        <f>[33]Salidas!$D140</f>
        <v>294</v>
      </c>
      <c r="AJ109" s="14">
        <f>[34]Salidas!$D140</f>
        <v>221</v>
      </c>
    </row>
    <row r="110" spans="1:36" x14ac:dyDescent="0.2">
      <c r="A110" s="443"/>
      <c r="B110" s="39" t="s">
        <v>116</v>
      </c>
      <c r="C110" s="14">
        <f>[1]Salidas!$D141</f>
        <v>1918</v>
      </c>
      <c r="D110" s="14">
        <f>[2]Salidas!$D141</f>
        <v>1881</v>
      </c>
      <c r="E110" s="14">
        <f>[3]Salidas!$D141</f>
        <v>1939</v>
      </c>
      <c r="F110" s="14">
        <f>[4]Salidas!$D141</f>
        <v>2085</v>
      </c>
      <c r="G110" s="14">
        <f>[5]Salidas!$D141</f>
        <v>1535</v>
      </c>
      <c r="H110" s="14">
        <f>[6]Salidas!$D141</f>
        <v>636</v>
      </c>
      <c r="I110" s="14">
        <f>[7]Salidas!$D141</f>
        <v>1999</v>
      </c>
      <c r="J110" s="14">
        <f>[8]Salidas!$D141</f>
        <v>1957</v>
      </c>
      <c r="K110" s="14">
        <f>[9]Salidas!$D141</f>
        <v>1933</v>
      </c>
      <c r="L110" s="14">
        <f>[10]Salidas!$D141</f>
        <v>1969</v>
      </c>
      <c r="M110" s="14">
        <f>[11]Salidas!$D141</f>
        <v>1804</v>
      </c>
      <c r="N110" s="14">
        <f>[12]Salidas!$D141</f>
        <v>1436</v>
      </c>
      <c r="O110" s="14">
        <f>[13]Salidas!$D141</f>
        <v>642</v>
      </c>
      <c r="P110" s="14">
        <f>[14]Salidas!$D141</f>
        <v>1892</v>
      </c>
      <c r="Q110" s="14">
        <f>[15]Salidas!$D141</f>
        <v>1892</v>
      </c>
      <c r="R110" s="14">
        <f>[16]Salidas!$D141</f>
        <v>1950</v>
      </c>
      <c r="S110" s="14">
        <f>[17]Salidas!$D141</f>
        <v>1949</v>
      </c>
      <c r="T110" s="14">
        <f>[18]Salidas!$D141</f>
        <v>1993</v>
      </c>
      <c r="U110" s="14">
        <f>[19]Salidas!$D141</f>
        <v>1463</v>
      </c>
      <c r="V110" s="14">
        <f>[20]Salidas!$D141</f>
        <v>658</v>
      </c>
      <c r="W110" s="14">
        <f>[21]Salidas!$D141</f>
        <v>1907</v>
      </c>
      <c r="X110" s="14">
        <f>[22]Salidas!$D141</f>
        <v>1983</v>
      </c>
      <c r="Y110" s="14">
        <f>[23]Salidas!$D141</f>
        <v>1965</v>
      </c>
      <c r="Z110" s="14">
        <f>[24]Salidas!$D141</f>
        <v>2006</v>
      </c>
      <c r="AA110" s="14">
        <f>[25]Salidas!$D141</f>
        <v>1942</v>
      </c>
      <c r="AB110" s="14">
        <f>[26]Salidas!$D141</f>
        <v>1508</v>
      </c>
      <c r="AC110" s="14">
        <f>[27]Salidas!$D141</f>
        <v>667</v>
      </c>
      <c r="AD110" s="14">
        <f>[28]Salidas!$D141</f>
        <v>1940</v>
      </c>
      <c r="AE110" s="14">
        <f>[29]Salidas!$D141</f>
        <v>1984</v>
      </c>
      <c r="AF110" s="14">
        <f>[30]Salidas!$D141</f>
        <v>2055</v>
      </c>
      <c r="AG110" s="14">
        <f>[31]Salidas!$D141</f>
        <v>1969</v>
      </c>
      <c r="AH110" s="14">
        <f>[32]Salidas!$D141</f>
        <v>2017</v>
      </c>
      <c r="AI110" s="14">
        <f>[33]Salidas!$D141</f>
        <v>1526</v>
      </c>
      <c r="AJ110" s="14">
        <f>[34]Salidas!$D141</f>
        <v>671</v>
      </c>
    </row>
    <row r="111" spans="1:36" ht="12.75" customHeight="1" x14ac:dyDescent="0.2">
      <c r="A111" s="443"/>
      <c r="B111" s="39" t="s">
        <v>117</v>
      </c>
      <c r="C111" s="14">
        <f>[1]Salidas!$D142</f>
        <v>329</v>
      </c>
      <c r="D111" s="14">
        <f>[2]Salidas!$D142</f>
        <v>335</v>
      </c>
      <c r="E111" s="14">
        <f>[3]Salidas!$D142</f>
        <v>282</v>
      </c>
      <c r="F111" s="14">
        <f>[4]Salidas!$D142</f>
        <v>311</v>
      </c>
      <c r="G111" s="14">
        <f>[5]Salidas!$D142</f>
        <v>269</v>
      </c>
      <c r="H111" s="14">
        <f>[6]Salidas!$D142</f>
        <v>200</v>
      </c>
      <c r="I111" s="14">
        <f>[7]Salidas!$D142</f>
        <v>268</v>
      </c>
      <c r="J111" s="14">
        <f>[8]Salidas!$D142</f>
        <v>327</v>
      </c>
      <c r="K111" s="14">
        <f>[9]Salidas!$D142</f>
        <v>282</v>
      </c>
      <c r="L111" s="14">
        <f>[10]Salidas!$D142</f>
        <v>343</v>
      </c>
      <c r="M111" s="14">
        <f>[11]Salidas!$D142</f>
        <v>337</v>
      </c>
      <c r="N111" s="14">
        <f>[12]Salidas!$D142</f>
        <v>237</v>
      </c>
      <c r="O111" s="14">
        <f>[13]Salidas!$D142</f>
        <v>183</v>
      </c>
      <c r="P111" s="14">
        <f>[14]Salidas!$D142</f>
        <v>288</v>
      </c>
      <c r="Q111" s="14">
        <f>[15]Salidas!$D142</f>
        <v>273</v>
      </c>
      <c r="R111" s="14">
        <f>[16]Salidas!$D142</f>
        <v>327</v>
      </c>
      <c r="S111" s="14">
        <f>[17]Salidas!$D142</f>
        <v>309</v>
      </c>
      <c r="T111" s="14">
        <f>[18]Salidas!$D142</f>
        <v>371</v>
      </c>
      <c r="U111" s="14">
        <f>[19]Salidas!$D142</f>
        <v>253</v>
      </c>
      <c r="V111" s="14">
        <f>[20]Salidas!$D142</f>
        <v>187</v>
      </c>
      <c r="W111" s="14">
        <f>[21]Salidas!$D142</f>
        <v>302</v>
      </c>
      <c r="X111" s="14">
        <f>[22]Salidas!$D142</f>
        <v>316</v>
      </c>
      <c r="Y111" s="14">
        <f>[23]Salidas!$D142</f>
        <v>300</v>
      </c>
      <c r="Z111" s="14">
        <f>[24]Salidas!$D142</f>
        <v>251</v>
      </c>
      <c r="AA111" s="14">
        <f>[25]Salidas!$D142</f>
        <v>273</v>
      </c>
      <c r="AB111" s="14">
        <f>[26]Salidas!$D142</f>
        <v>274</v>
      </c>
      <c r="AC111" s="14">
        <f>[27]Salidas!$D142</f>
        <v>248</v>
      </c>
      <c r="AD111" s="14">
        <f>[28]Salidas!$D142</f>
        <v>270</v>
      </c>
      <c r="AE111" s="14">
        <f>[29]Salidas!$D142</f>
        <v>251</v>
      </c>
      <c r="AF111" s="14">
        <f>[30]Salidas!$D142</f>
        <v>294</v>
      </c>
      <c r="AG111" s="14">
        <f>[31]Salidas!$D142</f>
        <v>260</v>
      </c>
      <c r="AH111" s="14">
        <f>[32]Salidas!$D142</f>
        <v>258</v>
      </c>
      <c r="AI111" s="14">
        <f>[33]Salidas!$D142</f>
        <v>211</v>
      </c>
      <c r="AJ111" s="14">
        <f>[34]Salidas!$D142</f>
        <v>59</v>
      </c>
    </row>
    <row r="112" spans="1:36" s="16" customFormat="1" ht="13.5" thickBot="1" x14ac:dyDescent="0.25">
      <c r="A112" s="444"/>
      <c r="B112" s="73" t="s">
        <v>132</v>
      </c>
      <c r="C112" s="14">
        <f>[1]Salidas!$D143</f>
        <v>52864</v>
      </c>
      <c r="D112" s="14">
        <f>[2]Salidas!$D143</f>
        <v>52450</v>
      </c>
      <c r="E112" s="14">
        <f>[3]Salidas!$D143</f>
        <v>51801</v>
      </c>
      <c r="F112" s="14">
        <f>[4]Salidas!$D143</f>
        <v>53433</v>
      </c>
      <c r="G112" s="14">
        <f>[5]Salidas!$D143</f>
        <v>41806</v>
      </c>
      <c r="H112" s="14">
        <f>[6]Salidas!$D143</f>
        <v>21846</v>
      </c>
      <c r="I112" s="14">
        <f>[7]Salidas!$D143</f>
        <v>53783</v>
      </c>
      <c r="J112" s="14">
        <f>[8]Salidas!$D143</f>
        <v>53718</v>
      </c>
      <c r="K112" s="14">
        <f>[9]Salidas!$D143</f>
        <v>53983</v>
      </c>
      <c r="L112" s="14">
        <f>[10]Salidas!$D143</f>
        <v>53546</v>
      </c>
      <c r="M112" s="14">
        <f>[11]Salidas!$D143</f>
        <v>54151</v>
      </c>
      <c r="N112" s="14">
        <f>[12]Salidas!$D143</f>
        <v>41389</v>
      </c>
      <c r="O112" s="14">
        <f>[13]Salidas!$D143</f>
        <v>20836</v>
      </c>
      <c r="P112" s="14">
        <f>[14]Salidas!$D143</f>
        <v>55644</v>
      </c>
      <c r="Q112" s="14">
        <f>[15]Salidas!$D143</f>
        <v>56854</v>
      </c>
      <c r="R112" s="14">
        <f>[16]Salidas!$D143</f>
        <v>57203</v>
      </c>
      <c r="S112" s="14">
        <f>[17]Salidas!$D143</f>
        <v>56503</v>
      </c>
      <c r="T112" s="14">
        <f>[18]Salidas!$D143</f>
        <v>55785</v>
      </c>
      <c r="U112" s="14">
        <f>[19]Salidas!$D143</f>
        <v>42377</v>
      </c>
      <c r="V112" s="14">
        <f>[20]Salidas!$D143</f>
        <v>21542</v>
      </c>
      <c r="W112" s="14">
        <f>[21]Salidas!$D143</f>
        <v>55353</v>
      </c>
      <c r="X112" s="14">
        <f>[22]Salidas!$D143</f>
        <v>55517</v>
      </c>
      <c r="Y112" s="14">
        <f>[23]Salidas!$D143</f>
        <v>55575</v>
      </c>
      <c r="Z112" s="14">
        <f>[24]Salidas!$D143</f>
        <v>55302</v>
      </c>
      <c r="AA112" s="14">
        <f>[25]Salidas!$D143</f>
        <v>55284</v>
      </c>
      <c r="AB112" s="14">
        <f>[26]Salidas!$D143</f>
        <v>43038</v>
      </c>
      <c r="AC112" s="14">
        <f>[27]Salidas!$D143</f>
        <v>21127</v>
      </c>
      <c r="AD112" s="14">
        <f>[28]Salidas!$D143</f>
        <v>55712</v>
      </c>
      <c r="AE112" s="14">
        <f>[29]Salidas!$D143</f>
        <v>57608</v>
      </c>
      <c r="AF112" s="14">
        <f>[30]Salidas!$D143</f>
        <v>57597</v>
      </c>
      <c r="AG112" s="14">
        <f>[31]Salidas!$D143</f>
        <v>56867</v>
      </c>
      <c r="AH112" s="14">
        <f>[32]Salidas!$D143</f>
        <v>55994</v>
      </c>
      <c r="AI112" s="14">
        <f>[33]Salidas!$D143</f>
        <v>43634</v>
      </c>
      <c r="AJ112" s="14">
        <f>[34]Salidas!$D143</f>
        <v>21975</v>
      </c>
    </row>
    <row r="113" spans="1:36" ht="12.75" customHeight="1" x14ac:dyDescent="0.2">
      <c r="A113" s="434" t="s">
        <v>345</v>
      </c>
      <c r="B113" s="87" t="s">
        <v>167</v>
      </c>
      <c r="C113" s="55">
        <f>[35]Salidas!$D$11</f>
        <v>60626</v>
      </c>
      <c r="D113" s="55">
        <f>[36]Salidas!$D$11</f>
        <v>62704</v>
      </c>
      <c r="E113" s="55">
        <f>[37]Salidas!$D$11</f>
        <v>59670</v>
      </c>
      <c r="F113" s="55">
        <f>[38]Salidas!$D$11</f>
        <v>59579</v>
      </c>
      <c r="G113" s="55">
        <f>[39]Salidas!$D$11</f>
        <v>42067</v>
      </c>
      <c r="H113" s="55">
        <f>[40]Salidas!$D$11</f>
        <v>20524</v>
      </c>
      <c r="I113" s="55">
        <f>[41]Salidas!$D$11</f>
        <v>60314</v>
      </c>
      <c r="J113" s="55">
        <f>[42]Salidas!$D$11</f>
        <v>60422</v>
      </c>
      <c r="K113" s="55">
        <f>[43]Salidas!$D$11</f>
        <v>61011</v>
      </c>
      <c r="L113" s="55">
        <f>[44]Salidas!$D$11</f>
        <v>60705</v>
      </c>
      <c r="M113" s="55">
        <f>[45]Salidas!$D$11</f>
        <v>60158</v>
      </c>
      <c r="N113" s="55">
        <f>[46]Salidas!$D$11</f>
        <v>42710</v>
      </c>
      <c r="O113" s="55">
        <f>[47]Salidas!$D$11</f>
        <v>20628</v>
      </c>
      <c r="P113" s="55">
        <f>[48]Salidas!$D$11</f>
        <v>15034</v>
      </c>
      <c r="Q113" s="55">
        <f>[49]Salidas!$D$11</f>
        <v>18603</v>
      </c>
      <c r="R113" s="55">
        <f>[50]Salidas!$D$11</f>
        <v>30044</v>
      </c>
      <c r="S113" s="55">
        <f>[51]Salidas!$D$11</f>
        <v>35399</v>
      </c>
      <c r="T113" s="55">
        <f>[52]Salidas!$D$11</f>
        <v>57309</v>
      </c>
      <c r="U113" s="55">
        <f>[53]Salidas!$D$11</f>
        <v>40400</v>
      </c>
      <c r="V113" s="55">
        <f>[54]Salidas!$D$11</f>
        <v>20185</v>
      </c>
      <c r="W113" s="55">
        <f>[55]Salidas!$D$11</f>
        <v>60164</v>
      </c>
      <c r="X113" s="55">
        <f>[56]Salidas!$D$11</f>
        <v>58972</v>
      </c>
      <c r="Y113" s="55">
        <f>[57]Salidas!$D$11</f>
        <v>59177</v>
      </c>
      <c r="Z113" s="55">
        <f>[58]Salidas!$D$11</f>
        <v>59838</v>
      </c>
      <c r="AA113" s="55">
        <f>[59]Salidas!$D$11</f>
        <v>58621</v>
      </c>
      <c r="AB113" s="55">
        <f>[60]Salidas!$D$11</f>
        <v>41349</v>
      </c>
      <c r="AC113" s="55">
        <f>[61]Salidas!$D$11</f>
        <v>20009</v>
      </c>
      <c r="AD113" s="55">
        <f>[62]Salidas!$D$11</f>
        <v>60177</v>
      </c>
      <c r="AE113" s="55">
        <f>[63]Salidas!$D$11</f>
        <v>62792</v>
      </c>
      <c r="AF113" s="55">
        <f>[64]Salidas!$D$11</f>
        <v>61933</v>
      </c>
      <c r="AG113" s="55">
        <f>[65]Salidas!$D$11</f>
        <v>62684</v>
      </c>
      <c r="AH113" s="55">
        <f>[66]Salidas!$D$11</f>
        <v>58949</v>
      </c>
      <c r="AI113" s="55">
        <f>[67]Salidas!$D$11</f>
        <v>42866</v>
      </c>
      <c r="AJ113" s="55">
        <f>[68]Salidas!$D$11</f>
        <v>19923</v>
      </c>
    </row>
    <row r="114" spans="1:36" x14ac:dyDescent="0.2">
      <c r="A114" s="435"/>
      <c r="B114" s="88" t="s">
        <v>194</v>
      </c>
      <c r="C114" s="13">
        <f>[35]Salidas!$D23</f>
        <v>2746</v>
      </c>
      <c r="D114" s="13">
        <f>[36]Salidas!$D23</f>
        <v>2700</v>
      </c>
      <c r="E114" s="13">
        <f>[37]Salidas!$D23</f>
        <v>2659</v>
      </c>
      <c r="F114" s="13">
        <f>[38]Salidas!$D23</f>
        <v>2670</v>
      </c>
      <c r="G114" s="13">
        <f>[39]Salidas!$D23</f>
        <v>2653</v>
      </c>
      <c r="H114" s="13">
        <f>[40]Salidas!$D23</f>
        <v>838</v>
      </c>
      <c r="I114" s="13">
        <f>[41]Salidas!$D23</f>
        <v>2788</v>
      </c>
      <c r="J114" s="13">
        <f>[42]Salidas!$D23</f>
        <v>2738</v>
      </c>
      <c r="K114" s="13">
        <f>[43]Salidas!$D23</f>
        <v>2736</v>
      </c>
      <c r="L114" s="13">
        <f>[44]Salidas!$D23</f>
        <v>2635</v>
      </c>
      <c r="M114" s="13">
        <f>[45]Salidas!$D23</f>
        <v>2741</v>
      </c>
      <c r="N114" s="13">
        <f>[46]Salidas!$D23</f>
        <v>2588</v>
      </c>
      <c r="O114" s="13">
        <f>[47]Salidas!$D23</f>
        <v>770</v>
      </c>
      <c r="P114" s="13">
        <f>[48]Salidas!$D23</f>
        <v>750</v>
      </c>
      <c r="Q114" s="13">
        <f>[49]Salidas!$D23</f>
        <v>4505</v>
      </c>
      <c r="R114" s="13">
        <f>[50]Salidas!$D23</f>
        <v>4816</v>
      </c>
      <c r="S114" s="13">
        <f>[51]Salidas!$D23</f>
        <v>5264</v>
      </c>
      <c r="T114" s="13">
        <f>[52]Salidas!$D23</f>
        <v>2839</v>
      </c>
      <c r="U114" s="13">
        <f>[53]Salidas!$D23</f>
        <v>2496</v>
      </c>
      <c r="V114" s="13">
        <f>[54]Salidas!$D23</f>
        <v>772</v>
      </c>
      <c r="W114" s="13">
        <f>[55]Salidas!$D23</f>
        <v>2835</v>
      </c>
      <c r="X114" s="13">
        <f>[56]Salidas!$D23</f>
        <v>2748</v>
      </c>
      <c r="Y114" s="13">
        <f>[57]Salidas!$D23</f>
        <v>2818</v>
      </c>
      <c r="Z114" s="13">
        <f>[58]Salidas!$D23</f>
        <v>2577</v>
      </c>
      <c r="AA114" s="13">
        <f>[59]Salidas!$D23</f>
        <v>2708</v>
      </c>
      <c r="AB114" s="13">
        <f>[60]Salidas!$D23</f>
        <v>2534</v>
      </c>
      <c r="AC114" s="13">
        <f>[61]Salidas!$D23</f>
        <v>748</v>
      </c>
      <c r="AD114" s="13">
        <f>[62]Salidas!$D23</f>
        <v>2828</v>
      </c>
      <c r="AE114" s="13">
        <f>[63]Salidas!$D23</f>
        <v>2899</v>
      </c>
      <c r="AF114" s="13">
        <f>[64]Salidas!$D23</f>
        <v>2963</v>
      </c>
      <c r="AG114" s="13">
        <f>[65]Salidas!$D23</f>
        <v>2872</v>
      </c>
      <c r="AH114" s="13">
        <f>[66]Salidas!$D23</f>
        <v>2813</v>
      </c>
      <c r="AI114" s="13">
        <f>[67]Salidas!$D23</f>
        <v>2840</v>
      </c>
      <c r="AJ114" s="13">
        <f>[68]Salidas!$D23</f>
        <v>849</v>
      </c>
    </row>
    <row r="115" spans="1:36" x14ac:dyDescent="0.2">
      <c r="A115" s="435"/>
      <c r="B115" s="88" t="s">
        <v>195</v>
      </c>
      <c r="C115" s="13">
        <f>[35]Salidas!$D24</f>
        <v>5323</v>
      </c>
      <c r="D115" s="13">
        <f>[36]Salidas!$D24</f>
        <v>5488</v>
      </c>
      <c r="E115" s="13">
        <f>[37]Salidas!$D24</f>
        <v>5348</v>
      </c>
      <c r="F115" s="13">
        <f>[38]Salidas!$D24</f>
        <v>5153</v>
      </c>
      <c r="G115" s="13">
        <f>[39]Salidas!$D24</f>
        <v>4737</v>
      </c>
      <c r="H115" s="13">
        <f>[40]Salidas!$D24</f>
        <v>1561</v>
      </c>
      <c r="I115" s="13">
        <f>[41]Salidas!$D24</f>
        <v>5491</v>
      </c>
      <c r="J115" s="13">
        <f>[42]Salidas!$D24</f>
        <v>5574</v>
      </c>
      <c r="K115" s="13">
        <f>[43]Salidas!$D24</f>
        <v>5540</v>
      </c>
      <c r="L115" s="13">
        <f>[44]Salidas!$D24</f>
        <v>5739</v>
      </c>
      <c r="M115" s="13">
        <f>[45]Salidas!$D24</f>
        <v>5570</v>
      </c>
      <c r="N115" s="13">
        <f>[46]Salidas!$D24</f>
        <v>5393</v>
      </c>
      <c r="O115" s="13">
        <f>[47]Salidas!$D24</f>
        <v>1827</v>
      </c>
      <c r="P115" s="13">
        <f>[48]Salidas!$D24</f>
        <v>1560</v>
      </c>
      <c r="Q115" s="13">
        <f>[49]Salidas!$D24</f>
        <v>2488</v>
      </c>
      <c r="R115" s="13">
        <f>[50]Salidas!$D24</f>
        <v>3138</v>
      </c>
      <c r="S115" s="13">
        <f>[51]Salidas!$D24</f>
        <v>3663</v>
      </c>
      <c r="T115" s="13">
        <f>[52]Salidas!$D24</f>
        <v>5887</v>
      </c>
      <c r="U115" s="13">
        <f>[53]Salidas!$D24</f>
        <v>5436</v>
      </c>
      <c r="V115" s="13">
        <f>[54]Salidas!$D24</f>
        <v>1777</v>
      </c>
      <c r="W115" s="13">
        <f>[55]Salidas!$D24</f>
        <v>5794</v>
      </c>
      <c r="X115" s="13">
        <f>[56]Salidas!$D24</f>
        <v>5906</v>
      </c>
      <c r="Y115" s="13">
        <f>[57]Salidas!$D24</f>
        <v>5303</v>
      </c>
      <c r="Z115" s="13">
        <f>[58]Salidas!$D24</f>
        <v>5111</v>
      </c>
      <c r="AA115" s="13">
        <f>[59]Salidas!$D24</f>
        <v>5475</v>
      </c>
      <c r="AB115" s="13">
        <f>[60]Salidas!$D24</f>
        <v>5070</v>
      </c>
      <c r="AC115" s="13">
        <f>[61]Salidas!$D24</f>
        <v>1743</v>
      </c>
      <c r="AD115" s="13">
        <f>[62]Salidas!$D24</f>
        <v>5631</v>
      </c>
      <c r="AE115" s="13">
        <f>[63]Salidas!$D24</f>
        <v>6157</v>
      </c>
      <c r="AF115" s="13">
        <f>[64]Salidas!$D24</f>
        <v>5587</v>
      </c>
      <c r="AG115" s="13">
        <f>[65]Salidas!$D24</f>
        <v>5752</v>
      </c>
      <c r="AH115" s="13">
        <f>[66]Salidas!$D24</f>
        <v>6134</v>
      </c>
      <c r="AI115" s="13">
        <f>[67]Salidas!$D24</f>
        <v>5291</v>
      </c>
      <c r="AJ115" s="13">
        <f>[68]Salidas!$D24</f>
        <v>1737</v>
      </c>
    </row>
    <row r="116" spans="1:36" x14ac:dyDescent="0.2">
      <c r="A116" s="435"/>
      <c r="B116" s="88" t="s">
        <v>192</v>
      </c>
      <c r="C116" s="13">
        <f>[35]Salidas!$D25</f>
        <v>6332</v>
      </c>
      <c r="D116" s="13">
        <f>[36]Salidas!$D25</f>
        <v>6218</v>
      </c>
      <c r="E116" s="13">
        <f>[37]Salidas!$D25</f>
        <v>6097</v>
      </c>
      <c r="F116" s="13">
        <f>[38]Salidas!$D25</f>
        <v>5954</v>
      </c>
      <c r="G116" s="13">
        <f>[39]Salidas!$D25</f>
        <v>4410</v>
      </c>
      <c r="H116" s="13">
        <f>[40]Salidas!$D25</f>
        <v>2320</v>
      </c>
      <c r="I116" s="13">
        <f>[41]Salidas!$D25</f>
        <v>6374</v>
      </c>
      <c r="J116" s="13">
        <f>[42]Salidas!$D25</f>
        <v>6208</v>
      </c>
      <c r="K116" s="13">
        <f>[43]Salidas!$D25</f>
        <v>6446</v>
      </c>
      <c r="L116" s="13">
        <f>[44]Salidas!$D25</f>
        <v>6309</v>
      </c>
      <c r="M116" s="13">
        <f>[45]Salidas!$D25</f>
        <v>6130</v>
      </c>
      <c r="N116" s="13">
        <f>[46]Salidas!$D25</f>
        <v>4308</v>
      </c>
      <c r="O116" s="13">
        <f>[47]Salidas!$D25</f>
        <v>2047</v>
      </c>
      <c r="P116" s="13">
        <f>[48]Salidas!$D25</f>
        <v>1152</v>
      </c>
      <c r="Q116" s="13">
        <f>[49]Salidas!$D25</f>
        <v>52</v>
      </c>
      <c r="R116" s="13">
        <f>[50]Salidas!$D25</f>
        <v>40</v>
      </c>
      <c r="S116" s="13">
        <f>[51]Salidas!$D25</f>
        <v>3</v>
      </c>
      <c r="T116" s="13">
        <f>[52]Salidas!$D25</f>
        <v>5869</v>
      </c>
      <c r="U116" s="13">
        <f>[53]Salidas!$D25</f>
        <v>4224</v>
      </c>
      <c r="V116" s="13">
        <f>[54]Salidas!$D25</f>
        <v>2159</v>
      </c>
      <c r="W116" s="13">
        <f>[55]Salidas!$D25</f>
        <v>6293</v>
      </c>
      <c r="X116" s="13">
        <f>[56]Salidas!$D25</f>
        <v>6178</v>
      </c>
      <c r="Y116" s="13">
        <f>[57]Salidas!$D25</f>
        <v>6299</v>
      </c>
      <c r="Z116" s="13">
        <f>[58]Salidas!$D25</f>
        <v>6095</v>
      </c>
      <c r="AA116" s="13">
        <f>[59]Salidas!$D25</f>
        <v>6038</v>
      </c>
      <c r="AB116" s="13">
        <f>[60]Salidas!$D25</f>
        <v>4331</v>
      </c>
      <c r="AC116" s="13">
        <f>[61]Salidas!$D25</f>
        <v>2273</v>
      </c>
      <c r="AD116" s="13">
        <f>[62]Salidas!$D25</f>
        <v>6333</v>
      </c>
      <c r="AE116" s="13">
        <f>[63]Salidas!$D25</f>
        <v>6604</v>
      </c>
      <c r="AF116" s="13">
        <f>[64]Salidas!$D25</f>
        <v>6683</v>
      </c>
      <c r="AG116" s="13">
        <f>[65]Salidas!$D25</f>
        <v>6491</v>
      </c>
      <c r="AH116" s="13">
        <f>[66]Salidas!$D25</f>
        <v>6303</v>
      </c>
      <c r="AI116" s="13">
        <f>[67]Salidas!$D25</f>
        <v>4609</v>
      </c>
      <c r="AJ116" s="13">
        <f>[68]Salidas!$D25</f>
        <v>2231</v>
      </c>
    </row>
    <row r="117" spans="1:36" x14ac:dyDescent="0.2">
      <c r="A117" s="435"/>
      <c r="B117" s="88" t="s">
        <v>193</v>
      </c>
      <c r="C117" s="13">
        <f>[35]Salidas!$D26</f>
        <v>7257</v>
      </c>
      <c r="D117" s="13">
        <f>[36]Salidas!$D26</f>
        <v>7143</v>
      </c>
      <c r="E117" s="13">
        <f>[37]Salidas!$D26</f>
        <v>6855</v>
      </c>
      <c r="F117" s="13">
        <f>[38]Salidas!$D26</f>
        <v>6972</v>
      </c>
      <c r="G117" s="13">
        <f>[39]Salidas!$D26</f>
        <v>5079</v>
      </c>
      <c r="H117" s="13">
        <f>[40]Salidas!$D26</f>
        <v>2860</v>
      </c>
      <c r="I117" s="13">
        <f>[41]Salidas!$D26</f>
        <v>7379</v>
      </c>
      <c r="J117" s="13">
        <f>[42]Salidas!$D26</f>
        <v>7131</v>
      </c>
      <c r="K117" s="13">
        <f>[43]Salidas!$D26</f>
        <v>7323</v>
      </c>
      <c r="L117" s="13">
        <f>[44]Salidas!$D26</f>
        <v>7208</v>
      </c>
      <c r="M117" s="13">
        <f>[45]Salidas!$D26</f>
        <v>7824</v>
      </c>
      <c r="N117" s="13">
        <f>[46]Salidas!$D26</f>
        <v>5570</v>
      </c>
      <c r="O117" s="13">
        <f>[47]Salidas!$D26</f>
        <v>3027</v>
      </c>
      <c r="P117" s="13">
        <f>[48]Salidas!$D26</f>
        <v>1369</v>
      </c>
      <c r="Q117" s="13">
        <f>[49]Salidas!$D26</f>
        <v>54</v>
      </c>
      <c r="R117" s="13">
        <f>[50]Salidas!$D26</f>
        <v>37</v>
      </c>
      <c r="S117" s="13">
        <f>[51]Salidas!$D26</f>
        <v>3</v>
      </c>
      <c r="T117" s="13">
        <f>[52]Salidas!$D26</f>
        <v>7647</v>
      </c>
      <c r="U117" s="13">
        <f>[53]Salidas!$D26</f>
        <v>5713</v>
      </c>
      <c r="V117" s="13">
        <f>[54]Salidas!$D26</f>
        <v>3170</v>
      </c>
      <c r="W117" s="13">
        <f>[55]Salidas!$D26</f>
        <v>7761</v>
      </c>
      <c r="X117" s="13">
        <f>[56]Salidas!$D26</f>
        <v>8047</v>
      </c>
      <c r="Y117" s="13">
        <f>[57]Salidas!$D26</f>
        <v>7778</v>
      </c>
      <c r="Z117" s="13">
        <f>[58]Salidas!$D26</f>
        <v>7854</v>
      </c>
      <c r="AA117" s="13">
        <f>[59]Salidas!$D26</f>
        <v>7691</v>
      </c>
      <c r="AB117" s="13">
        <f>[60]Salidas!$D26</f>
        <v>5746</v>
      </c>
      <c r="AC117" s="13">
        <f>[61]Salidas!$D26</f>
        <v>2994</v>
      </c>
      <c r="AD117" s="13">
        <f>[62]Salidas!$D26</f>
        <v>7986</v>
      </c>
      <c r="AE117" s="13">
        <f>[63]Salidas!$D26</f>
        <v>8114</v>
      </c>
      <c r="AF117" s="13">
        <f>[64]Salidas!$D26</f>
        <v>8175</v>
      </c>
      <c r="AG117" s="13">
        <f>[65]Salidas!$D26</f>
        <v>8170</v>
      </c>
      <c r="AH117" s="13">
        <f>[66]Salidas!$D26</f>
        <v>8042</v>
      </c>
      <c r="AI117" s="13">
        <f>[67]Salidas!$D26</f>
        <v>5659</v>
      </c>
      <c r="AJ117" s="13">
        <f>[68]Salidas!$D26</f>
        <v>2885</v>
      </c>
    </row>
    <row r="118" spans="1:36" x14ac:dyDescent="0.2">
      <c r="A118" s="435"/>
      <c r="B118" s="88" t="s">
        <v>156</v>
      </c>
      <c r="C118" s="13">
        <f>[35]Salidas!$D27</f>
        <v>2232</v>
      </c>
      <c r="D118" s="13">
        <f>[36]Salidas!$D27</f>
        <v>2329</v>
      </c>
      <c r="E118" s="13">
        <f>[37]Salidas!$D27</f>
        <v>2270</v>
      </c>
      <c r="F118" s="13">
        <f>[38]Salidas!$D27</f>
        <v>2100</v>
      </c>
      <c r="G118" s="13">
        <f>[39]Salidas!$D27</f>
        <v>1816</v>
      </c>
      <c r="H118" s="13">
        <f>[40]Salidas!$D27</f>
        <v>776</v>
      </c>
      <c r="I118" s="13">
        <f>[41]Salidas!$D27</f>
        <v>2238</v>
      </c>
      <c r="J118" s="13">
        <f>[42]Salidas!$D27</f>
        <v>2305</v>
      </c>
      <c r="K118" s="13">
        <f>[43]Salidas!$D27</f>
        <v>2211</v>
      </c>
      <c r="L118" s="13">
        <f>[44]Salidas!$D27</f>
        <v>2344</v>
      </c>
      <c r="M118" s="13">
        <f>[45]Salidas!$D27</f>
        <v>2129</v>
      </c>
      <c r="N118" s="13">
        <f>[46]Salidas!$D27</f>
        <v>1704</v>
      </c>
      <c r="O118" s="13">
        <f>[47]Salidas!$D27</f>
        <v>687</v>
      </c>
      <c r="P118" s="13">
        <f>[48]Salidas!$D27</f>
        <v>2856</v>
      </c>
      <c r="Q118" s="13">
        <f>[49]Salidas!$D27</f>
        <v>9089</v>
      </c>
      <c r="R118" s="13">
        <f>[50]Salidas!$D27</f>
        <v>10752</v>
      </c>
      <c r="S118" s="13">
        <f>[51]Salidas!$D27</f>
        <v>11007</v>
      </c>
      <c r="T118" s="13">
        <f>[52]Salidas!$D27</f>
        <v>2293</v>
      </c>
      <c r="U118" s="13">
        <f>[53]Salidas!$D27</f>
        <v>1917</v>
      </c>
      <c r="V118" s="13">
        <f>[54]Salidas!$D27</f>
        <v>724</v>
      </c>
      <c r="W118" s="13">
        <f>[55]Salidas!$D27</f>
        <v>2284</v>
      </c>
      <c r="X118" s="13">
        <f>[56]Salidas!$D27</f>
        <v>2277</v>
      </c>
      <c r="Y118" s="13">
        <f>[57]Salidas!$D27</f>
        <v>2280</v>
      </c>
      <c r="Z118" s="13">
        <f>[58]Salidas!$D27</f>
        <v>2254</v>
      </c>
      <c r="AA118" s="13">
        <f>[59]Salidas!$D27</f>
        <v>2141</v>
      </c>
      <c r="AB118" s="13">
        <f>[60]Salidas!$D27</f>
        <v>1765</v>
      </c>
      <c r="AC118" s="13">
        <f>[61]Salidas!$D27</f>
        <v>662</v>
      </c>
      <c r="AD118" s="13">
        <f>[62]Salidas!$D27</f>
        <v>2341</v>
      </c>
      <c r="AE118" s="13">
        <f>[63]Salidas!$D27</f>
        <v>2305</v>
      </c>
      <c r="AF118" s="13">
        <f>[64]Salidas!$D27</f>
        <v>2242</v>
      </c>
      <c r="AG118" s="13">
        <f>[65]Salidas!$D27</f>
        <v>2307</v>
      </c>
      <c r="AH118" s="13">
        <f>[66]Salidas!$D27</f>
        <v>2187</v>
      </c>
      <c r="AI118" s="13">
        <f>[67]Salidas!$D27</f>
        <v>1801</v>
      </c>
      <c r="AJ118" s="13">
        <f>[68]Salidas!$D27</f>
        <v>706</v>
      </c>
    </row>
    <row r="119" spans="1:36" s="12" customFormat="1" x14ac:dyDescent="0.2">
      <c r="A119" s="435"/>
      <c r="B119" s="89" t="s">
        <v>157</v>
      </c>
      <c r="C119" s="13">
        <f>[35]Salidas!$D28</f>
        <v>9083</v>
      </c>
      <c r="D119" s="13">
        <f>[36]Salidas!$D28</f>
        <v>9575</v>
      </c>
      <c r="E119" s="13">
        <f>[37]Salidas!$D28</f>
        <v>9044</v>
      </c>
      <c r="F119" s="13">
        <f>[38]Salidas!$D28</f>
        <v>8601</v>
      </c>
      <c r="G119" s="13">
        <f>[39]Salidas!$D28</f>
        <v>5743</v>
      </c>
      <c r="H119" s="13">
        <f>[40]Salidas!$D28</f>
        <v>2360</v>
      </c>
      <c r="I119" s="13">
        <f>[41]Salidas!$D28</f>
        <v>7979</v>
      </c>
      <c r="J119" s="13">
        <f>[42]Salidas!$D28</f>
        <v>8155</v>
      </c>
      <c r="K119" s="13">
        <f>[43]Salidas!$D28</f>
        <v>8058</v>
      </c>
      <c r="L119" s="13">
        <f>[44]Salidas!$D28</f>
        <v>7814</v>
      </c>
      <c r="M119" s="13">
        <f>[45]Salidas!$D28</f>
        <v>7604</v>
      </c>
      <c r="N119" s="13">
        <f>[46]Salidas!$D28</f>
        <v>4918</v>
      </c>
      <c r="O119" s="13">
        <f>[47]Salidas!$D28</f>
        <v>1982</v>
      </c>
      <c r="P119" s="13">
        <f>[48]Salidas!$D28</f>
        <v>21869</v>
      </c>
      <c r="Q119" s="13">
        <f>[49]Salidas!$D28</f>
        <v>13447</v>
      </c>
      <c r="R119" s="13">
        <f>[50]Salidas!$D28</f>
        <v>14359</v>
      </c>
      <c r="S119" s="13">
        <f>[51]Salidas!$D28</f>
        <v>12415</v>
      </c>
      <c r="T119" s="13">
        <f>[52]Salidas!$D28</f>
        <v>8474</v>
      </c>
      <c r="U119" s="13">
        <f>[53]Salidas!$D28</f>
        <v>5658</v>
      </c>
      <c r="V119" s="13">
        <f>[54]Salidas!$D28</f>
        <v>2208</v>
      </c>
      <c r="W119" s="13">
        <f>[55]Salidas!$D28</f>
        <v>8856</v>
      </c>
      <c r="X119" s="13">
        <f>[56]Salidas!$D28</f>
        <v>8834</v>
      </c>
      <c r="Y119" s="13">
        <f>[57]Salidas!$D28</f>
        <v>8951</v>
      </c>
      <c r="Z119" s="13">
        <f>[58]Salidas!$D28</f>
        <v>8477</v>
      </c>
      <c r="AA119" s="13">
        <f>[59]Salidas!$D28</f>
        <v>8464</v>
      </c>
      <c r="AB119" s="13">
        <f>[60]Salidas!$D28</f>
        <v>5508</v>
      </c>
      <c r="AC119" s="13">
        <f>[61]Salidas!$D28</f>
        <v>2424</v>
      </c>
      <c r="AD119" s="13">
        <f>[62]Salidas!$D28</f>
        <v>9012</v>
      </c>
      <c r="AE119" s="13">
        <f>[63]Salidas!$D28</f>
        <v>9324</v>
      </c>
      <c r="AF119" s="13">
        <f>[64]Salidas!$D28</f>
        <v>9087</v>
      </c>
      <c r="AG119" s="13">
        <f>[65]Salidas!$D28</f>
        <v>8693</v>
      </c>
      <c r="AH119" s="13">
        <f>[66]Salidas!$D28</f>
        <v>9116</v>
      </c>
      <c r="AI119" s="13">
        <f>[67]Salidas!$D28</f>
        <v>6110</v>
      </c>
      <c r="AJ119" s="13">
        <f>[68]Salidas!$D28</f>
        <v>2390</v>
      </c>
    </row>
    <row r="120" spans="1:36" s="12" customFormat="1" x14ac:dyDescent="0.2">
      <c r="A120" s="435"/>
      <c r="B120" s="90" t="s">
        <v>168</v>
      </c>
      <c r="C120" s="55">
        <f>SUM([35]Salidas!$D$29:$D$30)</f>
        <v>26550</v>
      </c>
      <c r="D120" s="55">
        <f>SUM([36]Salidas!$D$29:$D$30)</f>
        <v>23543</v>
      </c>
      <c r="E120" s="55">
        <f>SUM([37]Salidas!$D$29:$D$30)</f>
        <v>29571</v>
      </c>
      <c r="F120" s="55">
        <f>SUM([38]Salidas!$D$29:$D$30)</f>
        <v>24791</v>
      </c>
      <c r="G120" s="55">
        <f>SUM([39]Salidas!$D$29:$D$30)</f>
        <v>16168</v>
      </c>
      <c r="H120" s="55">
        <f>SUM([40]Salidas!$D$29:$D$30)</f>
        <v>6346</v>
      </c>
      <c r="I120" s="55">
        <f>SUM([41]Salidas!$D$29:$D$30)</f>
        <v>24303</v>
      </c>
      <c r="J120" s="55">
        <f>SUM([42]Salidas!$D$29:$D$30)</f>
        <v>26264</v>
      </c>
      <c r="K120" s="55">
        <f>SUM([43]Salidas!$D$29:$D$30)</f>
        <v>26656</v>
      </c>
      <c r="L120" s="55">
        <f>SUM([44]Salidas!$D$29:$D$30)</f>
        <v>28298</v>
      </c>
      <c r="M120" s="55">
        <f>SUM([45]Salidas!$D$29:$D$30)</f>
        <v>24517</v>
      </c>
      <c r="N120" s="55">
        <f>SUM([46]Salidas!$D$29:$D$30)</f>
        <v>15223</v>
      </c>
      <c r="O120" s="55">
        <f>SUM([47]Salidas!$D$29:$D$30)</f>
        <v>6532</v>
      </c>
      <c r="P120" s="55">
        <f>SUM([48]Salidas!$D$29:$D$30)</f>
        <v>29365</v>
      </c>
      <c r="Q120" s="55">
        <f>SUM([49]Salidas!$D$29:$D$30)</f>
        <v>28466</v>
      </c>
      <c r="R120" s="55">
        <f>SUM([50]Salidas!$D$29:$D$30)</f>
        <v>36804</v>
      </c>
      <c r="S120" s="55">
        <f>SUM([51]Salidas!$D$29:$D$30)</f>
        <v>34013</v>
      </c>
      <c r="T120" s="55">
        <f>SUM([52]Salidas!$D$29:$D$30)</f>
        <v>23268</v>
      </c>
      <c r="U120" s="55">
        <f>SUM([53]Salidas!$D$29:$D$30)</f>
        <v>15378</v>
      </c>
      <c r="V120" s="55">
        <f>SUM([54]Salidas!$D$29:$D$30)</f>
        <v>5864</v>
      </c>
      <c r="W120" s="55">
        <f>SUM([55]Salidas!$D$29:$D$30)</f>
        <v>24669</v>
      </c>
      <c r="X120" s="55">
        <f>SUM([56]Salidas!$D$29:$D$30)</f>
        <v>26075</v>
      </c>
      <c r="Y120" s="55">
        <f>SUM([57]Salidas!$D$29:$D$30)</f>
        <v>25873</v>
      </c>
      <c r="Z120" s="55">
        <f>SUM([58]Salidas!$D$29:$D$30)</f>
        <v>25523</v>
      </c>
      <c r="AA120" s="55">
        <f>SUM([59]Salidas!$D$29:$D$30)</f>
        <v>24169</v>
      </c>
      <c r="AB120" s="55">
        <f>SUM([60]Salidas!$D$29:$D$30)</f>
        <v>15529</v>
      </c>
      <c r="AC120" s="55">
        <f>SUM([61]Salidas!$D$29:$D$30)</f>
        <v>6872</v>
      </c>
      <c r="AD120" s="55">
        <f>SUM([62]Salidas!$D$29:$D$30)</f>
        <v>24346</v>
      </c>
      <c r="AE120" s="55">
        <f>SUM([63]Salidas!$D$29:$D$30)</f>
        <v>24823</v>
      </c>
      <c r="AF120" s="55">
        <f>SUM([64]Salidas!$D$29:$D$30)</f>
        <v>26386</v>
      </c>
      <c r="AG120" s="55">
        <f>SUM([65]Salidas!$D$29:$D$30)</f>
        <v>24581</v>
      </c>
      <c r="AH120" s="55">
        <f>SUM([66]Salidas!$D$29:$D$30)</f>
        <v>27054</v>
      </c>
      <c r="AI120" s="55">
        <f>SUM([67]Salidas!$D$29:$D$30)</f>
        <v>15751</v>
      </c>
      <c r="AJ120" s="55">
        <f>SUM([68]Salidas!$D$29:$D$30)</f>
        <v>6888</v>
      </c>
    </row>
    <row r="121" spans="1:36" x14ac:dyDescent="0.2">
      <c r="A121" s="435"/>
      <c r="B121" s="88" t="s">
        <v>158</v>
      </c>
      <c r="C121" s="13">
        <f>[35]Salidas!$D31</f>
        <v>2243</v>
      </c>
      <c r="D121" s="13">
        <f>[36]Salidas!$D31</f>
        <v>2238</v>
      </c>
      <c r="E121" s="13">
        <f>[37]Salidas!$D31</f>
        <v>2378</v>
      </c>
      <c r="F121" s="13">
        <f>[38]Salidas!$D31</f>
        <v>2168</v>
      </c>
      <c r="G121" s="13">
        <f>[39]Salidas!$D31</f>
        <v>1424</v>
      </c>
      <c r="H121" s="13">
        <f>[40]Salidas!$D31</f>
        <v>560</v>
      </c>
      <c r="I121" s="13">
        <f>[41]Salidas!$D31</f>
        <v>2198</v>
      </c>
      <c r="J121" s="13">
        <f>[42]Salidas!$D31</f>
        <v>2298</v>
      </c>
      <c r="K121" s="13">
        <f>[43]Salidas!$D31</f>
        <v>2284</v>
      </c>
      <c r="L121" s="13">
        <f>[44]Salidas!$D31</f>
        <v>2241</v>
      </c>
      <c r="M121" s="13">
        <f>[45]Salidas!$D31</f>
        <v>2155</v>
      </c>
      <c r="N121" s="13">
        <f>[46]Salidas!$D31</f>
        <v>1450</v>
      </c>
      <c r="O121" s="13">
        <f>[47]Salidas!$D31</f>
        <v>470</v>
      </c>
      <c r="P121" s="13">
        <f>[48]Salidas!$D31</f>
        <v>2367</v>
      </c>
      <c r="Q121" s="13">
        <f>[49]Salidas!$D31</f>
        <v>2179</v>
      </c>
      <c r="R121" s="13">
        <f>[50]Salidas!$D31</f>
        <v>2214</v>
      </c>
      <c r="S121" s="13">
        <f>[51]Salidas!$D31</f>
        <v>2223</v>
      </c>
      <c r="T121" s="13">
        <f>[52]Salidas!$D31</f>
        <v>2281</v>
      </c>
      <c r="U121" s="13">
        <f>[53]Salidas!$D31</f>
        <v>1489</v>
      </c>
      <c r="V121" s="13">
        <f>[54]Salidas!$D31</f>
        <v>491</v>
      </c>
      <c r="W121" s="13">
        <f>[55]Salidas!$D31</f>
        <v>2355</v>
      </c>
      <c r="X121" s="13">
        <f>[56]Salidas!$D31</f>
        <v>2351</v>
      </c>
      <c r="Y121" s="13">
        <f>[57]Salidas!$D31</f>
        <v>2267</v>
      </c>
      <c r="Z121" s="13">
        <f>[58]Salidas!$D31</f>
        <v>2332</v>
      </c>
      <c r="AA121" s="13">
        <f>[59]Salidas!$D31</f>
        <v>2288</v>
      </c>
      <c r="AB121" s="13">
        <f>[60]Salidas!$D31</f>
        <v>1452</v>
      </c>
      <c r="AC121" s="13">
        <f>[61]Salidas!$D31</f>
        <v>485</v>
      </c>
      <c r="AD121" s="13">
        <f>[62]Salidas!$D31</f>
        <v>2342</v>
      </c>
      <c r="AE121" s="13">
        <f>[63]Salidas!$D31</f>
        <v>2393</v>
      </c>
      <c r="AF121" s="13">
        <f>[64]Salidas!$D31</f>
        <v>2427</v>
      </c>
      <c r="AG121" s="13">
        <f>[65]Salidas!$D31</f>
        <v>2379</v>
      </c>
      <c r="AH121" s="13">
        <f>[66]Salidas!$D31</f>
        <v>2419</v>
      </c>
      <c r="AI121" s="13">
        <f>[67]Salidas!$D31</f>
        <v>1509</v>
      </c>
      <c r="AJ121" s="13">
        <f>[68]Salidas!$D31</f>
        <v>484</v>
      </c>
    </row>
    <row r="122" spans="1:36" x14ac:dyDescent="0.2">
      <c r="A122" s="435"/>
      <c r="B122" s="88" t="s">
        <v>159</v>
      </c>
      <c r="C122" s="13">
        <f>[35]Salidas!$D32</f>
        <v>4348</v>
      </c>
      <c r="D122" s="13">
        <f>[36]Salidas!$D32</f>
        <v>4507</v>
      </c>
      <c r="E122" s="13">
        <f>[37]Salidas!$D32</f>
        <v>4531</v>
      </c>
      <c r="F122" s="13">
        <f>[38]Salidas!$D32</f>
        <v>4759</v>
      </c>
      <c r="G122" s="13">
        <f>[39]Salidas!$D32</f>
        <v>3611</v>
      </c>
      <c r="H122" s="13">
        <f>[40]Salidas!$D32</f>
        <v>1323</v>
      </c>
      <c r="I122" s="13">
        <f>[41]Salidas!$D32</f>
        <v>4383</v>
      </c>
      <c r="J122" s="13">
        <f>[42]Salidas!$D32</f>
        <v>4376</v>
      </c>
      <c r="K122" s="13">
        <f>[43]Salidas!$D32</f>
        <v>4463</v>
      </c>
      <c r="L122" s="13">
        <f>[44]Salidas!$D32</f>
        <v>4405</v>
      </c>
      <c r="M122" s="13">
        <f>[45]Salidas!$D32</f>
        <v>4669</v>
      </c>
      <c r="N122" s="13">
        <f>[46]Salidas!$D32</f>
        <v>3414</v>
      </c>
      <c r="O122" s="13">
        <f>[47]Salidas!$D32</f>
        <v>1330</v>
      </c>
      <c r="P122" s="13">
        <f>[48]Salidas!$D32</f>
        <v>4370</v>
      </c>
      <c r="Q122" s="13">
        <f>[49]Salidas!$D32</f>
        <v>3766</v>
      </c>
      <c r="R122" s="13">
        <f>[50]Salidas!$D32</f>
        <v>4072</v>
      </c>
      <c r="S122" s="13">
        <f>[51]Salidas!$D32</f>
        <v>4083</v>
      </c>
      <c r="T122" s="13">
        <f>[52]Salidas!$D32</f>
        <v>4841</v>
      </c>
      <c r="U122" s="13">
        <f>[53]Salidas!$D32</f>
        <v>3678</v>
      </c>
      <c r="V122" s="13">
        <f>[54]Salidas!$D32</f>
        <v>1302</v>
      </c>
      <c r="W122" s="13">
        <f>[55]Salidas!$D32</f>
        <v>4228</v>
      </c>
      <c r="X122" s="13">
        <f>[56]Salidas!$D32</f>
        <v>4496</v>
      </c>
      <c r="Y122" s="13">
        <f>[57]Salidas!$D32</f>
        <v>4468</v>
      </c>
      <c r="Z122" s="13">
        <f>[58]Salidas!$D32</f>
        <v>4294</v>
      </c>
      <c r="AA122" s="13">
        <f>[59]Salidas!$D32</f>
        <v>4999</v>
      </c>
      <c r="AB122" s="13">
        <f>[60]Salidas!$D32</f>
        <v>3705</v>
      </c>
      <c r="AC122" s="13">
        <f>[61]Salidas!$D32</f>
        <v>1499</v>
      </c>
      <c r="AD122" s="13">
        <f>[62]Salidas!$D32</f>
        <v>4476</v>
      </c>
      <c r="AE122" s="13">
        <f>[63]Salidas!$D32</f>
        <v>4582</v>
      </c>
      <c r="AF122" s="13">
        <f>[64]Salidas!$D32</f>
        <v>4680</v>
      </c>
      <c r="AG122" s="13">
        <f>[65]Salidas!$D32</f>
        <v>4539</v>
      </c>
      <c r="AH122" s="13">
        <f>[66]Salidas!$D32</f>
        <v>5348</v>
      </c>
      <c r="AI122" s="13">
        <f>[67]Salidas!$D32</f>
        <v>4048</v>
      </c>
      <c r="AJ122" s="13">
        <f>[68]Salidas!$D32</f>
        <v>1435</v>
      </c>
    </row>
    <row r="123" spans="1:36" x14ac:dyDescent="0.2">
      <c r="A123" s="435"/>
      <c r="B123" s="89" t="s">
        <v>160</v>
      </c>
      <c r="C123" s="13">
        <f>[35]Salidas!$D33</f>
        <v>6053</v>
      </c>
      <c r="D123" s="13">
        <f>[36]Salidas!$D33</f>
        <v>6142</v>
      </c>
      <c r="E123" s="13">
        <f>[37]Salidas!$D33</f>
        <v>6295</v>
      </c>
      <c r="F123" s="13">
        <f>[38]Salidas!$D33</f>
        <v>6178</v>
      </c>
      <c r="G123" s="13">
        <f>[39]Salidas!$D33</f>
        <v>4258</v>
      </c>
      <c r="H123" s="13">
        <f>[40]Salidas!$D33</f>
        <v>2010</v>
      </c>
      <c r="I123" s="13">
        <f>[41]Salidas!$D33</f>
        <v>6252</v>
      </c>
      <c r="J123" s="13">
        <f>[42]Salidas!$D33</f>
        <v>6303</v>
      </c>
      <c r="K123" s="13">
        <f>[43]Salidas!$D33</f>
        <v>6265</v>
      </c>
      <c r="L123" s="13">
        <f>[44]Salidas!$D33</f>
        <v>6272</v>
      </c>
      <c r="M123" s="13">
        <f>[45]Salidas!$D33</f>
        <v>6230</v>
      </c>
      <c r="N123" s="13">
        <f>[46]Salidas!$D33</f>
        <v>4334</v>
      </c>
      <c r="O123" s="13">
        <f>[47]Salidas!$D33</f>
        <v>1823</v>
      </c>
      <c r="P123" s="13">
        <f>[48]Salidas!$D33</f>
        <v>7213</v>
      </c>
      <c r="Q123" s="13">
        <f>[49]Salidas!$D33</f>
        <v>5774</v>
      </c>
      <c r="R123" s="13">
        <f>[50]Salidas!$D33</f>
        <v>6000</v>
      </c>
      <c r="S123" s="13">
        <f>[51]Salidas!$D33</f>
        <v>6077</v>
      </c>
      <c r="T123" s="13">
        <f>[52]Salidas!$D33</f>
        <v>6486</v>
      </c>
      <c r="U123" s="13">
        <f>[53]Salidas!$D33</f>
        <v>4523</v>
      </c>
      <c r="V123" s="13">
        <f>[54]Salidas!$D33</f>
        <v>1912</v>
      </c>
      <c r="W123" s="13">
        <f>[55]Salidas!$D33</f>
        <v>6235</v>
      </c>
      <c r="X123" s="13">
        <f>[56]Salidas!$D33</f>
        <v>5439</v>
      </c>
      <c r="Y123" s="13">
        <f>[57]Salidas!$D33</f>
        <v>5234</v>
      </c>
      <c r="Z123" s="13">
        <f>[58]Salidas!$D33</f>
        <v>4288</v>
      </c>
      <c r="AA123" s="13">
        <f>[59]Salidas!$D33</f>
        <v>6073</v>
      </c>
      <c r="AB123" s="13">
        <f>[60]Salidas!$D33</f>
        <v>3671</v>
      </c>
      <c r="AC123" s="13">
        <f>[61]Salidas!$D33</f>
        <v>1497</v>
      </c>
      <c r="AD123" s="13">
        <f>[62]Salidas!$D33</f>
        <v>6152</v>
      </c>
      <c r="AE123" s="13">
        <f>[63]Salidas!$D33</f>
        <v>5044</v>
      </c>
      <c r="AF123" s="13">
        <f>[64]Salidas!$D33</f>
        <v>5238</v>
      </c>
      <c r="AG123" s="13">
        <f>[65]Salidas!$D33</f>
        <v>5203</v>
      </c>
      <c r="AH123" s="13">
        <f>[66]Salidas!$D33</f>
        <v>5440</v>
      </c>
      <c r="AI123" s="13">
        <f>[67]Salidas!$D33</f>
        <v>3935</v>
      </c>
      <c r="AJ123" s="13">
        <f>[68]Salidas!$D33</f>
        <v>1521</v>
      </c>
    </row>
    <row r="124" spans="1:36" x14ac:dyDescent="0.2">
      <c r="A124" s="435"/>
      <c r="B124" s="88" t="s">
        <v>161</v>
      </c>
      <c r="C124" s="13">
        <f>[35]Salidas!$D34</f>
        <v>8604</v>
      </c>
      <c r="D124" s="13">
        <f>[36]Salidas!$D34</f>
        <v>8742</v>
      </c>
      <c r="E124" s="13">
        <f>[37]Salidas!$D34</f>
        <v>8701</v>
      </c>
      <c r="F124" s="13">
        <f>[38]Salidas!$D34</f>
        <v>8475</v>
      </c>
      <c r="G124" s="13">
        <f>[39]Salidas!$D34</f>
        <v>6312</v>
      </c>
      <c r="H124" s="13">
        <f>[40]Salidas!$D34</f>
        <v>2755</v>
      </c>
      <c r="I124" s="13">
        <f>[41]Salidas!$D34</f>
        <v>8379</v>
      </c>
      <c r="J124" s="13">
        <f>[42]Salidas!$D34</f>
        <v>8319</v>
      </c>
      <c r="K124" s="13">
        <f>[43]Salidas!$D34</f>
        <v>8556</v>
      </c>
      <c r="L124" s="13">
        <f>[44]Salidas!$D34</f>
        <v>8338</v>
      </c>
      <c r="M124" s="13">
        <f>[45]Salidas!$D34</f>
        <v>8497</v>
      </c>
      <c r="N124" s="13">
        <f>[46]Salidas!$D34</f>
        <v>5881</v>
      </c>
      <c r="O124" s="13">
        <f>[47]Salidas!$D34</f>
        <v>2521</v>
      </c>
      <c r="P124" s="13">
        <f>[48]Salidas!$D34</f>
        <v>8097</v>
      </c>
      <c r="Q124" s="13">
        <f>[49]Salidas!$D34</f>
        <v>7333</v>
      </c>
      <c r="R124" s="13">
        <f>[50]Salidas!$D34</f>
        <v>7059</v>
      </c>
      <c r="S124" s="13">
        <f>[51]Salidas!$D34</f>
        <v>7381</v>
      </c>
      <c r="T124" s="13">
        <f>[52]Salidas!$D34</f>
        <v>8333</v>
      </c>
      <c r="U124" s="13">
        <f>[53]Salidas!$D34</f>
        <v>6107</v>
      </c>
      <c r="V124" s="13">
        <f>[54]Salidas!$D34</f>
        <v>2709</v>
      </c>
      <c r="W124" s="13">
        <f>[55]Salidas!$D34</f>
        <v>8283</v>
      </c>
      <c r="X124" s="13">
        <f>[56]Salidas!$D34</f>
        <v>8213</v>
      </c>
      <c r="Y124" s="13">
        <f>[57]Salidas!$D34</f>
        <v>8260</v>
      </c>
      <c r="Z124" s="13">
        <f>[58]Salidas!$D34</f>
        <v>8029</v>
      </c>
      <c r="AA124" s="13">
        <f>[59]Salidas!$D34</f>
        <v>7943</v>
      </c>
      <c r="AB124" s="13">
        <f>[60]Salidas!$D34</f>
        <v>6009</v>
      </c>
      <c r="AC124" s="13">
        <f>[61]Salidas!$D34</f>
        <v>2657</v>
      </c>
      <c r="AD124" s="13">
        <f>[62]Salidas!$D34</f>
        <v>8425</v>
      </c>
      <c r="AE124" s="13">
        <f>[63]Salidas!$D34</f>
        <v>8523</v>
      </c>
      <c r="AF124" s="13">
        <f>[64]Salidas!$D34</f>
        <v>8597</v>
      </c>
      <c r="AG124" s="13">
        <f>[65]Salidas!$D34</f>
        <v>8484</v>
      </c>
      <c r="AH124" s="13">
        <f>[66]Salidas!$D34</f>
        <v>8689</v>
      </c>
      <c r="AI124" s="13">
        <f>[67]Salidas!$D34</f>
        <v>6357</v>
      </c>
      <c r="AJ124" s="13">
        <f>[68]Salidas!$D34</f>
        <v>2382</v>
      </c>
    </row>
    <row r="125" spans="1:36" ht="13.5" thickBot="1" x14ac:dyDescent="0.25">
      <c r="A125" s="435"/>
      <c r="B125" s="91" t="s">
        <v>169</v>
      </c>
      <c r="C125" s="13">
        <f>[35]Salidas!$D35</f>
        <v>6497</v>
      </c>
      <c r="D125" s="13">
        <f>[36]Salidas!$D35</f>
        <v>6482</v>
      </c>
      <c r="E125" s="13">
        <f>[37]Salidas!$D35</f>
        <v>6443</v>
      </c>
      <c r="F125" s="13">
        <f>[38]Salidas!$D35</f>
        <v>6388</v>
      </c>
      <c r="G125" s="13">
        <f>[39]Salidas!$D35</f>
        <v>4457</v>
      </c>
      <c r="H125" s="13">
        <f>[40]Salidas!$D35</f>
        <v>1528</v>
      </c>
      <c r="I125" s="13">
        <f>[41]Salidas!$D35</f>
        <v>6441</v>
      </c>
      <c r="J125" s="13">
        <f>[42]Salidas!$D35</f>
        <v>6466</v>
      </c>
      <c r="K125" s="13">
        <f>[43]Salidas!$D35</f>
        <v>6402</v>
      </c>
      <c r="L125" s="13">
        <f>[44]Salidas!$D35</f>
        <v>6403</v>
      </c>
      <c r="M125" s="13">
        <f>[45]Salidas!$D35</f>
        <v>6431</v>
      </c>
      <c r="N125" s="13">
        <f>[46]Salidas!$D35</f>
        <v>4322</v>
      </c>
      <c r="O125" s="13">
        <f>[47]Salidas!$D35</f>
        <v>1558</v>
      </c>
      <c r="P125" s="13">
        <f>[48]Salidas!$D35</f>
        <v>5608</v>
      </c>
      <c r="Q125" s="13">
        <f>[49]Salidas!$D35</f>
        <v>5039</v>
      </c>
      <c r="R125" s="13">
        <f>[50]Salidas!$D35</f>
        <v>4964</v>
      </c>
      <c r="S125" s="13">
        <f>[51]Salidas!$D35</f>
        <v>5369</v>
      </c>
      <c r="T125" s="13">
        <f>[52]Salidas!$D35</f>
        <v>6274</v>
      </c>
      <c r="U125" s="13">
        <f>[53]Salidas!$D35</f>
        <v>4224</v>
      </c>
      <c r="V125" s="13">
        <f>[54]Salidas!$D35</f>
        <v>1502</v>
      </c>
      <c r="W125" s="13">
        <f>[55]Salidas!$D35</f>
        <v>6314</v>
      </c>
      <c r="X125" s="13">
        <f>[56]Salidas!$D35</f>
        <v>6214</v>
      </c>
      <c r="Y125" s="13">
        <f>[57]Salidas!$D35</f>
        <v>6188</v>
      </c>
      <c r="Z125" s="13">
        <f>[58]Salidas!$D35</f>
        <v>6231</v>
      </c>
      <c r="AA125" s="13">
        <f>[59]Salidas!$D35</f>
        <v>6470</v>
      </c>
      <c r="AB125" s="13">
        <f>[60]Salidas!$D35</f>
        <v>4330</v>
      </c>
      <c r="AC125" s="13">
        <f>[61]Salidas!$D35</f>
        <v>1398</v>
      </c>
      <c r="AD125" s="13">
        <f>[62]Salidas!$D35</f>
        <v>6574</v>
      </c>
      <c r="AE125" s="13">
        <f>[63]Salidas!$D35</f>
        <v>6424</v>
      </c>
      <c r="AF125" s="13">
        <f>[64]Salidas!$D35</f>
        <v>6526</v>
      </c>
      <c r="AG125" s="13">
        <f>[65]Salidas!$D35</f>
        <v>6404</v>
      </c>
      <c r="AH125" s="13">
        <f>[66]Salidas!$D35</f>
        <v>6469</v>
      </c>
      <c r="AI125" s="13">
        <f>[67]Salidas!$D35</f>
        <v>4335</v>
      </c>
      <c r="AJ125" s="13">
        <f>[68]Salidas!$D35</f>
        <v>1607</v>
      </c>
    </row>
    <row r="126" spans="1:36" x14ac:dyDescent="0.2">
      <c r="A126" s="435"/>
      <c r="B126" s="93" t="s">
        <v>217</v>
      </c>
      <c r="C126" s="13">
        <f>[35]Salidas!$D36</f>
        <v>2267</v>
      </c>
      <c r="D126" s="13">
        <f>[36]Salidas!$D36</f>
        <v>2214</v>
      </c>
      <c r="E126" s="13">
        <f>[37]Salidas!$D36</f>
        <v>2259</v>
      </c>
      <c r="F126" s="13">
        <f>[38]Salidas!$D36</f>
        <v>2201</v>
      </c>
      <c r="G126" s="13">
        <f>[39]Salidas!$D36</f>
        <v>1284</v>
      </c>
      <c r="H126" s="13">
        <f>[40]Salidas!$D36</f>
        <v>480</v>
      </c>
      <c r="I126" s="13">
        <f>[41]Salidas!$D36</f>
        <v>2231</v>
      </c>
      <c r="J126" s="13">
        <f>[42]Salidas!$D36</f>
        <v>2270</v>
      </c>
      <c r="K126" s="13">
        <f>[43]Salidas!$D36</f>
        <v>2272</v>
      </c>
      <c r="L126" s="13">
        <f>[44]Salidas!$D36</f>
        <v>2234</v>
      </c>
      <c r="M126" s="13">
        <f>[45]Salidas!$D36</f>
        <v>2273</v>
      </c>
      <c r="N126" s="13">
        <f>[46]Salidas!$D36</f>
        <v>1344</v>
      </c>
      <c r="O126" s="13">
        <f>[47]Salidas!$D36</f>
        <v>567</v>
      </c>
      <c r="P126" s="13">
        <f>[48]Salidas!$D36</f>
        <v>2128</v>
      </c>
      <c r="Q126" s="13">
        <f>[49]Salidas!$D36</f>
        <v>2119</v>
      </c>
      <c r="R126" s="13">
        <f>[50]Salidas!$D36</f>
        <v>2137</v>
      </c>
      <c r="S126" s="13">
        <f>[51]Salidas!$D36</f>
        <v>2111</v>
      </c>
      <c r="T126" s="13">
        <f>[52]Salidas!$D36</f>
        <v>2137</v>
      </c>
      <c r="U126" s="13">
        <f>[53]Salidas!$D36</f>
        <v>1242</v>
      </c>
      <c r="V126" s="13">
        <f>[54]Salidas!$D36</f>
        <v>520</v>
      </c>
      <c r="W126" s="13">
        <f>[55]Salidas!$D36</f>
        <v>2140</v>
      </c>
      <c r="X126" s="13">
        <f>[56]Salidas!$D36</f>
        <v>2182</v>
      </c>
      <c r="Y126" s="13">
        <f>[57]Salidas!$D36</f>
        <v>2166</v>
      </c>
      <c r="Z126" s="13">
        <f>[58]Salidas!$D36</f>
        <v>2063</v>
      </c>
      <c r="AA126" s="13">
        <f>[59]Salidas!$D36</f>
        <v>2150</v>
      </c>
      <c r="AB126" s="13">
        <f>[60]Salidas!$D36</f>
        <v>1309</v>
      </c>
      <c r="AC126" s="13">
        <f>[61]Salidas!$D36</f>
        <v>395</v>
      </c>
      <c r="AD126" s="13">
        <f>[62]Salidas!$D36</f>
        <v>2173</v>
      </c>
      <c r="AE126" s="13">
        <f>[63]Salidas!$D36</f>
        <v>2193</v>
      </c>
      <c r="AF126" s="13">
        <f>[64]Salidas!$D36</f>
        <v>2197</v>
      </c>
      <c r="AG126" s="13">
        <f>[65]Salidas!$D36</f>
        <v>2272</v>
      </c>
      <c r="AH126" s="13">
        <f>[66]Salidas!$D36</f>
        <v>2212</v>
      </c>
      <c r="AI126" s="13">
        <f>[67]Salidas!$D36</f>
        <v>1312</v>
      </c>
      <c r="AJ126" s="13">
        <f>[68]Salidas!$D36</f>
        <v>433</v>
      </c>
    </row>
    <row r="127" spans="1:36" x14ac:dyDescent="0.2">
      <c r="A127" s="435"/>
      <c r="B127" s="94" t="s">
        <v>237</v>
      </c>
      <c r="C127" s="13">
        <f>[35]Salidas!$D37</f>
        <v>5094</v>
      </c>
      <c r="D127" s="13">
        <f>[36]Salidas!$D37</f>
        <v>4911</v>
      </c>
      <c r="E127" s="13">
        <f>[37]Salidas!$D37</f>
        <v>4786</v>
      </c>
      <c r="F127" s="13">
        <f>[38]Salidas!$D37</f>
        <v>4938</v>
      </c>
      <c r="G127" s="13">
        <f>[39]Salidas!$D37</f>
        <v>3530</v>
      </c>
      <c r="H127" s="13">
        <f>[40]Salidas!$D37</f>
        <v>925</v>
      </c>
      <c r="I127" s="13">
        <f>[41]Salidas!$D37</f>
        <v>4797</v>
      </c>
      <c r="J127" s="13">
        <f>[42]Salidas!$D37</f>
        <v>5000</v>
      </c>
      <c r="K127" s="13">
        <f>[43]Salidas!$D37</f>
        <v>4912</v>
      </c>
      <c r="L127" s="13">
        <f>[44]Salidas!$D37</f>
        <v>4967</v>
      </c>
      <c r="M127" s="13">
        <f>[45]Salidas!$D37</f>
        <v>4880</v>
      </c>
      <c r="N127" s="13">
        <f>[46]Salidas!$D37</f>
        <v>3519</v>
      </c>
      <c r="O127" s="13">
        <f>[47]Salidas!$D37</f>
        <v>936</v>
      </c>
      <c r="P127" s="13">
        <f>[48]Salidas!$D37</f>
        <v>4769</v>
      </c>
      <c r="Q127" s="13">
        <f>[49]Salidas!$D37</f>
        <v>4537</v>
      </c>
      <c r="R127" s="13">
        <f>[50]Salidas!$D37</f>
        <v>4832</v>
      </c>
      <c r="S127" s="13">
        <f>[51]Salidas!$D37</f>
        <v>4939</v>
      </c>
      <c r="T127" s="13">
        <f>[52]Salidas!$D37</f>
        <v>5083</v>
      </c>
      <c r="U127" s="13">
        <f>[53]Salidas!$D37</f>
        <v>3490</v>
      </c>
      <c r="V127" s="13">
        <f>[54]Salidas!$D37</f>
        <v>990</v>
      </c>
      <c r="W127" s="13">
        <f>[55]Salidas!$D37</f>
        <v>4962</v>
      </c>
      <c r="X127" s="13">
        <f>[56]Salidas!$D37</f>
        <v>4653</v>
      </c>
      <c r="Y127" s="13">
        <f>[57]Salidas!$D37</f>
        <v>4950</v>
      </c>
      <c r="Z127" s="13">
        <f>[58]Salidas!$D37</f>
        <v>4934</v>
      </c>
      <c r="AA127" s="13">
        <f>[59]Salidas!$D37</f>
        <v>4887</v>
      </c>
      <c r="AB127" s="13">
        <f>[60]Salidas!$D37</f>
        <v>3558</v>
      </c>
      <c r="AC127" s="13">
        <f>[61]Salidas!$D37</f>
        <v>1037</v>
      </c>
      <c r="AD127" s="13">
        <f>[62]Salidas!$D37</f>
        <v>5127</v>
      </c>
      <c r="AE127" s="13">
        <f>[63]Salidas!$D37</f>
        <v>5115</v>
      </c>
      <c r="AF127" s="13">
        <f>[64]Salidas!$D37</f>
        <v>5052</v>
      </c>
      <c r="AG127" s="13">
        <f>[65]Salidas!$D37</f>
        <v>5279</v>
      </c>
      <c r="AH127" s="13">
        <f>[66]Salidas!$D37</f>
        <v>5303</v>
      </c>
      <c r="AI127" s="13">
        <f>[67]Salidas!$D37</f>
        <v>3679</v>
      </c>
      <c r="AJ127" s="13">
        <f>[68]Salidas!$D37</f>
        <v>961</v>
      </c>
    </row>
    <row r="128" spans="1:36" x14ac:dyDescent="0.2">
      <c r="A128" s="435"/>
      <c r="B128" s="94" t="s">
        <v>219</v>
      </c>
      <c r="C128" s="13">
        <f>[35]Salidas!$D38</f>
        <v>3535</v>
      </c>
      <c r="D128" s="13">
        <f>[36]Salidas!$D38</f>
        <v>3536</v>
      </c>
      <c r="E128" s="13">
        <f>[37]Salidas!$D38</f>
        <v>3459</v>
      </c>
      <c r="F128" s="13">
        <f>[38]Salidas!$D38</f>
        <v>3640</v>
      </c>
      <c r="G128" s="13">
        <f>[39]Salidas!$D38</f>
        <v>2604</v>
      </c>
      <c r="H128" s="13">
        <f>[40]Salidas!$D38</f>
        <v>977</v>
      </c>
      <c r="I128" s="13">
        <f>[41]Salidas!$D38</f>
        <v>3604</v>
      </c>
      <c r="J128" s="13">
        <f>[42]Salidas!$D38</f>
        <v>3626</v>
      </c>
      <c r="K128" s="13">
        <f>[43]Salidas!$D38</f>
        <v>3621</v>
      </c>
      <c r="L128" s="13">
        <f>[44]Salidas!$D38</f>
        <v>3847</v>
      </c>
      <c r="M128" s="13">
        <f>[45]Salidas!$D38</f>
        <v>3621</v>
      </c>
      <c r="N128" s="13">
        <f>[46]Salidas!$D38</f>
        <v>2640</v>
      </c>
      <c r="O128" s="13">
        <f>[47]Salidas!$D38</f>
        <v>1023</v>
      </c>
      <c r="P128" s="13">
        <f>[48]Salidas!$D38</f>
        <v>3668</v>
      </c>
      <c r="Q128" s="13">
        <f>[49]Salidas!$D38</f>
        <v>4800</v>
      </c>
      <c r="R128" s="13">
        <f>[50]Salidas!$D38</f>
        <v>7037</v>
      </c>
      <c r="S128" s="13">
        <f>[51]Salidas!$D38</f>
        <v>7356</v>
      </c>
      <c r="T128" s="13">
        <f>[52]Salidas!$D38</f>
        <v>7419</v>
      </c>
      <c r="U128" s="13">
        <f>[53]Salidas!$D38</f>
        <v>5320</v>
      </c>
      <c r="V128" s="13">
        <f>[54]Salidas!$D38</f>
        <v>1883</v>
      </c>
      <c r="W128" s="13">
        <f>[55]Salidas!$D38</f>
        <v>7563</v>
      </c>
      <c r="X128" s="13">
        <f>[56]Salidas!$D38</f>
        <v>7376</v>
      </c>
      <c r="Y128" s="13">
        <f>[57]Salidas!$D38</f>
        <v>7474</v>
      </c>
      <c r="Z128" s="13">
        <f>[58]Salidas!$D38</f>
        <v>7407</v>
      </c>
      <c r="AA128" s="13">
        <f>[59]Salidas!$D38</f>
        <v>7268</v>
      </c>
      <c r="AB128" s="13">
        <f>[60]Salidas!$D38</f>
        <v>5277</v>
      </c>
      <c r="AC128" s="13">
        <f>[61]Salidas!$D38</f>
        <v>1858</v>
      </c>
      <c r="AD128" s="13">
        <f>[62]Salidas!$D38</f>
        <v>7451</v>
      </c>
      <c r="AE128" s="13">
        <f>[63]Salidas!$D38</f>
        <v>7530</v>
      </c>
      <c r="AF128" s="13">
        <f>[64]Salidas!$D38</f>
        <v>7577</v>
      </c>
      <c r="AG128" s="13">
        <f>[65]Salidas!$D38</f>
        <v>7495</v>
      </c>
      <c r="AH128" s="13">
        <f>[66]Salidas!$D38</f>
        <v>7477</v>
      </c>
      <c r="AI128" s="13">
        <f>[67]Salidas!$D38</f>
        <v>5251</v>
      </c>
      <c r="AJ128" s="13">
        <f>[68]Salidas!$D38</f>
        <v>1815</v>
      </c>
    </row>
    <row r="129" spans="1:36" x14ac:dyDescent="0.2">
      <c r="A129" s="435"/>
      <c r="B129" s="94" t="s">
        <v>220</v>
      </c>
      <c r="C129" s="13">
        <f>[35]Salidas!$D39</f>
        <v>4439</v>
      </c>
      <c r="D129" s="13">
        <f>[36]Salidas!$D39</f>
        <v>4553</v>
      </c>
      <c r="E129" s="13">
        <f>[37]Salidas!$D39</f>
        <v>4441</v>
      </c>
      <c r="F129" s="13">
        <f>[38]Salidas!$D39</f>
        <v>4461</v>
      </c>
      <c r="G129" s="13">
        <f>[39]Salidas!$D39</f>
        <v>3276</v>
      </c>
      <c r="H129" s="13">
        <f>[40]Salidas!$D39</f>
        <v>1190</v>
      </c>
      <c r="I129" s="13">
        <f>[41]Salidas!$D39</f>
        <v>4566</v>
      </c>
      <c r="J129" s="13">
        <f>[42]Salidas!$D39</f>
        <v>4451</v>
      </c>
      <c r="K129" s="13">
        <f>[43]Salidas!$D39</f>
        <v>4479</v>
      </c>
      <c r="L129" s="13">
        <f>[44]Salidas!$D39</f>
        <v>4665</v>
      </c>
      <c r="M129" s="13">
        <f>[45]Salidas!$D39</f>
        <v>4528</v>
      </c>
      <c r="N129" s="13">
        <f>[46]Salidas!$D39</f>
        <v>3151</v>
      </c>
      <c r="O129" s="13">
        <f>[47]Salidas!$D39</f>
        <v>1251</v>
      </c>
      <c r="P129" s="13">
        <f>[48]Salidas!$D39</f>
        <v>4514</v>
      </c>
      <c r="Q129" s="13">
        <f>[49]Salidas!$D39</f>
        <v>2546</v>
      </c>
      <c r="R129" s="13">
        <f>[50]Salidas!$D39</f>
        <v>201</v>
      </c>
      <c r="S129" s="13">
        <f>[51]Salidas!$D39</f>
        <v>12</v>
      </c>
      <c r="T129" s="13">
        <f>[52]Salidas!$D39</f>
        <v>12</v>
      </c>
      <c r="U129" s="13">
        <f>[53]Salidas!$D39</f>
        <v>19</v>
      </c>
      <c r="V129" s="13">
        <f>[54]Salidas!$D39</f>
        <v>0</v>
      </c>
      <c r="W129" s="13">
        <f>[55]Salidas!$D39</f>
        <v>0</v>
      </c>
      <c r="X129" s="13">
        <f>[56]Salidas!$D39</f>
        <v>12</v>
      </c>
      <c r="Y129" s="13">
        <f>[57]Salidas!$D39</f>
        <v>9</v>
      </c>
      <c r="Z129" s="13">
        <f>[58]Salidas!$D39</f>
        <v>16</v>
      </c>
      <c r="AA129" s="13">
        <f>[59]Salidas!$D39</f>
        <v>0</v>
      </c>
      <c r="AB129" s="13">
        <f>[60]Salidas!$D39</f>
        <v>1</v>
      </c>
      <c r="AC129" s="13">
        <f>[61]Salidas!$D39</f>
        <v>0</v>
      </c>
      <c r="AD129" s="13">
        <f>[62]Salidas!$D39</f>
        <v>0</v>
      </c>
      <c r="AE129" s="13">
        <f>[63]Salidas!$D39</f>
        <v>0</v>
      </c>
      <c r="AF129" s="13">
        <f>[64]Salidas!$D39</f>
        <v>0</v>
      </c>
      <c r="AG129" s="13">
        <f>[65]Salidas!$D39</f>
        <v>0</v>
      </c>
      <c r="AH129" s="13">
        <f>[66]Salidas!$D39</f>
        <v>0</v>
      </c>
      <c r="AI129" s="13">
        <f>[67]Salidas!$D39</f>
        <v>0</v>
      </c>
      <c r="AJ129" s="13">
        <f>[68]Salidas!$D39</f>
        <v>0</v>
      </c>
    </row>
    <row r="130" spans="1:36" x14ac:dyDescent="0.2">
      <c r="A130" s="435"/>
      <c r="B130" s="94" t="s">
        <v>221</v>
      </c>
      <c r="C130" s="13">
        <f>[35]Salidas!$D40</f>
        <v>7151</v>
      </c>
      <c r="D130" s="13">
        <f>[36]Salidas!$D40</f>
        <v>7385</v>
      </c>
      <c r="E130" s="13">
        <f>[37]Salidas!$D40</f>
        <v>6996</v>
      </c>
      <c r="F130" s="13">
        <f>[38]Salidas!$D40</f>
        <v>7316</v>
      </c>
      <c r="G130" s="13">
        <f>[39]Salidas!$D40</f>
        <v>4902</v>
      </c>
      <c r="H130" s="13">
        <f>[40]Salidas!$D40</f>
        <v>1449</v>
      </c>
      <c r="I130" s="13">
        <f>[41]Salidas!$D40</f>
        <v>7009</v>
      </c>
      <c r="J130" s="13">
        <f>[42]Salidas!$D40</f>
        <v>7373</v>
      </c>
      <c r="K130" s="13">
        <f>[43]Salidas!$D40</f>
        <v>7146</v>
      </c>
      <c r="L130" s="13">
        <f>[44]Salidas!$D40</f>
        <v>7203</v>
      </c>
      <c r="M130" s="13">
        <f>[45]Salidas!$D40</f>
        <v>7102</v>
      </c>
      <c r="N130" s="13">
        <f>[46]Salidas!$D40</f>
        <v>5014</v>
      </c>
      <c r="O130" s="13">
        <f>[47]Salidas!$D40</f>
        <v>1445</v>
      </c>
      <c r="P130" s="13">
        <f>[48]Salidas!$D40</f>
        <v>6945</v>
      </c>
      <c r="Q130" s="13">
        <f>[49]Salidas!$D40</f>
        <v>6982</v>
      </c>
      <c r="R130" s="13">
        <f>[50]Salidas!$D40</f>
        <v>7000</v>
      </c>
      <c r="S130" s="13">
        <f>[51]Salidas!$D40</f>
        <v>7115</v>
      </c>
      <c r="T130" s="13">
        <f>[52]Salidas!$D40</f>
        <v>7439</v>
      </c>
      <c r="U130" s="13">
        <f>[53]Salidas!$D40</f>
        <v>5366</v>
      </c>
      <c r="V130" s="13">
        <f>[54]Salidas!$D40</f>
        <v>1412</v>
      </c>
      <c r="W130" s="13">
        <f>[55]Salidas!$D40</f>
        <v>7435</v>
      </c>
      <c r="X130" s="13">
        <f>[56]Salidas!$D40</f>
        <v>7656</v>
      </c>
      <c r="Y130" s="13">
        <f>[57]Salidas!$D40</f>
        <v>7483</v>
      </c>
      <c r="Z130" s="13">
        <f>[58]Salidas!$D40</f>
        <v>7809</v>
      </c>
      <c r="AA130" s="13">
        <f>[59]Salidas!$D40</f>
        <v>7627</v>
      </c>
      <c r="AB130" s="13">
        <f>[60]Salidas!$D40</f>
        <v>5498</v>
      </c>
      <c r="AC130" s="13">
        <f>[61]Salidas!$D40</f>
        <v>1274</v>
      </c>
      <c r="AD130" s="13">
        <f>[62]Salidas!$D40</f>
        <v>6488</v>
      </c>
      <c r="AE130" s="13">
        <f>[63]Salidas!$D40</f>
        <v>7329</v>
      </c>
      <c r="AF130" s="13">
        <f>[64]Salidas!$D40</f>
        <v>7638</v>
      </c>
      <c r="AG130" s="13">
        <f>[65]Salidas!$D40</f>
        <v>7773</v>
      </c>
      <c r="AH130" s="13">
        <f>[66]Salidas!$D40</f>
        <v>7694</v>
      </c>
      <c r="AI130" s="13">
        <f>[67]Salidas!$D40</f>
        <v>5670</v>
      </c>
      <c r="AJ130" s="13">
        <f>[68]Salidas!$D40</f>
        <v>1333</v>
      </c>
    </row>
    <row r="131" spans="1:36" ht="14.25" customHeight="1" x14ac:dyDescent="0.2">
      <c r="A131" s="435"/>
      <c r="B131" s="94" t="s">
        <v>222</v>
      </c>
      <c r="C131" s="13">
        <f>[35]Salidas!$D41</f>
        <v>4016</v>
      </c>
      <c r="D131" s="13">
        <f>[36]Salidas!$D41</f>
        <v>4189</v>
      </c>
      <c r="E131" s="13">
        <f>[37]Salidas!$D41</f>
        <v>4506</v>
      </c>
      <c r="F131" s="13">
        <f>[38]Salidas!$D41</f>
        <v>4200</v>
      </c>
      <c r="G131" s="13">
        <f>[39]Salidas!$D41</f>
        <v>2842</v>
      </c>
      <c r="H131" s="13">
        <f>[40]Salidas!$D41</f>
        <v>1349</v>
      </c>
      <c r="I131" s="13">
        <f>[41]Salidas!$D41</f>
        <v>3984</v>
      </c>
      <c r="J131" s="13">
        <f>[42]Salidas!$D41</f>
        <v>4037</v>
      </c>
      <c r="K131" s="13">
        <f>[43]Salidas!$D41</f>
        <v>4355</v>
      </c>
      <c r="L131" s="13">
        <f>[44]Salidas!$D41</f>
        <v>4774</v>
      </c>
      <c r="M131" s="13">
        <f>[45]Salidas!$D41</f>
        <v>5483</v>
      </c>
      <c r="N131" s="13">
        <f>[46]Salidas!$D41</f>
        <v>3971</v>
      </c>
      <c r="O131" s="13">
        <f>[47]Salidas!$D41</f>
        <v>2137</v>
      </c>
      <c r="P131" s="13">
        <f>[48]Salidas!$D41</f>
        <v>4327</v>
      </c>
      <c r="Q131" s="13">
        <f>[49]Salidas!$D41</f>
        <v>4296</v>
      </c>
      <c r="R131" s="13">
        <f>[50]Salidas!$D41</f>
        <v>4178</v>
      </c>
      <c r="S131" s="13">
        <f>[51]Salidas!$D41</f>
        <v>4314</v>
      </c>
      <c r="T131" s="13">
        <f>[52]Salidas!$D41</f>
        <v>4501</v>
      </c>
      <c r="U131" s="13">
        <f>[53]Salidas!$D41</f>
        <v>2881</v>
      </c>
      <c r="V131" s="13">
        <f>[54]Salidas!$D41</f>
        <v>1176</v>
      </c>
      <c r="W131" s="13">
        <f>[55]Salidas!$D41</f>
        <v>4252</v>
      </c>
      <c r="X131" s="13">
        <f>[56]Salidas!$D41</f>
        <v>4351</v>
      </c>
      <c r="Y131" s="13">
        <f>[57]Salidas!$D41</f>
        <v>4270</v>
      </c>
      <c r="Z131" s="13">
        <f>[58]Salidas!$D41</f>
        <v>4678</v>
      </c>
      <c r="AA131" s="13">
        <f>[59]Salidas!$D41</f>
        <v>4357</v>
      </c>
      <c r="AB131" s="13">
        <f>[60]Salidas!$D41</f>
        <v>3000</v>
      </c>
      <c r="AC131" s="13">
        <f>[61]Salidas!$D41</f>
        <v>1863</v>
      </c>
      <c r="AD131" s="13">
        <f>[62]Salidas!$D41</f>
        <v>4180</v>
      </c>
      <c r="AE131" s="13">
        <f>[63]Salidas!$D41</f>
        <v>4573</v>
      </c>
      <c r="AF131" s="13">
        <f>[64]Salidas!$D41</f>
        <v>4427</v>
      </c>
      <c r="AG131" s="13">
        <f>[65]Salidas!$D41</f>
        <v>4550</v>
      </c>
      <c r="AH131" s="13">
        <f>[66]Salidas!$D41</f>
        <v>4464</v>
      </c>
      <c r="AI131" s="13">
        <f>[67]Salidas!$D41</f>
        <v>3635</v>
      </c>
      <c r="AJ131" s="13">
        <f>[68]Salidas!$D41</f>
        <v>1193</v>
      </c>
    </row>
    <row r="132" spans="1:36" ht="14.25" customHeight="1" x14ac:dyDescent="0.2">
      <c r="A132" s="435"/>
      <c r="B132" s="94" t="s">
        <v>223</v>
      </c>
      <c r="C132" s="13">
        <f>[35]Salidas!$D42</f>
        <v>8170</v>
      </c>
      <c r="D132" s="13">
        <f>[36]Salidas!$D42</f>
        <v>8196</v>
      </c>
      <c r="E132" s="13">
        <f>[37]Salidas!$D42</f>
        <v>8369</v>
      </c>
      <c r="F132" s="13">
        <f>[38]Salidas!$D42</f>
        <v>8839</v>
      </c>
      <c r="G132" s="13">
        <f>[39]Salidas!$D42</f>
        <v>6310</v>
      </c>
      <c r="H132" s="13">
        <f>[40]Salidas!$D42</f>
        <v>4668</v>
      </c>
      <c r="I132" s="13">
        <f>[41]Salidas!$D42</f>
        <v>8036</v>
      </c>
      <c r="J132" s="13">
        <f>[42]Salidas!$D42</f>
        <v>8395</v>
      </c>
      <c r="K132" s="13">
        <f>[43]Salidas!$D42</f>
        <v>8204</v>
      </c>
      <c r="L132" s="13">
        <f>[44]Salidas!$D42</f>
        <v>9215</v>
      </c>
      <c r="M132" s="13">
        <f>[45]Salidas!$D42</f>
        <v>9243</v>
      </c>
      <c r="N132" s="13">
        <f>[46]Salidas!$D42</f>
        <v>8599</v>
      </c>
      <c r="O132" s="13">
        <f>[47]Salidas!$D42</f>
        <v>4181</v>
      </c>
      <c r="P132" s="13">
        <f>[48]Salidas!$D42</f>
        <v>8197</v>
      </c>
      <c r="Q132" s="13">
        <f>[49]Salidas!$D42</f>
        <v>8414</v>
      </c>
      <c r="R132" s="13">
        <f>[50]Salidas!$D42</f>
        <v>7978</v>
      </c>
      <c r="S132" s="13">
        <f>[51]Salidas!$D42</f>
        <v>8148</v>
      </c>
      <c r="T132" s="13">
        <f>[52]Salidas!$D42</f>
        <v>8907</v>
      </c>
      <c r="U132" s="13">
        <f>[53]Salidas!$D42</f>
        <v>8948</v>
      </c>
      <c r="V132" s="13">
        <f>[54]Salidas!$D42</f>
        <v>2742</v>
      </c>
      <c r="W132" s="13">
        <f>[55]Salidas!$D42</f>
        <v>8909</v>
      </c>
      <c r="X132" s="13">
        <f>[56]Salidas!$D42</f>
        <v>10252</v>
      </c>
      <c r="Y132" s="13">
        <f>[57]Salidas!$D42</f>
        <v>8230</v>
      </c>
      <c r="Z132" s="13">
        <f>[58]Salidas!$D42</f>
        <v>8913</v>
      </c>
      <c r="AA132" s="13">
        <f>[59]Salidas!$D42</f>
        <v>8619</v>
      </c>
      <c r="AB132" s="13">
        <f>[60]Salidas!$D42</f>
        <v>6900</v>
      </c>
      <c r="AC132" s="13">
        <f>[61]Salidas!$D42</f>
        <v>6206</v>
      </c>
      <c r="AD132" s="13">
        <f>[62]Salidas!$D42</f>
        <v>8183</v>
      </c>
      <c r="AE132" s="13">
        <f>[63]Salidas!$D42</f>
        <v>9601</v>
      </c>
      <c r="AF132" s="13">
        <f>[64]Salidas!$D42</f>
        <v>8476</v>
      </c>
      <c r="AG132" s="13">
        <f>[65]Salidas!$D42</f>
        <v>8589</v>
      </c>
      <c r="AH132" s="13">
        <f>[66]Salidas!$D42</f>
        <v>9369</v>
      </c>
      <c r="AI132" s="13">
        <f>[67]Salidas!$D42</f>
        <v>8510</v>
      </c>
      <c r="AJ132" s="13">
        <f>[68]Salidas!$D42</f>
        <v>4556</v>
      </c>
    </row>
    <row r="133" spans="1:36" ht="14.25" customHeight="1" x14ac:dyDescent="0.2">
      <c r="A133" s="435"/>
      <c r="B133" s="94" t="s">
        <v>224</v>
      </c>
      <c r="C133" s="13">
        <f>[35]Salidas!$D43</f>
        <v>3748</v>
      </c>
      <c r="D133" s="13">
        <f>[36]Salidas!$D43</f>
        <v>3728</v>
      </c>
      <c r="E133" s="13">
        <f>[37]Salidas!$D43</f>
        <v>3635</v>
      </c>
      <c r="F133" s="13">
        <f>[38]Salidas!$D43</f>
        <v>3661</v>
      </c>
      <c r="G133" s="13">
        <f>[39]Salidas!$D43</f>
        <v>2032</v>
      </c>
      <c r="H133" s="13">
        <f>[40]Salidas!$D43</f>
        <v>443</v>
      </c>
      <c r="I133" s="13">
        <f>[41]Salidas!$D43</f>
        <v>3636</v>
      </c>
      <c r="J133" s="13">
        <f>[42]Salidas!$D43</f>
        <v>3824</v>
      </c>
      <c r="K133" s="13">
        <f>[43]Salidas!$D43</f>
        <v>3665</v>
      </c>
      <c r="L133" s="13">
        <f>[44]Salidas!$D43</f>
        <v>3758</v>
      </c>
      <c r="M133" s="13">
        <f>[45]Salidas!$D43</f>
        <v>3776</v>
      </c>
      <c r="N133" s="13">
        <f>[46]Salidas!$D43</f>
        <v>2070</v>
      </c>
      <c r="O133" s="13">
        <f>[47]Salidas!$D43</f>
        <v>468</v>
      </c>
      <c r="P133" s="13">
        <f>[48]Salidas!$D43</f>
        <v>3824</v>
      </c>
      <c r="Q133" s="13">
        <f>[49]Salidas!$D43</f>
        <v>3782</v>
      </c>
      <c r="R133" s="13">
        <f>[50]Salidas!$D43</f>
        <v>3457</v>
      </c>
      <c r="S133" s="13">
        <f>[51]Salidas!$D43</f>
        <v>3735</v>
      </c>
      <c r="T133" s="13">
        <f>[52]Salidas!$D43</f>
        <v>3797</v>
      </c>
      <c r="U133" s="13">
        <f>[53]Salidas!$D43</f>
        <v>2198</v>
      </c>
      <c r="V133" s="13">
        <f>[54]Salidas!$D43</f>
        <v>461</v>
      </c>
      <c r="W133" s="13">
        <f>[55]Salidas!$D43</f>
        <v>3732</v>
      </c>
      <c r="X133" s="13">
        <f>[56]Salidas!$D43</f>
        <v>4021</v>
      </c>
      <c r="Y133" s="13">
        <f>[57]Salidas!$D43</f>
        <v>3737</v>
      </c>
      <c r="Z133" s="13">
        <f>[58]Salidas!$D43</f>
        <v>3871</v>
      </c>
      <c r="AA133" s="13">
        <f>[59]Salidas!$D43</f>
        <v>3944</v>
      </c>
      <c r="AB133" s="13">
        <f>[60]Salidas!$D43</f>
        <v>2176</v>
      </c>
      <c r="AC133" s="13">
        <f>[61]Salidas!$D43</f>
        <v>516</v>
      </c>
      <c r="AD133" s="13">
        <f>[62]Salidas!$D43</f>
        <v>3923</v>
      </c>
      <c r="AE133" s="13">
        <f>[63]Salidas!$D43</f>
        <v>4164</v>
      </c>
      <c r="AF133" s="13">
        <f>[64]Salidas!$D43</f>
        <v>3918</v>
      </c>
      <c r="AG133" s="13">
        <f>[65]Salidas!$D43</f>
        <v>4246</v>
      </c>
      <c r="AH133" s="13">
        <f>[66]Salidas!$D43</f>
        <v>4262</v>
      </c>
      <c r="AI133" s="13">
        <f>[67]Salidas!$D43</f>
        <v>2357</v>
      </c>
      <c r="AJ133" s="13">
        <f>[68]Salidas!$D43</f>
        <v>506</v>
      </c>
    </row>
    <row r="134" spans="1:36" ht="14.25" customHeight="1" x14ac:dyDescent="0.2">
      <c r="A134" s="435"/>
      <c r="B134" s="94" t="s">
        <v>225</v>
      </c>
      <c r="C134" s="13">
        <f>[35]Salidas!$D44</f>
        <v>9747</v>
      </c>
      <c r="D134" s="13">
        <f>[36]Salidas!$D44</f>
        <v>9970</v>
      </c>
      <c r="E134" s="13">
        <f>[37]Salidas!$D44</f>
        <v>10088</v>
      </c>
      <c r="F134" s="13">
        <f>[38]Salidas!$D44</f>
        <v>10790</v>
      </c>
      <c r="G134" s="13">
        <f>[39]Salidas!$D44</f>
        <v>4442</v>
      </c>
      <c r="H134" s="13">
        <f>[40]Salidas!$D44</f>
        <v>824</v>
      </c>
      <c r="I134" s="13">
        <f>[41]Salidas!$D44</f>
        <v>14491</v>
      </c>
      <c r="J134" s="13">
        <f>[42]Salidas!$D44</f>
        <v>15693</v>
      </c>
      <c r="K134" s="13">
        <f>[43]Salidas!$D44</f>
        <v>16011</v>
      </c>
      <c r="L134" s="13">
        <f>[44]Salidas!$D44</f>
        <v>15912</v>
      </c>
      <c r="M134" s="13">
        <f>[45]Salidas!$D44</f>
        <v>13718</v>
      </c>
      <c r="N134" s="13">
        <f>[46]Salidas!$D44</f>
        <v>5037</v>
      </c>
      <c r="O134" s="13">
        <f>[47]Salidas!$D44</f>
        <v>885</v>
      </c>
      <c r="P134" s="13">
        <f>[48]Salidas!$D44</f>
        <v>14866</v>
      </c>
      <c r="Q134" s="13">
        <f>[49]Salidas!$D44</f>
        <v>15797</v>
      </c>
      <c r="R134" s="13">
        <f>[50]Salidas!$D44</f>
        <v>16393</v>
      </c>
      <c r="S134" s="13">
        <f>[51]Salidas!$D44</f>
        <v>16014</v>
      </c>
      <c r="T134" s="13">
        <f>[52]Salidas!$D44</f>
        <v>16808</v>
      </c>
      <c r="U134" s="13">
        <f>[53]Salidas!$D44</f>
        <v>6293</v>
      </c>
      <c r="V134" s="13">
        <f>[54]Salidas!$D44</f>
        <v>797</v>
      </c>
      <c r="W134" s="13">
        <f>[55]Salidas!$D44</f>
        <v>14984</v>
      </c>
      <c r="X134" s="13">
        <f>[56]Salidas!$D44</f>
        <v>16380</v>
      </c>
      <c r="Y134" s="13">
        <f>[57]Salidas!$D44</f>
        <v>17810</v>
      </c>
      <c r="Z134" s="13">
        <f>[58]Salidas!$D44</f>
        <v>16861</v>
      </c>
      <c r="AA134" s="13">
        <f>[59]Salidas!$D44</f>
        <v>16545</v>
      </c>
      <c r="AB134" s="13">
        <f>[60]Salidas!$D44</f>
        <v>6404</v>
      </c>
      <c r="AC134" s="13">
        <f>[61]Salidas!$D44</f>
        <v>800</v>
      </c>
      <c r="AD134" s="13">
        <f>[62]Salidas!$D44</f>
        <v>15517</v>
      </c>
      <c r="AE134" s="13">
        <f>[63]Salidas!$D44</f>
        <v>16698</v>
      </c>
      <c r="AF134" s="13">
        <f>[64]Salidas!$D44</f>
        <v>16774</v>
      </c>
      <c r="AG134" s="13">
        <f>[65]Salidas!$D44</f>
        <v>17498</v>
      </c>
      <c r="AH134" s="13">
        <f>[66]Salidas!$D44</f>
        <v>17481</v>
      </c>
      <c r="AI134" s="13">
        <f>[67]Salidas!$D44</f>
        <v>6782</v>
      </c>
      <c r="AJ134" s="13">
        <f>[68]Salidas!$D44</f>
        <v>846</v>
      </c>
    </row>
    <row r="135" spans="1:36" ht="14.25" customHeight="1" x14ac:dyDescent="0.2">
      <c r="A135" s="435"/>
      <c r="B135" s="94" t="s">
        <v>226</v>
      </c>
      <c r="C135" s="13">
        <f>[35]Salidas!$D45</f>
        <v>7366</v>
      </c>
      <c r="D135" s="13">
        <f>[36]Salidas!$D45</f>
        <v>7840</v>
      </c>
      <c r="E135" s="13">
        <f>[37]Salidas!$D45</f>
        <v>7848</v>
      </c>
      <c r="F135" s="13">
        <f>[38]Salidas!$D45</f>
        <v>7572</v>
      </c>
      <c r="G135" s="13">
        <f>[39]Salidas!$D45</f>
        <v>3894</v>
      </c>
      <c r="H135" s="13">
        <f>[40]Salidas!$D45</f>
        <v>1710</v>
      </c>
      <c r="I135" s="13">
        <f>[41]Salidas!$D45</f>
        <v>7708</v>
      </c>
      <c r="J135" s="13">
        <f>[42]Salidas!$D45</f>
        <v>7722</v>
      </c>
      <c r="K135" s="13">
        <f>[43]Salidas!$D45</f>
        <v>8012</v>
      </c>
      <c r="L135" s="13">
        <f>[44]Salidas!$D45</f>
        <v>8136</v>
      </c>
      <c r="M135" s="13">
        <f>[45]Salidas!$D45</f>
        <v>7869</v>
      </c>
      <c r="N135" s="13">
        <f>[46]Salidas!$D45</f>
        <v>4086</v>
      </c>
      <c r="O135" s="13">
        <f>[47]Salidas!$D45</f>
        <v>1547</v>
      </c>
      <c r="P135" s="13">
        <f>[48]Salidas!$D45</f>
        <v>9722</v>
      </c>
      <c r="Q135" s="13">
        <f>[49]Salidas!$D45</f>
        <v>8430</v>
      </c>
      <c r="R135" s="13">
        <f>[50]Salidas!$D45</f>
        <v>8180</v>
      </c>
      <c r="S135" s="13">
        <f>[51]Salidas!$D45</f>
        <v>8239</v>
      </c>
      <c r="T135" s="13">
        <f>[52]Salidas!$D45</f>
        <v>8281</v>
      </c>
      <c r="U135" s="13">
        <f>[53]Salidas!$D45</f>
        <v>4248</v>
      </c>
      <c r="V135" s="13">
        <f>[54]Salidas!$D45</f>
        <v>1732</v>
      </c>
      <c r="W135" s="13">
        <f>[55]Salidas!$D45</f>
        <v>8049</v>
      </c>
      <c r="X135" s="13">
        <f>[56]Salidas!$D45</f>
        <v>8294</v>
      </c>
      <c r="Y135" s="13">
        <f>[57]Salidas!$D45</f>
        <v>8179</v>
      </c>
      <c r="Z135" s="13">
        <f>[58]Salidas!$D45</f>
        <v>8209</v>
      </c>
      <c r="AA135" s="13">
        <f>[59]Salidas!$D45</f>
        <v>8288</v>
      </c>
      <c r="AB135" s="13">
        <f>[60]Salidas!$D45</f>
        <v>4314</v>
      </c>
      <c r="AC135" s="13">
        <f>[61]Salidas!$D45</f>
        <v>1803</v>
      </c>
      <c r="AD135" s="13">
        <f>[62]Salidas!$D45</f>
        <v>8182</v>
      </c>
      <c r="AE135" s="13">
        <f>[63]Salidas!$D45</f>
        <v>8265</v>
      </c>
      <c r="AF135" s="13">
        <f>[64]Salidas!$D45</f>
        <v>8277</v>
      </c>
      <c r="AG135" s="13">
        <f>[65]Salidas!$D45</f>
        <v>8238</v>
      </c>
      <c r="AH135" s="13">
        <f>[66]Salidas!$D45</f>
        <v>8468</v>
      </c>
      <c r="AI135" s="13">
        <f>[67]Salidas!$D45</f>
        <v>4460</v>
      </c>
      <c r="AJ135" s="13">
        <f>[68]Salidas!$D45</f>
        <v>1641</v>
      </c>
    </row>
    <row r="136" spans="1:36" ht="14.25" customHeight="1" x14ac:dyDescent="0.2">
      <c r="A136" s="435"/>
      <c r="B136" s="94" t="s">
        <v>227</v>
      </c>
      <c r="C136" s="13">
        <f>[35]Salidas!$D46</f>
        <v>9624</v>
      </c>
      <c r="D136" s="13">
        <f>[36]Salidas!$D46</f>
        <v>9451</v>
      </c>
      <c r="E136" s="13">
        <f>[37]Salidas!$D46</f>
        <v>9355</v>
      </c>
      <c r="F136" s="13">
        <f>[38]Salidas!$D46</f>
        <v>9187</v>
      </c>
      <c r="G136" s="13">
        <f>[39]Salidas!$D46</f>
        <v>4392</v>
      </c>
      <c r="H136" s="13">
        <f>[40]Salidas!$D46</f>
        <v>3298</v>
      </c>
      <c r="I136" s="13">
        <f>[41]Salidas!$D46</f>
        <v>8806</v>
      </c>
      <c r="J136" s="13">
        <f>[42]Salidas!$D46</f>
        <v>9165</v>
      </c>
      <c r="K136" s="13">
        <f>[43]Salidas!$D46</f>
        <v>8873</v>
      </c>
      <c r="L136" s="13">
        <f>[44]Salidas!$D46</f>
        <v>8870</v>
      </c>
      <c r="M136" s="13">
        <f>[45]Salidas!$D46</f>
        <v>9199</v>
      </c>
      <c r="N136" s="13">
        <f>[46]Salidas!$D46</f>
        <v>4437</v>
      </c>
      <c r="O136" s="13">
        <f>[47]Salidas!$D46</f>
        <v>3272</v>
      </c>
      <c r="P136" s="13">
        <f>[48]Salidas!$D46</f>
        <v>9182</v>
      </c>
      <c r="Q136" s="13">
        <f>[49]Salidas!$D46</f>
        <v>9517</v>
      </c>
      <c r="R136" s="13">
        <f>[50]Salidas!$D46</f>
        <v>9360</v>
      </c>
      <c r="S136" s="13">
        <f>[51]Salidas!$D46</f>
        <v>9443</v>
      </c>
      <c r="T136" s="13">
        <f>[52]Salidas!$D46</f>
        <v>9792</v>
      </c>
      <c r="U136" s="13">
        <f>[53]Salidas!$D46</f>
        <v>4667</v>
      </c>
      <c r="V136" s="13">
        <f>[54]Salidas!$D46</f>
        <v>3489</v>
      </c>
      <c r="W136" s="13">
        <f>[55]Salidas!$D46</f>
        <v>8917</v>
      </c>
      <c r="X136" s="13">
        <f>[56]Salidas!$D46</f>
        <v>9084</v>
      </c>
      <c r="Y136" s="13">
        <f>[57]Salidas!$D46</f>
        <v>8895</v>
      </c>
      <c r="Z136" s="13">
        <f>[58]Salidas!$D46</f>
        <v>9195</v>
      </c>
      <c r="AA136" s="13">
        <f>[59]Salidas!$D46</f>
        <v>9296</v>
      </c>
      <c r="AB136" s="13">
        <f>[60]Salidas!$D46</f>
        <v>4830</v>
      </c>
      <c r="AC136" s="13">
        <f>[61]Salidas!$D46</f>
        <v>3559</v>
      </c>
      <c r="AD136" s="13">
        <f>[62]Salidas!$D46</f>
        <v>9207</v>
      </c>
      <c r="AE136" s="13">
        <f>[63]Salidas!$D46</f>
        <v>9283</v>
      </c>
      <c r="AF136" s="13">
        <f>[64]Salidas!$D46</f>
        <v>9417</v>
      </c>
      <c r="AG136" s="13">
        <f>[65]Salidas!$D46</f>
        <v>9325</v>
      </c>
      <c r="AH136" s="13">
        <f>[66]Salidas!$D46</f>
        <v>9719</v>
      </c>
      <c r="AI136" s="13">
        <f>[67]Salidas!$D46</f>
        <v>4961</v>
      </c>
      <c r="AJ136" s="13">
        <f>[68]Salidas!$D46</f>
        <v>3444</v>
      </c>
    </row>
    <row r="137" spans="1:36" x14ac:dyDescent="0.2">
      <c r="A137" s="435"/>
      <c r="B137" s="94" t="s">
        <v>228</v>
      </c>
      <c r="C137" s="13">
        <f>[35]Salidas!$D47</f>
        <v>2848</v>
      </c>
      <c r="D137" s="13">
        <f>[36]Salidas!$D47</f>
        <v>2920</v>
      </c>
      <c r="E137" s="13">
        <f>[37]Salidas!$D47</f>
        <v>3067</v>
      </c>
      <c r="F137" s="13">
        <f>[38]Salidas!$D47</f>
        <v>3008</v>
      </c>
      <c r="G137" s="13">
        <f>[39]Salidas!$D47</f>
        <v>1380</v>
      </c>
      <c r="H137" s="13">
        <f>[40]Salidas!$D47</f>
        <v>739</v>
      </c>
      <c r="I137" s="13">
        <f>[41]Salidas!$D47</f>
        <v>2110</v>
      </c>
      <c r="J137" s="13">
        <f>[42]Salidas!$D47</f>
        <v>2311</v>
      </c>
      <c r="K137" s="13">
        <f>[43]Salidas!$D47</f>
        <v>2332</v>
      </c>
      <c r="L137" s="13">
        <f>[44]Salidas!$D47</f>
        <v>2301</v>
      </c>
      <c r="M137" s="13">
        <f>[45]Salidas!$D47</f>
        <v>2140</v>
      </c>
      <c r="N137" s="13">
        <f>[46]Salidas!$D47</f>
        <v>1571</v>
      </c>
      <c r="O137" s="13">
        <f>[47]Salidas!$D47</f>
        <v>726</v>
      </c>
      <c r="P137" s="13">
        <f>[48]Salidas!$D47</f>
        <v>2152</v>
      </c>
      <c r="Q137" s="13">
        <f>[49]Salidas!$D47</f>
        <v>2297</v>
      </c>
      <c r="R137" s="13">
        <f>[50]Salidas!$D47</f>
        <v>2150</v>
      </c>
      <c r="S137" s="13">
        <f>[51]Salidas!$D47</f>
        <v>2224</v>
      </c>
      <c r="T137" s="13">
        <f>[52]Salidas!$D47</f>
        <v>2315</v>
      </c>
      <c r="U137" s="13">
        <f>[53]Salidas!$D47</f>
        <v>1694</v>
      </c>
      <c r="V137" s="13">
        <f>[54]Salidas!$D47</f>
        <v>719</v>
      </c>
      <c r="W137" s="13">
        <f>[55]Salidas!$D47</f>
        <v>2132</v>
      </c>
      <c r="X137" s="13">
        <f>[56]Salidas!$D47</f>
        <v>2386</v>
      </c>
      <c r="Y137" s="13">
        <f>[57]Salidas!$D47</f>
        <v>2347</v>
      </c>
      <c r="Z137" s="13">
        <f>[58]Salidas!$D47</f>
        <v>2224</v>
      </c>
      <c r="AA137" s="13">
        <f>[59]Salidas!$D47</f>
        <v>2360</v>
      </c>
      <c r="AB137" s="13">
        <f>[60]Salidas!$D47</f>
        <v>1603</v>
      </c>
      <c r="AC137" s="13">
        <f>[61]Salidas!$D47</f>
        <v>748</v>
      </c>
      <c r="AD137" s="13">
        <f>[62]Salidas!$D47</f>
        <v>2152</v>
      </c>
      <c r="AE137" s="13">
        <f>[63]Salidas!$D47</f>
        <v>2513</v>
      </c>
      <c r="AF137" s="13">
        <f>[64]Salidas!$D47</f>
        <v>2489</v>
      </c>
      <c r="AG137" s="13">
        <f>[65]Salidas!$D47</f>
        <v>2438</v>
      </c>
      <c r="AH137" s="13">
        <f>[66]Salidas!$D47</f>
        <v>2419</v>
      </c>
      <c r="AI137" s="13">
        <f>[67]Salidas!$D47</f>
        <v>1710</v>
      </c>
      <c r="AJ137" s="13">
        <f>[68]Salidas!$D47</f>
        <v>748</v>
      </c>
    </row>
    <row r="138" spans="1:36" ht="13.5" thickBot="1" x14ac:dyDescent="0.25">
      <c r="A138" s="435"/>
      <c r="B138" s="95" t="s">
        <v>229</v>
      </c>
      <c r="C138" s="13">
        <f>[35]Salidas!$D48</f>
        <v>7572</v>
      </c>
      <c r="D138" s="13">
        <f>[36]Salidas!$D48</f>
        <v>7445</v>
      </c>
      <c r="E138" s="13">
        <f>[37]Salidas!$D48</f>
        <v>7476</v>
      </c>
      <c r="F138" s="13">
        <f>[38]Salidas!$D48</f>
        <v>7495</v>
      </c>
      <c r="G138" s="13">
        <f>[39]Salidas!$D48</f>
        <v>3462</v>
      </c>
      <c r="H138" s="13">
        <f>[40]Salidas!$D48</f>
        <v>970</v>
      </c>
      <c r="I138" s="13">
        <f>[41]Salidas!$D48</f>
        <v>7301</v>
      </c>
      <c r="J138" s="13">
        <f>[42]Salidas!$D48</f>
        <v>7529</v>
      </c>
      <c r="K138" s="13">
        <f>[43]Salidas!$D48</f>
        <v>7364</v>
      </c>
      <c r="L138" s="13">
        <f>[44]Salidas!$D48</f>
        <v>7714</v>
      </c>
      <c r="M138" s="13">
        <f>[45]Salidas!$D48</f>
        <v>7486</v>
      </c>
      <c r="N138" s="13">
        <f>[46]Salidas!$D48</f>
        <v>3310</v>
      </c>
      <c r="O138" s="13">
        <f>[47]Salidas!$D48</f>
        <v>886</v>
      </c>
      <c r="P138" s="13">
        <f>[48]Salidas!$D48</f>
        <v>7431</v>
      </c>
      <c r="Q138" s="13">
        <f>[49]Salidas!$D48</f>
        <v>7741</v>
      </c>
      <c r="R138" s="13">
        <f>[50]Salidas!$D48</f>
        <v>7332</v>
      </c>
      <c r="S138" s="13">
        <f>[51]Salidas!$D48</f>
        <v>7458</v>
      </c>
      <c r="T138" s="13">
        <f>[52]Salidas!$D48</f>
        <v>7420</v>
      </c>
      <c r="U138" s="13">
        <f>[53]Salidas!$D48</f>
        <v>3174</v>
      </c>
      <c r="V138" s="13">
        <f>[54]Salidas!$D48</f>
        <v>851</v>
      </c>
      <c r="W138" s="13">
        <f>[55]Salidas!$D48</f>
        <v>7601</v>
      </c>
      <c r="X138" s="13">
        <f>[56]Salidas!$D48</f>
        <v>7621</v>
      </c>
      <c r="Y138" s="13">
        <f>[57]Salidas!$D48</f>
        <v>7376</v>
      </c>
      <c r="Z138" s="13">
        <f>[58]Salidas!$D48</f>
        <v>7399</v>
      </c>
      <c r="AA138" s="13">
        <f>[59]Salidas!$D48</f>
        <v>7510</v>
      </c>
      <c r="AB138" s="13">
        <f>[60]Salidas!$D48</f>
        <v>3338</v>
      </c>
      <c r="AC138" s="13">
        <f>[61]Salidas!$D48</f>
        <v>1000</v>
      </c>
      <c r="AD138" s="13">
        <f>[62]Salidas!$D48</f>
        <v>7576</v>
      </c>
      <c r="AE138" s="13">
        <f>[63]Salidas!$D48</f>
        <v>7834</v>
      </c>
      <c r="AF138" s="13">
        <f>[64]Salidas!$D48</f>
        <v>7613</v>
      </c>
      <c r="AG138" s="13">
        <f>[65]Salidas!$D48</f>
        <v>7682</v>
      </c>
      <c r="AH138" s="13">
        <f>[66]Salidas!$D48</f>
        <v>7672</v>
      </c>
      <c r="AI138" s="13">
        <f>[67]Salidas!$D48</f>
        <v>3471</v>
      </c>
      <c r="AJ138" s="13">
        <f>[68]Salidas!$D48</f>
        <v>1024</v>
      </c>
    </row>
    <row r="139" spans="1:36" x14ac:dyDescent="0.2">
      <c r="A139" s="435"/>
      <c r="B139" s="92" t="s">
        <v>230</v>
      </c>
      <c r="C139" s="55">
        <f>[35]Salidas!$D49</f>
        <v>8831</v>
      </c>
      <c r="D139" s="55">
        <f>[36]Salidas!$D49</f>
        <v>8933</v>
      </c>
      <c r="E139" s="55">
        <f>[37]Salidas!$D49</f>
        <v>8932</v>
      </c>
      <c r="F139" s="55">
        <f>[38]Salidas!$D49</f>
        <v>8725</v>
      </c>
      <c r="G139" s="55">
        <f>[39]Salidas!$D49</f>
        <v>7254</v>
      </c>
      <c r="H139" s="55">
        <f>[40]Salidas!$D49</f>
        <v>2158</v>
      </c>
      <c r="I139" s="55">
        <f>[41]Salidas!$D49</f>
        <v>8536</v>
      </c>
      <c r="J139" s="55">
        <f>[42]Salidas!$D49</f>
        <v>8784</v>
      </c>
      <c r="K139" s="55">
        <f>[43]Salidas!$D49</f>
        <v>8566</v>
      </c>
      <c r="L139" s="55">
        <f>[44]Salidas!$D49</f>
        <v>8720</v>
      </c>
      <c r="M139" s="55">
        <f>[45]Salidas!$D49</f>
        <v>8758</v>
      </c>
      <c r="N139" s="55">
        <f>[46]Salidas!$D49</f>
        <v>6919</v>
      </c>
      <c r="O139" s="55">
        <f>[47]Salidas!$D49</f>
        <v>1915</v>
      </c>
      <c r="P139" s="55">
        <f>[48]Salidas!$D49</f>
        <v>8688</v>
      </c>
      <c r="Q139" s="55">
        <f>[49]Salidas!$D49</f>
        <v>9237</v>
      </c>
      <c r="R139" s="55">
        <f>[50]Salidas!$D49</f>
        <v>8562</v>
      </c>
      <c r="S139" s="55">
        <f>[51]Salidas!$D49</f>
        <v>8590</v>
      </c>
      <c r="T139" s="55">
        <f>[52]Salidas!$D49</f>
        <v>9231</v>
      </c>
      <c r="U139" s="55">
        <f>[53]Salidas!$D49</f>
        <v>7465</v>
      </c>
      <c r="V139" s="55">
        <f>[54]Salidas!$D49</f>
        <v>1850</v>
      </c>
      <c r="W139" s="55">
        <f>[55]Salidas!$D49</f>
        <v>8914</v>
      </c>
      <c r="X139" s="55">
        <f>[56]Salidas!$D49</f>
        <v>8955</v>
      </c>
      <c r="Y139" s="55">
        <f>[57]Salidas!$D49</f>
        <v>8572</v>
      </c>
      <c r="Z139" s="55">
        <f>[58]Salidas!$D49</f>
        <v>8971</v>
      </c>
      <c r="AA139" s="55">
        <f>[59]Salidas!$D49</f>
        <v>9282</v>
      </c>
      <c r="AB139" s="55">
        <f>[60]Salidas!$D49</f>
        <v>7367</v>
      </c>
      <c r="AC139" s="55">
        <f>[61]Salidas!$D49</f>
        <v>1829</v>
      </c>
      <c r="AD139" s="55">
        <f>[62]Salidas!$D49</f>
        <v>8885</v>
      </c>
      <c r="AE139" s="55">
        <f>[63]Salidas!$D49</f>
        <v>9138</v>
      </c>
      <c r="AF139" s="55">
        <f>[64]Salidas!$D49</f>
        <v>9235</v>
      </c>
      <c r="AG139" s="55">
        <f>[65]Salidas!$D49</f>
        <v>9505</v>
      </c>
      <c r="AH139" s="55">
        <f>[66]Salidas!$D49</f>
        <v>9833</v>
      </c>
      <c r="AI139" s="55">
        <f>[67]Salidas!$D49</f>
        <v>7996</v>
      </c>
      <c r="AJ139" s="55">
        <f>[68]Salidas!$D49</f>
        <v>1986</v>
      </c>
    </row>
    <row r="140" spans="1:36" ht="13.5" thickBot="1" x14ac:dyDescent="0.25">
      <c r="A140" s="435"/>
      <c r="B140" s="96" t="s">
        <v>231</v>
      </c>
      <c r="C140" s="55">
        <f>[35]Salidas!$D50</f>
        <v>3334</v>
      </c>
      <c r="D140" s="55">
        <f>[36]Salidas!$D50</f>
        <v>3301</v>
      </c>
      <c r="E140" s="55">
        <f>[37]Salidas!$D50</f>
        <v>3358</v>
      </c>
      <c r="F140" s="55">
        <f>[38]Salidas!$D50</f>
        <v>3343</v>
      </c>
      <c r="G140" s="55">
        <f>[39]Salidas!$D50</f>
        <v>2031</v>
      </c>
      <c r="H140" s="55">
        <f>[40]Salidas!$D50</f>
        <v>671</v>
      </c>
      <c r="I140" s="55">
        <f>[41]Salidas!$D50</f>
        <v>3169</v>
      </c>
      <c r="J140" s="55">
        <f>[42]Salidas!$D50</f>
        <v>3196</v>
      </c>
      <c r="K140" s="55">
        <f>[43]Salidas!$D50</f>
        <v>3318</v>
      </c>
      <c r="L140" s="55">
        <f>[44]Salidas!$D50</f>
        <v>3312</v>
      </c>
      <c r="M140" s="55">
        <f>[45]Salidas!$D50</f>
        <v>3353</v>
      </c>
      <c r="N140" s="55">
        <f>[46]Salidas!$D50</f>
        <v>2000</v>
      </c>
      <c r="O140" s="55">
        <f>[47]Salidas!$D50</f>
        <v>646</v>
      </c>
      <c r="P140" s="55">
        <f>[48]Salidas!$D50</f>
        <v>3220</v>
      </c>
      <c r="Q140" s="55">
        <f>[49]Salidas!$D50</f>
        <v>2969</v>
      </c>
      <c r="R140" s="55">
        <f>[50]Salidas!$D50</f>
        <v>3128</v>
      </c>
      <c r="S140" s="55">
        <f>[51]Salidas!$D50</f>
        <v>3080</v>
      </c>
      <c r="T140" s="55">
        <f>[52]Salidas!$D50</f>
        <v>3442</v>
      </c>
      <c r="U140" s="55">
        <f>[53]Salidas!$D50</f>
        <v>2219</v>
      </c>
      <c r="V140" s="55">
        <f>[54]Salidas!$D50</f>
        <v>639</v>
      </c>
      <c r="W140" s="55">
        <f>[55]Salidas!$D50</f>
        <v>3307</v>
      </c>
      <c r="X140" s="55">
        <f>[56]Salidas!$D50</f>
        <v>3271</v>
      </c>
      <c r="Y140" s="55">
        <f>[57]Salidas!$D50</f>
        <v>3245</v>
      </c>
      <c r="Z140" s="55">
        <f>[58]Salidas!$D50</f>
        <v>3213</v>
      </c>
      <c r="AA140" s="55">
        <f>[59]Salidas!$D50</f>
        <v>3281</v>
      </c>
      <c r="AB140" s="55">
        <f>[60]Salidas!$D50</f>
        <v>2045</v>
      </c>
      <c r="AC140" s="55">
        <f>[61]Salidas!$D50</f>
        <v>697</v>
      </c>
      <c r="AD140" s="55">
        <f>[62]Salidas!$D50</f>
        <v>3395</v>
      </c>
      <c r="AE140" s="55">
        <f>[63]Salidas!$D50</f>
        <v>3231</v>
      </c>
      <c r="AF140" s="55">
        <f>[64]Salidas!$D50</f>
        <v>3403</v>
      </c>
      <c r="AG140" s="55">
        <f>[65]Salidas!$D50</f>
        <v>3482</v>
      </c>
      <c r="AH140" s="55">
        <f>[66]Salidas!$D50</f>
        <v>3432</v>
      </c>
      <c r="AI140" s="55">
        <f>[67]Salidas!$D50</f>
        <v>2063</v>
      </c>
      <c r="AJ140" s="55">
        <f>[68]Salidas!$D50</f>
        <v>664</v>
      </c>
    </row>
    <row r="141" spans="1:36" x14ac:dyDescent="0.2">
      <c r="A141" s="435"/>
      <c r="B141" s="93" t="s">
        <v>232</v>
      </c>
      <c r="C141" s="13">
        <f>[35]Salidas!$D51</f>
        <v>5564</v>
      </c>
      <c r="D141" s="13">
        <f>[36]Salidas!$D51</f>
        <v>5731</v>
      </c>
      <c r="E141" s="13">
        <f>[37]Salidas!$D51</f>
        <v>5576</v>
      </c>
      <c r="F141" s="13">
        <f>[38]Salidas!$D51</f>
        <v>5839</v>
      </c>
      <c r="G141" s="13">
        <f>[39]Salidas!$D51</f>
        <v>4406</v>
      </c>
      <c r="H141" s="13">
        <f>[40]Salidas!$D51</f>
        <v>1681</v>
      </c>
      <c r="I141" s="13">
        <f>[41]Salidas!$D51</f>
        <v>5731</v>
      </c>
      <c r="J141" s="13">
        <f>[42]Salidas!$D51</f>
        <v>5560</v>
      </c>
      <c r="K141" s="13">
        <f>[43]Salidas!$D51</f>
        <v>5690</v>
      </c>
      <c r="L141" s="13">
        <f>[44]Salidas!$D51</f>
        <v>5750</v>
      </c>
      <c r="M141" s="13">
        <f>[45]Salidas!$D51</f>
        <v>5861</v>
      </c>
      <c r="N141" s="13">
        <f>[46]Salidas!$D51</f>
        <v>4371</v>
      </c>
      <c r="O141" s="13">
        <f>[47]Salidas!$D51</f>
        <v>1665</v>
      </c>
      <c r="P141" s="13">
        <f>[48]Salidas!$D51</f>
        <v>5563</v>
      </c>
      <c r="Q141" s="13">
        <f>[49]Salidas!$D51</f>
        <v>5939</v>
      </c>
      <c r="R141" s="13">
        <f>[50]Salidas!$D51</f>
        <v>5632</v>
      </c>
      <c r="S141" s="13">
        <f>[51]Salidas!$D51</f>
        <v>5884</v>
      </c>
      <c r="T141" s="13">
        <f>[52]Salidas!$D51</f>
        <v>5990</v>
      </c>
      <c r="U141" s="13">
        <f>[53]Salidas!$D51</f>
        <v>4628</v>
      </c>
      <c r="V141" s="13">
        <f>[54]Salidas!$D51</f>
        <v>1734</v>
      </c>
      <c r="W141" s="13">
        <f>[55]Salidas!$D51</f>
        <v>5738</v>
      </c>
      <c r="X141" s="13">
        <f>[56]Salidas!$D51</f>
        <v>5807</v>
      </c>
      <c r="Y141" s="13">
        <f>[57]Salidas!$D51</f>
        <v>5745</v>
      </c>
      <c r="Z141" s="13">
        <f>[58]Salidas!$D51</f>
        <v>5825</v>
      </c>
      <c r="AA141" s="13">
        <f>[59]Salidas!$D51</f>
        <v>5945</v>
      </c>
      <c r="AB141" s="13">
        <f>[60]Salidas!$D51</f>
        <v>4615</v>
      </c>
      <c r="AC141" s="13">
        <f>[61]Salidas!$D51</f>
        <v>1785</v>
      </c>
      <c r="AD141" s="13">
        <f>[62]Salidas!$D51</f>
        <v>5824</v>
      </c>
      <c r="AE141" s="13">
        <f>[63]Salidas!$D51</f>
        <v>6034</v>
      </c>
      <c r="AF141" s="13">
        <f>[64]Salidas!$D51</f>
        <v>5963</v>
      </c>
      <c r="AG141" s="13">
        <f>[65]Salidas!$D51</f>
        <v>6054</v>
      </c>
      <c r="AH141" s="13">
        <f>[66]Salidas!$D51</f>
        <v>6044</v>
      </c>
      <c r="AI141" s="13">
        <f>[67]Salidas!$D51</f>
        <v>4635</v>
      </c>
      <c r="AJ141" s="13">
        <f>[68]Salidas!$D51</f>
        <v>1778</v>
      </c>
    </row>
    <row r="142" spans="1:36" x14ac:dyDescent="0.2">
      <c r="A142" s="435"/>
      <c r="B142" s="94" t="s">
        <v>233</v>
      </c>
      <c r="C142" s="13">
        <f>[35]Salidas!$D52</f>
        <v>1650</v>
      </c>
      <c r="D142" s="13">
        <f>[36]Salidas!$D52</f>
        <v>1708</v>
      </c>
      <c r="E142" s="13">
        <f>[37]Salidas!$D52</f>
        <v>1688</v>
      </c>
      <c r="F142" s="13">
        <f>[38]Salidas!$D52</f>
        <v>1790</v>
      </c>
      <c r="G142" s="13">
        <f>[39]Salidas!$D52</f>
        <v>1228</v>
      </c>
      <c r="H142" s="13">
        <f>[40]Salidas!$D52</f>
        <v>478</v>
      </c>
      <c r="I142" s="13">
        <f>[41]Salidas!$D52</f>
        <v>1742</v>
      </c>
      <c r="J142" s="13">
        <f>[42]Salidas!$D52</f>
        <v>1728</v>
      </c>
      <c r="K142" s="13">
        <f>[43]Salidas!$D52</f>
        <v>1656</v>
      </c>
      <c r="L142" s="13">
        <f>[44]Salidas!$D52</f>
        <v>1697</v>
      </c>
      <c r="M142" s="13">
        <f>[45]Salidas!$D52</f>
        <v>1713</v>
      </c>
      <c r="N142" s="13">
        <f>[46]Salidas!$D52</f>
        <v>1297</v>
      </c>
      <c r="O142" s="13">
        <f>[47]Salidas!$D52</f>
        <v>458</v>
      </c>
      <c r="P142" s="13">
        <f>[48]Salidas!$D52</f>
        <v>1609</v>
      </c>
      <c r="Q142" s="13">
        <f>[49]Salidas!$D52</f>
        <v>1722</v>
      </c>
      <c r="R142" s="13">
        <f>[50]Salidas!$D52</f>
        <v>1714</v>
      </c>
      <c r="S142" s="13">
        <f>[51]Salidas!$D52</f>
        <v>1495</v>
      </c>
      <c r="T142" s="13">
        <f>[52]Salidas!$D52</f>
        <v>1674</v>
      </c>
      <c r="U142" s="13">
        <f>[53]Salidas!$D52</f>
        <v>1266</v>
      </c>
      <c r="V142" s="13">
        <f>[54]Salidas!$D52</f>
        <v>465</v>
      </c>
      <c r="W142" s="13">
        <f>[55]Salidas!$D52</f>
        <v>1687</v>
      </c>
      <c r="X142" s="13">
        <f>[56]Salidas!$D52</f>
        <v>1730</v>
      </c>
      <c r="Y142" s="13">
        <f>[57]Salidas!$D52</f>
        <v>1693</v>
      </c>
      <c r="Z142" s="13">
        <f>[58]Salidas!$D52</f>
        <v>1611</v>
      </c>
      <c r="AA142" s="13">
        <f>[59]Salidas!$D52</f>
        <v>1779</v>
      </c>
      <c r="AB142" s="13">
        <f>[60]Salidas!$D52</f>
        <v>1219</v>
      </c>
      <c r="AC142" s="13">
        <f>[61]Salidas!$D52</f>
        <v>494</v>
      </c>
      <c r="AD142" s="13">
        <f>[62]Salidas!$D52</f>
        <v>1772</v>
      </c>
      <c r="AE142" s="13">
        <f>[63]Salidas!$D52</f>
        <v>1811</v>
      </c>
      <c r="AF142" s="13">
        <f>[64]Salidas!$D52</f>
        <v>1763</v>
      </c>
      <c r="AG142" s="13">
        <f>[65]Salidas!$D52</f>
        <v>1750</v>
      </c>
      <c r="AH142" s="13">
        <f>[66]Salidas!$D52</f>
        <v>1779</v>
      </c>
      <c r="AI142" s="13">
        <f>[67]Salidas!$D52</f>
        <v>1318</v>
      </c>
      <c r="AJ142" s="13">
        <f>[68]Salidas!$D52</f>
        <v>485</v>
      </c>
    </row>
    <row r="143" spans="1:36" x14ac:dyDescent="0.2">
      <c r="A143" s="435"/>
      <c r="B143" s="94" t="s">
        <v>234</v>
      </c>
      <c r="C143" s="13">
        <f>[35]Salidas!$D53</f>
        <v>5406</v>
      </c>
      <c r="D143" s="13">
        <f>[36]Salidas!$D53</f>
        <v>5555</v>
      </c>
      <c r="E143" s="13">
        <f>[37]Salidas!$D53</f>
        <v>5439</v>
      </c>
      <c r="F143" s="13">
        <f>[38]Salidas!$D53</f>
        <v>5668</v>
      </c>
      <c r="G143" s="13">
        <f>[39]Salidas!$D53</f>
        <v>4828</v>
      </c>
      <c r="H143" s="13">
        <f>[40]Salidas!$D53</f>
        <v>2575</v>
      </c>
      <c r="I143" s="13">
        <f>[41]Salidas!$D53</f>
        <v>5400</v>
      </c>
      <c r="J143" s="13">
        <f>[42]Salidas!$D53</f>
        <v>5665</v>
      </c>
      <c r="K143" s="13">
        <f>[43]Salidas!$D53</f>
        <v>5426</v>
      </c>
      <c r="L143" s="13">
        <f>[44]Salidas!$D53</f>
        <v>5628</v>
      </c>
      <c r="M143" s="13">
        <f>[45]Salidas!$D53</f>
        <v>5576</v>
      </c>
      <c r="N143" s="13">
        <f>[46]Salidas!$D53</f>
        <v>4735</v>
      </c>
      <c r="O143" s="13">
        <f>[47]Salidas!$D53</f>
        <v>2316</v>
      </c>
      <c r="P143" s="13">
        <f>[48]Salidas!$D53</f>
        <v>5371</v>
      </c>
      <c r="Q143" s="13">
        <f>[49]Salidas!$D53</f>
        <v>5396</v>
      </c>
      <c r="R143" s="13">
        <f>[50]Salidas!$D53</f>
        <v>5276</v>
      </c>
      <c r="S143" s="13">
        <f>[51]Salidas!$D53</f>
        <v>5372</v>
      </c>
      <c r="T143" s="13">
        <f>[52]Salidas!$D53</f>
        <v>5666</v>
      </c>
      <c r="U143" s="13">
        <f>[53]Salidas!$D53</f>
        <v>4708</v>
      </c>
      <c r="V143" s="13">
        <f>[54]Salidas!$D53</f>
        <v>2475</v>
      </c>
      <c r="W143" s="13">
        <f>[55]Salidas!$D53</f>
        <v>5500</v>
      </c>
      <c r="X143" s="13">
        <f>[56]Salidas!$D53</f>
        <v>5603</v>
      </c>
      <c r="Y143" s="13">
        <f>[57]Salidas!$D53</f>
        <v>5482</v>
      </c>
      <c r="Z143" s="13">
        <f>[58]Salidas!$D53</f>
        <v>5575</v>
      </c>
      <c r="AA143" s="13">
        <f>[59]Salidas!$D53</f>
        <v>5701</v>
      </c>
      <c r="AB143" s="13">
        <f>[60]Salidas!$D53</f>
        <v>4913</v>
      </c>
      <c r="AC143" s="13">
        <f>[61]Salidas!$D53</f>
        <v>2562</v>
      </c>
      <c r="AD143" s="13">
        <f>[62]Salidas!$D53</f>
        <v>5542</v>
      </c>
      <c r="AE143" s="13">
        <f>[63]Salidas!$D53</f>
        <v>5787</v>
      </c>
      <c r="AF143" s="13">
        <f>[64]Salidas!$D53</f>
        <v>5735</v>
      </c>
      <c r="AG143" s="13">
        <f>[65]Salidas!$D53</f>
        <v>5698</v>
      </c>
      <c r="AH143" s="13">
        <f>[66]Salidas!$D53</f>
        <v>5832</v>
      </c>
      <c r="AI143" s="13">
        <f>[67]Salidas!$D53</f>
        <v>4977</v>
      </c>
      <c r="AJ143" s="13">
        <f>[68]Salidas!$D53</f>
        <v>2448</v>
      </c>
    </row>
    <row r="144" spans="1:36" x14ac:dyDescent="0.2">
      <c r="A144" s="435"/>
      <c r="B144" s="94" t="s">
        <v>238</v>
      </c>
      <c r="C144" s="13">
        <f>[35]Salidas!$D54</f>
        <v>6981</v>
      </c>
      <c r="D144" s="13">
        <f>[36]Salidas!$D54</f>
        <v>7273</v>
      </c>
      <c r="E144" s="13">
        <f>[37]Salidas!$D54</f>
        <v>6884</v>
      </c>
      <c r="F144" s="13">
        <f>[38]Salidas!$D54</f>
        <v>6893</v>
      </c>
      <c r="G144" s="13">
        <f>[39]Salidas!$D54</f>
        <v>4903</v>
      </c>
      <c r="H144" s="13">
        <f>[40]Salidas!$D54</f>
        <v>2208</v>
      </c>
      <c r="I144" s="13">
        <f>[41]Salidas!$D54</f>
        <v>6589</v>
      </c>
      <c r="J144" s="13">
        <f>[42]Salidas!$D54</f>
        <v>7311</v>
      </c>
      <c r="K144" s="13">
        <f>[43]Salidas!$D54</f>
        <v>7092</v>
      </c>
      <c r="L144" s="13">
        <f>[44]Salidas!$D54</f>
        <v>6906</v>
      </c>
      <c r="M144" s="13">
        <f>[45]Salidas!$D54</f>
        <v>7104</v>
      </c>
      <c r="N144" s="13">
        <f>[46]Salidas!$D54</f>
        <v>4986</v>
      </c>
      <c r="O144" s="13">
        <f>[47]Salidas!$D54</f>
        <v>2103</v>
      </c>
      <c r="P144" s="13">
        <f>[48]Salidas!$D54</f>
        <v>6932</v>
      </c>
      <c r="Q144" s="13">
        <f>[49]Salidas!$D54</f>
        <v>7218</v>
      </c>
      <c r="R144" s="13">
        <f>[50]Salidas!$D54</f>
        <v>7010</v>
      </c>
      <c r="S144" s="13">
        <f>[51]Salidas!$D54</f>
        <v>7063</v>
      </c>
      <c r="T144" s="13">
        <f>[52]Salidas!$D54</f>
        <v>7039</v>
      </c>
      <c r="U144" s="13">
        <f>[53]Salidas!$D54</f>
        <v>5072</v>
      </c>
      <c r="V144" s="13">
        <f>[54]Salidas!$D54</f>
        <v>2187</v>
      </c>
      <c r="W144" s="13">
        <f>[55]Salidas!$D54</f>
        <v>6720</v>
      </c>
      <c r="X144" s="13">
        <f>[56]Salidas!$D54</f>
        <v>6943</v>
      </c>
      <c r="Y144" s="13">
        <f>[57]Salidas!$D54</f>
        <v>7074</v>
      </c>
      <c r="Z144" s="13">
        <f>[58]Salidas!$D54</f>
        <v>6701</v>
      </c>
      <c r="AA144" s="13">
        <f>[59]Salidas!$D54</f>
        <v>6850</v>
      </c>
      <c r="AB144" s="13">
        <f>[60]Salidas!$D54</f>
        <v>5219</v>
      </c>
      <c r="AC144" s="13">
        <f>[61]Salidas!$D54</f>
        <v>2325</v>
      </c>
      <c r="AD144" s="13">
        <f>[62]Salidas!$D54</f>
        <v>6709</v>
      </c>
      <c r="AE144" s="13">
        <f>[63]Salidas!$D54</f>
        <v>7385</v>
      </c>
      <c r="AF144" s="13">
        <f>[64]Salidas!$D54</f>
        <v>7087</v>
      </c>
      <c r="AG144" s="13">
        <f>[65]Salidas!$D54</f>
        <v>6977</v>
      </c>
      <c r="AH144" s="13">
        <f>[66]Salidas!$D54</f>
        <v>6951</v>
      </c>
      <c r="AI144" s="13">
        <f>[67]Salidas!$D54</f>
        <v>5429</v>
      </c>
      <c r="AJ144" s="13">
        <f>[68]Salidas!$D54</f>
        <v>2070</v>
      </c>
    </row>
    <row r="145" spans="1:36" x14ac:dyDescent="0.2">
      <c r="A145" s="435"/>
      <c r="B145" s="94" t="s">
        <v>239</v>
      </c>
      <c r="C145" s="13">
        <f>[35]Salidas!$D55</f>
        <v>3016</v>
      </c>
      <c r="D145" s="13">
        <f>[36]Salidas!$D55</f>
        <v>2899</v>
      </c>
      <c r="E145" s="13">
        <f>[37]Salidas!$D55</f>
        <v>3018</v>
      </c>
      <c r="F145" s="13">
        <f>[38]Salidas!$D55</f>
        <v>2982</v>
      </c>
      <c r="G145" s="13">
        <f>[39]Salidas!$D55</f>
        <v>2070</v>
      </c>
      <c r="H145" s="13">
        <f>[40]Salidas!$D55</f>
        <v>1005</v>
      </c>
      <c r="I145" s="13">
        <f>[41]Salidas!$D55</f>
        <v>2927</v>
      </c>
      <c r="J145" s="13">
        <f>[42]Salidas!$D55</f>
        <v>2996</v>
      </c>
      <c r="K145" s="13">
        <f>[43]Salidas!$D55</f>
        <v>2986</v>
      </c>
      <c r="L145" s="13">
        <f>[44]Salidas!$D55</f>
        <v>3104</v>
      </c>
      <c r="M145" s="13">
        <f>[45]Salidas!$D55</f>
        <v>3031</v>
      </c>
      <c r="N145" s="13">
        <f>[46]Salidas!$D55</f>
        <v>2204</v>
      </c>
      <c r="O145" s="13">
        <f>[47]Salidas!$D55</f>
        <v>891</v>
      </c>
      <c r="P145" s="13">
        <f>[48]Salidas!$D55</f>
        <v>3172</v>
      </c>
      <c r="Q145" s="13">
        <f>[49]Salidas!$D55</f>
        <v>3127</v>
      </c>
      <c r="R145" s="13">
        <f>[50]Salidas!$D55</f>
        <v>2984</v>
      </c>
      <c r="S145" s="13">
        <f>[51]Salidas!$D55</f>
        <v>3196</v>
      </c>
      <c r="T145" s="13">
        <f>[52]Salidas!$D55</f>
        <v>3100</v>
      </c>
      <c r="U145" s="13">
        <f>[53]Salidas!$D55</f>
        <v>2179</v>
      </c>
      <c r="V145" s="13">
        <f>[54]Salidas!$D55</f>
        <v>932</v>
      </c>
      <c r="W145" s="13">
        <f>[55]Salidas!$D55</f>
        <v>3141</v>
      </c>
      <c r="X145" s="13">
        <f>[56]Salidas!$D55</f>
        <v>3139</v>
      </c>
      <c r="Y145" s="13">
        <f>[57]Salidas!$D55</f>
        <v>3093</v>
      </c>
      <c r="Z145" s="13">
        <f>[58]Salidas!$D55</f>
        <v>3093</v>
      </c>
      <c r="AA145" s="13">
        <f>[59]Salidas!$D55</f>
        <v>3026</v>
      </c>
      <c r="AB145" s="13">
        <f>[60]Salidas!$D55</f>
        <v>2179</v>
      </c>
      <c r="AC145" s="13">
        <f>[61]Salidas!$D55</f>
        <v>1020</v>
      </c>
      <c r="AD145" s="13">
        <f>[62]Salidas!$D55</f>
        <v>3051</v>
      </c>
      <c r="AE145" s="13">
        <f>[63]Salidas!$D55</f>
        <v>3255</v>
      </c>
      <c r="AF145" s="13">
        <f>[64]Salidas!$D55</f>
        <v>3112</v>
      </c>
      <c r="AG145" s="13">
        <f>[65]Salidas!$D55</f>
        <v>3254</v>
      </c>
      <c r="AH145" s="13">
        <f>[66]Salidas!$D55</f>
        <v>3087</v>
      </c>
      <c r="AI145" s="13">
        <f>[67]Salidas!$D55</f>
        <v>2310</v>
      </c>
      <c r="AJ145" s="13">
        <f>[68]Salidas!$D55</f>
        <v>897</v>
      </c>
    </row>
    <row r="146" spans="1:36" x14ac:dyDescent="0.2">
      <c r="A146" s="435"/>
      <c r="B146" s="94" t="s">
        <v>240</v>
      </c>
      <c r="C146" s="13">
        <f>[35]Salidas!$D56</f>
        <v>4901</v>
      </c>
      <c r="D146" s="13">
        <f>[36]Salidas!$D56</f>
        <v>5004</v>
      </c>
      <c r="E146" s="13">
        <f>[37]Salidas!$D56</f>
        <v>4724</v>
      </c>
      <c r="F146" s="13">
        <f>[38]Salidas!$D56</f>
        <v>5376</v>
      </c>
      <c r="G146" s="13">
        <f>[39]Salidas!$D56</f>
        <v>6152</v>
      </c>
      <c r="H146" s="13">
        <f>[40]Salidas!$D56</f>
        <v>4193</v>
      </c>
      <c r="I146" s="13">
        <f>[41]Salidas!$D56</f>
        <v>4543</v>
      </c>
      <c r="J146" s="13">
        <f>[42]Salidas!$D56</f>
        <v>4555</v>
      </c>
      <c r="K146" s="13">
        <f>[43]Salidas!$D56</f>
        <v>4517</v>
      </c>
      <c r="L146" s="13">
        <f>[44]Salidas!$D56</f>
        <v>4358</v>
      </c>
      <c r="M146" s="13">
        <f>[45]Salidas!$D56</f>
        <v>4711</v>
      </c>
      <c r="N146" s="13">
        <f>[46]Salidas!$D56</f>
        <v>5797</v>
      </c>
      <c r="O146" s="13">
        <f>[47]Salidas!$D56</f>
        <v>3950</v>
      </c>
      <c r="P146" s="13">
        <f>[48]Salidas!$D56</f>
        <v>4345</v>
      </c>
      <c r="Q146" s="13">
        <f>[49]Salidas!$D56</f>
        <v>4637</v>
      </c>
      <c r="R146" s="13">
        <f>[50]Salidas!$D56</f>
        <v>4712</v>
      </c>
      <c r="S146" s="13">
        <f>[51]Salidas!$D56</f>
        <v>4654</v>
      </c>
      <c r="T146" s="13">
        <f>[52]Salidas!$D56</f>
        <v>5128</v>
      </c>
      <c r="U146" s="13">
        <f>[53]Salidas!$D56</f>
        <v>6006</v>
      </c>
      <c r="V146" s="13">
        <f>[54]Salidas!$D56</f>
        <v>4010</v>
      </c>
      <c r="W146" s="13">
        <f>[55]Salidas!$D56</f>
        <v>4326</v>
      </c>
      <c r="X146" s="13">
        <f>[56]Salidas!$D56</f>
        <v>4391</v>
      </c>
      <c r="Y146" s="13">
        <f>[57]Salidas!$D56</f>
        <v>4426</v>
      </c>
      <c r="Z146" s="13">
        <f>[58]Salidas!$D56</f>
        <v>4360</v>
      </c>
      <c r="AA146" s="13">
        <f>[59]Salidas!$D56</f>
        <v>5192</v>
      </c>
      <c r="AB146" s="13">
        <f>[60]Salidas!$D56</f>
        <v>6078</v>
      </c>
      <c r="AC146" s="13">
        <f>[61]Salidas!$D56</f>
        <v>4239</v>
      </c>
      <c r="AD146" s="13">
        <f>[62]Salidas!$D56</f>
        <v>4706</v>
      </c>
      <c r="AE146" s="13">
        <f>[63]Salidas!$D56</f>
        <v>4733</v>
      </c>
      <c r="AF146" s="13">
        <f>[64]Salidas!$D56</f>
        <v>5030</v>
      </c>
      <c r="AG146" s="13">
        <f>[65]Salidas!$D56</f>
        <v>4713</v>
      </c>
      <c r="AH146" s="13">
        <f>[66]Salidas!$D56</f>
        <v>5324</v>
      </c>
      <c r="AI146" s="13">
        <f>[67]Salidas!$D56</f>
        <v>6510</v>
      </c>
      <c r="AJ146" s="13">
        <f>[68]Salidas!$D56</f>
        <v>4189</v>
      </c>
    </row>
    <row r="147" spans="1:36" x14ac:dyDescent="0.2">
      <c r="A147" s="435"/>
      <c r="B147" s="94" t="s">
        <v>241</v>
      </c>
      <c r="C147" s="13">
        <f>[35]Salidas!$D57</f>
        <v>3315</v>
      </c>
      <c r="D147" s="13">
        <f>[36]Salidas!$D57</f>
        <v>3111</v>
      </c>
      <c r="E147" s="13">
        <f>[37]Salidas!$D57</f>
        <v>3202</v>
      </c>
      <c r="F147" s="13">
        <f>[38]Salidas!$D57</f>
        <v>3144</v>
      </c>
      <c r="G147" s="13">
        <f>[39]Salidas!$D57</f>
        <v>2483</v>
      </c>
      <c r="H147" s="13">
        <f>[40]Salidas!$D57</f>
        <v>1388</v>
      </c>
      <c r="I147" s="13">
        <f>[41]Salidas!$D57</f>
        <v>3162</v>
      </c>
      <c r="J147" s="13">
        <f>[42]Salidas!$D57</f>
        <v>3227</v>
      </c>
      <c r="K147" s="13">
        <f>[43]Salidas!$D57</f>
        <v>3140</v>
      </c>
      <c r="L147" s="13">
        <f>[44]Salidas!$D57</f>
        <v>3132</v>
      </c>
      <c r="M147" s="13">
        <f>[45]Salidas!$D57</f>
        <v>3084</v>
      </c>
      <c r="N147" s="13">
        <f>[46]Salidas!$D57</f>
        <v>2425</v>
      </c>
      <c r="O147" s="13">
        <f>[47]Salidas!$D57</f>
        <v>1197</v>
      </c>
      <c r="P147" s="13">
        <f>[48]Salidas!$D57</f>
        <v>3138</v>
      </c>
      <c r="Q147" s="13">
        <f>[49]Salidas!$D57</f>
        <v>3305</v>
      </c>
      <c r="R147" s="13">
        <f>[50]Salidas!$D57</f>
        <v>3263</v>
      </c>
      <c r="S147" s="13">
        <f>[51]Salidas!$D57</f>
        <v>3137</v>
      </c>
      <c r="T147" s="13">
        <f>[52]Salidas!$D57</f>
        <v>3328</v>
      </c>
      <c r="U147" s="13">
        <f>[53]Salidas!$D57</f>
        <v>2333</v>
      </c>
      <c r="V147" s="13">
        <f>[54]Salidas!$D57</f>
        <v>1210</v>
      </c>
      <c r="W147" s="13">
        <f>[55]Salidas!$D57</f>
        <v>3097</v>
      </c>
      <c r="X147" s="13">
        <f>[56]Salidas!$D57</f>
        <v>3286</v>
      </c>
      <c r="Y147" s="13">
        <f>[57]Salidas!$D57</f>
        <v>3162</v>
      </c>
      <c r="Z147" s="13">
        <f>[58]Salidas!$D57</f>
        <v>3238</v>
      </c>
      <c r="AA147" s="13">
        <f>[59]Salidas!$D57</f>
        <v>3378</v>
      </c>
      <c r="AB147" s="13">
        <f>[60]Salidas!$D57</f>
        <v>2485</v>
      </c>
      <c r="AC147" s="13">
        <f>[61]Salidas!$D57</f>
        <v>1195</v>
      </c>
      <c r="AD147" s="13">
        <f>[62]Salidas!$D57</f>
        <v>3185</v>
      </c>
      <c r="AE147" s="13">
        <f>[63]Salidas!$D57</f>
        <v>3222</v>
      </c>
      <c r="AF147" s="13">
        <f>[64]Salidas!$D57</f>
        <v>3171</v>
      </c>
      <c r="AG147" s="13">
        <f>[65]Salidas!$D57</f>
        <v>3273</v>
      </c>
      <c r="AH147" s="13">
        <f>[66]Salidas!$D57</f>
        <v>3255</v>
      </c>
      <c r="AI147" s="13">
        <f>[67]Salidas!$D57</f>
        <v>2458</v>
      </c>
      <c r="AJ147" s="13">
        <f>[68]Salidas!$D57</f>
        <v>1214</v>
      </c>
    </row>
    <row r="148" spans="1:36" x14ac:dyDescent="0.2">
      <c r="A148" s="435"/>
      <c r="B148" s="34" t="s">
        <v>286</v>
      </c>
      <c r="C148" s="13">
        <f>[35]Salidas!$D58</f>
        <v>151</v>
      </c>
      <c r="D148" s="13">
        <f>[36]Salidas!$D58</f>
        <v>162</v>
      </c>
      <c r="E148" s="13">
        <f>[37]Salidas!$D58</f>
        <v>171</v>
      </c>
      <c r="F148" s="13">
        <f>[38]Salidas!$D58</f>
        <v>182</v>
      </c>
      <c r="G148" s="13">
        <f>[39]Salidas!$D58</f>
        <v>166</v>
      </c>
      <c r="H148" s="13">
        <f>[40]Salidas!$D58</f>
        <v>140</v>
      </c>
      <c r="I148" s="13">
        <f>[41]Salidas!$D58</f>
        <v>211</v>
      </c>
      <c r="J148" s="13">
        <f>[42]Salidas!$D58</f>
        <v>194</v>
      </c>
      <c r="K148" s="13">
        <f>[43]Salidas!$D58</f>
        <v>174</v>
      </c>
      <c r="L148" s="13">
        <f>[44]Salidas!$D58</f>
        <v>169</v>
      </c>
      <c r="M148" s="13">
        <f>[45]Salidas!$D58</f>
        <v>177</v>
      </c>
      <c r="N148" s="13">
        <f>[46]Salidas!$D58</f>
        <v>173</v>
      </c>
      <c r="O148" s="13">
        <f>[47]Salidas!$D58</f>
        <v>108</v>
      </c>
      <c r="P148" s="13">
        <f>[48]Salidas!$D58</f>
        <v>192</v>
      </c>
      <c r="Q148" s="13">
        <f>[49]Salidas!$D58</f>
        <v>200</v>
      </c>
      <c r="R148" s="13">
        <f>[50]Salidas!$D58</f>
        <v>158</v>
      </c>
      <c r="S148" s="13">
        <f>[51]Salidas!$D58</f>
        <v>147</v>
      </c>
      <c r="T148" s="13">
        <f>[52]Salidas!$D58</f>
        <v>219</v>
      </c>
      <c r="U148" s="13">
        <f>[53]Salidas!$D58</f>
        <v>120</v>
      </c>
      <c r="V148" s="13">
        <f>[54]Salidas!$D58</f>
        <v>105</v>
      </c>
      <c r="W148" s="13">
        <f>[55]Salidas!$D58</f>
        <v>171</v>
      </c>
      <c r="X148" s="13">
        <f>[56]Salidas!$D58</f>
        <v>198</v>
      </c>
      <c r="Y148" s="13">
        <f>[57]Salidas!$D58</f>
        <v>152</v>
      </c>
      <c r="Z148" s="13">
        <f>[58]Salidas!$D58</f>
        <v>162</v>
      </c>
      <c r="AA148" s="13">
        <f>[59]Salidas!$D58</f>
        <v>198</v>
      </c>
      <c r="AB148" s="13">
        <f>[60]Salidas!$D58</f>
        <v>159</v>
      </c>
      <c r="AC148" s="13">
        <f>[61]Salidas!$D58</f>
        <v>89</v>
      </c>
      <c r="AD148" s="13">
        <f>[62]Salidas!$D58</f>
        <v>165</v>
      </c>
      <c r="AE148" s="13">
        <f>[63]Salidas!$D58</f>
        <v>245</v>
      </c>
      <c r="AF148" s="13">
        <f>[64]Salidas!$D58</f>
        <v>218</v>
      </c>
      <c r="AG148" s="13">
        <f>[65]Salidas!$D58</f>
        <v>207</v>
      </c>
      <c r="AH148" s="13">
        <f>[66]Salidas!$D58</f>
        <v>139</v>
      </c>
      <c r="AI148" s="13">
        <f>[67]Salidas!$D58</f>
        <v>152</v>
      </c>
      <c r="AJ148" s="13">
        <f>[68]Salidas!$D58</f>
        <v>92</v>
      </c>
    </row>
    <row r="149" spans="1:36" x14ac:dyDescent="0.2">
      <c r="A149" s="435"/>
      <c r="B149" s="34" t="s">
        <v>287</v>
      </c>
      <c r="C149" s="13">
        <f>[35]Salidas!$D59</f>
        <v>2531</v>
      </c>
      <c r="D149" s="13">
        <f>[36]Salidas!$D59</f>
        <v>2618</v>
      </c>
      <c r="E149" s="13">
        <f>[37]Salidas!$D59</f>
        <v>2572</v>
      </c>
      <c r="F149" s="13">
        <f>[38]Salidas!$D59</f>
        <v>2553</v>
      </c>
      <c r="G149" s="13">
        <f>[39]Salidas!$D59</f>
        <v>1555</v>
      </c>
      <c r="H149" s="13">
        <f>[40]Salidas!$D59</f>
        <v>663</v>
      </c>
      <c r="I149" s="13">
        <f>[41]Salidas!$D59</f>
        <v>2667</v>
      </c>
      <c r="J149" s="13">
        <f>[42]Salidas!$D59</f>
        <v>2696</v>
      </c>
      <c r="K149" s="13">
        <f>[43]Salidas!$D59</f>
        <v>2751</v>
      </c>
      <c r="L149" s="13">
        <f>[44]Salidas!$D59</f>
        <v>2495</v>
      </c>
      <c r="M149" s="13">
        <f>[45]Salidas!$D59</f>
        <v>2750</v>
      </c>
      <c r="N149" s="13">
        <f>[46]Salidas!$D59</f>
        <v>1593</v>
      </c>
      <c r="O149" s="13">
        <f>[47]Salidas!$D59</f>
        <v>646</v>
      </c>
      <c r="P149" s="13">
        <f>[48]Salidas!$D59</f>
        <v>2781</v>
      </c>
      <c r="Q149" s="13">
        <f>[49]Salidas!$D59</f>
        <v>2857</v>
      </c>
      <c r="R149" s="13">
        <f>[50]Salidas!$D59</f>
        <v>2976</v>
      </c>
      <c r="S149" s="13">
        <f>[51]Salidas!$D59</f>
        <v>2899</v>
      </c>
      <c r="T149" s="13">
        <f>[52]Salidas!$D59</f>
        <v>2673</v>
      </c>
      <c r="U149" s="13">
        <f>[53]Salidas!$D59</f>
        <v>1623</v>
      </c>
      <c r="V149" s="13">
        <f>[54]Salidas!$D59</f>
        <v>620</v>
      </c>
      <c r="W149" s="13">
        <f>[55]Salidas!$D59</f>
        <v>2721</v>
      </c>
      <c r="X149" s="13">
        <f>[56]Salidas!$D59</f>
        <v>2803</v>
      </c>
      <c r="Y149" s="13">
        <f>[57]Salidas!$D59</f>
        <v>2829</v>
      </c>
      <c r="Z149" s="13">
        <f>[58]Salidas!$D59</f>
        <v>2995</v>
      </c>
      <c r="AA149" s="13">
        <f>[59]Salidas!$D59</f>
        <v>2744</v>
      </c>
      <c r="AB149" s="13">
        <f>[60]Salidas!$D59</f>
        <v>1684</v>
      </c>
      <c r="AC149" s="13">
        <f>[61]Salidas!$D59</f>
        <v>703</v>
      </c>
      <c r="AD149" s="13">
        <f>[62]Salidas!$D59</f>
        <v>2743</v>
      </c>
      <c r="AE149" s="13">
        <f>[63]Salidas!$D59</f>
        <v>2798</v>
      </c>
      <c r="AF149" s="13">
        <f>[64]Salidas!$D59</f>
        <v>2930</v>
      </c>
      <c r="AG149" s="13">
        <f>[65]Salidas!$D59</f>
        <v>2871</v>
      </c>
      <c r="AH149" s="13">
        <f>[66]Salidas!$D59</f>
        <v>2761</v>
      </c>
      <c r="AI149" s="13">
        <f>[67]Salidas!$D59</f>
        <v>1724</v>
      </c>
      <c r="AJ149" s="13">
        <f>[68]Salidas!$D59</f>
        <v>707</v>
      </c>
    </row>
    <row r="150" spans="1:36" x14ac:dyDescent="0.2">
      <c r="A150" s="435"/>
      <c r="B150" s="94" t="s">
        <v>245</v>
      </c>
      <c r="C150" s="13">
        <f>[35]Salidas!$D60</f>
        <v>5296</v>
      </c>
      <c r="D150" s="13">
        <f>[36]Salidas!$D60</f>
        <v>5263</v>
      </c>
      <c r="E150" s="13">
        <f>[37]Salidas!$D60</f>
        <v>4816</v>
      </c>
      <c r="F150" s="13">
        <f>[38]Salidas!$D60</f>
        <v>4862</v>
      </c>
      <c r="G150" s="13">
        <f>[39]Salidas!$D60</f>
        <v>4280</v>
      </c>
      <c r="H150" s="13">
        <f>[40]Salidas!$D60</f>
        <v>1520</v>
      </c>
      <c r="I150" s="13">
        <f>[41]Salidas!$D60</f>
        <v>4957</v>
      </c>
      <c r="J150" s="13">
        <f>[42]Salidas!$D60</f>
        <v>5207</v>
      </c>
      <c r="K150" s="13">
        <f>[43]Salidas!$D60</f>
        <v>4848</v>
      </c>
      <c r="L150" s="13">
        <f>[44]Salidas!$D60</f>
        <v>4844</v>
      </c>
      <c r="M150" s="13">
        <f>[45]Salidas!$D60</f>
        <v>5053</v>
      </c>
      <c r="N150" s="13">
        <f>[46]Salidas!$D60</f>
        <v>4250</v>
      </c>
      <c r="O150" s="13">
        <f>[47]Salidas!$D60</f>
        <v>1485</v>
      </c>
      <c r="P150" s="13">
        <f>[48]Salidas!$D60</f>
        <v>5176</v>
      </c>
      <c r="Q150" s="13">
        <f>[49]Salidas!$D60</f>
        <v>4924</v>
      </c>
      <c r="R150" s="13">
        <f>[50]Salidas!$D60</f>
        <v>5057</v>
      </c>
      <c r="S150" s="13">
        <f>[51]Salidas!$D60</f>
        <v>5221</v>
      </c>
      <c r="T150" s="13">
        <f>[52]Salidas!$D60</f>
        <v>4979</v>
      </c>
      <c r="U150" s="13">
        <f>[53]Salidas!$D60</f>
        <v>4357</v>
      </c>
      <c r="V150" s="13">
        <f>[54]Salidas!$D60</f>
        <v>1572</v>
      </c>
      <c r="W150" s="13">
        <f>[55]Salidas!$D60</f>
        <v>5167</v>
      </c>
      <c r="X150" s="13">
        <f>[56]Salidas!$D60</f>
        <v>5386</v>
      </c>
      <c r="Y150" s="13">
        <f>[57]Salidas!$D60</f>
        <v>5230</v>
      </c>
      <c r="Z150" s="13">
        <f>[58]Salidas!$D60</f>
        <v>5231</v>
      </c>
      <c r="AA150" s="13">
        <f>[59]Salidas!$D60</f>
        <v>5359</v>
      </c>
      <c r="AB150" s="13">
        <f>[60]Salidas!$D60</f>
        <v>4790</v>
      </c>
      <c r="AC150" s="13">
        <f>[61]Salidas!$D60</f>
        <v>1628</v>
      </c>
      <c r="AD150" s="13">
        <f>[62]Salidas!$D60</f>
        <v>5214</v>
      </c>
      <c r="AE150" s="13">
        <f>[63]Salidas!$D60</f>
        <v>5586</v>
      </c>
      <c r="AF150" s="13">
        <f>[64]Salidas!$D60</f>
        <v>5383</v>
      </c>
      <c r="AG150" s="13">
        <f>[65]Salidas!$D60</f>
        <v>5592</v>
      </c>
      <c r="AH150" s="13">
        <f>[66]Salidas!$D60</f>
        <v>5587</v>
      </c>
      <c r="AI150" s="13">
        <f>[67]Salidas!$D60</f>
        <v>4857</v>
      </c>
      <c r="AJ150" s="13">
        <f>[68]Salidas!$D60</f>
        <v>1605</v>
      </c>
    </row>
    <row r="151" spans="1:36" x14ac:dyDescent="0.2">
      <c r="A151" s="435"/>
      <c r="B151" s="94" t="s">
        <v>246</v>
      </c>
      <c r="C151" s="13">
        <f>[35]Salidas!$D61</f>
        <v>6083</v>
      </c>
      <c r="D151" s="13">
        <f>[36]Salidas!$D61</f>
        <v>6087</v>
      </c>
      <c r="E151" s="13">
        <f>[37]Salidas!$D61</f>
        <v>5809</v>
      </c>
      <c r="F151" s="13">
        <f>[38]Salidas!$D61</f>
        <v>6014</v>
      </c>
      <c r="G151" s="13">
        <f>[39]Salidas!$D61</f>
        <v>4543</v>
      </c>
      <c r="H151" s="13">
        <f>[40]Salidas!$D61</f>
        <v>2338</v>
      </c>
      <c r="I151" s="13">
        <f>[41]Salidas!$D61</f>
        <v>6156</v>
      </c>
      <c r="J151" s="13">
        <f>[42]Salidas!$D61</f>
        <v>6035</v>
      </c>
      <c r="K151" s="13">
        <f>[43]Salidas!$D61</f>
        <v>6115</v>
      </c>
      <c r="L151" s="13">
        <f>[44]Salidas!$D61</f>
        <v>6569</v>
      </c>
      <c r="M151" s="13">
        <f>[45]Salidas!$D61</f>
        <v>6230</v>
      </c>
      <c r="N151" s="13">
        <f>[46]Salidas!$D61</f>
        <v>4697</v>
      </c>
      <c r="O151" s="13">
        <f>[47]Salidas!$D61</f>
        <v>2182</v>
      </c>
      <c r="P151" s="13">
        <f>[48]Salidas!$D61</f>
        <v>6442</v>
      </c>
      <c r="Q151" s="13">
        <f>[49]Salidas!$D61</f>
        <v>6576</v>
      </c>
      <c r="R151" s="13">
        <f>[50]Salidas!$D61</f>
        <v>6626</v>
      </c>
      <c r="S151" s="13">
        <f>[51]Salidas!$D61</f>
        <v>6468</v>
      </c>
      <c r="T151" s="13">
        <f>[52]Salidas!$D61</f>
        <v>6134</v>
      </c>
      <c r="U151" s="13">
        <f>[53]Salidas!$D61</f>
        <v>4431</v>
      </c>
      <c r="V151" s="13">
        <f>[54]Salidas!$D61</f>
        <v>2349</v>
      </c>
      <c r="W151" s="13">
        <f>[55]Salidas!$D61</f>
        <v>6316</v>
      </c>
      <c r="X151" s="13">
        <f>[56]Salidas!$D61</f>
        <v>6217</v>
      </c>
      <c r="Y151" s="13">
        <f>[57]Salidas!$D61</f>
        <v>6316</v>
      </c>
      <c r="Z151" s="13">
        <f>[58]Salidas!$D61</f>
        <v>6139</v>
      </c>
      <c r="AA151" s="13">
        <f>[59]Salidas!$D61</f>
        <v>6153</v>
      </c>
      <c r="AB151" s="13">
        <f>[60]Salidas!$D61</f>
        <v>4745</v>
      </c>
      <c r="AC151" s="13">
        <f>[61]Salidas!$D61</f>
        <v>2438</v>
      </c>
      <c r="AD151" s="13">
        <f>[62]Salidas!$D61</f>
        <v>6238</v>
      </c>
      <c r="AE151" s="13">
        <f>[63]Salidas!$D61</f>
        <v>6404</v>
      </c>
      <c r="AF151" s="13">
        <f>[64]Salidas!$D61</f>
        <v>6416</v>
      </c>
      <c r="AG151" s="13">
        <f>[65]Salidas!$D61</f>
        <v>6154</v>
      </c>
      <c r="AH151" s="13">
        <f>[66]Salidas!$D61</f>
        <v>6461</v>
      </c>
      <c r="AI151" s="13">
        <f>[67]Salidas!$D61</f>
        <v>5100</v>
      </c>
      <c r="AJ151" s="13">
        <f>[68]Salidas!$D61</f>
        <v>2364</v>
      </c>
    </row>
    <row r="152" spans="1:36" s="12" customFormat="1" x14ac:dyDescent="0.2">
      <c r="A152" s="435"/>
      <c r="B152" s="94" t="s">
        <v>247</v>
      </c>
      <c r="C152" s="13">
        <f>[35]Salidas!$D62</f>
        <v>1676</v>
      </c>
      <c r="D152" s="13">
        <f>[36]Salidas!$D62</f>
        <v>1684</v>
      </c>
      <c r="E152" s="13">
        <f>[37]Salidas!$D62</f>
        <v>1903</v>
      </c>
      <c r="F152" s="13">
        <f>[38]Salidas!$D62</f>
        <v>1705</v>
      </c>
      <c r="G152" s="13">
        <f>[39]Salidas!$D62</f>
        <v>1258</v>
      </c>
      <c r="H152" s="13">
        <f>[40]Salidas!$D62</f>
        <v>480</v>
      </c>
      <c r="I152" s="13">
        <f>[41]Salidas!$D62</f>
        <v>1724</v>
      </c>
      <c r="J152" s="13">
        <f>[42]Salidas!$D62</f>
        <v>1743</v>
      </c>
      <c r="K152" s="13">
        <f>[43]Salidas!$D62</f>
        <v>1724</v>
      </c>
      <c r="L152" s="13">
        <f>[44]Salidas!$D62</f>
        <v>1671</v>
      </c>
      <c r="M152" s="13">
        <f>[45]Salidas!$D62</f>
        <v>1663</v>
      </c>
      <c r="N152" s="13">
        <f>[46]Salidas!$D62</f>
        <v>1165</v>
      </c>
      <c r="O152" s="13">
        <f>[47]Salidas!$D62</f>
        <v>435</v>
      </c>
      <c r="P152" s="13">
        <f>[48]Salidas!$D62</f>
        <v>1875</v>
      </c>
      <c r="Q152" s="13">
        <f>[49]Salidas!$D62</f>
        <v>2052</v>
      </c>
      <c r="R152" s="13">
        <f>[50]Salidas!$D62</f>
        <v>2001</v>
      </c>
      <c r="S152" s="13">
        <f>[51]Salidas!$D62</f>
        <v>1967</v>
      </c>
      <c r="T152" s="13">
        <f>[52]Salidas!$D62</f>
        <v>1951</v>
      </c>
      <c r="U152" s="13">
        <f>[53]Salidas!$D62</f>
        <v>1332</v>
      </c>
      <c r="V152" s="13">
        <f>[54]Salidas!$D62</f>
        <v>495</v>
      </c>
      <c r="W152" s="13">
        <f>[55]Salidas!$D62</f>
        <v>1807</v>
      </c>
      <c r="X152" s="13">
        <f>[56]Salidas!$D62</f>
        <v>1868</v>
      </c>
      <c r="Y152" s="13">
        <f>[57]Salidas!$D62</f>
        <v>1810</v>
      </c>
      <c r="Z152" s="13">
        <f>[58]Salidas!$D62</f>
        <v>1862</v>
      </c>
      <c r="AA152" s="13">
        <f>[59]Salidas!$D62</f>
        <v>1855</v>
      </c>
      <c r="AB152" s="13">
        <f>[60]Salidas!$D62</f>
        <v>1247</v>
      </c>
      <c r="AC152" s="13">
        <f>[61]Salidas!$D62</f>
        <v>486</v>
      </c>
      <c r="AD152" s="13">
        <f>[62]Salidas!$D62</f>
        <v>1915</v>
      </c>
      <c r="AE152" s="13">
        <f>[63]Salidas!$D62</f>
        <v>1814</v>
      </c>
      <c r="AF152" s="13">
        <f>[64]Salidas!$D62</f>
        <v>1827</v>
      </c>
      <c r="AG152" s="13">
        <f>[65]Salidas!$D62</f>
        <v>1810</v>
      </c>
      <c r="AH152" s="13">
        <f>[66]Salidas!$D62</f>
        <v>1826</v>
      </c>
      <c r="AI152" s="13">
        <f>[67]Salidas!$D62</f>
        <v>1351</v>
      </c>
      <c r="AJ152" s="13">
        <f>[68]Salidas!$D62</f>
        <v>488</v>
      </c>
    </row>
    <row r="153" spans="1:36" s="12" customFormat="1" x14ac:dyDescent="0.2">
      <c r="A153" s="435"/>
      <c r="B153" s="94" t="s">
        <v>248</v>
      </c>
      <c r="C153" s="13">
        <f>[35]Salidas!$D63</f>
        <v>4058</v>
      </c>
      <c r="D153" s="13">
        <f>[36]Salidas!$D63</f>
        <v>4031</v>
      </c>
      <c r="E153" s="13">
        <f>[37]Salidas!$D63</f>
        <v>4086</v>
      </c>
      <c r="F153" s="13">
        <f>[38]Salidas!$D63</f>
        <v>3791</v>
      </c>
      <c r="G153" s="13">
        <f>[39]Salidas!$D63</f>
        <v>2841</v>
      </c>
      <c r="H153" s="13">
        <f>[40]Salidas!$D63</f>
        <v>1130</v>
      </c>
      <c r="I153" s="13">
        <f>[41]Salidas!$D63</f>
        <v>4082</v>
      </c>
      <c r="J153" s="13">
        <f>[42]Salidas!$D63</f>
        <v>3928</v>
      </c>
      <c r="K153" s="13">
        <f>[43]Salidas!$D63</f>
        <v>3856</v>
      </c>
      <c r="L153" s="13">
        <f>[44]Salidas!$D63</f>
        <v>3909</v>
      </c>
      <c r="M153" s="13">
        <f>[45]Salidas!$D63</f>
        <v>3951</v>
      </c>
      <c r="N153" s="13">
        <f>[46]Salidas!$D63</f>
        <v>2901</v>
      </c>
      <c r="O153" s="13">
        <f>[47]Salidas!$D63</f>
        <v>1058</v>
      </c>
      <c r="P153" s="13">
        <f>[48]Salidas!$D63</f>
        <v>4332</v>
      </c>
      <c r="Q153" s="13">
        <f>[49]Salidas!$D63</f>
        <v>4280</v>
      </c>
      <c r="R153" s="13">
        <f>[50]Salidas!$D63</f>
        <v>4200</v>
      </c>
      <c r="S153" s="13">
        <f>[51]Salidas!$D63</f>
        <v>4213</v>
      </c>
      <c r="T153" s="13">
        <f>[52]Salidas!$D63</f>
        <v>4112</v>
      </c>
      <c r="U153" s="13">
        <f>[53]Salidas!$D63</f>
        <v>2925</v>
      </c>
      <c r="V153" s="13">
        <f>[54]Salidas!$D63</f>
        <v>1089</v>
      </c>
      <c r="W153" s="13">
        <f>[55]Salidas!$D63</f>
        <v>3968</v>
      </c>
      <c r="X153" s="13">
        <f>[56]Salidas!$D63</f>
        <v>4208</v>
      </c>
      <c r="Y153" s="13">
        <f>[57]Salidas!$D63</f>
        <v>4034</v>
      </c>
      <c r="Z153" s="13">
        <f>[58]Salidas!$D63</f>
        <v>4113</v>
      </c>
      <c r="AA153" s="13">
        <f>[59]Salidas!$D63</f>
        <v>4216</v>
      </c>
      <c r="AB153" s="13">
        <f>[60]Salidas!$D63</f>
        <v>2897</v>
      </c>
      <c r="AC153" s="13">
        <f>[61]Salidas!$D63</f>
        <v>1299</v>
      </c>
      <c r="AD153" s="13">
        <f>[62]Salidas!$D63</f>
        <v>3739</v>
      </c>
      <c r="AE153" s="13">
        <f>[63]Salidas!$D63</f>
        <v>4123</v>
      </c>
      <c r="AF153" s="13">
        <f>[64]Salidas!$D63</f>
        <v>4036</v>
      </c>
      <c r="AG153" s="13">
        <f>[65]Salidas!$D63</f>
        <v>4220</v>
      </c>
      <c r="AH153" s="13">
        <f>[66]Salidas!$D63</f>
        <v>4131</v>
      </c>
      <c r="AI153" s="13">
        <f>[67]Salidas!$D63</f>
        <v>3085</v>
      </c>
      <c r="AJ153" s="13">
        <f>[68]Salidas!$D63</f>
        <v>1133</v>
      </c>
    </row>
    <row r="154" spans="1:36" s="12" customFormat="1" x14ac:dyDescent="0.2">
      <c r="A154" s="435"/>
      <c r="B154" s="94" t="s">
        <v>249</v>
      </c>
      <c r="C154" s="13">
        <f>[35]Salidas!$D64</f>
        <v>10732</v>
      </c>
      <c r="D154" s="13">
        <f>[36]Salidas!$D64</f>
        <v>10722</v>
      </c>
      <c r="E154" s="13">
        <f>[37]Salidas!$D64</f>
        <v>11593</v>
      </c>
      <c r="F154" s="13">
        <f>[38]Salidas!$D64</f>
        <v>10504</v>
      </c>
      <c r="G154" s="13">
        <f>[39]Salidas!$D64</f>
        <v>7325</v>
      </c>
      <c r="H154" s="13">
        <f>[40]Salidas!$D64</f>
        <v>2874</v>
      </c>
      <c r="I154" s="13">
        <f>[41]Salidas!$D64</f>
        <v>11123</v>
      </c>
      <c r="J154" s="13">
        <f>[42]Salidas!$D64</f>
        <v>10855</v>
      </c>
      <c r="K154" s="13">
        <f>[43]Salidas!$D64</f>
        <v>10837</v>
      </c>
      <c r="L154" s="13">
        <f>[44]Salidas!$D64</f>
        <v>10736</v>
      </c>
      <c r="M154" s="13">
        <f>[45]Salidas!$D64</f>
        <v>11795</v>
      </c>
      <c r="N154" s="13">
        <f>[46]Salidas!$D64</f>
        <v>7658</v>
      </c>
      <c r="O154" s="13">
        <f>[47]Salidas!$D64</f>
        <v>2885</v>
      </c>
      <c r="P154" s="13">
        <f>[48]Salidas!$D64</f>
        <v>12737</v>
      </c>
      <c r="Q154" s="13">
        <f>[49]Salidas!$D64</f>
        <v>12507</v>
      </c>
      <c r="R154" s="13">
        <f>[50]Salidas!$D64</f>
        <v>12820</v>
      </c>
      <c r="S154" s="13">
        <f>[51]Salidas!$D64</f>
        <v>12419</v>
      </c>
      <c r="T154" s="13">
        <f>[52]Salidas!$D64</f>
        <v>11906</v>
      </c>
      <c r="U154" s="13">
        <f>[53]Salidas!$D64</f>
        <v>7830</v>
      </c>
      <c r="V154" s="13">
        <f>[54]Salidas!$D64</f>
        <v>2901</v>
      </c>
      <c r="W154" s="13">
        <f>[55]Salidas!$D64</f>
        <v>11808</v>
      </c>
      <c r="X154" s="13">
        <f>[56]Salidas!$D64</f>
        <v>12106</v>
      </c>
      <c r="Y154" s="13">
        <f>[57]Salidas!$D64</f>
        <v>11771</v>
      </c>
      <c r="Z154" s="13">
        <f>[58]Salidas!$D64</f>
        <v>11985</v>
      </c>
      <c r="AA154" s="13">
        <f>[59]Salidas!$D64</f>
        <v>12012</v>
      </c>
      <c r="AB154" s="13">
        <f>[60]Salidas!$D64</f>
        <v>9276</v>
      </c>
      <c r="AC154" s="13">
        <f>[61]Salidas!$D64</f>
        <v>3434</v>
      </c>
      <c r="AD154" s="13">
        <f>[62]Salidas!$D64</f>
        <v>11560</v>
      </c>
      <c r="AE154" s="13">
        <f>[63]Salidas!$D64</f>
        <v>14145</v>
      </c>
      <c r="AF154" s="13">
        <f>[64]Salidas!$D64</f>
        <v>14279</v>
      </c>
      <c r="AG154" s="13">
        <f>[65]Salidas!$D64</f>
        <v>14167</v>
      </c>
      <c r="AH154" s="13">
        <f>[66]Salidas!$D64</f>
        <v>14428</v>
      </c>
      <c r="AI154" s="13">
        <f>[67]Salidas!$D64</f>
        <v>10002</v>
      </c>
      <c r="AJ154" s="13">
        <f>[68]Salidas!$D64</f>
        <v>3625</v>
      </c>
    </row>
    <row r="155" spans="1:36" s="12" customFormat="1" ht="13.5" thickBot="1" x14ac:dyDescent="0.25">
      <c r="A155" s="435"/>
      <c r="B155" s="97" t="s">
        <v>250</v>
      </c>
      <c r="C155" s="55">
        <f>[35]Salidas!$D65</f>
        <v>44690</v>
      </c>
      <c r="D155" s="55">
        <f>[36]Salidas!$D65</f>
        <v>43952</v>
      </c>
      <c r="E155" s="55">
        <f>[37]Salidas!$D65</f>
        <v>43333</v>
      </c>
      <c r="F155" s="55">
        <f>[38]Salidas!$D65</f>
        <v>44734</v>
      </c>
      <c r="G155" s="55">
        <f>[39]Salidas!$D65</f>
        <v>34765</v>
      </c>
      <c r="H155" s="55">
        <f>[40]Salidas!$D65</f>
        <v>17363</v>
      </c>
      <c r="I155" s="55">
        <f>[41]Salidas!$D65</f>
        <v>44126</v>
      </c>
      <c r="J155" s="55">
        <f>[42]Salidas!$D65</f>
        <v>44641</v>
      </c>
      <c r="K155" s="55">
        <f>[43]Salidas!$D65</f>
        <v>43751</v>
      </c>
      <c r="L155" s="55">
        <f>[44]Salidas!$D65</f>
        <v>44536</v>
      </c>
      <c r="M155" s="55">
        <f>[45]Salidas!$D65</f>
        <v>45229</v>
      </c>
      <c r="N155" s="55">
        <f>[46]Salidas!$D65</f>
        <v>34754</v>
      </c>
      <c r="O155" s="55">
        <f>[47]Salidas!$D65</f>
        <v>16646</v>
      </c>
      <c r="P155" s="55">
        <f>[48]Salidas!$D65</f>
        <v>48920</v>
      </c>
      <c r="Q155" s="55">
        <f>[49]Salidas!$D65</f>
        <v>49828</v>
      </c>
      <c r="R155" s="55">
        <f>[50]Salidas!$D65</f>
        <v>49639</v>
      </c>
      <c r="S155" s="55">
        <f>[51]Salidas!$D65</f>
        <v>47960</v>
      </c>
      <c r="T155" s="55">
        <f>[52]Salidas!$D65</f>
        <v>46266</v>
      </c>
      <c r="U155" s="55">
        <f>[53]Salidas!$D65</f>
        <v>36295</v>
      </c>
      <c r="V155" s="55">
        <f>[54]Salidas!$D65</f>
        <v>16938</v>
      </c>
      <c r="W155" s="55">
        <f>[55]Salidas!$D65</f>
        <v>45874</v>
      </c>
      <c r="X155" s="55">
        <f>[56]Salidas!$D65</f>
        <v>46466</v>
      </c>
      <c r="Y155" s="55">
        <f>[57]Salidas!$D65</f>
        <v>45531</v>
      </c>
      <c r="Z155" s="55">
        <f>[58]Salidas!$D65</f>
        <v>46155</v>
      </c>
      <c r="AA155" s="55">
        <f>[59]Salidas!$D65</f>
        <v>46334</v>
      </c>
      <c r="AB155" s="55">
        <f>[60]Salidas!$D65</f>
        <v>35907</v>
      </c>
      <c r="AC155" s="55">
        <f>[61]Salidas!$D65</f>
        <v>17216</v>
      </c>
      <c r="AD155" s="55">
        <f>[62]Salidas!$D65</f>
        <v>46134</v>
      </c>
      <c r="AE155" s="55">
        <f>[63]Salidas!$D65</f>
        <v>47117</v>
      </c>
      <c r="AF155" s="55">
        <f>[64]Salidas!$D65</f>
        <v>46858</v>
      </c>
      <c r="AG155" s="55">
        <f>[65]Salidas!$D65</f>
        <v>47305</v>
      </c>
      <c r="AH155" s="55">
        <f>[66]Salidas!$D65</f>
        <v>45914</v>
      </c>
      <c r="AI155" s="55">
        <f>[67]Salidas!$D65</f>
        <v>37212</v>
      </c>
      <c r="AJ155" s="55">
        <f>[68]Salidas!$D65</f>
        <v>17637</v>
      </c>
    </row>
    <row r="156" spans="1:36" s="12" customFormat="1" x14ac:dyDescent="0.2">
      <c r="A156" s="435"/>
      <c r="B156" s="98" t="s">
        <v>272</v>
      </c>
      <c r="C156" s="55">
        <f>[35]Salidas!$D$73</f>
        <v>60793</v>
      </c>
      <c r="D156" s="55">
        <f>[36]Salidas!$D$73</f>
        <v>60592</v>
      </c>
      <c r="E156" s="55">
        <f>[37]Salidas!$D$73</f>
        <v>58392</v>
      </c>
      <c r="F156" s="55">
        <f>[38]Salidas!$D$73</f>
        <v>59710</v>
      </c>
      <c r="G156" s="55">
        <f>[39]Salidas!$D$73</f>
        <v>43539</v>
      </c>
      <c r="H156" s="55">
        <f>[40]Salidas!$D$73</f>
        <v>23222</v>
      </c>
      <c r="I156" s="55">
        <f>[41]Salidas!$D$73</f>
        <v>63184</v>
      </c>
      <c r="J156" s="55">
        <f>[42]Salidas!$D$73</f>
        <v>63446</v>
      </c>
      <c r="K156" s="55">
        <f>[43]Salidas!$D$73</f>
        <v>63586</v>
      </c>
      <c r="L156" s="55">
        <f>[44]Salidas!$D$73</f>
        <v>62611</v>
      </c>
      <c r="M156" s="55">
        <f>[45]Salidas!$D$73</f>
        <v>61774</v>
      </c>
      <c r="N156" s="55">
        <f>[46]Salidas!$D$73</f>
        <v>43991</v>
      </c>
      <c r="O156" s="55">
        <f>[47]Salidas!$D$73</f>
        <v>22111</v>
      </c>
      <c r="P156" s="55">
        <f>[48]Salidas!$D$73</f>
        <v>64422</v>
      </c>
      <c r="Q156" s="55">
        <f>[49]Salidas!$D$73</f>
        <v>66803</v>
      </c>
      <c r="R156" s="55">
        <f>[50]Salidas!$D$73</f>
        <v>64415</v>
      </c>
      <c r="S156" s="55">
        <f>[51]Salidas!$D$73</f>
        <v>63505</v>
      </c>
      <c r="T156" s="55">
        <f>[52]Salidas!$D$73</f>
        <v>63039</v>
      </c>
      <c r="U156" s="55">
        <f>[53]Salidas!$D$73</f>
        <v>44727</v>
      </c>
      <c r="V156" s="55">
        <f>[54]Salidas!$D$73</f>
        <v>22955</v>
      </c>
      <c r="W156" s="55">
        <f>[55]Salidas!$D$73</f>
        <v>64552</v>
      </c>
      <c r="X156" s="55">
        <f>[56]Salidas!$D$73</f>
        <v>67717</v>
      </c>
      <c r="Y156" s="55">
        <f>[57]Salidas!$D$73</f>
        <v>64331</v>
      </c>
      <c r="Z156" s="55">
        <f>[58]Salidas!$D$73</f>
        <v>65255</v>
      </c>
      <c r="AA156" s="55">
        <f>[59]Salidas!$D$73</f>
        <v>62515</v>
      </c>
      <c r="AB156" s="55">
        <f>[60]Salidas!$D$73</f>
        <v>45497</v>
      </c>
      <c r="AC156" s="55">
        <f>[61]Salidas!$D$73</f>
        <v>23012</v>
      </c>
      <c r="AD156" s="55">
        <f>[62]Salidas!$D$73</f>
        <v>64092</v>
      </c>
      <c r="AE156" s="55">
        <f>[63]Salidas!$D$73</f>
        <v>66555</v>
      </c>
      <c r="AF156" s="55">
        <f>[64]Salidas!$D$73</f>
        <v>66659</v>
      </c>
      <c r="AG156" s="55">
        <f>[65]Salidas!$D$73</f>
        <v>65096</v>
      </c>
      <c r="AH156" s="55">
        <f>[66]Salidas!$D$73</f>
        <v>63793</v>
      </c>
      <c r="AI156" s="55">
        <f>[67]Salidas!$D$73</f>
        <v>47162</v>
      </c>
      <c r="AJ156" s="55">
        <f>[68]Salidas!$D$73</f>
        <v>24025</v>
      </c>
    </row>
    <row r="157" spans="1:36" s="12" customFormat="1" x14ac:dyDescent="0.2">
      <c r="A157" s="435"/>
      <c r="B157" s="34" t="s">
        <v>257</v>
      </c>
      <c r="C157" s="13">
        <f>[35]Salidas!$D81</f>
        <v>6313</v>
      </c>
      <c r="D157" s="13">
        <f>[36]Salidas!$D81</f>
        <v>6211</v>
      </c>
      <c r="E157" s="13">
        <f>[37]Salidas!$D81</f>
        <v>6136</v>
      </c>
      <c r="F157" s="13">
        <f>[38]Salidas!$D81</f>
        <v>6210</v>
      </c>
      <c r="G157" s="13">
        <f>[39]Salidas!$D81</f>
        <v>4140</v>
      </c>
      <c r="H157" s="13">
        <f>[40]Salidas!$D81</f>
        <v>1705</v>
      </c>
      <c r="I157" s="13">
        <f>[41]Salidas!$D81</f>
        <v>6278</v>
      </c>
      <c r="J157" s="13">
        <f>[42]Salidas!$D81</f>
        <v>6625</v>
      </c>
      <c r="K157" s="13">
        <f>[43]Salidas!$D81</f>
        <v>6333</v>
      </c>
      <c r="L157" s="13">
        <f>[44]Salidas!$D81</f>
        <v>6452</v>
      </c>
      <c r="M157" s="13">
        <f>[45]Salidas!$D81</f>
        <v>6175</v>
      </c>
      <c r="N157" s="13">
        <f>[46]Salidas!$D81</f>
        <v>4166</v>
      </c>
      <c r="O157" s="13">
        <f>[47]Salidas!$D81</f>
        <v>1688</v>
      </c>
      <c r="P157" s="13">
        <f>[48]Salidas!$D81</f>
        <v>6347</v>
      </c>
      <c r="Q157" s="13">
        <f>[49]Salidas!$D81</f>
        <v>6434</v>
      </c>
      <c r="R157" s="13">
        <f>[50]Salidas!$D81</f>
        <v>6406</v>
      </c>
      <c r="S157" s="13">
        <f>[51]Salidas!$D81</f>
        <v>6481</v>
      </c>
      <c r="T157" s="13">
        <f>[52]Salidas!$D81</f>
        <v>6390</v>
      </c>
      <c r="U157" s="13">
        <f>[53]Salidas!$D81</f>
        <v>4239</v>
      </c>
      <c r="V157" s="13">
        <f>[54]Salidas!$D81</f>
        <v>1750</v>
      </c>
      <c r="W157" s="13">
        <f>[55]Salidas!$D81</f>
        <v>6424</v>
      </c>
      <c r="X157" s="13">
        <f>[56]Salidas!$D81</f>
        <v>6613</v>
      </c>
      <c r="Y157" s="13">
        <f>[57]Salidas!$D81</f>
        <v>6639</v>
      </c>
      <c r="Z157" s="13">
        <f>[58]Salidas!$D81</f>
        <v>6429</v>
      </c>
      <c r="AA157" s="13">
        <f>[59]Salidas!$D81</f>
        <v>6197</v>
      </c>
      <c r="AB157" s="13">
        <f>[60]Salidas!$D81</f>
        <v>4193</v>
      </c>
      <c r="AC157" s="13">
        <f>[61]Salidas!$D81</f>
        <v>1790</v>
      </c>
      <c r="AD157" s="13">
        <f>[62]Salidas!$D81</f>
        <v>6475</v>
      </c>
      <c r="AE157" s="13">
        <f>[63]Salidas!$D81</f>
        <v>6518</v>
      </c>
      <c r="AF157" s="13">
        <f>[64]Salidas!$D81</f>
        <v>6602</v>
      </c>
      <c r="AG157" s="13">
        <f>[65]Salidas!$D81</f>
        <v>6507</v>
      </c>
      <c r="AH157" s="13">
        <f>[66]Salidas!$D81</f>
        <v>6336</v>
      </c>
      <c r="AI157" s="13">
        <f>[67]Salidas!$D81</f>
        <v>4675</v>
      </c>
      <c r="AJ157" s="13">
        <f>[68]Salidas!$D81</f>
        <v>1755</v>
      </c>
    </row>
    <row r="158" spans="1:36" s="12" customFormat="1" x14ac:dyDescent="0.2">
      <c r="A158" s="435"/>
      <c r="B158" s="34" t="s">
        <v>273</v>
      </c>
      <c r="C158" s="13">
        <f>[35]Salidas!$D82</f>
        <v>9029</v>
      </c>
      <c r="D158" s="13">
        <f>[36]Salidas!$D82</f>
        <v>8962</v>
      </c>
      <c r="E158" s="13">
        <f>[37]Salidas!$D82</f>
        <v>8602</v>
      </c>
      <c r="F158" s="13">
        <f>[38]Salidas!$D82</f>
        <v>8540</v>
      </c>
      <c r="G158" s="13">
        <f>[39]Salidas!$D82</f>
        <v>6431</v>
      </c>
      <c r="H158" s="13">
        <f>[40]Salidas!$D82</f>
        <v>3476</v>
      </c>
      <c r="I158" s="13">
        <f>[41]Salidas!$D82</f>
        <v>8851</v>
      </c>
      <c r="J158" s="13">
        <f>[42]Salidas!$D82</f>
        <v>8771</v>
      </c>
      <c r="K158" s="13">
        <f>[43]Salidas!$D82</f>
        <v>8626</v>
      </c>
      <c r="L158" s="13">
        <f>[44]Salidas!$D82</f>
        <v>8622</v>
      </c>
      <c r="M158" s="13">
        <f>[45]Salidas!$D82</f>
        <v>8507</v>
      </c>
      <c r="N158" s="13">
        <f>[46]Salidas!$D82</f>
        <v>6317</v>
      </c>
      <c r="O158" s="13">
        <f>[47]Salidas!$D82</f>
        <v>3301</v>
      </c>
      <c r="P158" s="13">
        <f>[48]Salidas!$D82</f>
        <v>8869</v>
      </c>
      <c r="Q158" s="13">
        <f>[49]Salidas!$D82</f>
        <v>8785</v>
      </c>
      <c r="R158" s="13">
        <f>[50]Salidas!$D82</f>
        <v>8603</v>
      </c>
      <c r="S158" s="13">
        <f>[51]Salidas!$D82</f>
        <v>9004</v>
      </c>
      <c r="T158" s="13">
        <f>[52]Salidas!$D82</f>
        <v>8917</v>
      </c>
      <c r="U158" s="13">
        <f>[53]Salidas!$D82</f>
        <v>6657</v>
      </c>
      <c r="V158" s="13">
        <f>[54]Salidas!$D82</f>
        <v>3290</v>
      </c>
      <c r="W158" s="13">
        <f>[55]Salidas!$D82</f>
        <v>8696</v>
      </c>
      <c r="X158" s="13">
        <f>[56]Salidas!$D82</f>
        <v>8632</v>
      </c>
      <c r="Y158" s="13">
        <f>[57]Salidas!$D82</f>
        <v>8505</v>
      </c>
      <c r="Z158" s="13">
        <f>[58]Salidas!$D82</f>
        <v>8490</v>
      </c>
      <c r="AA158" s="13">
        <f>[59]Salidas!$D82</f>
        <v>8716</v>
      </c>
      <c r="AB158" s="13">
        <f>[60]Salidas!$D82</f>
        <v>6353</v>
      </c>
      <c r="AC158" s="13">
        <f>[61]Salidas!$D82</f>
        <v>3243</v>
      </c>
      <c r="AD158" s="13">
        <f>[62]Salidas!$D82</f>
        <v>9113</v>
      </c>
      <c r="AE158" s="13">
        <f>[63]Salidas!$D82</f>
        <v>9200</v>
      </c>
      <c r="AF158" s="13">
        <f>[64]Salidas!$D82</f>
        <v>9205</v>
      </c>
      <c r="AG158" s="13">
        <f>[65]Salidas!$D82</f>
        <v>9225</v>
      </c>
      <c r="AH158" s="13">
        <f>[66]Salidas!$D82</f>
        <v>9124</v>
      </c>
      <c r="AI158" s="13">
        <f>[67]Salidas!$D82</f>
        <v>6866</v>
      </c>
      <c r="AJ158" s="13">
        <f>[68]Salidas!$D82</f>
        <v>3324</v>
      </c>
    </row>
    <row r="159" spans="1:36" s="12" customFormat="1" x14ac:dyDescent="0.2">
      <c r="A159" s="435"/>
      <c r="B159" s="34" t="s">
        <v>259</v>
      </c>
      <c r="C159" s="13">
        <f>[35]Salidas!$D83</f>
        <v>1170</v>
      </c>
      <c r="D159" s="13">
        <f>[36]Salidas!$D83</f>
        <v>1277</v>
      </c>
      <c r="E159" s="13">
        <f>[37]Salidas!$D83</f>
        <v>1248</v>
      </c>
      <c r="F159" s="13">
        <f>[38]Salidas!$D83</f>
        <v>1142</v>
      </c>
      <c r="G159" s="13">
        <f>[39]Salidas!$D83</f>
        <v>832</v>
      </c>
      <c r="H159" s="13">
        <f>[40]Salidas!$D83</f>
        <v>470</v>
      </c>
      <c r="I159" s="13">
        <f>[41]Salidas!$D83</f>
        <v>1175</v>
      </c>
      <c r="J159" s="13">
        <f>[42]Salidas!$D83</f>
        <v>1207</v>
      </c>
      <c r="K159" s="13">
        <f>[43]Salidas!$D83</f>
        <v>1156</v>
      </c>
      <c r="L159" s="13">
        <f>[44]Salidas!$D83</f>
        <v>1304</v>
      </c>
      <c r="M159" s="13">
        <f>[45]Salidas!$D83</f>
        <v>1186</v>
      </c>
      <c r="N159" s="13">
        <f>[46]Salidas!$D83</f>
        <v>892</v>
      </c>
      <c r="O159" s="13">
        <f>[47]Salidas!$D83</f>
        <v>436</v>
      </c>
      <c r="P159" s="13">
        <f>[48]Salidas!$D83</f>
        <v>1257</v>
      </c>
      <c r="Q159" s="13">
        <f>[49]Salidas!$D83</f>
        <v>1267</v>
      </c>
      <c r="R159" s="13">
        <f>[50]Salidas!$D83</f>
        <v>1218</v>
      </c>
      <c r="S159" s="13">
        <f>[51]Salidas!$D83</f>
        <v>1204</v>
      </c>
      <c r="T159" s="13">
        <f>[52]Salidas!$D83</f>
        <v>1232</v>
      </c>
      <c r="U159" s="13">
        <f>[53]Salidas!$D83</f>
        <v>921</v>
      </c>
      <c r="V159" s="13">
        <f>[54]Salidas!$D83</f>
        <v>419</v>
      </c>
      <c r="W159" s="13">
        <f>[55]Salidas!$D83</f>
        <v>1240</v>
      </c>
      <c r="X159" s="13">
        <f>[56]Salidas!$D83</f>
        <v>1284</v>
      </c>
      <c r="Y159" s="13">
        <f>[57]Salidas!$D83</f>
        <v>1332</v>
      </c>
      <c r="Z159" s="13">
        <f>[58]Salidas!$D83</f>
        <v>1166</v>
      </c>
      <c r="AA159" s="13">
        <f>[59]Salidas!$D83</f>
        <v>1298</v>
      </c>
      <c r="AB159" s="13">
        <f>[60]Salidas!$D83</f>
        <v>959</v>
      </c>
      <c r="AC159" s="13">
        <f>[61]Salidas!$D83</f>
        <v>465</v>
      </c>
      <c r="AD159" s="13">
        <f>[62]Salidas!$D83</f>
        <v>1373</v>
      </c>
      <c r="AE159" s="13">
        <f>[63]Salidas!$D83</f>
        <v>1267</v>
      </c>
      <c r="AF159" s="13">
        <f>[64]Salidas!$D83</f>
        <v>1173</v>
      </c>
      <c r="AG159" s="13">
        <f>[65]Salidas!$D83</f>
        <v>1211</v>
      </c>
      <c r="AH159" s="13">
        <f>[66]Salidas!$D83</f>
        <v>1181</v>
      </c>
      <c r="AI159" s="13">
        <f>[67]Salidas!$D83</f>
        <v>882</v>
      </c>
      <c r="AJ159" s="13">
        <f>[68]Salidas!$D83</f>
        <v>380</v>
      </c>
    </row>
    <row r="160" spans="1:36" s="12" customFormat="1" x14ac:dyDescent="0.2">
      <c r="A160" s="435"/>
      <c r="B160" s="34" t="s">
        <v>260</v>
      </c>
      <c r="C160" s="13">
        <f>[35]Salidas!$D84</f>
        <v>1181</v>
      </c>
      <c r="D160" s="13">
        <f>[36]Salidas!$D84</f>
        <v>1244</v>
      </c>
      <c r="E160" s="13">
        <f>[37]Salidas!$D84</f>
        <v>1474</v>
      </c>
      <c r="F160" s="13">
        <f>[38]Salidas!$D84</f>
        <v>1240</v>
      </c>
      <c r="G160" s="13">
        <f>[39]Salidas!$D84</f>
        <v>1012</v>
      </c>
      <c r="H160" s="13">
        <f>[40]Salidas!$D84</f>
        <v>424</v>
      </c>
      <c r="I160" s="13">
        <f>[41]Salidas!$D84</f>
        <v>1122</v>
      </c>
      <c r="J160" s="13">
        <f>[42]Salidas!$D84</f>
        <v>1261</v>
      </c>
      <c r="K160" s="13">
        <f>[43]Salidas!$D84</f>
        <v>1171</v>
      </c>
      <c r="L160" s="13">
        <f>[44]Salidas!$D84</f>
        <v>1420</v>
      </c>
      <c r="M160" s="13">
        <f>[45]Salidas!$D84</f>
        <v>1233</v>
      </c>
      <c r="N160" s="13">
        <f>[46]Salidas!$D84</f>
        <v>1057</v>
      </c>
      <c r="O160" s="13">
        <f>[47]Salidas!$D84</f>
        <v>588</v>
      </c>
      <c r="P160" s="13">
        <f>[48]Salidas!$D84</f>
        <v>1103</v>
      </c>
      <c r="Q160" s="13">
        <f>[49]Salidas!$D84</f>
        <v>1218</v>
      </c>
      <c r="R160" s="13">
        <f>[50]Salidas!$D84</f>
        <v>1234</v>
      </c>
      <c r="S160" s="13">
        <f>[51]Salidas!$D84</f>
        <v>1577</v>
      </c>
      <c r="T160" s="13">
        <f>[52]Salidas!$D84</f>
        <v>1269</v>
      </c>
      <c r="U160" s="13">
        <f>[53]Salidas!$D84</f>
        <v>1085</v>
      </c>
      <c r="V160" s="13">
        <f>[54]Salidas!$D84</f>
        <v>577</v>
      </c>
      <c r="W160" s="13">
        <f>[55]Salidas!$D84</f>
        <v>1157</v>
      </c>
      <c r="X160" s="13">
        <f>[56]Salidas!$D84</f>
        <v>1207</v>
      </c>
      <c r="Y160" s="13">
        <f>[57]Salidas!$D84</f>
        <v>1210</v>
      </c>
      <c r="Z160" s="13">
        <f>[58]Salidas!$D84</f>
        <v>1362</v>
      </c>
      <c r="AA160" s="13">
        <f>[59]Salidas!$D84</f>
        <v>1132</v>
      </c>
      <c r="AB160" s="13">
        <f>[60]Salidas!$D84</f>
        <v>1154</v>
      </c>
      <c r="AC160" s="13">
        <f>[61]Salidas!$D84</f>
        <v>581</v>
      </c>
      <c r="AD160" s="13">
        <f>[62]Salidas!$D84</f>
        <v>1158</v>
      </c>
      <c r="AE160" s="13">
        <f>[63]Salidas!$D84</f>
        <v>1228</v>
      </c>
      <c r="AF160" s="13">
        <f>[64]Salidas!$D84</f>
        <v>1266</v>
      </c>
      <c r="AG160" s="13">
        <f>[65]Salidas!$D84</f>
        <v>1405</v>
      </c>
      <c r="AH160" s="13">
        <f>[66]Salidas!$D84</f>
        <v>1227</v>
      </c>
      <c r="AI160" s="13">
        <f>[67]Salidas!$D84</f>
        <v>1078</v>
      </c>
      <c r="AJ160" s="13">
        <f>[68]Salidas!$D84</f>
        <v>467</v>
      </c>
    </row>
    <row r="161" spans="1:37" s="12" customFormat="1" x14ac:dyDescent="0.2">
      <c r="A161" s="435"/>
      <c r="B161" s="34" t="s">
        <v>261</v>
      </c>
      <c r="C161" s="13">
        <f>[35]Salidas!$D85</f>
        <v>1367</v>
      </c>
      <c r="D161" s="13">
        <f>[36]Salidas!$D85</f>
        <v>1310</v>
      </c>
      <c r="E161" s="13">
        <f>[37]Salidas!$D85</f>
        <v>1431</v>
      </c>
      <c r="F161" s="13">
        <f>[38]Salidas!$D85</f>
        <v>1270</v>
      </c>
      <c r="G161" s="13">
        <f>[39]Salidas!$D85</f>
        <v>941</v>
      </c>
      <c r="H161" s="13">
        <f>[40]Salidas!$D85</f>
        <v>393</v>
      </c>
      <c r="I161" s="13">
        <f>[41]Salidas!$D85</f>
        <v>1324</v>
      </c>
      <c r="J161" s="13">
        <f>[42]Salidas!$D85</f>
        <v>1312</v>
      </c>
      <c r="K161" s="13">
        <f>[43]Salidas!$D85</f>
        <v>1272</v>
      </c>
      <c r="L161" s="13">
        <f>[44]Salidas!$D85</f>
        <v>1372</v>
      </c>
      <c r="M161" s="13">
        <f>[45]Salidas!$D85</f>
        <v>1308</v>
      </c>
      <c r="N161" s="13">
        <f>[46]Salidas!$D85</f>
        <v>954</v>
      </c>
      <c r="O161" s="13">
        <f>[47]Salidas!$D85</f>
        <v>472</v>
      </c>
      <c r="P161" s="13">
        <f>[48]Salidas!$D85</f>
        <v>1319</v>
      </c>
      <c r="Q161" s="13">
        <f>[49]Salidas!$D85</f>
        <v>1451</v>
      </c>
      <c r="R161" s="13">
        <f>[50]Salidas!$D85</f>
        <v>1379</v>
      </c>
      <c r="S161" s="13">
        <f>[51]Salidas!$D85</f>
        <v>1388</v>
      </c>
      <c r="T161" s="13">
        <f>[52]Salidas!$D85</f>
        <v>1391</v>
      </c>
      <c r="U161" s="13">
        <f>[53]Salidas!$D85</f>
        <v>1057</v>
      </c>
      <c r="V161" s="13">
        <f>[54]Salidas!$D85</f>
        <v>410</v>
      </c>
      <c r="W161" s="13">
        <f>[55]Salidas!$D85</f>
        <v>1426</v>
      </c>
      <c r="X161" s="13">
        <f>[56]Salidas!$D85</f>
        <v>1385</v>
      </c>
      <c r="Y161" s="13">
        <f>[57]Salidas!$D85</f>
        <v>1403</v>
      </c>
      <c r="Z161" s="13">
        <f>[58]Salidas!$D85</f>
        <v>1357</v>
      </c>
      <c r="AA161" s="13">
        <f>[59]Salidas!$D85</f>
        <v>1340</v>
      </c>
      <c r="AB161" s="13">
        <f>[60]Salidas!$D85</f>
        <v>960</v>
      </c>
      <c r="AC161" s="13">
        <f>[61]Salidas!$D85</f>
        <v>412</v>
      </c>
      <c r="AD161" s="13">
        <f>[62]Salidas!$D85</f>
        <v>1385</v>
      </c>
      <c r="AE161" s="13">
        <f>[63]Salidas!$D85</f>
        <v>1360</v>
      </c>
      <c r="AF161" s="13">
        <f>[64]Salidas!$D85</f>
        <v>1383</v>
      </c>
      <c r="AG161" s="13">
        <f>[65]Salidas!$D85</f>
        <v>1397</v>
      </c>
      <c r="AH161" s="13">
        <f>[66]Salidas!$D85</f>
        <v>1419</v>
      </c>
      <c r="AI161" s="13">
        <f>[67]Salidas!$D85</f>
        <v>1015</v>
      </c>
      <c r="AJ161" s="13">
        <f>[68]Salidas!$D85</f>
        <v>406</v>
      </c>
    </row>
    <row r="162" spans="1:37" s="12" customFormat="1" x14ac:dyDescent="0.2">
      <c r="A162" s="435"/>
      <c r="B162" s="34" t="s">
        <v>262</v>
      </c>
      <c r="C162" s="13">
        <f>[35]Salidas!$D86</f>
        <v>2905</v>
      </c>
      <c r="D162" s="13">
        <f>[36]Salidas!$D86</f>
        <v>3008</v>
      </c>
      <c r="E162" s="13">
        <f>[37]Salidas!$D86</f>
        <v>2884</v>
      </c>
      <c r="F162" s="13">
        <f>[38]Salidas!$D86</f>
        <v>2902</v>
      </c>
      <c r="G162" s="13">
        <f>[39]Salidas!$D86</f>
        <v>2068</v>
      </c>
      <c r="H162" s="13">
        <f>[40]Salidas!$D86</f>
        <v>938</v>
      </c>
      <c r="I162" s="13">
        <f>[41]Salidas!$D86</f>
        <v>3054</v>
      </c>
      <c r="J162" s="13">
        <f>[42]Salidas!$D86</f>
        <v>3137</v>
      </c>
      <c r="K162" s="13">
        <f>[43]Salidas!$D86</f>
        <v>3033</v>
      </c>
      <c r="L162" s="13">
        <f>[44]Salidas!$D86</f>
        <v>3051</v>
      </c>
      <c r="M162" s="13">
        <f>[45]Salidas!$D86</f>
        <v>2859</v>
      </c>
      <c r="N162" s="13">
        <f>[46]Salidas!$D86</f>
        <v>2004</v>
      </c>
      <c r="O162" s="13">
        <f>[47]Salidas!$D86</f>
        <v>903</v>
      </c>
      <c r="P162" s="13">
        <f>[48]Salidas!$D86</f>
        <v>3058</v>
      </c>
      <c r="Q162" s="13">
        <f>[49]Salidas!$D86</f>
        <v>3105</v>
      </c>
      <c r="R162" s="13">
        <f>[50]Salidas!$D86</f>
        <v>3104</v>
      </c>
      <c r="S162" s="13">
        <f>[51]Salidas!$D86</f>
        <v>2991</v>
      </c>
      <c r="T162" s="13">
        <f>[52]Salidas!$D86</f>
        <v>3009</v>
      </c>
      <c r="U162" s="13">
        <f>[53]Salidas!$D86</f>
        <v>2108</v>
      </c>
      <c r="V162" s="13">
        <f>[54]Salidas!$D86</f>
        <v>912</v>
      </c>
      <c r="W162" s="13">
        <f>[55]Salidas!$D86</f>
        <v>3106</v>
      </c>
      <c r="X162" s="13">
        <f>[56]Salidas!$D86</f>
        <v>3089</v>
      </c>
      <c r="Y162" s="13">
        <f>[57]Salidas!$D86</f>
        <v>3047</v>
      </c>
      <c r="Z162" s="13">
        <f>[58]Salidas!$D86</f>
        <v>3055</v>
      </c>
      <c r="AA162" s="13">
        <f>[59]Salidas!$D86</f>
        <v>3004</v>
      </c>
      <c r="AB162" s="13">
        <f>[60]Salidas!$D86</f>
        <v>2103</v>
      </c>
      <c r="AC162" s="13">
        <f>[61]Salidas!$D86</f>
        <v>878</v>
      </c>
      <c r="AD162" s="13">
        <f>[62]Salidas!$D86</f>
        <v>3085</v>
      </c>
      <c r="AE162" s="13">
        <f>[63]Salidas!$D86</f>
        <v>3158</v>
      </c>
      <c r="AF162" s="13">
        <f>[64]Salidas!$D86</f>
        <v>3206</v>
      </c>
      <c r="AG162" s="13">
        <f>[65]Salidas!$D86</f>
        <v>3196</v>
      </c>
      <c r="AH162" s="13">
        <f>[66]Salidas!$D86</f>
        <v>3127</v>
      </c>
      <c r="AI162" s="13">
        <f>[67]Salidas!$D86</f>
        <v>2307</v>
      </c>
      <c r="AJ162" s="13">
        <f>[68]Salidas!$D86</f>
        <v>916</v>
      </c>
    </row>
    <row r="163" spans="1:37" s="12" customFormat="1" x14ac:dyDescent="0.2">
      <c r="A163" s="435"/>
      <c r="B163" s="34" t="s">
        <v>274</v>
      </c>
      <c r="C163" s="13">
        <f>[35]Salidas!$D87</f>
        <v>3760</v>
      </c>
      <c r="D163" s="13">
        <f>[36]Salidas!$D87</f>
        <v>3856</v>
      </c>
      <c r="E163" s="13">
        <f>[37]Salidas!$D87</f>
        <v>3726</v>
      </c>
      <c r="F163" s="13">
        <f>[38]Salidas!$D87</f>
        <v>3867</v>
      </c>
      <c r="G163" s="13">
        <f>[39]Salidas!$D87</f>
        <v>2655</v>
      </c>
      <c r="H163" s="13">
        <f>[40]Salidas!$D87</f>
        <v>717</v>
      </c>
      <c r="I163" s="13">
        <f>[41]Salidas!$D87</f>
        <v>3737</v>
      </c>
      <c r="J163" s="13">
        <f>[42]Salidas!$D87</f>
        <v>3879</v>
      </c>
      <c r="K163" s="13">
        <f>[43]Salidas!$D87</f>
        <v>3889</v>
      </c>
      <c r="L163" s="13">
        <f>[44]Salidas!$D87</f>
        <v>3940</v>
      </c>
      <c r="M163" s="13">
        <f>[45]Salidas!$D87</f>
        <v>3827</v>
      </c>
      <c r="N163" s="13">
        <f>[46]Salidas!$D87</f>
        <v>2631</v>
      </c>
      <c r="O163" s="13">
        <f>[47]Salidas!$D87</f>
        <v>733</v>
      </c>
      <c r="P163" s="13">
        <f>[48]Salidas!$D87</f>
        <v>3890</v>
      </c>
      <c r="Q163" s="13">
        <f>[49]Salidas!$D87</f>
        <v>3821</v>
      </c>
      <c r="R163" s="13">
        <f>[50]Salidas!$D87</f>
        <v>3747</v>
      </c>
      <c r="S163" s="13">
        <f>[51]Salidas!$D87</f>
        <v>3792</v>
      </c>
      <c r="T163" s="13">
        <f>[52]Salidas!$D87</f>
        <v>4048</v>
      </c>
      <c r="U163" s="13">
        <f>[53]Salidas!$D87</f>
        <v>2702</v>
      </c>
      <c r="V163" s="13">
        <f>[54]Salidas!$D87</f>
        <v>758</v>
      </c>
      <c r="W163" s="13">
        <f>[55]Salidas!$D87</f>
        <v>3906</v>
      </c>
      <c r="X163" s="13">
        <f>[56]Salidas!$D87</f>
        <v>3866</v>
      </c>
      <c r="Y163" s="13">
        <f>[57]Salidas!$D87</f>
        <v>3732</v>
      </c>
      <c r="Z163" s="13">
        <f>[58]Salidas!$D87</f>
        <v>3702</v>
      </c>
      <c r="AA163" s="13">
        <f>[59]Salidas!$D87</f>
        <v>3987</v>
      </c>
      <c r="AB163" s="13">
        <f>[60]Salidas!$D87</f>
        <v>2707</v>
      </c>
      <c r="AC163" s="13">
        <f>[61]Salidas!$D87</f>
        <v>751</v>
      </c>
      <c r="AD163" s="13">
        <f>[62]Salidas!$D87</f>
        <v>3945</v>
      </c>
      <c r="AE163" s="13">
        <f>[63]Salidas!$D87</f>
        <v>4038</v>
      </c>
      <c r="AF163" s="13">
        <f>[64]Salidas!$D87</f>
        <v>4072</v>
      </c>
      <c r="AG163" s="13">
        <f>[65]Salidas!$D87</f>
        <v>3915</v>
      </c>
      <c r="AH163" s="13">
        <f>[66]Salidas!$D87</f>
        <v>4089</v>
      </c>
      <c r="AI163" s="13">
        <f>[67]Salidas!$D87</f>
        <v>2698</v>
      </c>
      <c r="AJ163" s="13">
        <f>[68]Salidas!$D87</f>
        <v>765</v>
      </c>
    </row>
    <row r="164" spans="1:37" s="12" customFormat="1" x14ac:dyDescent="0.2">
      <c r="A164" s="435"/>
      <c r="B164" s="34" t="s">
        <v>275</v>
      </c>
      <c r="C164" s="13">
        <f>[35]Salidas!$D88</f>
        <v>4113</v>
      </c>
      <c r="D164" s="13">
        <f>[36]Salidas!$D88</f>
        <v>4172</v>
      </c>
      <c r="E164" s="13">
        <f>[37]Salidas!$D88</f>
        <v>4177</v>
      </c>
      <c r="F164" s="13">
        <f>[38]Salidas!$D88</f>
        <v>4295</v>
      </c>
      <c r="G164" s="13">
        <f>[39]Salidas!$D88</f>
        <v>2939</v>
      </c>
      <c r="H164" s="13">
        <f>[40]Salidas!$D88</f>
        <v>1124</v>
      </c>
      <c r="I164" s="13">
        <f>[41]Salidas!$D88</f>
        <v>3992</v>
      </c>
      <c r="J164" s="13">
        <f>[42]Salidas!$D88</f>
        <v>3941</v>
      </c>
      <c r="K164" s="13">
        <f>[43]Salidas!$D88</f>
        <v>4225</v>
      </c>
      <c r="L164" s="13">
        <f>[44]Salidas!$D88</f>
        <v>4123</v>
      </c>
      <c r="M164" s="13">
        <f>[45]Salidas!$D88</f>
        <v>4206</v>
      </c>
      <c r="N164" s="13">
        <f>[46]Salidas!$D88</f>
        <v>2921</v>
      </c>
      <c r="O164" s="13">
        <f>[47]Salidas!$D88</f>
        <v>1084</v>
      </c>
      <c r="P164" s="13">
        <f>[48]Salidas!$D88</f>
        <v>4090</v>
      </c>
      <c r="Q164" s="13">
        <f>[49]Salidas!$D88</f>
        <v>4140</v>
      </c>
      <c r="R164" s="13">
        <f>[50]Salidas!$D88</f>
        <v>4123</v>
      </c>
      <c r="S164" s="13">
        <f>[51]Salidas!$D88</f>
        <v>4154</v>
      </c>
      <c r="T164" s="13">
        <f>[52]Salidas!$D88</f>
        <v>4383</v>
      </c>
      <c r="U164" s="13">
        <f>[53]Salidas!$D88</f>
        <v>2963</v>
      </c>
      <c r="V164" s="13">
        <f>[54]Salidas!$D88</f>
        <v>1114</v>
      </c>
      <c r="W164" s="13">
        <f>[55]Salidas!$D88</f>
        <v>4049</v>
      </c>
      <c r="X164" s="13">
        <f>[56]Salidas!$D88</f>
        <v>4055</v>
      </c>
      <c r="Y164" s="13">
        <f>[57]Salidas!$D88</f>
        <v>4067</v>
      </c>
      <c r="Z164" s="13">
        <f>[58]Salidas!$D88</f>
        <v>3964</v>
      </c>
      <c r="AA164" s="13">
        <f>[59]Salidas!$D88</f>
        <v>4443</v>
      </c>
      <c r="AB164" s="13">
        <f>[60]Salidas!$D88</f>
        <v>2700</v>
      </c>
      <c r="AC164" s="13">
        <f>[61]Salidas!$D88</f>
        <v>1098</v>
      </c>
      <c r="AD164" s="13">
        <f>[62]Salidas!$D88</f>
        <v>4227</v>
      </c>
      <c r="AE164" s="13">
        <f>[63]Salidas!$D88</f>
        <v>4422</v>
      </c>
      <c r="AF164" s="13">
        <f>[64]Salidas!$D88</f>
        <v>4477</v>
      </c>
      <c r="AG164" s="13">
        <f>[65]Salidas!$D88</f>
        <v>4340</v>
      </c>
      <c r="AH164" s="13">
        <f>[66]Salidas!$D88</f>
        <v>4690</v>
      </c>
      <c r="AI164" s="13">
        <f>[67]Salidas!$D88</f>
        <v>3066</v>
      </c>
      <c r="AJ164" s="13">
        <f>[68]Salidas!$D88</f>
        <v>1104</v>
      </c>
    </row>
    <row r="165" spans="1:37" s="12" customFormat="1" x14ac:dyDescent="0.2">
      <c r="A165" s="435"/>
      <c r="B165" s="34" t="s">
        <v>265</v>
      </c>
      <c r="C165" s="13">
        <f>[35]Salidas!$D89</f>
        <v>2473</v>
      </c>
      <c r="D165" s="13">
        <f>[36]Salidas!$D89</f>
        <v>2695</v>
      </c>
      <c r="E165" s="13">
        <f>[37]Salidas!$D89</f>
        <v>2675</v>
      </c>
      <c r="F165" s="13">
        <f>[38]Salidas!$D89</f>
        <v>2470</v>
      </c>
      <c r="G165" s="13">
        <f>[39]Salidas!$D89</f>
        <v>1530</v>
      </c>
      <c r="H165" s="13">
        <f>[40]Salidas!$D89</f>
        <v>482</v>
      </c>
      <c r="I165" s="13">
        <f>[41]Salidas!$D89</f>
        <v>2485</v>
      </c>
      <c r="J165" s="13">
        <f>[42]Salidas!$D89</f>
        <v>2621</v>
      </c>
      <c r="K165" s="13">
        <f>[43]Salidas!$D89</f>
        <v>2552</v>
      </c>
      <c r="L165" s="13">
        <f>[44]Salidas!$D89</f>
        <v>2430</v>
      </c>
      <c r="M165" s="13">
        <f>[45]Salidas!$D89</f>
        <v>2453</v>
      </c>
      <c r="N165" s="13">
        <f>[46]Salidas!$D89</f>
        <v>1532</v>
      </c>
      <c r="O165" s="13">
        <f>[47]Salidas!$D89</f>
        <v>453</v>
      </c>
      <c r="P165" s="13">
        <f>[48]Salidas!$D89</f>
        <v>2492</v>
      </c>
      <c r="Q165" s="13">
        <f>[49]Salidas!$D89</f>
        <v>2473</v>
      </c>
      <c r="R165" s="13">
        <f>[50]Salidas!$D89</f>
        <v>2529</v>
      </c>
      <c r="S165" s="13">
        <f>[51]Salidas!$D89</f>
        <v>2421</v>
      </c>
      <c r="T165" s="13">
        <f>[52]Salidas!$D89</f>
        <v>2552</v>
      </c>
      <c r="U165" s="13">
        <f>[53]Salidas!$D89</f>
        <v>1534</v>
      </c>
      <c r="V165" s="13">
        <f>[54]Salidas!$D89</f>
        <v>502</v>
      </c>
      <c r="W165" s="13">
        <f>[55]Salidas!$D89</f>
        <v>2561</v>
      </c>
      <c r="X165" s="13">
        <f>[56]Salidas!$D89</f>
        <v>2702</v>
      </c>
      <c r="Y165" s="13">
        <f>[57]Salidas!$D89</f>
        <v>2635</v>
      </c>
      <c r="Z165" s="13">
        <f>[58]Salidas!$D89</f>
        <v>2489</v>
      </c>
      <c r="AA165" s="13">
        <f>[59]Salidas!$D89</f>
        <v>2472</v>
      </c>
      <c r="AB165" s="13">
        <f>[60]Salidas!$D89</f>
        <v>1601</v>
      </c>
      <c r="AC165" s="13">
        <f>[61]Salidas!$D89</f>
        <v>445</v>
      </c>
      <c r="AD165" s="13">
        <f>[62]Salidas!$D89</f>
        <v>2527</v>
      </c>
      <c r="AE165" s="13">
        <f>[63]Salidas!$D89</f>
        <v>2673</v>
      </c>
      <c r="AF165" s="13">
        <f>[64]Salidas!$D89</f>
        <v>2640</v>
      </c>
      <c r="AG165" s="13">
        <f>[65]Salidas!$D89</f>
        <v>2584</v>
      </c>
      <c r="AH165" s="13">
        <f>[66]Salidas!$D89</f>
        <v>2629</v>
      </c>
      <c r="AI165" s="13">
        <f>[67]Salidas!$D89</f>
        <v>1591</v>
      </c>
      <c r="AJ165" s="13">
        <f>[68]Salidas!$D89</f>
        <v>489</v>
      </c>
    </row>
    <row r="166" spans="1:37" s="12" customFormat="1" x14ac:dyDescent="0.2">
      <c r="A166" s="435"/>
      <c r="B166" s="34" t="s">
        <v>266</v>
      </c>
      <c r="C166" s="13">
        <f>[35]Salidas!$D90</f>
        <v>9027</v>
      </c>
      <c r="D166" s="13">
        <f>[36]Salidas!$D90</f>
        <v>8797</v>
      </c>
      <c r="E166" s="13">
        <f>[37]Salidas!$D90</f>
        <v>8789</v>
      </c>
      <c r="F166" s="13">
        <f>[38]Salidas!$D90</f>
        <v>8616</v>
      </c>
      <c r="G166" s="13">
        <f>[39]Salidas!$D90</f>
        <v>4354</v>
      </c>
      <c r="H166" s="13">
        <f>[40]Salidas!$D90</f>
        <v>1756</v>
      </c>
      <c r="I166" s="13">
        <f>[41]Salidas!$D90</f>
        <v>8645</v>
      </c>
      <c r="J166" s="13">
        <f>[42]Salidas!$D90</f>
        <v>8852</v>
      </c>
      <c r="K166" s="13">
        <f>[43]Salidas!$D90</f>
        <v>8816</v>
      </c>
      <c r="L166" s="13">
        <f>[44]Salidas!$D90</f>
        <v>8748</v>
      </c>
      <c r="M166" s="13">
        <f>[45]Salidas!$D90</f>
        <v>8470</v>
      </c>
      <c r="N166" s="13">
        <f>[46]Salidas!$D90</f>
        <v>4408</v>
      </c>
      <c r="O166" s="13">
        <f>[47]Salidas!$D90</f>
        <v>1579</v>
      </c>
      <c r="P166" s="13">
        <f>[48]Salidas!$D90</f>
        <v>8740</v>
      </c>
      <c r="Q166" s="13">
        <f>[49]Salidas!$D90</f>
        <v>8660</v>
      </c>
      <c r="R166" s="13">
        <f>[50]Salidas!$D90</f>
        <v>8722</v>
      </c>
      <c r="S166" s="13">
        <f>[51]Salidas!$D90</f>
        <v>8624</v>
      </c>
      <c r="T166" s="13">
        <f>[52]Salidas!$D90</f>
        <v>8708</v>
      </c>
      <c r="U166" s="13">
        <f>[53]Salidas!$D90</f>
        <v>4496</v>
      </c>
      <c r="V166" s="13">
        <f>[54]Salidas!$D90</f>
        <v>1583</v>
      </c>
      <c r="W166" s="13">
        <f>[55]Salidas!$D90</f>
        <v>9078</v>
      </c>
      <c r="X166" s="13">
        <f>[56]Salidas!$D90</f>
        <v>9103</v>
      </c>
      <c r="Y166" s="13">
        <f>[57]Salidas!$D90</f>
        <v>8970</v>
      </c>
      <c r="Z166" s="13">
        <f>[58]Salidas!$D90</f>
        <v>8733</v>
      </c>
      <c r="AA166" s="13">
        <f>[59]Salidas!$D90</f>
        <v>8530</v>
      </c>
      <c r="AB166" s="13">
        <f>[60]Salidas!$D90</f>
        <v>4783</v>
      </c>
      <c r="AC166" s="13">
        <f>[61]Salidas!$D90</f>
        <v>1675</v>
      </c>
      <c r="AD166" s="13">
        <f>[62]Salidas!$D90</f>
        <v>8841</v>
      </c>
      <c r="AE166" s="13">
        <f>[63]Salidas!$D90</f>
        <v>8772</v>
      </c>
      <c r="AF166" s="13">
        <f>[64]Salidas!$D90</f>
        <v>9078</v>
      </c>
      <c r="AG166" s="13">
        <f>[65]Salidas!$D90</f>
        <v>8999</v>
      </c>
      <c r="AH166" s="13">
        <f>[66]Salidas!$D90</f>
        <v>9090</v>
      </c>
      <c r="AI166" s="13">
        <f>[67]Salidas!$D90</f>
        <v>4755</v>
      </c>
      <c r="AJ166" s="13">
        <f>[68]Salidas!$D90</f>
        <v>1558</v>
      </c>
    </row>
    <row r="167" spans="1:37" s="12" customFormat="1" x14ac:dyDescent="0.2">
      <c r="A167" s="435"/>
      <c r="B167" s="34" t="s">
        <v>276</v>
      </c>
      <c r="C167" s="13">
        <f>[35]Salidas!$D91</f>
        <v>6998</v>
      </c>
      <c r="D167" s="13">
        <f>[36]Salidas!$D91</f>
        <v>6745</v>
      </c>
      <c r="E167" s="13">
        <f>[37]Salidas!$D91</f>
        <v>7028</v>
      </c>
      <c r="F167" s="13">
        <f>[38]Salidas!$D91</f>
        <v>7054</v>
      </c>
      <c r="G167" s="13">
        <f>[39]Salidas!$D91</f>
        <v>3778</v>
      </c>
      <c r="H167" s="13">
        <f>[40]Salidas!$D91</f>
        <v>1116</v>
      </c>
      <c r="I167" s="13">
        <f>[41]Salidas!$D91</f>
        <v>6701</v>
      </c>
      <c r="J167" s="13">
        <f>[42]Salidas!$D91</f>
        <v>6925</v>
      </c>
      <c r="K167" s="13">
        <f>[43]Salidas!$D91</f>
        <v>6947</v>
      </c>
      <c r="L167" s="13">
        <f>[44]Salidas!$D91</f>
        <v>7150</v>
      </c>
      <c r="M167" s="13">
        <f>[45]Salidas!$D91</f>
        <v>7015</v>
      </c>
      <c r="N167" s="13">
        <f>[46]Salidas!$D91</f>
        <v>3753</v>
      </c>
      <c r="O167" s="13">
        <f>[47]Salidas!$D91</f>
        <v>1185</v>
      </c>
      <c r="P167" s="13">
        <f>[48]Salidas!$D91</f>
        <v>6799</v>
      </c>
      <c r="Q167" s="13">
        <f>[49]Salidas!$D91</f>
        <v>6840</v>
      </c>
      <c r="R167" s="13">
        <f>[50]Salidas!$D91</f>
        <v>6878</v>
      </c>
      <c r="S167" s="13">
        <f>[51]Salidas!$D91</f>
        <v>7097</v>
      </c>
      <c r="T167" s="13">
        <f>[52]Salidas!$D91</f>
        <v>7246</v>
      </c>
      <c r="U167" s="13">
        <f>[53]Salidas!$D91</f>
        <v>3984</v>
      </c>
      <c r="V167" s="13">
        <f>[54]Salidas!$D91</f>
        <v>1193</v>
      </c>
      <c r="W167" s="13">
        <f>[55]Salidas!$D91</f>
        <v>7033</v>
      </c>
      <c r="X167" s="13">
        <f>[56]Salidas!$D91</f>
        <v>7125</v>
      </c>
      <c r="Y167" s="13">
        <f>[57]Salidas!$D91</f>
        <v>7130</v>
      </c>
      <c r="Z167" s="13">
        <f>[58]Salidas!$D91</f>
        <v>7105</v>
      </c>
      <c r="AA167" s="13">
        <f>[59]Salidas!$D91</f>
        <v>7031</v>
      </c>
      <c r="AB167" s="13">
        <f>[60]Salidas!$D91</f>
        <v>3974</v>
      </c>
      <c r="AC167" s="13">
        <f>[61]Salidas!$D91</f>
        <v>1204</v>
      </c>
      <c r="AD167" s="13">
        <f>[62]Salidas!$D91</f>
        <v>7089</v>
      </c>
      <c r="AE167" s="13">
        <f>[63]Salidas!$D91</f>
        <v>7320</v>
      </c>
      <c r="AF167" s="13">
        <f>[64]Salidas!$D91</f>
        <v>7266</v>
      </c>
      <c r="AG167" s="13">
        <f>[65]Salidas!$D91</f>
        <v>7369</v>
      </c>
      <c r="AH167" s="13">
        <f>[66]Salidas!$D91</f>
        <v>7384</v>
      </c>
      <c r="AI167" s="13">
        <f>[67]Salidas!$D91</f>
        <v>4147</v>
      </c>
      <c r="AJ167" s="13">
        <f>[68]Salidas!$D91</f>
        <v>1135</v>
      </c>
    </row>
    <row r="168" spans="1:37" s="12" customFormat="1" x14ac:dyDescent="0.2">
      <c r="A168" s="435"/>
      <c r="B168" s="34" t="s">
        <v>277</v>
      </c>
      <c r="C168" s="13">
        <f>[35]Salidas!$D92</f>
        <v>4625</v>
      </c>
      <c r="D168" s="13">
        <f>[36]Salidas!$D92</f>
        <v>4618</v>
      </c>
      <c r="E168" s="13">
        <f>[37]Salidas!$D92</f>
        <v>4754</v>
      </c>
      <c r="F168" s="13">
        <f>[38]Salidas!$D92</f>
        <v>4575</v>
      </c>
      <c r="G168" s="13">
        <f>[39]Salidas!$D92</f>
        <v>2851</v>
      </c>
      <c r="H168" s="13">
        <f>[40]Salidas!$D92</f>
        <v>1011</v>
      </c>
      <c r="I168" s="13">
        <f>[41]Salidas!$D92</f>
        <v>4766</v>
      </c>
      <c r="J168" s="13">
        <f>[42]Salidas!$D92</f>
        <v>4542</v>
      </c>
      <c r="K168" s="13">
        <f>[43]Salidas!$D92</f>
        <v>4735</v>
      </c>
      <c r="L168" s="13">
        <f>[44]Salidas!$D92</f>
        <v>4860</v>
      </c>
      <c r="M168" s="13">
        <f>[45]Salidas!$D92</f>
        <v>4812</v>
      </c>
      <c r="N168" s="13">
        <f>[46]Salidas!$D92</f>
        <v>2831</v>
      </c>
      <c r="O168" s="13">
        <f>[47]Salidas!$D92</f>
        <v>1047</v>
      </c>
      <c r="P168" s="13">
        <f>[48]Salidas!$D92</f>
        <v>4501</v>
      </c>
      <c r="Q168" s="13">
        <f>[49]Salidas!$D92</f>
        <v>4734</v>
      </c>
      <c r="R168" s="13">
        <f>[50]Salidas!$D92</f>
        <v>4739</v>
      </c>
      <c r="S168" s="13">
        <f>[51]Salidas!$D92</f>
        <v>4783</v>
      </c>
      <c r="T168" s="13">
        <f>[52]Salidas!$D92</f>
        <v>4931</v>
      </c>
      <c r="U168" s="13">
        <f>[53]Salidas!$D92</f>
        <v>2939</v>
      </c>
      <c r="V168" s="13">
        <f>[54]Salidas!$D92</f>
        <v>1065</v>
      </c>
      <c r="W168" s="13">
        <f>[55]Salidas!$D92</f>
        <v>4811</v>
      </c>
      <c r="X168" s="13">
        <f>[56]Salidas!$D92</f>
        <v>4712</v>
      </c>
      <c r="Y168" s="13">
        <f>[57]Salidas!$D92</f>
        <v>4845</v>
      </c>
      <c r="Z168" s="13">
        <f>[58]Salidas!$D92</f>
        <v>4600</v>
      </c>
      <c r="AA168" s="13">
        <f>[59]Salidas!$D92</f>
        <v>4968</v>
      </c>
      <c r="AB168" s="13">
        <f>[60]Salidas!$D92</f>
        <v>2829</v>
      </c>
      <c r="AC168" s="13">
        <f>[61]Salidas!$D92</f>
        <v>947</v>
      </c>
      <c r="AD168" s="13">
        <f>[62]Salidas!$D92</f>
        <v>4765</v>
      </c>
      <c r="AE168" s="13">
        <f>[63]Salidas!$D92</f>
        <v>5017</v>
      </c>
      <c r="AF168" s="13">
        <f>[64]Salidas!$D92</f>
        <v>5256</v>
      </c>
      <c r="AG168" s="13">
        <f>[65]Salidas!$D92</f>
        <v>5074</v>
      </c>
      <c r="AH168" s="13">
        <f>[66]Salidas!$D92</f>
        <v>5134</v>
      </c>
      <c r="AI168" s="13">
        <f>[67]Salidas!$D92</f>
        <v>3121</v>
      </c>
      <c r="AJ168" s="13">
        <f>[68]Salidas!$D92</f>
        <v>957</v>
      </c>
    </row>
    <row r="169" spans="1:37" s="12" customFormat="1" x14ac:dyDescent="0.2">
      <c r="A169" s="435"/>
      <c r="B169" s="34" t="s">
        <v>278</v>
      </c>
      <c r="C169" s="13">
        <f>[35]Salidas!$D93</f>
        <v>4521</v>
      </c>
      <c r="D169" s="13">
        <f>[36]Salidas!$D93</f>
        <v>4905</v>
      </c>
      <c r="E169" s="13">
        <f>[37]Salidas!$D93</f>
        <v>4614</v>
      </c>
      <c r="F169" s="13">
        <f>[38]Salidas!$D93</f>
        <v>5231</v>
      </c>
      <c r="G169" s="13">
        <f>[39]Salidas!$D93</f>
        <v>3950</v>
      </c>
      <c r="H169" s="13">
        <f>[40]Salidas!$D93</f>
        <v>2271</v>
      </c>
      <c r="I169" s="13">
        <f>[41]Salidas!$D93</f>
        <v>4631</v>
      </c>
      <c r="J169" s="13">
        <f>[42]Salidas!$D93</f>
        <v>4954</v>
      </c>
      <c r="K169" s="13">
        <f>[43]Salidas!$D93</f>
        <v>5750</v>
      </c>
      <c r="L169" s="13">
        <f>[44]Salidas!$D93</f>
        <v>5156</v>
      </c>
      <c r="M169" s="13">
        <f>[45]Salidas!$D93</f>
        <v>5331</v>
      </c>
      <c r="N169" s="13">
        <f>[46]Salidas!$D93</f>
        <v>3985</v>
      </c>
      <c r="O169" s="13">
        <f>[47]Salidas!$D93</f>
        <v>2138</v>
      </c>
      <c r="P169" s="13">
        <f>[48]Salidas!$D93</f>
        <v>4679</v>
      </c>
      <c r="Q169" s="13">
        <f>[49]Salidas!$D93</f>
        <v>4785</v>
      </c>
      <c r="R169" s="13">
        <f>[50]Salidas!$D93</f>
        <v>5521</v>
      </c>
      <c r="S169" s="13">
        <f>[51]Salidas!$D93</f>
        <v>5244</v>
      </c>
      <c r="T169" s="13">
        <f>[52]Salidas!$D93</f>
        <v>5321</v>
      </c>
      <c r="U169" s="13">
        <f>[53]Salidas!$D93</f>
        <v>4211</v>
      </c>
      <c r="V169" s="13">
        <f>[54]Salidas!$D93</f>
        <v>2277</v>
      </c>
      <c r="W169" s="13">
        <f>[55]Salidas!$D93</f>
        <v>4551</v>
      </c>
      <c r="X169" s="13">
        <f>[56]Salidas!$D93</f>
        <v>4687</v>
      </c>
      <c r="Y169" s="13">
        <f>[57]Salidas!$D93</f>
        <v>5481</v>
      </c>
      <c r="Z169" s="13">
        <f>[58]Salidas!$D93</f>
        <v>4875</v>
      </c>
      <c r="AA169" s="13">
        <f>[59]Salidas!$D93</f>
        <v>5241</v>
      </c>
      <c r="AB169" s="13">
        <f>[60]Salidas!$D93</f>
        <v>4220</v>
      </c>
      <c r="AC169" s="13">
        <f>[61]Salidas!$D93</f>
        <v>2136</v>
      </c>
      <c r="AD169" s="13">
        <f>[62]Salidas!$D93</f>
        <v>4520</v>
      </c>
      <c r="AE169" s="13">
        <f>[63]Salidas!$D93</f>
        <v>4887</v>
      </c>
      <c r="AF169" s="13">
        <f>[64]Salidas!$D93</f>
        <v>5618</v>
      </c>
      <c r="AG169" s="13">
        <f>[65]Salidas!$D93</f>
        <v>5044</v>
      </c>
      <c r="AH169" s="13">
        <f>[66]Salidas!$D93</f>
        <v>5789</v>
      </c>
      <c r="AI169" s="13">
        <f>[67]Salidas!$D93</f>
        <v>3597</v>
      </c>
      <c r="AJ169" s="13">
        <f>[68]Salidas!$D93</f>
        <v>2091</v>
      </c>
    </row>
    <row r="170" spans="1:37" s="12" customFormat="1" x14ac:dyDescent="0.2">
      <c r="A170" s="435"/>
      <c r="B170" s="34" t="s">
        <v>279</v>
      </c>
      <c r="C170" s="13">
        <f>[35]Salidas!$D94</f>
        <v>5276</v>
      </c>
      <c r="D170" s="13">
        <f>[36]Salidas!$D94</f>
        <v>5018</v>
      </c>
      <c r="E170" s="13">
        <f>[37]Salidas!$D94</f>
        <v>4868</v>
      </c>
      <c r="F170" s="13">
        <f>[38]Salidas!$D94</f>
        <v>5270</v>
      </c>
      <c r="G170" s="13">
        <f>[39]Salidas!$D94</f>
        <v>2800</v>
      </c>
      <c r="H170" s="13">
        <f>[40]Salidas!$D94</f>
        <v>840</v>
      </c>
      <c r="I170" s="13">
        <f>[41]Salidas!$D94</f>
        <v>4921</v>
      </c>
      <c r="J170" s="13">
        <f>[42]Salidas!$D94</f>
        <v>5247</v>
      </c>
      <c r="K170" s="13">
        <f>[43]Salidas!$D94</f>
        <v>4998</v>
      </c>
      <c r="L170" s="13">
        <f>[44]Salidas!$D94</f>
        <v>5119</v>
      </c>
      <c r="M170" s="13">
        <f>[45]Salidas!$D94</f>
        <v>5129</v>
      </c>
      <c r="N170" s="13">
        <f>[46]Salidas!$D94</f>
        <v>2863</v>
      </c>
      <c r="O170" s="13">
        <f>[47]Salidas!$D94</f>
        <v>952</v>
      </c>
      <c r="P170" s="13">
        <f>[48]Salidas!$D94</f>
        <v>5039</v>
      </c>
      <c r="Q170" s="13">
        <f>[49]Salidas!$D94</f>
        <v>4712</v>
      </c>
      <c r="R170" s="13">
        <f>[50]Salidas!$D94</f>
        <v>4952</v>
      </c>
      <c r="S170" s="13">
        <f>[51]Salidas!$D94</f>
        <v>4946</v>
      </c>
      <c r="T170" s="13">
        <f>[52]Salidas!$D94</f>
        <v>5089</v>
      </c>
      <c r="U170" s="13">
        <f>[53]Salidas!$D94</f>
        <v>2840</v>
      </c>
      <c r="V170" s="13">
        <f>[54]Salidas!$D94</f>
        <v>943</v>
      </c>
      <c r="W170" s="13">
        <f>[55]Salidas!$D94</f>
        <v>5008</v>
      </c>
      <c r="X170" s="13">
        <f>[56]Salidas!$D94</f>
        <v>5139</v>
      </c>
      <c r="Y170" s="13">
        <f>[57]Salidas!$D94</f>
        <v>4970</v>
      </c>
      <c r="Z170" s="13">
        <f>[58]Salidas!$D94</f>
        <v>4934</v>
      </c>
      <c r="AA170" s="13">
        <f>[59]Salidas!$D94</f>
        <v>5173</v>
      </c>
      <c r="AB170" s="13">
        <f>[60]Salidas!$D94</f>
        <v>2824</v>
      </c>
      <c r="AC170" s="13">
        <f>[61]Salidas!$D94</f>
        <v>887</v>
      </c>
      <c r="AD170" s="13">
        <f>[62]Salidas!$D94</f>
        <v>5039</v>
      </c>
      <c r="AE170" s="13">
        <f>[63]Salidas!$D94</f>
        <v>5312</v>
      </c>
      <c r="AF170" s="13">
        <f>[64]Salidas!$D94</f>
        <v>5381</v>
      </c>
      <c r="AG170" s="13">
        <f>[65]Salidas!$D94</f>
        <v>5107</v>
      </c>
      <c r="AH170" s="13">
        <f>[66]Salidas!$D94</f>
        <v>5340</v>
      </c>
      <c r="AI170" s="13">
        <f>[67]Salidas!$D94</f>
        <v>3020</v>
      </c>
      <c r="AJ170" s="13">
        <f>[68]Salidas!$D94</f>
        <v>935</v>
      </c>
    </row>
    <row r="171" spans="1:37" s="12" customFormat="1" ht="13.5" thickBot="1" x14ac:dyDescent="0.25">
      <c r="A171" s="436"/>
      <c r="B171" s="80" t="s">
        <v>271</v>
      </c>
      <c r="C171" s="13">
        <f>[35]Salidas!$D95</f>
        <v>1326</v>
      </c>
      <c r="D171" s="13">
        <f>[36]Salidas!$D95</f>
        <v>1311</v>
      </c>
      <c r="E171" s="13">
        <f>[37]Salidas!$D95</f>
        <v>1232</v>
      </c>
      <c r="F171" s="13">
        <f>[38]Salidas!$D95</f>
        <v>1294</v>
      </c>
      <c r="G171" s="13">
        <f>[39]Salidas!$D95</f>
        <v>880</v>
      </c>
      <c r="H171" s="13">
        <f>[40]Salidas!$D95</f>
        <v>313</v>
      </c>
      <c r="I171" s="13">
        <f>[41]Salidas!$D95</f>
        <v>1229</v>
      </c>
      <c r="J171" s="13">
        <f>[42]Salidas!$D95</f>
        <v>1325</v>
      </c>
      <c r="K171" s="13">
        <f>[43]Salidas!$D95</f>
        <v>1305</v>
      </c>
      <c r="L171" s="13">
        <f>[44]Salidas!$D95</f>
        <v>1225</v>
      </c>
      <c r="M171" s="13">
        <f>[45]Salidas!$D95</f>
        <v>1341</v>
      </c>
      <c r="N171" s="13">
        <f>[46]Salidas!$D95</f>
        <v>861</v>
      </c>
      <c r="O171" s="13">
        <f>[47]Salidas!$D95</f>
        <v>278</v>
      </c>
      <c r="P171" s="13">
        <f>[48]Salidas!$D95</f>
        <v>1269</v>
      </c>
      <c r="Q171" s="13">
        <f>[49]Salidas!$D95</f>
        <v>1297</v>
      </c>
      <c r="R171" s="13">
        <f>[50]Salidas!$D95</f>
        <v>1255</v>
      </c>
      <c r="S171" s="13">
        <f>[51]Salidas!$D95</f>
        <v>1346</v>
      </c>
      <c r="T171" s="13">
        <f>[52]Salidas!$D95</f>
        <v>1315</v>
      </c>
      <c r="U171" s="13">
        <f>[53]Salidas!$D95</f>
        <v>871</v>
      </c>
      <c r="V171" s="13">
        <f>[54]Salidas!$D95</f>
        <v>275</v>
      </c>
      <c r="W171" s="13">
        <f>[55]Salidas!$D95</f>
        <v>1306</v>
      </c>
      <c r="X171" s="13">
        <f>[56]Salidas!$D95</f>
        <v>1312</v>
      </c>
      <c r="Y171" s="13">
        <f>[57]Salidas!$D95</f>
        <v>1348</v>
      </c>
      <c r="Z171" s="13">
        <f>[58]Salidas!$D95</f>
        <v>1328</v>
      </c>
      <c r="AA171" s="13">
        <f>[59]Salidas!$D95</f>
        <v>1319</v>
      </c>
      <c r="AB171" s="13">
        <f>[60]Salidas!$D95</f>
        <v>846</v>
      </c>
      <c r="AC171" s="13">
        <f>[61]Salidas!$D95</f>
        <v>287</v>
      </c>
      <c r="AD171" s="13">
        <f>[62]Salidas!$D95</f>
        <v>1338</v>
      </c>
      <c r="AE171" s="13">
        <f>[63]Salidas!$D95</f>
        <v>1367</v>
      </c>
      <c r="AF171" s="13">
        <f>[64]Salidas!$D95</f>
        <v>1343</v>
      </c>
      <c r="AG171" s="13">
        <f>[65]Salidas!$D95</f>
        <v>1434</v>
      </c>
      <c r="AH171" s="13">
        <f>[66]Salidas!$D95</f>
        <v>1407</v>
      </c>
      <c r="AI171" s="13">
        <f>[67]Salidas!$D95</f>
        <v>942</v>
      </c>
      <c r="AJ171" s="13">
        <f>[68]Salidas!$D95</f>
        <v>295</v>
      </c>
    </row>
    <row r="172" spans="1:37" s="8" customFormat="1" ht="15" thickBot="1" x14ac:dyDescent="0.25">
      <c r="A172" s="60"/>
      <c r="B172" s="60" t="s">
        <v>174</v>
      </c>
      <c r="C172" s="82">
        <f t="shared" ref="C172:H172" si="0">+SUM(C3:C112)-C7-C10-C11-C106-C99</f>
        <v>1185116</v>
      </c>
      <c r="D172" s="82">
        <f t="shared" si="0"/>
        <v>1206191</v>
      </c>
      <c r="E172" s="82">
        <f t="shared" si="0"/>
        <v>1193826</v>
      </c>
      <c r="F172" s="82">
        <f t="shared" si="0"/>
        <v>1218371</v>
      </c>
      <c r="G172" s="82">
        <f t="shared" si="0"/>
        <v>806019</v>
      </c>
      <c r="H172" s="82">
        <f t="shared" si="0"/>
        <v>346249</v>
      </c>
      <c r="I172" s="82">
        <f t="shared" ref="I172:O172" si="1">+SUM(I3:I112)-I7-I10-I11-I106-I99</f>
        <v>1205269</v>
      </c>
      <c r="J172" s="82">
        <f t="shared" si="1"/>
        <v>1226654</v>
      </c>
      <c r="K172" s="82">
        <f t="shared" si="1"/>
        <v>1212550</v>
      </c>
      <c r="L172" s="82">
        <f t="shared" si="1"/>
        <v>1222149</v>
      </c>
      <c r="M172" s="82">
        <f t="shared" si="1"/>
        <v>1223915</v>
      </c>
      <c r="N172" s="82">
        <f t="shared" si="1"/>
        <v>812116</v>
      </c>
      <c r="O172" s="82">
        <f t="shared" si="1"/>
        <v>329803</v>
      </c>
      <c r="P172" s="82">
        <f t="shared" ref="P172:V172" si="2">+SUM(P3:P112)-P7-P10-P11-P106-P99</f>
        <v>1224542</v>
      </c>
      <c r="Q172" s="82">
        <f t="shared" si="2"/>
        <v>1200758</v>
      </c>
      <c r="R172" s="82">
        <f t="shared" si="2"/>
        <v>1212299</v>
      </c>
      <c r="S172" s="82">
        <f t="shared" si="2"/>
        <v>1220749</v>
      </c>
      <c r="T172" s="82">
        <f t="shared" si="2"/>
        <v>1257169</v>
      </c>
      <c r="U172" s="82">
        <f t="shared" si="2"/>
        <v>829152</v>
      </c>
      <c r="V172" s="82">
        <f t="shared" si="2"/>
        <v>343685</v>
      </c>
      <c r="W172" s="82">
        <f t="shared" ref="W172:AC172" si="3">+SUM(W3:W112)-W7-W10-W11-W106-W99</f>
        <v>1235864</v>
      </c>
      <c r="X172" s="82">
        <f t="shared" si="3"/>
        <v>1250202</v>
      </c>
      <c r="Y172" s="82">
        <f t="shared" si="3"/>
        <v>1236504</v>
      </c>
      <c r="Z172" s="82">
        <f t="shared" si="3"/>
        <v>1224062</v>
      </c>
      <c r="AA172" s="82">
        <f t="shared" si="3"/>
        <v>1248103</v>
      </c>
      <c r="AB172" s="82">
        <f t="shared" si="3"/>
        <v>833241</v>
      </c>
      <c r="AC172" s="82">
        <f t="shared" si="3"/>
        <v>336968</v>
      </c>
      <c r="AD172" s="82">
        <f t="shared" ref="AD172:AF172" si="4">+SUM(AD3:AD112)-AD7-AD10-AD11-AD106-AD99</f>
        <v>1250706</v>
      </c>
      <c r="AE172" s="82">
        <f t="shared" si="4"/>
        <v>1276983</v>
      </c>
      <c r="AF172" s="82">
        <f t="shared" si="4"/>
        <v>1273440</v>
      </c>
      <c r="AG172" s="82">
        <f t="shared" ref="AG172:AJ172" si="5">+SUM(AG3:AG112)-AG7-AG10-AG11-AG106-AG99</f>
        <v>1271690</v>
      </c>
      <c r="AH172" s="82">
        <f t="shared" si="5"/>
        <v>1300760</v>
      </c>
      <c r="AI172" s="82">
        <f t="shared" si="5"/>
        <v>864350</v>
      </c>
      <c r="AJ172" s="82">
        <f t="shared" si="5"/>
        <v>338274</v>
      </c>
      <c r="AK172" s="17">
        <f>SUM(C172:AD172)</f>
        <v>29092232</v>
      </c>
    </row>
    <row r="173" spans="1:37" s="8" customFormat="1" ht="15" thickBot="1" x14ac:dyDescent="0.25">
      <c r="A173" s="61"/>
      <c r="B173" s="61" t="s">
        <v>175</v>
      </c>
      <c r="C173" s="83">
        <f t="shared" ref="C173:H173" si="6">SUM(C113:C171)</f>
        <v>466563</v>
      </c>
      <c r="D173" s="83">
        <f t="shared" si="6"/>
        <v>466904</v>
      </c>
      <c r="E173" s="83">
        <f t="shared" si="6"/>
        <v>465281</v>
      </c>
      <c r="F173" s="83">
        <f t="shared" si="6"/>
        <v>462887</v>
      </c>
      <c r="G173" s="83">
        <f t="shared" si="6"/>
        <v>323873</v>
      </c>
      <c r="H173" s="83">
        <f t="shared" si="6"/>
        <v>147906</v>
      </c>
      <c r="I173" s="83">
        <f t="shared" ref="I173:O173" si="7">SUM(I113:I171)</f>
        <v>465738</v>
      </c>
      <c r="J173" s="83">
        <f t="shared" si="7"/>
        <v>474321</v>
      </c>
      <c r="K173" s="83">
        <f t="shared" si="7"/>
        <v>474038</v>
      </c>
      <c r="L173" s="83">
        <f t="shared" si="7"/>
        <v>477426</v>
      </c>
      <c r="M173" s="83">
        <f t="shared" si="7"/>
        <v>471638</v>
      </c>
      <c r="N173" s="83">
        <f t="shared" si="7"/>
        <v>327655</v>
      </c>
      <c r="O173" s="83">
        <f t="shared" si="7"/>
        <v>144060</v>
      </c>
      <c r="P173" s="83">
        <f t="shared" ref="P173:V173" si="8">SUM(P113:P171)</f>
        <v>435702</v>
      </c>
      <c r="Q173" s="83">
        <f t="shared" si="8"/>
        <v>439352</v>
      </c>
      <c r="R173" s="83">
        <f t="shared" si="8"/>
        <v>459117</v>
      </c>
      <c r="S173" s="83">
        <f t="shared" si="8"/>
        <v>460330</v>
      </c>
      <c r="T173" s="83">
        <f t="shared" si="8"/>
        <v>477390</v>
      </c>
      <c r="U173" s="83">
        <f t="shared" si="8"/>
        <v>332906</v>
      </c>
      <c r="V173" s="83">
        <f t="shared" si="8"/>
        <v>143141</v>
      </c>
      <c r="W173" s="83">
        <f t="shared" ref="W173:AC173" si="9">SUM(W113:W171)</f>
        <v>475913</v>
      </c>
      <c r="X173" s="83">
        <f t="shared" si="9"/>
        <v>485023</v>
      </c>
      <c r="Y173" s="83">
        <f t="shared" si="9"/>
        <v>477632</v>
      </c>
      <c r="Z173" s="83">
        <f t="shared" si="9"/>
        <v>476555</v>
      </c>
      <c r="AA173" s="83">
        <f t="shared" si="9"/>
        <v>476602</v>
      </c>
      <c r="AB173" s="83">
        <f t="shared" si="9"/>
        <v>333735</v>
      </c>
      <c r="AC173" s="83">
        <f t="shared" si="9"/>
        <v>149570</v>
      </c>
      <c r="AD173" s="83">
        <f t="shared" ref="AD173:AF173" si="10">SUM(AD113:AD171)</f>
        <v>476531</v>
      </c>
      <c r="AE173" s="83">
        <f t="shared" si="10"/>
        <v>495004</v>
      </c>
      <c r="AF173" s="83">
        <f t="shared" si="10"/>
        <v>495450</v>
      </c>
      <c r="AG173" s="83">
        <f t="shared" ref="AG173:AJ173" si="11">SUM(AG113:AG171)</f>
        <v>492879</v>
      </c>
      <c r="AH173" s="83">
        <f t="shared" si="11"/>
        <v>494046</v>
      </c>
      <c r="AI173" s="83">
        <f t="shared" si="11"/>
        <v>349010</v>
      </c>
      <c r="AJ173" s="83">
        <f t="shared" si="11"/>
        <v>147522</v>
      </c>
      <c r="AK173" s="17">
        <f>SUM(C173:AD173)</f>
        <v>11267789</v>
      </c>
    </row>
    <row r="174" spans="1:37" s="8" customFormat="1" ht="14.25" x14ac:dyDescent="0.2">
      <c r="A174" s="62"/>
      <c r="B174" s="62" t="s">
        <v>178</v>
      </c>
      <c r="C174" s="146">
        <f t="shared" ref="C174:H174" si="12">+C173+C172</f>
        <v>1651679</v>
      </c>
      <c r="D174" s="146">
        <f t="shared" si="12"/>
        <v>1673095</v>
      </c>
      <c r="E174" s="146">
        <f t="shared" si="12"/>
        <v>1659107</v>
      </c>
      <c r="F174" s="146">
        <f t="shared" si="12"/>
        <v>1681258</v>
      </c>
      <c r="G174" s="146">
        <f t="shared" si="12"/>
        <v>1129892</v>
      </c>
      <c r="H174" s="146">
        <f t="shared" si="12"/>
        <v>494155</v>
      </c>
      <c r="I174" s="146">
        <f t="shared" ref="I174:O174" si="13">+I173+I172</f>
        <v>1671007</v>
      </c>
      <c r="J174" s="146">
        <f t="shared" si="13"/>
        <v>1700975</v>
      </c>
      <c r="K174" s="146">
        <f t="shared" si="13"/>
        <v>1686588</v>
      </c>
      <c r="L174" s="146">
        <f t="shared" si="13"/>
        <v>1699575</v>
      </c>
      <c r="M174" s="146">
        <f t="shared" si="13"/>
        <v>1695553</v>
      </c>
      <c r="N174" s="146">
        <f t="shared" si="13"/>
        <v>1139771</v>
      </c>
      <c r="O174" s="146">
        <f t="shared" si="13"/>
        <v>473863</v>
      </c>
      <c r="P174" s="146">
        <f t="shared" ref="P174:V174" si="14">+P173+P172</f>
        <v>1660244</v>
      </c>
      <c r="Q174" s="146">
        <f t="shared" si="14"/>
        <v>1640110</v>
      </c>
      <c r="R174" s="146">
        <f t="shared" si="14"/>
        <v>1671416</v>
      </c>
      <c r="S174" s="146">
        <f t="shared" si="14"/>
        <v>1681079</v>
      </c>
      <c r="T174" s="146">
        <f t="shared" si="14"/>
        <v>1734559</v>
      </c>
      <c r="U174" s="146">
        <f t="shared" si="14"/>
        <v>1162058</v>
      </c>
      <c r="V174" s="146">
        <f t="shared" si="14"/>
        <v>486826</v>
      </c>
      <c r="W174" s="146">
        <f t="shared" ref="W174:AC174" si="15">+W173+W172</f>
        <v>1711777</v>
      </c>
      <c r="X174" s="146">
        <f t="shared" si="15"/>
        <v>1735225</v>
      </c>
      <c r="Y174" s="146">
        <f t="shared" si="15"/>
        <v>1714136</v>
      </c>
      <c r="Z174" s="146">
        <f t="shared" si="15"/>
        <v>1700617</v>
      </c>
      <c r="AA174" s="146">
        <f t="shared" si="15"/>
        <v>1724705</v>
      </c>
      <c r="AB174" s="146">
        <f t="shared" si="15"/>
        <v>1166976</v>
      </c>
      <c r="AC174" s="146">
        <f t="shared" si="15"/>
        <v>486538</v>
      </c>
      <c r="AD174" s="146">
        <f t="shared" ref="AD174:AF174" si="16">+AD173+AD172</f>
        <v>1727237</v>
      </c>
      <c r="AE174" s="146">
        <f t="shared" si="16"/>
        <v>1771987</v>
      </c>
      <c r="AF174" s="146">
        <f t="shared" si="16"/>
        <v>1768890</v>
      </c>
      <c r="AG174" s="146">
        <f t="shared" ref="AG174:AJ174" si="17">+AG173+AG172</f>
        <v>1764569</v>
      </c>
      <c r="AH174" s="146">
        <f t="shared" si="17"/>
        <v>1794806</v>
      </c>
      <c r="AI174" s="146">
        <f t="shared" si="17"/>
        <v>1213360</v>
      </c>
      <c r="AJ174" s="146">
        <f t="shared" si="17"/>
        <v>485796</v>
      </c>
    </row>
    <row r="175" spans="1:37" s="8" customFormat="1" x14ac:dyDescent="0.2">
      <c r="B175" s="9"/>
      <c r="C175" s="35">
        <f>+C172-Entradas!C173</f>
        <v>59188</v>
      </c>
      <c r="D175" s="35">
        <f>+D172-Entradas!D173</f>
        <v>62963</v>
      </c>
      <c r="E175" s="35">
        <f>+E172-Entradas!E173</f>
        <v>58761</v>
      </c>
      <c r="F175" s="35">
        <f>+F172-Entradas!F173</f>
        <v>72689</v>
      </c>
      <c r="G175" s="35">
        <f>+G172-Entradas!G173</f>
        <v>69956</v>
      </c>
      <c r="H175" s="35">
        <f>+H172-Entradas!H173</f>
        <v>45604</v>
      </c>
      <c r="I175" s="35">
        <f>+I172-Entradas!I173</f>
        <v>50490</v>
      </c>
      <c r="J175" s="35">
        <f>+J172-Entradas!J173</f>
        <v>53714</v>
      </c>
      <c r="K175" s="35">
        <f>+K172-Entradas!K173</f>
        <v>59241</v>
      </c>
      <c r="L175" s="35">
        <f>+L172-Entradas!L173</f>
        <v>60737</v>
      </c>
      <c r="M175" s="35">
        <f>+M172-Entradas!M173</f>
        <v>66352</v>
      </c>
      <c r="N175" s="35">
        <f>+N172-Entradas!N173</f>
        <v>74158</v>
      </c>
      <c r="O175" s="35">
        <f>+O172-Entradas!O173</f>
        <v>41298</v>
      </c>
      <c r="P175" s="35">
        <f>+P172-Entradas!P173</f>
        <v>56380</v>
      </c>
      <c r="Q175" s="35">
        <f>+Q172-Entradas!Q173</f>
        <v>61858</v>
      </c>
      <c r="R175" s="35">
        <f>+R172-Entradas!R173</f>
        <v>60596</v>
      </c>
      <c r="S175" s="35">
        <f>+S172-Entradas!S173</f>
        <v>66298</v>
      </c>
      <c r="T175" s="35">
        <f>+T172-Entradas!T173</f>
        <v>71610</v>
      </c>
      <c r="U175" s="35">
        <f>+U172-Entradas!U173</f>
        <v>72855</v>
      </c>
      <c r="V175" s="35">
        <f>+V172-Entradas!V173</f>
        <v>44736</v>
      </c>
      <c r="W175" s="35">
        <f>+W172-Entradas!W173</f>
        <v>57506</v>
      </c>
      <c r="X175" s="35">
        <f>+X172-Entradas!X173</f>
        <v>64855</v>
      </c>
      <c r="Y175" s="35">
        <f>+Y172-Entradas!Y173</f>
        <v>59738</v>
      </c>
      <c r="Z175" s="35">
        <f>+Z172-Entradas!Z173</f>
        <v>61218</v>
      </c>
      <c r="AA175" s="35">
        <f>+AA172-Entradas!AA173</f>
        <v>70081</v>
      </c>
      <c r="AB175" s="35">
        <f>+AB172-Entradas!AB173</f>
        <v>70823</v>
      </c>
      <c r="AC175" s="35">
        <f>+AC172-Entradas!AC173</f>
        <v>41282</v>
      </c>
      <c r="AD175" s="35">
        <f>+AD172-Entradas!AD173</f>
        <v>59447</v>
      </c>
      <c r="AE175" s="35">
        <f>+AE172-Entradas!AE173</f>
        <v>61676</v>
      </c>
      <c r="AF175" s="35">
        <f>+AF172-Entradas!AF173</f>
        <v>62875</v>
      </c>
      <c r="AG175" s="35">
        <f>+AG172-Entradas!AG173</f>
        <v>64308</v>
      </c>
      <c r="AH175" s="35">
        <f>+AH172-Entradas!AH173</f>
        <v>72701</v>
      </c>
      <c r="AI175" s="35">
        <f>+AI172-Entradas!AI173</f>
        <v>70837</v>
      </c>
      <c r="AJ175" s="35">
        <f>+AJ172-Entradas!AJ173</f>
        <v>39986</v>
      </c>
    </row>
    <row r="176" spans="1:37" s="8" customFormat="1" x14ac:dyDescent="0.2">
      <c r="B176" s="9"/>
      <c r="C176" s="35">
        <f>+C173-Entradas!C174</f>
        <v>-9422</v>
      </c>
      <c r="D176" s="35">
        <f>+D173-Entradas!D174</f>
        <v>-7771</v>
      </c>
      <c r="E176" s="35">
        <f>+E173-Entradas!E174</f>
        <v>806</v>
      </c>
      <c r="F176" s="35">
        <f>+F173-Entradas!F174</f>
        <v>-13709</v>
      </c>
      <c r="G176" s="35">
        <f>+G173-Entradas!G174</f>
        <v>55</v>
      </c>
      <c r="H176" s="35">
        <f>+H173-Entradas!H174</f>
        <v>13919</v>
      </c>
      <c r="I176" s="35">
        <f>+I173-Entradas!I174</f>
        <v>-12852</v>
      </c>
      <c r="J176" s="35">
        <f>+J173-Entradas!J174</f>
        <v>-13875</v>
      </c>
      <c r="K176" s="35">
        <f>+K173-Entradas!K174</f>
        <v>-12956</v>
      </c>
      <c r="L176" s="35">
        <f>+L173-Entradas!L174</f>
        <v>-9975</v>
      </c>
      <c r="M176" s="35">
        <f>+M173-Entradas!M174</f>
        <v>-17405</v>
      </c>
      <c r="N176" s="35">
        <f>+N173-Entradas!N174</f>
        <v>-10</v>
      </c>
      <c r="O176" s="35">
        <f>+O173-Entradas!O174</f>
        <v>14633</v>
      </c>
      <c r="P176" s="35">
        <f>+P173-Entradas!P174</f>
        <v>-44419</v>
      </c>
      <c r="Q176" s="35">
        <f>+Q173-Entradas!Q174</f>
        <v>-952</v>
      </c>
      <c r="R176" s="35">
        <f>+R173-Entradas!R174</f>
        <v>-1852</v>
      </c>
      <c r="S176" s="35">
        <f>+S173-Entradas!S174</f>
        <v>-11050</v>
      </c>
      <c r="T176" s="35">
        <f>+T173-Entradas!T174</f>
        <v>-15474</v>
      </c>
      <c r="U176" s="35">
        <f>+U173-Entradas!U174</f>
        <v>546</v>
      </c>
      <c r="V176" s="35">
        <f>+V173-Entradas!V174</f>
        <v>13769</v>
      </c>
      <c r="W176" s="35">
        <f>+W173-Entradas!W174</f>
        <v>-9074</v>
      </c>
      <c r="X176" s="35">
        <f>+X173-Entradas!X174</f>
        <v>-5300</v>
      </c>
      <c r="Y176" s="35">
        <f>+Y173-Entradas!Y174</f>
        <v>-9280</v>
      </c>
      <c r="Z176" s="35">
        <f>+Z173-Entradas!Z174</f>
        <v>-9367</v>
      </c>
      <c r="AA176" s="35">
        <f>+AA173-Entradas!AA174</f>
        <v>-17625</v>
      </c>
      <c r="AB176" s="35">
        <f>+AB173-Entradas!AB174</f>
        <v>183</v>
      </c>
      <c r="AC176" s="35">
        <f>+AC173-Entradas!AC174</f>
        <v>15037</v>
      </c>
      <c r="AD176" s="35">
        <f>+AD173-Entradas!AD174</f>
        <v>-11736</v>
      </c>
      <c r="AE176" s="35">
        <f>+AE173-Entradas!AE174</f>
        <v>-7575</v>
      </c>
      <c r="AF176" s="35">
        <f>+AF173-Entradas!AF174</f>
        <v>-9518</v>
      </c>
      <c r="AG176" s="35">
        <f>+AG173-Entradas!AG174</f>
        <v>-10277</v>
      </c>
      <c r="AH176" s="35">
        <f>+AH173-Entradas!AH174</f>
        <v>-14243</v>
      </c>
      <c r="AI176" s="35">
        <f>+AI173-Entradas!AI174</f>
        <v>12</v>
      </c>
      <c r="AJ176" s="35">
        <f>+AJ173-Entradas!AJ174</f>
        <v>14381</v>
      </c>
    </row>
    <row r="177" spans="1:36" s="12" customFormat="1" ht="18" x14ac:dyDescent="0.25">
      <c r="A177" s="21" t="s">
        <v>208</v>
      </c>
      <c r="B177"/>
      <c r="C177" s="19">
        <f t="shared" ref="C177:AJ177" si="18">+C$7+C$10+C$11+C$99+C$106+C$185+C$190+C$194+C$199</f>
        <v>250905</v>
      </c>
      <c r="D177" s="19">
        <f t="shared" si="18"/>
        <v>252374</v>
      </c>
      <c r="E177" s="19">
        <f t="shared" si="18"/>
        <v>248852</v>
      </c>
      <c r="F177" s="19">
        <f t="shared" si="18"/>
        <v>250373</v>
      </c>
      <c r="G177" s="19">
        <f t="shared" si="18"/>
        <v>187057</v>
      </c>
      <c r="H177" s="19">
        <f t="shared" si="18"/>
        <v>105064</v>
      </c>
      <c r="I177" s="19">
        <f t="shared" si="18"/>
        <v>256764</v>
      </c>
      <c r="J177" s="19">
        <f t="shared" si="18"/>
        <v>258739</v>
      </c>
      <c r="K177" s="19">
        <f t="shared" si="18"/>
        <v>256652</v>
      </c>
      <c r="L177" s="19">
        <f t="shared" si="18"/>
        <v>258408</v>
      </c>
      <c r="M177" s="19">
        <f t="shared" si="18"/>
        <v>254806</v>
      </c>
      <c r="N177" s="19">
        <f t="shared" si="18"/>
        <v>188614</v>
      </c>
      <c r="O177" s="19">
        <f t="shared" si="18"/>
        <v>102018</v>
      </c>
      <c r="P177" s="19">
        <f t="shared" si="18"/>
        <v>261507</v>
      </c>
      <c r="Q177" s="19">
        <f t="shared" si="18"/>
        <v>263831</v>
      </c>
      <c r="R177" s="19">
        <f t="shared" si="18"/>
        <v>263174</v>
      </c>
      <c r="S177" s="19">
        <f t="shared" si="18"/>
        <v>261333</v>
      </c>
      <c r="T177" s="19">
        <f t="shared" si="18"/>
        <v>260697</v>
      </c>
      <c r="U177" s="19">
        <f t="shared" si="18"/>
        <v>190629</v>
      </c>
      <c r="V177" s="19">
        <f t="shared" si="18"/>
        <v>103967</v>
      </c>
      <c r="W177" s="19">
        <f t="shared" si="18"/>
        <v>261890</v>
      </c>
      <c r="X177" s="19">
        <f t="shared" si="18"/>
        <v>264974</v>
      </c>
      <c r="Y177" s="19">
        <f t="shared" si="18"/>
        <v>260794</v>
      </c>
      <c r="Z177" s="19">
        <f t="shared" si="18"/>
        <v>261626</v>
      </c>
      <c r="AA177" s="19">
        <f t="shared" si="18"/>
        <v>255297</v>
      </c>
      <c r="AB177" s="19">
        <f t="shared" si="18"/>
        <v>192599</v>
      </c>
      <c r="AC177" s="19">
        <f t="shared" si="18"/>
        <v>101587</v>
      </c>
      <c r="AD177" s="19">
        <f t="shared" si="18"/>
        <v>261723</v>
      </c>
      <c r="AE177" s="19">
        <f t="shared" si="18"/>
        <v>268063</v>
      </c>
      <c r="AF177" s="19">
        <f t="shared" si="18"/>
        <v>266431</v>
      </c>
      <c r="AG177" s="19">
        <f t="shared" si="18"/>
        <v>266051</v>
      </c>
      <c r="AH177" s="19">
        <f t="shared" si="18"/>
        <v>261932</v>
      </c>
      <c r="AI177" s="19">
        <f t="shared" si="18"/>
        <v>197681</v>
      </c>
      <c r="AJ177" s="19">
        <f t="shared" si="18"/>
        <v>103722</v>
      </c>
    </row>
    <row r="178" spans="1:36" s="84" customFormat="1" x14ac:dyDescent="0.2">
      <c r="A178" s="23" t="s">
        <v>212</v>
      </c>
      <c r="B178" s="23"/>
      <c r="C178" s="24">
        <f t="shared" ref="C178:H178" si="19">+C177/C172</f>
        <v>0.21171345252279103</v>
      </c>
      <c r="D178" s="24">
        <f t="shared" si="19"/>
        <v>0.20923220286007771</v>
      </c>
      <c r="E178" s="24">
        <f t="shared" si="19"/>
        <v>0.2084491374789961</v>
      </c>
      <c r="F178" s="24">
        <f t="shared" si="19"/>
        <v>0.2054981610691653</v>
      </c>
      <c r="G178" s="24">
        <f t="shared" si="19"/>
        <v>0.23207517440655864</v>
      </c>
      <c r="H178" s="24">
        <f t="shared" si="19"/>
        <v>0.30343481136407613</v>
      </c>
      <c r="I178" s="24">
        <f t="shared" ref="I178:O178" si="20">+I177/I172</f>
        <v>0.21303460057464349</v>
      </c>
      <c r="J178" s="24">
        <f t="shared" si="20"/>
        <v>0.21093071069755612</v>
      </c>
      <c r="K178" s="24">
        <f t="shared" si="20"/>
        <v>0.21166302420518743</v>
      </c>
      <c r="L178" s="24">
        <f t="shared" si="20"/>
        <v>0.21143739429480365</v>
      </c>
      <c r="M178" s="24">
        <f t="shared" si="20"/>
        <v>0.20818929419118157</v>
      </c>
      <c r="N178" s="24">
        <f t="shared" si="20"/>
        <v>0.23225007264972</v>
      </c>
      <c r="O178" s="24">
        <f t="shared" si="20"/>
        <v>0.30933011525061932</v>
      </c>
      <c r="P178" s="24">
        <f t="shared" ref="P178:V178" si="21">+P177/P172</f>
        <v>0.21355494544082604</v>
      </c>
      <c r="Q178" s="24">
        <f t="shared" si="21"/>
        <v>0.21972037662876284</v>
      </c>
      <c r="R178" s="24">
        <f t="shared" si="21"/>
        <v>0.21708670880698575</v>
      </c>
      <c r="S178" s="24">
        <f t="shared" si="21"/>
        <v>0.21407594845459632</v>
      </c>
      <c r="T178" s="24">
        <f t="shared" si="21"/>
        <v>0.20736830131827941</v>
      </c>
      <c r="U178" s="24">
        <f t="shared" si="21"/>
        <v>0.22990838832928101</v>
      </c>
      <c r="V178" s="24">
        <f t="shared" si="21"/>
        <v>0.3025066558040066</v>
      </c>
      <c r="W178" s="24">
        <f t="shared" ref="W178:AC178" si="22">+W177/W172</f>
        <v>0.21190843005379234</v>
      </c>
      <c r="X178" s="24">
        <f t="shared" si="22"/>
        <v>0.21194494969612909</v>
      </c>
      <c r="Y178" s="24">
        <f t="shared" si="22"/>
        <v>0.21091237877111599</v>
      </c>
      <c r="Z178" s="24">
        <f t="shared" si="22"/>
        <v>0.2137359055341968</v>
      </c>
      <c r="AA178" s="24">
        <f t="shared" si="22"/>
        <v>0.20454802207830602</v>
      </c>
      <c r="AB178" s="24">
        <f t="shared" si="22"/>
        <v>0.23114441080071671</v>
      </c>
      <c r="AC178" s="24">
        <f t="shared" si="22"/>
        <v>0.30147373044324682</v>
      </c>
      <c r="AD178" s="24">
        <f t="shared" ref="AD178:AF178" si="23">+AD177/AD172</f>
        <v>0.20926020983348606</v>
      </c>
      <c r="AE178" s="24">
        <f t="shared" si="23"/>
        <v>0.20991900440334757</v>
      </c>
      <c r="AF178" s="24">
        <f t="shared" si="23"/>
        <v>0.20922147882899861</v>
      </c>
      <c r="AG178" s="24">
        <f t="shared" ref="AG178:AJ178" si="24">+AG177/AG172</f>
        <v>0.20921057804968191</v>
      </c>
      <c r="AH178" s="24">
        <f t="shared" si="24"/>
        <v>0.20136843076355362</v>
      </c>
      <c r="AI178" s="24">
        <f t="shared" si="24"/>
        <v>0.22870480708046509</v>
      </c>
      <c r="AJ178" s="24">
        <f t="shared" si="24"/>
        <v>0.30662125968889126</v>
      </c>
    </row>
    <row r="179" spans="1:36" s="12" customFormat="1" ht="18" x14ac:dyDescent="0.25">
      <c r="A179" s="21" t="s">
        <v>209</v>
      </c>
      <c r="B179"/>
      <c r="C179" s="19">
        <f t="shared" ref="C179:H179" si="25">C$120+C$205+C$210+C$215+C148+C149+C204</f>
        <v>163856</v>
      </c>
      <c r="D179" s="19">
        <f t="shared" si="25"/>
        <v>162556</v>
      </c>
      <c r="E179" s="19">
        <f t="shared" si="25"/>
        <v>163393</v>
      </c>
      <c r="F179" s="19">
        <f t="shared" si="25"/>
        <v>160644</v>
      </c>
      <c r="G179" s="19">
        <f t="shared" si="25"/>
        <v>113135</v>
      </c>
      <c r="H179" s="19">
        <f t="shared" si="25"/>
        <v>55525</v>
      </c>
      <c r="I179" s="19">
        <f t="shared" ref="I179:O179" si="26">I$120+I$205+I$210+I$215+I148+I149+I204</f>
        <v>163662</v>
      </c>
      <c r="J179" s="19">
        <f t="shared" si="26"/>
        <v>166032</v>
      </c>
      <c r="K179" s="19">
        <f t="shared" si="26"/>
        <v>167114</v>
      </c>
      <c r="L179" s="19">
        <f t="shared" si="26"/>
        <v>167417</v>
      </c>
      <c r="M179" s="19">
        <f t="shared" si="26"/>
        <v>163836</v>
      </c>
      <c r="N179" s="19">
        <f t="shared" si="26"/>
        <v>113685</v>
      </c>
      <c r="O179" s="19">
        <f t="shared" si="26"/>
        <v>54705</v>
      </c>
      <c r="P179" s="19">
        <f t="shared" ref="P179:V179" si="27">P$120+P$205+P$210+P$215+P148+P149+P204</f>
        <v>129927</v>
      </c>
      <c r="Q179" s="19">
        <f t="shared" si="27"/>
        <v>137539</v>
      </c>
      <c r="R179" s="19">
        <f t="shared" si="27"/>
        <v>155480</v>
      </c>
      <c r="S179" s="19">
        <f t="shared" si="27"/>
        <v>154834</v>
      </c>
      <c r="T179" s="19">
        <f t="shared" si="27"/>
        <v>160062</v>
      </c>
      <c r="U179" s="19">
        <f t="shared" si="27"/>
        <v>112240</v>
      </c>
      <c r="V179" s="19">
        <f t="shared" si="27"/>
        <v>53689</v>
      </c>
      <c r="W179" s="19">
        <f t="shared" ref="W179:AC179" si="28">W$120+W$205+W$210+W$215+W148+W149+W204</f>
        <v>165595</v>
      </c>
      <c r="X179" s="19">
        <f t="shared" si="28"/>
        <v>169508</v>
      </c>
      <c r="Y179" s="19">
        <f t="shared" si="28"/>
        <v>166116</v>
      </c>
      <c r="Z179" s="19">
        <f t="shared" si="28"/>
        <v>168538</v>
      </c>
      <c r="AA179" s="19">
        <f t="shared" si="28"/>
        <v>162733</v>
      </c>
      <c r="AB179" s="19">
        <f t="shared" si="28"/>
        <v>114158</v>
      </c>
      <c r="AC179" s="19">
        <f t="shared" si="28"/>
        <v>54976</v>
      </c>
      <c r="AD179" s="19">
        <f t="shared" ref="AD179:AF179" si="29">AD$120+AD$205+AD$210+AD$215+AD148+AD149+AD204</f>
        <v>164423</v>
      </c>
      <c r="AE179" s="19">
        <f t="shared" si="29"/>
        <v>170290</v>
      </c>
      <c r="AF179" s="19">
        <f t="shared" si="29"/>
        <v>171220</v>
      </c>
      <c r="AG179" s="19">
        <f t="shared" ref="AG179:AJ179" si="30">AG$120+AG$205+AG$210+AG$215+AG148+AG149+AG204</f>
        <v>169997</v>
      </c>
      <c r="AH179" s="19">
        <f t="shared" si="30"/>
        <v>165722</v>
      </c>
      <c r="AI179" s="19">
        <f t="shared" si="30"/>
        <v>116922</v>
      </c>
      <c r="AJ179" s="19">
        <f t="shared" si="30"/>
        <v>56222</v>
      </c>
    </row>
    <row r="180" spans="1:36" s="84" customFormat="1" x14ac:dyDescent="0.2">
      <c r="A180" s="23" t="s">
        <v>212</v>
      </c>
      <c r="B180" s="23"/>
      <c r="C180" s="24">
        <f t="shared" ref="C180:H180" si="31">+C179/C173</f>
        <v>0.35119801613072621</v>
      </c>
      <c r="D180" s="24">
        <f t="shared" si="31"/>
        <v>0.348157222898069</v>
      </c>
      <c r="E180" s="24">
        <f t="shared" si="31"/>
        <v>0.35117058293805248</v>
      </c>
      <c r="F180" s="24">
        <f t="shared" si="31"/>
        <v>0.34704798363315453</v>
      </c>
      <c r="G180" s="24">
        <f t="shared" si="31"/>
        <v>0.34931902319736441</v>
      </c>
      <c r="H180" s="24">
        <f t="shared" si="31"/>
        <v>0.37540735331899988</v>
      </c>
      <c r="I180" s="24">
        <f t="shared" ref="I180:O180" si="32">+I179/I173</f>
        <v>0.35140357883616968</v>
      </c>
      <c r="J180" s="24">
        <f t="shared" si="32"/>
        <v>0.35004142764077489</v>
      </c>
      <c r="K180" s="24">
        <f t="shared" si="32"/>
        <v>0.35253291930182812</v>
      </c>
      <c r="L180" s="24">
        <f t="shared" si="32"/>
        <v>0.35066586235353753</v>
      </c>
      <c r="M180" s="24">
        <f t="shared" si="32"/>
        <v>0.34737658967258789</v>
      </c>
      <c r="N180" s="24">
        <f t="shared" si="32"/>
        <v>0.34696555828539166</v>
      </c>
      <c r="O180" s="24">
        <f t="shared" si="32"/>
        <v>0.37973760932944606</v>
      </c>
      <c r="P180" s="24">
        <f t="shared" ref="P180:V180" si="33">+P179/P173</f>
        <v>0.29820152305933872</v>
      </c>
      <c r="Q180" s="24">
        <f t="shared" si="33"/>
        <v>0.31304967315501009</v>
      </c>
      <c r="R180" s="24">
        <f t="shared" si="33"/>
        <v>0.33865006087772831</v>
      </c>
      <c r="S180" s="24">
        <f t="shared" si="33"/>
        <v>0.33635435448482609</v>
      </c>
      <c r="T180" s="24">
        <f t="shared" si="33"/>
        <v>0.33528561553446867</v>
      </c>
      <c r="U180" s="24">
        <f t="shared" si="33"/>
        <v>0.33715222915778026</v>
      </c>
      <c r="V180" s="24">
        <f t="shared" si="33"/>
        <v>0.37507772056922895</v>
      </c>
      <c r="W180" s="24">
        <f t="shared" ref="W180:AC180" si="34">+W179/W173</f>
        <v>0.34795225177711053</v>
      </c>
      <c r="X180" s="24">
        <f t="shared" si="34"/>
        <v>0.34948445743810086</v>
      </c>
      <c r="Y180" s="24">
        <f t="shared" si="34"/>
        <v>0.34779076778775292</v>
      </c>
      <c r="Z180" s="24">
        <f t="shared" si="34"/>
        <v>0.3536590739788692</v>
      </c>
      <c r="AA180" s="24">
        <f t="shared" si="34"/>
        <v>0.34144422390170415</v>
      </c>
      <c r="AB180" s="24">
        <f t="shared" si="34"/>
        <v>0.34206181551230769</v>
      </c>
      <c r="AC180" s="24">
        <f t="shared" si="34"/>
        <v>0.36756033964030221</v>
      </c>
      <c r="AD180" s="24">
        <f t="shared" ref="AD180:AF180" si="35">+AD179/AD173</f>
        <v>0.34504156077988629</v>
      </c>
      <c r="AE180" s="24">
        <f t="shared" si="35"/>
        <v>0.34401742208143771</v>
      </c>
      <c r="AF180" s="24">
        <f t="shared" si="35"/>
        <v>0.34558482187909983</v>
      </c>
      <c r="AG180" s="24">
        <f t="shared" ref="AG180:AJ180" si="36">+AG179/AG173</f>
        <v>0.34490615343725334</v>
      </c>
      <c r="AH180" s="24">
        <f t="shared" si="36"/>
        <v>0.33543840047283047</v>
      </c>
      <c r="AI180" s="24">
        <f t="shared" si="36"/>
        <v>0.33501045815306152</v>
      </c>
      <c r="AJ180" s="24">
        <f t="shared" si="36"/>
        <v>0.38110925828012093</v>
      </c>
    </row>
    <row r="181" spans="1:36" s="12" customFormat="1" ht="15.75" x14ac:dyDescent="0.25">
      <c r="A181" s="441" t="s">
        <v>210</v>
      </c>
      <c r="B181" s="441"/>
      <c r="C181" s="57">
        <f t="shared" ref="C181:H181" si="37">+C179+C177</f>
        <v>414761</v>
      </c>
      <c r="D181" s="57">
        <f t="shared" si="37"/>
        <v>414930</v>
      </c>
      <c r="E181" s="57">
        <f t="shared" si="37"/>
        <v>412245</v>
      </c>
      <c r="F181" s="57">
        <f t="shared" si="37"/>
        <v>411017</v>
      </c>
      <c r="G181" s="57">
        <f t="shared" si="37"/>
        <v>300192</v>
      </c>
      <c r="H181" s="57">
        <f t="shared" si="37"/>
        <v>160589</v>
      </c>
      <c r="I181" s="57">
        <f t="shared" ref="I181:O181" si="38">+I179+I177</f>
        <v>420426</v>
      </c>
      <c r="J181" s="57">
        <f t="shared" si="38"/>
        <v>424771</v>
      </c>
      <c r="K181" s="57">
        <f t="shared" si="38"/>
        <v>423766</v>
      </c>
      <c r="L181" s="57">
        <f t="shared" si="38"/>
        <v>425825</v>
      </c>
      <c r="M181" s="57">
        <f t="shared" si="38"/>
        <v>418642</v>
      </c>
      <c r="N181" s="57">
        <f t="shared" si="38"/>
        <v>302299</v>
      </c>
      <c r="O181" s="57">
        <f t="shared" si="38"/>
        <v>156723</v>
      </c>
      <c r="P181" s="57">
        <f t="shared" ref="P181:V181" si="39">+P179+P177</f>
        <v>391434</v>
      </c>
      <c r="Q181" s="57">
        <f t="shared" si="39"/>
        <v>401370</v>
      </c>
      <c r="R181" s="57">
        <f t="shared" si="39"/>
        <v>418654</v>
      </c>
      <c r="S181" s="57">
        <f t="shared" si="39"/>
        <v>416167</v>
      </c>
      <c r="T181" s="57">
        <f t="shared" si="39"/>
        <v>420759</v>
      </c>
      <c r="U181" s="57">
        <f t="shared" si="39"/>
        <v>302869</v>
      </c>
      <c r="V181" s="57">
        <f t="shared" si="39"/>
        <v>157656</v>
      </c>
      <c r="W181" s="57">
        <f t="shared" ref="W181:AC181" si="40">+W179+W177</f>
        <v>427485</v>
      </c>
      <c r="X181" s="57">
        <f t="shared" si="40"/>
        <v>434482</v>
      </c>
      <c r="Y181" s="57">
        <f t="shared" si="40"/>
        <v>426910</v>
      </c>
      <c r="Z181" s="57">
        <f t="shared" si="40"/>
        <v>430164</v>
      </c>
      <c r="AA181" s="57">
        <f t="shared" si="40"/>
        <v>418030</v>
      </c>
      <c r="AB181" s="57">
        <f t="shared" si="40"/>
        <v>306757</v>
      </c>
      <c r="AC181" s="57">
        <f t="shared" si="40"/>
        <v>156563</v>
      </c>
      <c r="AD181" s="57">
        <f t="shared" ref="AD181:AF181" si="41">+AD179+AD177</f>
        <v>426146</v>
      </c>
      <c r="AE181" s="57">
        <f t="shared" si="41"/>
        <v>438353</v>
      </c>
      <c r="AF181" s="57">
        <f t="shared" si="41"/>
        <v>437651</v>
      </c>
      <c r="AG181" s="57">
        <f t="shared" ref="AG181:AJ181" si="42">+AG179+AG177</f>
        <v>436048</v>
      </c>
      <c r="AH181" s="57">
        <f t="shared" si="42"/>
        <v>427654</v>
      </c>
      <c r="AI181" s="57">
        <f t="shared" si="42"/>
        <v>314603</v>
      </c>
      <c r="AJ181" s="57">
        <f t="shared" si="42"/>
        <v>159944</v>
      </c>
    </row>
    <row r="182" spans="1:36" s="12" customFormat="1" ht="13.5" thickBot="1" x14ac:dyDescent="0.25">
      <c r="A182" t="s">
        <v>211</v>
      </c>
      <c r="B182"/>
      <c r="C182" s="11">
        <f t="shared" ref="C182:H182" si="43">+C181/C174</f>
        <v>0.25111477472317562</v>
      </c>
      <c r="D182" s="11">
        <f t="shared" si="43"/>
        <v>0.24800145837504745</v>
      </c>
      <c r="E182" s="11">
        <f t="shared" si="43"/>
        <v>0.24847402849846334</v>
      </c>
      <c r="F182" s="11">
        <f t="shared" si="43"/>
        <v>0.24446991478999655</v>
      </c>
      <c r="G182" s="11">
        <f t="shared" si="43"/>
        <v>0.26568202978691768</v>
      </c>
      <c r="H182" s="11">
        <f t="shared" si="43"/>
        <v>0.32497698090680049</v>
      </c>
      <c r="I182" s="11">
        <f t="shared" ref="I182:O182" si="44">+I181/I174</f>
        <v>0.2516003822844548</v>
      </c>
      <c r="J182" s="11">
        <f t="shared" si="44"/>
        <v>0.24972207116506709</v>
      </c>
      <c r="K182" s="11">
        <f t="shared" si="44"/>
        <v>0.25125638270875877</v>
      </c>
      <c r="L182" s="11">
        <f t="shared" si="44"/>
        <v>0.25054793110042217</v>
      </c>
      <c r="M182" s="11">
        <f t="shared" si="44"/>
        <v>0.24690587672576439</v>
      </c>
      <c r="N182" s="11">
        <f t="shared" si="44"/>
        <v>0.26522783962743396</v>
      </c>
      <c r="O182" s="11">
        <f t="shared" si="44"/>
        <v>0.33073483264150189</v>
      </c>
      <c r="P182" s="11">
        <f t="shared" ref="P182:V182" si="45">+P181/P174</f>
        <v>0.23576895926140976</v>
      </c>
      <c r="Q182" s="11">
        <f t="shared" si="45"/>
        <v>0.24472139063843279</v>
      </c>
      <c r="R182" s="11">
        <f t="shared" si="45"/>
        <v>0.25047863607863036</v>
      </c>
      <c r="S182" s="11">
        <f t="shared" si="45"/>
        <v>0.24755945437424415</v>
      </c>
      <c r="T182" s="11">
        <f t="shared" si="45"/>
        <v>0.24257404908106325</v>
      </c>
      <c r="U182" s="11">
        <f t="shared" si="45"/>
        <v>0.26063156916436186</v>
      </c>
      <c r="V182" s="11">
        <f t="shared" si="45"/>
        <v>0.32384465907737053</v>
      </c>
      <c r="W182" s="11">
        <f t="shared" ref="W182:AC182" si="46">+W181/W174</f>
        <v>0.24973171154887583</v>
      </c>
      <c r="X182" s="11">
        <f t="shared" si="46"/>
        <v>0.25038943076546272</v>
      </c>
      <c r="Y182" s="11">
        <f t="shared" si="46"/>
        <v>0.24905258392566285</v>
      </c>
      <c r="Z182" s="11">
        <f t="shared" si="46"/>
        <v>0.25294584259712799</v>
      </c>
      <c r="AA182" s="11">
        <f t="shared" si="46"/>
        <v>0.24237768198039664</v>
      </c>
      <c r="AB182" s="11">
        <f t="shared" si="46"/>
        <v>0.26286487468465503</v>
      </c>
      <c r="AC182" s="11">
        <f t="shared" si="46"/>
        <v>0.32178987047260438</v>
      </c>
      <c r="AD182" s="11">
        <f t="shared" ref="AD182:AF182" si="47">+AD181/AD174</f>
        <v>0.24672120849657575</v>
      </c>
      <c r="AE182" s="11">
        <f t="shared" si="47"/>
        <v>0.24737935436320921</v>
      </c>
      <c r="AF182" s="11">
        <f t="shared" si="47"/>
        <v>0.24741561091984238</v>
      </c>
      <c r="AG182" s="11">
        <f t="shared" ref="AG182:AJ182" si="48">+AG181/AG174</f>
        <v>0.24711303440103505</v>
      </c>
      <c r="AH182" s="11">
        <f t="shared" si="48"/>
        <v>0.2382731058398512</v>
      </c>
      <c r="AI182" s="11">
        <f t="shared" si="48"/>
        <v>0.25928248829696049</v>
      </c>
      <c r="AJ182" s="11">
        <f t="shared" si="48"/>
        <v>0.3292410806182019</v>
      </c>
    </row>
    <row r="183" spans="1:36" s="12" customFormat="1" ht="15" thickBot="1" x14ac:dyDescent="0.25">
      <c r="A183" s="417" t="s">
        <v>91</v>
      </c>
      <c r="B183" s="418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</row>
    <row r="184" spans="1:36" s="4" customFormat="1" ht="15" x14ac:dyDescent="0.25">
      <c r="A184" s="398" t="s">
        <v>54</v>
      </c>
      <c r="B184" s="399"/>
      <c r="C184" s="5">
        <f>+[1]Salidas!$G$107</f>
        <v>17713</v>
      </c>
      <c r="D184" s="5">
        <f>+[2]Salidas!$G$107</f>
        <v>17274</v>
      </c>
      <c r="E184" s="5">
        <f>+[3]Salidas!$G$107</f>
        <v>16421</v>
      </c>
      <c r="F184" s="5">
        <f>+[4]Salidas!$G$107</f>
        <v>17960</v>
      </c>
      <c r="G184" s="5">
        <f>+[5]Salidas!$G$107</f>
        <v>15359</v>
      </c>
      <c r="H184" s="5">
        <f>+[6]Salidas!$G$107</f>
        <v>8080</v>
      </c>
      <c r="I184" s="5">
        <f>+[7]Salidas!$G$107</f>
        <v>16258</v>
      </c>
      <c r="J184" s="5">
        <f>+[8]Salidas!$G$107</f>
        <v>17350</v>
      </c>
      <c r="K184" s="5">
        <f>+[9]Salidas!$G$107</f>
        <v>15812</v>
      </c>
      <c r="L184" s="5">
        <f>+[10]Salidas!$G$107</f>
        <v>15850</v>
      </c>
      <c r="M184" s="5">
        <f>+[11]Salidas!$G$107</f>
        <v>16355</v>
      </c>
      <c r="N184" s="5">
        <f>+[12]Salidas!$G$107</f>
        <v>14887</v>
      </c>
      <c r="O184" s="5">
        <f>+[13]Salidas!$G$107</f>
        <v>7673</v>
      </c>
      <c r="P184" s="5">
        <f>+[14]Salidas!$G$107</f>
        <v>17275</v>
      </c>
      <c r="Q184" s="5">
        <f>+[15]Salidas!$G$107</f>
        <v>16774</v>
      </c>
      <c r="R184" s="5">
        <f>+[16]Salidas!$G$107</f>
        <v>16517</v>
      </c>
      <c r="S184" s="5">
        <f>+[17]Salidas!$G$107</f>
        <v>16858</v>
      </c>
      <c r="T184" s="5">
        <f>+[18]Salidas!$G$107</f>
        <v>18300</v>
      </c>
      <c r="U184" s="5">
        <f>+[19]Salidas!$G$107</f>
        <v>15574</v>
      </c>
      <c r="V184" s="5">
        <f>+[20]Salidas!$G$107</f>
        <v>8606</v>
      </c>
      <c r="W184" s="5">
        <f>+[21]Salidas!$G$107</f>
        <v>16289</v>
      </c>
      <c r="X184" s="5">
        <f>+[22]Salidas!$G$107</f>
        <v>17136</v>
      </c>
      <c r="Y184" s="5">
        <f>+[23]Salidas!$G$107</f>
        <v>16133</v>
      </c>
      <c r="Z184" s="5">
        <f>+[24]Salidas!$G$107</f>
        <v>16888</v>
      </c>
      <c r="AA184" s="5">
        <f>+[25]Salidas!$G$107</f>
        <v>17872</v>
      </c>
      <c r="AB184" s="5">
        <f>+[26]Salidas!$G$107</f>
        <v>15720</v>
      </c>
      <c r="AC184" s="5">
        <f>+[27]Salidas!$G$107</f>
        <v>8169</v>
      </c>
      <c r="AD184" s="5">
        <f>+[28]Salidas!$G$107</f>
        <v>17548</v>
      </c>
      <c r="AE184" s="5">
        <f>+[29]Salidas!$G$107</f>
        <v>17739</v>
      </c>
      <c r="AF184" s="5">
        <f>+[30]Salidas!$G$107</f>
        <v>17452</v>
      </c>
      <c r="AG184" s="5">
        <f>+[31]Salidas!$G$107</f>
        <v>16280</v>
      </c>
      <c r="AH184" s="5">
        <f>+[32]Salidas!$G$107</f>
        <v>17400</v>
      </c>
      <c r="AI184" s="5">
        <f>+[33]Salidas!$G$107</f>
        <v>15707</v>
      </c>
      <c r="AJ184" s="5">
        <f>+[34]Salidas!$G$107</f>
        <v>7752</v>
      </c>
    </row>
    <row r="185" spans="1:36" s="4" customFormat="1" ht="15" x14ac:dyDescent="0.25">
      <c r="A185" s="405" t="s">
        <v>59</v>
      </c>
      <c r="B185" s="406"/>
      <c r="C185" s="5">
        <f>SUM([1]Salidas!$G$108:$G$113)</f>
        <v>54949</v>
      </c>
      <c r="D185" s="5">
        <f>SUM([2]Salidas!$G$108:$G$113)</f>
        <v>55201</v>
      </c>
      <c r="E185" s="5">
        <f>SUM([3]Salidas!$G$108:$G$113)</f>
        <v>53970</v>
      </c>
      <c r="F185" s="5">
        <f>SUM([4]Salidas!$G$108:$G$113)</f>
        <v>52960</v>
      </c>
      <c r="G185" s="5">
        <f>SUM([5]Salidas!$G$108:$G$113)</f>
        <v>38625</v>
      </c>
      <c r="H185" s="5">
        <f>SUM([6]Salidas!$G$108:$G$113)</f>
        <v>19141</v>
      </c>
      <c r="I185" s="5">
        <f>SUM([7]Salidas!$G$108:$G$113)</f>
        <v>56025</v>
      </c>
      <c r="J185" s="5">
        <f>SUM([8]Salidas!$G$108:$G$113)</f>
        <v>55860</v>
      </c>
      <c r="K185" s="5">
        <f>SUM([9]Salidas!$G$108:$G$113)</f>
        <v>55853</v>
      </c>
      <c r="L185" s="5">
        <f>SUM([10]Salidas!$G$108:$G$113)</f>
        <v>55642</v>
      </c>
      <c r="M185" s="5">
        <f>SUM([11]Salidas!$G$108:$G$113)</f>
        <v>54272</v>
      </c>
      <c r="N185" s="5">
        <f>SUM([12]Salidas!$G$108:$G$113)</f>
        <v>39069</v>
      </c>
      <c r="O185" s="5">
        <f>SUM([13]Salidas!$G$108:$G$113)</f>
        <v>18838</v>
      </c>
      <c r="P185" s="5">
        <f>SUM([14]Salidas!$G$108:$G$113)</f>
        <v>56401</v>
      </c>
      <c r="Q185" s="5">
        <f>SUM([15]Salidas!$G$108:$G$113)</f>
        <v>56256</v>
      </c>
      <c r="R185" s="5">
        <f>SUM([16]Salidas!$G$108:$G$113)</f>
        <v>57825</v>
      </c>
      <c r="S185" s="5">
        <f>SUM([17]Salidas!$G$108:$G$113)</f>
        <v>56124</v>
      </c>
      <c r="T185" s="5">
        <f>SUM([18]Salidas!$G$108:$G$113)</f>
        <v>55542</v>
      </c>
      <c r="U185" s="5">
        <f>SUM([19]Salidas!$G$108:$G$113)</f>
        <v>39513</v>
      </c>
      <c r="V185" s="5">
        <f>SUM([20]Salidas!$G$108:$G$113)</f>
        <v>20025</v>
      </c>
      <c r="W185" s="5">
        <f>SUM([21]Salidas!$G$108:$G$113)</f>
        <v>57201</v>
      </c>
      <c r="X185" s="5">
        <f>SUM([22]Salidas!$G$108:$G$113)</f>
        <v>57344</v>
      </c>
      <c r="Y185" s="5">
        <f>SUM([23]Salidas!$G$108:$G$113)</f>
        <v>57045</v>
      </c>
      <c r="Z185" s="5">
        <f>SUM([24]Salidas!$G$108:$G$113)</f>
        <v>56328</v>
      </c>
      <c r="AA185" s="5">
        <f>SUM([25]Salidas!$G$108:$G$113)</f>
        <v>54804</v>
      </c>
      <c r="AB185" s="5">
        <f>SUM([26]Salidas!$G$108:$G$113)</f>
        <v>40485</v>
      </c>
      <c r="AC185" s="5">
        <f>SUM([27]Salidas!$G$108:$G$113)</f>
        <v>19678</v>
      </c>
      <c r="AD185" s="5">
        <f>SUM([28]Salidas!$G$108:$G$113)</f>
        <v>56640</v>
      </c>
      <c r="AE185" s="5">
        <f>SUM([29]Salidas!$G$108:$G$113)</f>
        <v>57091</v>
      </c>
      <c r="AF185" s="5">
        <f>SUM([30]Salidas!$G$108:$G$113)</f>
        <v>58033</v>
      </c>
      <c r="AG185" s="5">
        <f>SUM([31]Salidas!$G$108:$G$113)</f>
        <v>57026</v>
      </c>
      <c r="AH185" s="5">
        <f>SUM([32]Salidas!$G$108:$G$113)</f>
        <v>56003</v>
      </c>
      <c r="AI185" s="5">
        <f>SUM([33]Salidas!$G$108:$G$113)</f>
        <v>40955</v>
      </c>
      <c r="AJ185" s="5">
        <f>SUM([34]Salidas!$G$108:$G$113)</f>
        <v>19656</v>
      </c>
    </row>
    <row r="186" spans="1:36" s="4" customFormat="1" ht="15.75" thickBot="1" x14ac:dyDescent="0.25">
      <c r="A186" s="407" t="s">
        <v>60</v>
      </c>
      <c r="B186" s="408"/>
      <c r="C186" s="5">
        <f>+[1]Salidas!$G$114</f>
        <v>14343</v>
      </c>
      <c r="D186" s="5">
        <f>+[2]Salidas!$G$114</f>
        <v>14190</v>
      </c>
      <c r="E186" s="5">
        <f>+[3]Salidas!$G$114</f>
        <v>14548</v>
      </c>
      <c r="F186" s="5">
        <f>+[4]Salidas!$G$114</f>
        <v>14789</v>
      </c>
      <c r="G186" s="5">
        <f>+[5]Salidas!$G$114</f>
        <v>9534</v>
      </c>
      <c r="H186" s="5">
        <f>+[6]Salidas!$G$114</f>
        <v>4848</v>
      </c>
      <c r="I186" s="5">
        <f>+[7]Salidas!$G$114</f>
        <v>14995</v>
      </c>
      <c r="J186" s="5">
        <f>+[8]Salidas!$G$114</f>
        <v>15061</v>
      </c>
      <c r="K186" s="5">
        <f>+[9]Salidas!$G$114</f>
        <v>14901</v>
      </c>
      <c r="L186" s="5">
        <f>+[10]Salidas!$G$114</f>
        <v>14869</v>
      </c>
      <c r="M186" s="5">
        <f>+[11]Salidas!$G$114</f>
        <v>14682</v>
      </c>
      <c r="N186" s="5">
        <f>+[12]Salidas!$G$114</f>
        <v>9508</v>
      </c>
      <c r="O186" s="5">
        <f>+[13]Salidas!$G$114</f>
        <v>4578</v>
      </c>
      <c r="P186" s="5">
        <f>+[14]Salidas!$G$114</f>
        <v>18207</v>
      </c>
      <c r="Q186" s="5">
        <f>+[15]Salidas!$G$114</f>
        <v>17282</v>
      </c>
      <c r="R186" s="5">
        <f>+[16]Salidas!$G$114</f>
        <v>18082</v>
      </c>
      <c r="S186" s="5">
        <f>+[17]Salidas!$G$114</f>
        <v>16465</v>
      </c>
      <c r="T186" s="5">
        <f>+[18]Salidas!$G$114</f>
        <v>15340</v>
      </c>
      <c r="U186" s="5">
        <f>+[19]Salidas!$G$114</f>
        <v>9682</v>
      </c>
      <c r="V186" s="5">
        <f>+[20]Salidas!$G$114</f>
        <v>4619</v>
      </c>
      <c r="W186" s="5">
        <f>+[21]Salidas!$G$114</f>
        <v>15349</v>
      </c>
      <c r="X186" s="5">
        <f>+[22]Salidas!$G$114</f>
        <v>15770</v>
      </c>
      <c r="Y186" s="5">
        <f>+[23]Salidas!$G$114</f>
        <v>14979</v>
      </c>
      <c r="Z186" s="5">
        <f>+[24]Salidas!$G$114</f>
        <v>14900</v>
      </c>
      <c r="AA186" s="5">
        <f>+[25]Salidas!$G$114</f>
        <v>15094</v>
      </c>
      <c r="AB186" s="5">
        <f>+[26]Salidas!$G$114</f>
        <v>9940</v>
      </c>
      <c r="AC186" s="5">
        <f>+[27]Salidas!$G$114</f>
        <v>4647</v>
      </c>
      <c r="AD186" s="5">
        <f>+[28]Salidas!$G$114</f>
        <v>15173</v>
      </c>
      <c r="AE186" s="5">
        <f>+[29]Salidas!$G$114</f>
        <v>15095</v>
      </c>
      <c r="AF186" s="5">
        <f>+[30]Salidas!$G$114</f>
        <v>14829</v>
      </c>
      <c r="AG186" s="5">
        <f>+[31]Salidas!$G$114</f>
        <v>15125</v>
      </c>
      <c r="AH186" s="5">
        <f>+[32]Salidas!$G$114</f>
        <v>15415</v>
      </c>
      <c r="AI186" s="5">
        <f>+[33]Salidas!$G$114</f>
        <v>10224</v>
      </c>
      <c r="AJ186" s="5">
        <f>+[34]Salidas!$G$114</f>
        <v>4912</v>
      </c>
    </row>
    <row r="187" spans="1:36" s="4" customFormat="1" ht="15.75" thickBot="1" x14ac:dyDescent="0.25">
      <c r="A187" s="101"/>
      <c r="B187" s="102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</row>
    <row r="188" spans="1:36" s="4" customFormat="1" ht="15" thickBot="1" x14ac:dyDescent="0.25">
      <c r="A188" s="439" t="s">
        <v>92</v>
      </c>
      <c r="B188" s="440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</row>
    <row r="189" spans="1:36" s="4" customFormat="1" ht="15" x14ac:dyDescent="0.25">
      <c r="A189" s="402" t="s">
        <v>54</v>
      </c>
      <c r="B189" s="403"/>
      <c r="C189" s="5">
        <f>+SUM([1]Salidas!$G$128:$G$129)</f>
        <v>4275</v>
      </c>
      <c r="D189" s="5">
        <f>+SUM([2]Salidas!$G$128:$G$129)</f>
        <v>4095</v>
      </c>
      <c r="E189" s="5">
        <f>+SUM([3]Salidas!$G$128:$G$129)</f>
        <v>4149</v>
      </c>
      <c r="F189" s="5">
        <f>+SUM([4]Salidas!$G$128:$G$129)</f>
        <v>3641</v>
      </c>
      <c r="G189" s="5">
        <f>+SUM([5]Salidas!$G$128:$G$129)</f>
        <v>2871</v>
      </c>
      <c r="H189" s="5">
        <f>+SUM([6]Salidas!$G$128:$G$129)</f>
        <v>1791</v>
      </c>
      <c r="I189" s="5">
        <f>+SUM([7]Salidas!$G$128:$G$129)</f>
        <v>3503</v>
      </c>
      <c r="J189" s="5">
        <f>+SUM([8]Salidas!$G$128:$G$129)</f>
        <v>3222</v>
      </c>
      <c r="K189" s="5">
        <f>+SUM([9]Salidas!$G$128:$G$129)</f>
        <v>3923</v>
      </c>
      <c r="L189" s="5">
        <f>+SUM([10]Salidas!$G$128:$G$129)</f>
        <v>3961</v>
      </c>
      <c r="M189" s="5">
        <f>+SUM([11]Salidas!$G$128:$G$129)</f>
        <v>2945</v>
      </c>
      <c r="N189" s="5">
        <f>+SUM([12]Salidas!$G$128:$G$129)</f>
        <v>2257</v>
      </c>
      <c r="O189" s="5">
        <f>+SUM([13]Salidas!$G$128:$G$129)</f>
        <v>1248</v>
      </c>
      <c r="P189" s="5">
        <f>+SUM([14]Salidas!$G$128:$G$129)</f>
        <v>3554</v>
      </c>
      <c r="Q189" s="5">
        <f>+SUM([15]Salidas!$G$128:$G$129)</f>
        <v>3326</v>
      </c>
      <c r="R189" s="5">
        <f>+SUM([16]Salidas!$G$128:$G$129)</f>
        <v>5211</v>
      </c>
      <c r="S189" s="5">
        <f>+SUM([17]Salidas!$G$128:$G$129)</f>
        <v>4841</v>
      </c>
      <c r="T189" s="5">
        <f>+SUM([18]Salidas!$G$128:$G$129)</f>
        <v>5029</v>
      </c>
      <c r="U189" s="5">
        <f>+SUM([19]Salidas!$G$128:$G$129)</f>
        <v>4039</v>
      </c>
      <c r="V189" s="5">
        <f>+SUM([20]Salidas!$G$128:$G$129)</f>
        <v>2253</v>
      </c>
      <c r="W189" s="5">
        <f>+SUM([21]Salidas!$G$128:$G$129)</f>
        <v>3861</v>
      </c>
      <c r="X189" s="5">
        <f>+SUM([22]Salidas!$G$128:$G$129)</f>
        <v>4864</v>
      </c>
      <c r="Y189" s="5">
        <f>+SUM([23]Salidas!$G$128:$G$129)</f>
        <v>4857</v>
      </c>
      <c r="Z189" s="5">
        <f>+SUM([24]Salidas!$G$128:$G$129)</f>
        <v>4693</v>
      </c>
      <c r="AA189" s="5">
        <f>+SUM([25]Salidas!$G$128:$G$129)</f>
        <v>4940</v>
      </c>
      <c r="AB189" s="5">
        <f>+SUM([26]Salidas!$G$128:$G$129)</f>
        <v>3838</v>
      </c>
      <c r="AC189" s="5">
        <f>+SUM([27]Salidas!$G$128:$G$129)</f>
        <v>2246</v>
      </c>
      <c r="AD189" s="5">
        <f>+SUM([28]Salidas!$G$128:$G$129)</f>
        <v>5343</v>
      </c>
      <c r="AE189" s="5">
        <f>+SUM([29]Salidas!$G$128:$G$129)</f>
        <v>5380</v>
      </c>
      <c r="AF189" s="5">
        <f>+SUM([30]Salidas!$G$128:$G$129)</f>
        <v>5255</v>
      </c>
      <c r="AG189" s="5">
        <f>+SUM([31]Salidas!$G$128:$G$129)</f>
        <v>5058</v>
      </c>
      <c r="AH189" s="5">
        <f>+SUM([32]Salidas!$G$128:$G$129)</f>
        <v>5138</v>
      </c>
      <c r="AI189" s="5">
        <f>+SUM([33]Salidas!$G$128:$G$129)</f>
        <v>4214</v>
      </c>
      <c r="AJ189" s="5">
        <f>+SUM([34]Salidas!$G$128:$G$129)</f>
        <v>2145</v>
      </c>
    </row>
    <row r="190" spans="1:36" s="4" customFormat="1" ht="15.75" thickBot="1" x14ac:dyDescent="0.25">
      <c r="A190" s="400" t="s">
        <v>59</v>
      </c>
      <c r="B190" s="401"/>
      <c r="C190" s="5">
        <f>SUM([1]Salidas!$G$130:$G$135)</f>
        <v>45589</v>
      </c>
      <c r="D190" s="5">
        <f>SUM([2]Salidas!$G$130:$G$135)</f>
        <v>46940</v>
      </c>
      <c r="E190" s="5">
        <f>SUM([3]Salidas!$G$130:$G$135)</f>
        <v>44901</v>
      </c>
      <c r="F190" s="5">
        <f>SUM([4]Salidas!$G$130:$G$135)</f>
        <v>46917</v>
      </c>
      <c r="G190" s="5">
        <f>SUM([5]Salidas!$G$130:$G$135)</f>
        <v>36012</v>
      </c>
      <c r="H190" s="5">
        <f>SUM([6]Salidas!$G$130:$G$135)</f>
        <v>18468</v>
      </c>
      <c r="I190" s="5">
        <f>SUM([7]Salidas!$G$130:$G$135)</f>
        <v>47470</v>
      </c>
      <c r="J190" s="5">
        <f>SUM([8]Salidas!$G$130:$G$135)</f>
        <v>46966</v>
      </c>
      <c r="K190" s="5">
        <f>SUM([9]Salidas!$G$130:$G$135)</f>
        <v>47753</v>
      </c>
      <c r="L190" s="5">
        <f>SUM([10]Salidas!$G$130:$G$135)</f>
        <v>48465</v>
      </c>
      <c r="M190" s="5">
        <f>SUM([11]Salidas!$G$130:$G$135)</f>
        <v>48641</v>
      </c>
      <c r="N190" s="5">
        <f>SUM([12]Salidas!$G$130:$G$135)</f>
        <v>37192</v>
      </c>
      <c r="O190" s="5">
        <f>SUM([13]Salidas!$G$130:$G$135)</f>
        <v>18305</v>
      </c>
      <c r="P190" s="5">
        <f>SUM([14]Salidas!$G$130:$G$135)</f>
        <v>49380</v>
      </c>
      <c r="Q190" s="5">
        <f>SUM([15]Salidas!$G$130:$G$135)</f>
        <v>50035</v>
      </c>
      <c r="R190" s="5">
        <f>SUM([16]Salidas!$G$130:$G$135)</f>
        <v>50202</v>
      </c>
      <c r="S190" s="5">
        <f>SUM([17]Salidas!$G$130:$G$135)</f>
        <v>49572</v>
      </c>
      <c r="T190" s="5">
        <f>SUM([18]Salidas!$G$130:$G$135)</f>
        <v>49670</v>
      </c>
      <c r="U190" s="5">
        <f>SUM([19]Salidas!$G$130:$G$135)</f>
        <v>37688</v>
      </c>
      <c r="V190" s="5">
        <f>SUM([20]Salidas!$G$130:$G$135)</f>
        <v>18309</v>
      </c>
      <c r="W190" s="5">
        <f>SUM([21]Salidas!$G$130:$G$135)</f>
        <v>49536</v>
      </c>
      <c r="X190" s="5">
        <f>SUM([22]Salidas!$G$130:$G$135)</f>
        <v>49869</v>
      </c>
      <c r="Y190" s="5">
        <f>SUM([23]Salidas!$G$130:$G$135)</f>
        <v>49601</v>
      </c>
      <c r="Z190" s="5">
        <f>SUM([24]Salidas!$G$130:$G$135)</f>
        <v>49947</v>
      </c>
      <c r="AA190" s="5">
        <f>SUM([25]Salidas!$G$130:$G$135)</f>
        <v>49129</v>
      </c>
      <c r="AB190" s="5">
        <f>SUM([26]Salidas!$G$130:$G$135)</f>
        <v>38090</v>
      </c>
      <c r="AC190" s="5">
        <f>SUM([27]Salidas!$G$130:$G$135)</f>
        <v>17966</v>
      </c>
      <c r="AD190" s="5">
        <f>SUM([28]Salidas!$G$130:$G$135)</f>
        <v>49761</v>
      </c>
      <c r="AE190" s="5">
        <f>SUM([29]Salidas!$G$130:$G$135)</f>
        <v>51238</v>
      </c>
      <c r="AF190" s="5">
        <f>SUM([30]Salidas!$G$130:$G$135)</f>
        <v>51183</v>
      </c>
      <c r="AG190" s="5">
        <f>SUM([31]Salidas!$G$130:$G$135)</f>
        <v>51225</v>
      </c>
      <c r="AH190" s="5">
        <f>SUM([32]Salidas!$G$130:$G$135)</f>
        <v>50455</v>
      </c>
      <c r="AI190" s="5">
        <f>SUM([33]Salidas!$G$130:$G$135)</f>
        <v>39112</v>
      </c>
      <c r="AJ190" s="5">
        <f>SUM([34]Salidas!$G$130:$G$135)</f>
        <v>18747</v>
      </c>
    </row>
    <row r="191" spans="1:36" s="4" customFormat="1" ht="15" thickBot="1" x14ac:dyDescent="0.25">
      <c r="A191" s="102"/>
      <c r="B191" s="102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1:36" s="4" customFormat="1" ht="15" thickBot="1" x14ac:dyDescent="0.25">
      <c r="A192" s="417" t="s">
        <v>111</v>
      </c>
      <c r="B192" s="418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1:36" s="4" customFormat="1" ht="15" x14ac:dyDescent="0.25">
      <c r="A193" s="402" t="s">
        <v>54</v>
      </c>
      <c r="B193" s="403"/>
      <c r="C193" s="5">
        <f>+[1]Salidas!$G$118</f>
        <v>25179</v>
      </c>
      <c r="D193" s="5">
        <f>+[2]Salidas!$G$118</f>
        <v>24052</v>
      </c>
      <c r="E193" s="5">
        <f>+[3]Salidas!$G$118</f>
        <v>24974</v>
      </c>
      <c r="F193" s="5">
        <f>+[4]Salidas!$G$118</f>
        <v>27291</v>
      </c>
      <c r="G193" s="5">
        <f>+[5]Salidas!$G$118</f>
        <v>23287</v>
      </c>
      <c r="H193" s="5">
        <f>+[6]Salidas!$G$118</f>
        <v>13084</v>
      </c>
      <c r="I193" s="5">
        <f>+[7]Salidas!$G$118</f>
        <v>25247</v>
      </c>
      <c r="J193" s="5">
        <f>+[8]Salidas!$G$118</f>
        <v>25534</v>
      </c>
      <c r="K193" s="5">
        <f>+[9]Salidas!$G$118</f>
        <v>24881</v>
      </c>
      <c r="L193" s="5">
        <f>+[10]Salidas!$G$118</f>
        <v>25218</v>
      </c>
      <c r="M193" s="5">
        <f>+[11]Salidas!$G$118</f>
        <v>26972</v>
      </c>
      <c r="N193" s="5">
        <f>+[12]Salidas!$G$118</f>
        <v>22276</v>
      </c>
      <c r="O193" s="5">
        <f>+[13]Salidas!$G$118</f>
        <v>12408</v>
      </c>
      <c r="P193" s="5">
        <f>+[14]Salidas!$G$118</f>
        <v>25650</v>
      </c>
      <c r="Q193" s="5">
        <f>+[15]Salidas!$G$118</f>
        <v>24626</v>
      </c>
      <c r="R193" s="5">
        <f>+[16]Salidas!$G$118</f>
        <v>23615</v>
      </c>
      <c r="S193" s="5">
        <f>+[17]Salidas!$G$118</f>
        <v>24269</v>
      </c>
      <c r="T193" s="5">
        <f>+[18]Salidas!$G$118</f>
        <v>28018</v>
      </c>
      <c r="U193" s="5">
        <f>+[19]Salidas!$G$118</f>
        <v>23584</v>
      </c>
      <c r="V193" s="5">
        <f>+[20]Salidas!$G$118</f>
        <v>13211</v>
      </c>
      <c r="W193" s="5">
        <f>+[21]Salidas!$G$118</f>
        <v>25990</v>
      </c>
      <c r="X193" s="5">
        <f>+[22]Salidas!$G$118</f>
        <v>25862</v>
      </c>
      <c r="Y193" s="5">
        <f>+[23]Salidas!$G$118</f>
        <v>25432</v>
      </c>
      <c r="Z193" s="5">
        <f>+[24]Salidas!$G$118</f>
        <v>25044</v>
      </c>
      <c r="AA193" s="5">
        <f>+[25]Salidas!$G$118</f>
        <v>28436</v>
      </c>
      <c r="AB193" s="5">
        <f>+[26]Salidas!$G$118</f>
        <v>24086</v>
      </c>
      <c r="AC193" s="5">
        <f>+[27]Salidas!$G$118</f>
        <v>13144</v>
      </c>
      <c r="AD193" s="5">
        <f>+[28]Salidas!$G$118</f>
        <v>25711</v>
      </c>
      <c r="AE193" s="5">
        <f>+[29]Salidas!$G$118</f>
        <v>25662</v>
      </c>
      <c r="AF193" s="5">
        <f>+[30]Salidas!$G$118</f>
        <v>25920</v>
      </c>
      <c r="AG193" s="5">
        <f>+[31]Salidas!$G$118</f>
        <v>24614</v>
      </c>
      <c r="AH193" s="5">
        <f>+[32]Salidas!$G$118</f>
        <v>29658</v>
      </c>
      <c r="AI193" s="5">
        <f>+[33]Salidas!$G$118</f>
        <v>24857</v>
      </c>
      <c r="AJ193" s="5">
        <f>+[34]Salidas!$G$118</f>
        <v>13119</v>
      </c>
    </row>
    <row r="194" spans="1:36" s="4" customFormat="1" ht="15" x14ac:dyDescent="0.25">
      <c r="A194" s="405" t="s">
        <v>59</v>
      </c>
      <c r="B194" s="406"/>
      <c r="C194" s="5">
        <f>+SUM([1]Salidas!$G$121:$G$124)</f>
        <v>52602</v>
      </c>
      <c r="D194" s="5">
        <f>+SUM([2]Salidas!$G$121:$G$124)</f>
        <v>54133</v>
      </c>
      <c r="E194" s="5">
        <f>+SUM([3]Salidas!$G$121:$G$124)</f>
        <v>55175</v>
      </c>
      <c r="F194" s="5">
        <f>+SUM([4]Salidas!$G$121:$G$124)</f>
        <v>54032</v>
      </c>
      <c r="G194" s="5">
        <f>+SUM([5]Salidas!$G$121:$G$124)</f>
        <v>38973</v>
      </c>
      <c r="H194" s="5">
        <f>+SUM([6]Salidas!$G$121:$G$124)</f>
        <v>24898</v>
      </c>
      <c r="I194" s="5">
        <f>+SUM([7]Salidas!$G$121:$G$124)</f>
        <v>55399</v>
      </c>
      <c r="J194" s="5">
        <f>+SUM([8]Salidas!$G$121:$G$124)</f>
        <v>56703</v>
      </c>
      <c r="K194" s="5">
        <f>+SUM([9]Salidas!$G$121:$G$124)</f>
        <v>55929</v>
      </c>
      <c r="L194" s="5">
        <f>+SUM([10]Salidas!$G$121:$G$124)</f>
        <v>56292</v>
      </c>
      <c r="M194" s="5">
        <f>+SUM([11]Salidas!$G$121:$G$124)</f>
        <v>55704</v>
      </c>
      <c r="N194" s="5">
        <f>+SUM([12]Salidas!$G$121:$G$124)</f>
        <v>39738</v>
      </c>
      <c r="O194" s="5">
        <f>+SUM([13]Salidas!$G$121:$G$124)</f>
        <v>23769</v>
      </c>
      <c r="P194" s="5">
        <f>+SUM([14]Salidas!$G$121:$G$124)</f>
        <v>55469</v>
      </c>
      <c r="Q194" s="5">
        <f>+SUM([15]Salidas!$G$121:$G$124)</f>
        <v>55880</v>
      </c>
      <c r="R194" s="5">
        <f>+SUM([16]Salidas!$G$121:$G$124)</f>
        <v>56014</v>
      </c>
      <c r="S194" s="5">
        <f>+SUM([17]Salidas!$G$121:$G$124)</f>
        <v>56572</v>
      </c>
      <c r="T194" s="5">
        <f>+SUM([18]Salidas!$G$121:$G$124)</f>
        <v>54908</v>
      </c>
      <c r="U194" s="5">
        <f>+SUM([19]Salidas!$G$121:$G$124)</f>
        <v>39689</v>
      </c>
      <c r="V194" s="5">
        <f>+SUM([20]Salidas!$G$121:$G$124)</f>
        <v>23863</v>
      </c>
      <c r="W194" s="5">
        <f>+SUM([21]Salidas!$G$121:$G$124)</f>
        <v>55343</v>
      </c>
      <c r="X194" s="5">
        <f>+SUM([22]Salidas!$G$121:$G$124)</f>
        <v>57165</v>
      </c>
      <c r="Y194" s="5">
        <f>+SUM([23]Salidas!$G$121:$G$124)</f>
        <v>55152</v>
      </c>
      <c r="Z194" s="5">
        <f>+SUM([24]Salidas!$G$121:$G$124)</f>
        <v>56966</v>
      </c>
      <c r="AA194" s="5">
        <f>+SUM([25]Salidas!$G$121:$G$124)</f>
        <v>53995</v>
      </c>
      <c r="AB194" s="5">
        <f>+SUM([26]Salidas!$G$121:$G$124)</f>
        <v>40280</v>
      </c>
      <c r="AC194" s="5">
        <f>+SUM([27]Salidas!$G$121:$G$124)</f>
        <v>22850</v>
      </c>
      <c r="AD194" s="5">
        <f>+SUM([28]Salidas!$G$121:$G$124)</f>
        <v>54866</v>
      </c>
      <c r="AE194" s="5">
        <f>+SUM([29]Salidas!$G$121:$G$124)</f>
        <v>57135</v>
      </c>
      <c r="AF194" s="5">
        <f>+SUM([30]Salidas!$G$121:$G$124)</f>
        <v>57012</v>
      </c>
      <c r="AG194" s="5">
        <f>+SUM([31]Salidas!$G$121:$G$124)</f>
        <v>56796</v>
      </c>
      <c r="AH194" s="5">
        <f>+SUM([32]Salidas!$G$121:$G$124)</f>
        <v>56716</v>
      </c>
      <c r="AI194" s="5">
        <f>+SUM([33]Salidas!$G$121:$G$124)</f>
        <v>41794</v>
      </c>
      <c r="AJ194" s="5">
        <f>+SUM([34]Salidas!$G$121:$G$124)</f>
        <v>23593</v>
      </c>
    </row>
    <row r="195" spans="1:36" s="4" customFormat="1" ht="15.75" thickBot="1" x14ac:dyDescent="0.25">
      <c r="A195" s="407" t="s">
        <v>60</v>
      </c>
      <c r="B195" s="408"/>
      <c r="C195" s="5">
        <f>+SUM([1]Salidas!$G$119:$G$120)</f>
        <v>28683</v>
      </c>
      <c r="D195" s="5">
        <f>+SUM([2]Salidas!$G$119:$G$120)</f>
        <v>29659</v>
      </c>
      <c r="E195" s="5">
        <f>+SUM([3]Salidas!$G$119:$G$120)</f>
        <v>31169</v>
      </c>
      <c r="F195" s="5">
        <f>+SUM([4]Salidas!$G$119:$G$120)</f>
        <v>30302</v>
      </c>
      <c r="G195" s="5">
        <f>+SUM([5]Salidas!$G$119:$G$120)</f>
        <v>20893</v>
      </c>
      <c r="H195" s="5">
        <f>+SUM([6]Salidas!$G$119:$G$120)</f>
        <v>12406</v>
      </c>
      <c r="I195" s="5">
        <f>+SUM([7]Salidas!$G$119:$G$120)</f>
        <v>28859</v>
      </c>
      <c r="J195" s="5">
        <f>+SUM([8]Salidas!$G$119:$G$120)</f>
        <v>30541</v>
      </c>
      <c r="K195" s="5">
        <f>+SUM([9]Salidas!$G$119:$G$120)</f>
        <v>29452</v>
      </c>
      <c r="L195" s="5">
        <f>+SUM([10]Salidas!$G$119:$G$120)</f>
        <v>30250</v>
      </c>
      <c r="M195" s="5">
        <f>+SUM([11]Salidas!$G$119:$G$120)</f>
        <v>29689</v>
      </c>
      <c r="N195" s="5">
        <f>+SUM([12]Salidas!$G$119:$G$120)</f>
        <v>20737</v>
      </c>
      <c r="O195" s="5">
        <f>+SUM([13]Salidas!$G$119:$G$120)</f>
        <v>11720</v>
      </c>
      <c r="P195" s="5">
        <f>+SUM([14]Salidas!$G$119:$G$120)</f>
        <v>29516</v>
      </c>
      <c r="Q195" s="5">
        <f>+SUM([15]Salidas!$G$119:$G$120)</f>
        <v>29005</v>
      </c>
      <c r="R195" s="5">
        <f>+SUM([16]Salidas!$G$119:$G$120)</f>
        <v>29154</v>
      </c>
      <c r="S195" s="5">
        <f>+SUM([17]Salidas!$G$119:$G$120)</f>
        <v>28298</v>
      </c>
      <c r="T195" s="5">
        <f>+SUM([18]Salidas!$G$119:$G$120)</f>
        <v>28874</v>
      </c>
      <c r="U195" s="5">
        <f>+SUM([19]Salidas!$G$119:$G$120)</f>
        <v>20246</v>
      </c>
      <c r="V195" s="5">
        <f>+SUM([20]Salidas!$G$119:$G$120)</f>
        <v>12579</v>
      </c>
      <c r="W195" s="5">
        <f>+SUM([21]Salidas!$G$119:$G$120)</f>
        <v>30235</v>
      </c>
      <c r="X195" s="5">
        <f>+SUM([22]Salidas!$G$119:$G$120)</f>
        <v>29253</v>
      </c>
      <c r="Y195" s="5">
        <f>+SUM([23]Salidas!$G$119:$G$120)</f>
        <v>29308</v>
      </c>
      <c r="Z195" s="5">
        <f>+SUM([24]Salidas!$G$119:$G$120)</f>
        <v>28764</v>
      </c>
      <c r="AA195" s="5">
        <f>+SUM([25]Salidas!$G$119:$G$120)</f>
        <v>28635</v>
      </c>
      <c r="AB195" s="5">
        <f>+SUM([26]Salidas!$G$119:$G$120)</f>
        <v>20776</v>
      </c>
      <c r="AC195" s="5">
        <f>+SUM([27]Salidas!$G$119:$G$120)</f>
        <v>11737</v>
      </c>
      <c r="AD195" s="5">
        <f>+SUM([28]Salidas!$G$119:$G$120)</f>
        <v>30331</v>
      </c>
      <c r="AE195" s="5">
        <f>+SUM([29]Salidas!$G$119:$G$120)</f>
        <v>30333</v>
      </c>
      <c r="AF195" s="5">
        <f>+SUM([30]Salidas!$G$119:$G$120)</f>
        <v>30990</v>
      </c>
      <c r="AG195" s="5">
        <f>+SUM([31]Salidas!$G$119:$G$120)</f>
        <v>30707</v>
      </c>
      <c r="AH195" s="5">
        <f>+SUM([32]Salidas!$G$119:$G$120)</f>
        <v>32332</v>
      </c>
      <c r="AI195" s="5">
        <f>+SUM([33]Salidas!$G$119:$G$120)</f>
        <v>22370</v>
      </c>
      <c r="AJ195" s="5">
        <f>+SUM([34]Salidas!$G$119:$G$120)</f>
        <v>12512</v>
      </c>
    </row>
    <row r="196" spans="1:36" s="4" customFormat="1" ht="15.75" thickBot="1" x14ac:dyDescent="0.25">
      <c r="A196" s="101"/>
      <c r="B196" s="102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1:36" s="4" customFormat="1" ht="15" thickBot="1" x14ac:dyDescent="0.25">
      <c r="A197" s="417" t="s">
        <v>118</v>
      </c>
      <c r="B197" s="418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spans="1:36" s="4" customFormat="1" ht="15" x14ac:dyDescent="0.25">
      <c r="A198" s="398" t="s">
        <v>54</v>
      </c>
      <c r="B198" s="399"/>
      <c r="C198" s="5">
        <f>+[1]Salidas!$G$139</f>
        <v>2766</v>
      </c>
      <c r="D198" s="5">
        <f>+[2]Salidas!$G$139</f>
        <v>2749</v>
      </c>
      <c r="E198" s="5">
        <f>+[3]Salidas!$G$139</f>
        <v>2961</v>
      </c>
      <c r="F198" s="5">
        <f>+[4]Salidas!$G$139</f>
        <v>2912</v>
      </c>
      <c r="G198" s="5">
        <f>+[5]Salidas!$G$139</f>
        <v>2260</v>
      </c>
      <c r="H198" s="5">
        <f>+[6]Salidas!$G$139</f>
        <v>1276</v>
      </c>
      <c r="I198" s="5">
        <f>+[7]Salidas!$G$139</f>
        <v>2777</v>
      </c>
      <c r="J198" s="5">
        <f>+[8]Salidas!$G$139</f>
        <v>2921</v>
      </c>
      <c r="K198" s="5">
        <f>+[9]Salidas!$G$139</f>
        <v>2902</v>
      </c>
      <c r="L198" s="5">
        <f>+[10]Salidas!$G$139</f>
        <v>2889</v>
      </c>
      <c r="M198" s="5">
        <f>+[11]Salidas!$G$139</f>
        <v>2904</v>
      </c>
      <c r="N198" s="5">
        <f>+[12]Salidas!$G$139</f>
        <v>2295</v>
      </c>
      <c r="O198" s="5">
        <f>+[13]Salidas!$G$139</f>
        <v>1202</v>
      </c>
      <c r="P198" s="5">
        <f>+[14]Salidas!$G$139</f>
        <v>3138</v>
      </c>
      <c r="Q198" s="5">
        <f>+[15]Salidas!$G$139</f>
        <v>3128</v>
      </c>
      <c r="R198" s="5">
        <f>+[16]Salidas!$G$139</f>
        <v>3056</v>
      </c>
      <c r="S198" s="5">
        <f>+[17]Salidas!$G$139</f>
        <v>2982</v>
      </c>
      <c r="T198" s="5">
        <f>+[18]Salidas!$G$139</f>
        <v>3126</v>
      </c>
      <c r="U198" s="5">
        <f>+[19]Salidas!$G$139</f>
        <v>2341</v>
      </c>
      <c r="V198" s="5">
        <f>+[20]Salidas!$G$139</f>
        <v>1343</v>
      </c>
      <c r="W198" s="5">
        <f>+[21]Salidas!$G$139</f>
        <v>2986</v>
      </c>
      <c r="X198" s="5">
        <f>+[22]Salidas!$G$139</f>
        <v>2884</v>
      </c>
      <c r="Y198" s="5">
        <f>+[23]Salidas!$G$139</f>
        <v>2903</v>
      </c>
      <c r="Z198" s="5">
        <f>+[24]Salidas!$G$139</f>
        <v>2818</v>
      </c>
      <c r="AA198" s="5">
        <f>+[25]Salidas!$G$139</f>
        <v>2931</v>
      </c>
      <c r="AB198" s="5">
        <f>+[26]Salidas!$G$139</f>
        <v>2250</v>
      </c>
      <c r="AC198" s="5">
        <f>+[27]Salidas!$G$139</f>
        <v>1197</v>
      </c>
      <c r="AD198" s="5">
        <f>+[28]Salidas!$G$139</f>
        <v>2859</v>
      </c>
      <c r="AE198" s="5">
        <f>+[29]Salidas!$G$139</f>
        <v>2954</v>
      </c>
      <c r="AF198" s="5">
        <f>+[30]Salidas!$G$139</f>
        <v>2867</v>
      </c>
      <c r="AG198" s="5">
        <f>+[31]Salidas!$G$139</f>
        <v>2872</v>
      </c>
      <c r="AH198" s="5">
        <f>+[32]Salidas!$G$139</f>
        <v>3004</v>
      </c>
      <c r="AI198" s="5">
        <f>+[33]Salidas!$G$139</f>
        <v>2352</v>
      </c>
      <c r="AJ198" s="5">
        <f>+[34]Salidas!$G$139</f>
        <v>1330</v>
      </c>
    </row>
    <row r="199" spans="1:36" s="4" customFormat="1" ht="15.75" thickBot="1" x14ac:dyDescent="0.25">
      <c r="A199" s="400" t="s">
        <v>59</v>
      </c>
      <c r="B199" s="401"/>
      <c r="C199" s="5">
        <f>SUM([1]Salidas!$G$140:$G$141)</f>
        <v>50098</v>
      </c>
      <c r="D199" s="5">
        <f>SUM([2]Salidas!$G$140:$G$141)</f>
        <v>49701</v>
      </c>
      <c r="E199" s="5">
        <f>SUM([3]Salidas!$G$140:$G$141)</f>
        <v>48840</v>
      </c>
      <c r="F199" s="5">
        <f>SUM([4]Salidas!$G$140:$G$141)</f>
        <v>50521</v>
      </c>
      <c r="G199" s="5">
        <f>SUM([5]Salidas!$G$140:$G$141)</f>
        <v>39546</v>
      </c>
      <c r="H199" s="5">
        <f>SUM([6]Salidas!$G$140:$G$141)</f>
        <v>20570</v>
      </c>
      <c r="I199" s="5">
        <f>SUM([7]Salidas!$G$140:$G$141)</f>
        <v>51006</v>
      </c>
      <c r="J199" s="5">
        <f>SUM([8]Salidas!$G$140:$G$141)</f>
        <v>50797</v>
      </c>
      <c r="K199" s="5">
        <f>SUM([9]Salidas!$G$140:$G$141)</f>
        <v>51081</v>
      </c>
      <c r="L199" s="5">
        <f>SUM([10]Salidas!$G$140:$G$141)</f>
        <v>50657</v>
      </c>
      <c r="M199" s="5">
        <f>SUM([11]Salidas!$G$140:$G$141)</f>
        <v>51247</v>
      </c>
      <c r="N199" s="5">
        <f>SUM([12]Salidas!$G$140:$G$141)</f>
        <v>39094</v>
      </c>
      <c r="O199" s="5">
        <f>SUM([13]Salidas!$G$140:$G$141)</f>
        <v>19634</v>
      </c>
      <c r="P199" s="5">
        <f>SUM([14]Salidas!$G$140:$G$141)</f>
        <v>52506</v>
      </c>
      <c r="Q199" s="5">
        <f>SUM([15]Salidas!$G$140:$G$141)</f>
        <v>53726</v>
      </c>
      <c r="R199" s="5">
        <f>SUM([16]Salidas!$G$140:$G$141)</f>
        <v>54147</v>
      </c>
      <c r="S199" s="5">
        <f>SUM([17]Salidas!$G$140:$G$141)</f>
        <v>53521</v>
      </c>
      <c r="T199" s="5">
        <f>SUM([18]Salidas!$G$140:$G$141)</f>
        <v>52659</v>
      </c>
      <c r="U199" s="5">
        <f>SUM([19]Salidas!$G$140:$G$141)</f>
        <v>40036</v>
      </c>
      <c r="V199" s="5">
        <f>SUM([20]Salidas!$G$140:$G$141)</f>
        <v>20199</v>
      </c>
      <c r="W199" s="5">
        <f>SUM([21]Salidas!$G$140:$G$141)</f>
        <v>52367</v>
      </c>
      <c r="X199" s="5">
        <f>SUM([22]Salidas!$G$140:$G$141)</f>
        <v>52633</v>
      </c>
      <c r="Y199" s="5">
        <f>SUM([23]Salidas!$G$140:$G$141)</f>
        <v>52672</v>
      </c>
      <c r="Z199" s="5">
        <f>SUM([24]Salidas!$G$140:$G$141)</f>
        <v>52484</v>
      </c>
      <c r="AA199" s="5">
        <f>SUM([25]Salidas!$G$140:$G$141)</f>
        <v>52353</v>
      </c>
      <c r="AB199" s="5">
        <f>SUM([26]Salidas!$G$140:$G$141)</f>
        <v>40788</v>
      </c>
      <c r="AC199" s="5">
        <f>SUM([27]Salidas!$G$140:$G$141)</f>
        <v>19930</v>
      </c>
      <c r="AD199" s="5">
        <f>SUM([28]Salidas!$G$140:$G$141)</f>
        <v>52853</v>
      </c>
      <c r="AE199" s="5">
        <f>SUM([29]Salidas!$G$140:$G$141)</f>
        <v>54654</v>
      </c>
      <c r="AF199" s="5">
        <f>SUM([30]Salidas!$G$140:$G$141)</f>
        <v>54730</v>
      </c>
      <c r="AG199" s="5">
        <f>SUM([31]Salidas!$G$140:$G$141)</f>
        <v>53995</v>
      </c>
      <c r="AH199" s="5">
        <f>SUM([32]Salidas!$G$140:$G$141)</f>
        <v>52990</v>
      </c>
      <c r="AI199" s="5">
        <f>SUM([33]Salidas!$G$140:$G$141)</f>
        <v>41282</v>
      </c>
      <c r="AJ199" s="5">
        <f>SUM([34]Salidas!$G$140:$G$141)</f>
        <v>20645</v>
      </c>
    </row>
    <row r="200" spans="1:36" s="4" customFormat="1" ht="15" thickBot="1" x14ac:dyDescent="0.25">
      <c r="A200" s="102"/>
      <c r="B200" s="102"/>
    </row>
    <row r="201" spans="1:36" s="4" customFormat="1" ht="15" thickBot="1" x14ac:dyDescent="0.25">
      <c r="A201" s="437" t="s">
        <v>171</v>
      </c>
      <c r="B201" s="438"/>
    </row>
    <row r="202" spans="1:36" s="4" customFormat="1" ht="15" x14ac:dyDescent="0.25">
      <c r="A202" s="398" t="s">
        <v>54</v>
      </c>
      <c r="B202" s="399"/>
      <c r="C202" s="5">
        <f>+[35]Salidas!$G$24</f>
        <v>8388</v>
      </c>
      <c r="D202" s="5">
        <f>+[36]Salidas!$G$24</f>
        <v>8532</v>
      </c>
      <c r="E202" s="5">
        <f>+[37]Salidas!$G$24</f>
        <v>8086</v>
      </c>
      <c r="F202" s="5">
        <f>+[38]Salidas!$G$24</f>
        <v>7930</v>
      </c>
      <c r="G202" s="5">
        <f>+[39]Salidas!$G$24</f>
        <v>6015</v>
      </c>
      <c r="H202" s="5">
        <f>+[40]Salidas!$G$24</f>
        <v>2973</v>
      </c>
      <c r="I202" s="5">
        <f>+[41]Salidas!$G$24</f>
        <v>8180</v>
      </c>
      <c r="J202" s="5">
        <f>+[42]Salidas!$G$24</f>
        <v>8329</v>
      </c>
      <c r="K202" s="5">
        <f>+[43]Salidas!$G$24</f>
        <v>8212</v>
      </c>
      <c r="L202" s="5">
        <f>+[44]Salidas!$G$24</f>
        <v>8036</v>
      </c>
      <c r="M202" s="5">
        <f>+[45]Salidas!$G$24</f>
        <v>7635</v>
      </c>
      <c r="N202" s="5">
        <f>+[46]Salidas!$G$24</f>
        <v>5582</v>
      </c>
      <c r="O202" s="5">
        <f>+[47]Salidas!$G$24</f>
        <v>2659</v>
      </c>
      <c r="P202" s="5">
        <f>+[48]Salidas!$G$24</f>
        <v>5894</v>
      </c>
      <c r="Q202" s="5">
        <f>+[49]Salidas!$G$24</f>
        <v>3290</v>
      </c>
      <c r="R202" s="5">
        <f>+[50]Salidas!$G$24</f>
        <v>3861</v>
      </c>
      <c r="S202" s="5">
        <f>+[51]Salidas!$G$24</f>
        <v>4406</v>
      </c>
      <c r="T202" s="5">
        <f>+[52]Salidas!$G$24</f>
        <v>7965</v>
      </c>
      <c r="U202" s="5">
        <f>+[53]Salidas!$G$24</f>
        <v>5998</v>
      </c>
      <c r="V202" s="5">
        <f>+[54]Salidas!$G$24</f>
        <v>2918</v>
      </c>
      <c r="W202" s="5">
        <f>+[55]Salidas!$G$24</f>
        <v>8040</v>
      </c>
      <c r="X202" s="5">
        <f>+[56]Salidas!$G$24</f>
        <v>8056</v>
      </c>
      <c r="Y202" s="5">
        <f>+[57]Salidas!$G$24</f>
        <v>8158</v>
      </c>
      <c r="Z202" s="5">
        <f>+[58]Salidas!$G$24</f>
        <v>7866</v>
      </c>
      <c r="AA202" s="5">
        <f>+[59]Salidas!$G$24</f>
        <v>7862</v>
      </c>
      <c r="AB202" s="5">
        <f>+[60]Salidas!$G$24</f>
        <v>6092</v>
      </c>
      <c r="AC202" s="5">
        <f>+[61]Salidas!$G$24</f>
        <v>2906</v>
      </c>
      <c r="AD202" s="5">
        <f>+[62]Salidas!$G$24</f>
        <v>8137</v>
      </c>
      <c r="AE202" s="5">
        <f>+[63]Salidas!$G$24</f>
        <v>8453</v>
      </c>
      <c r="AF202" s="5">
        <f>+[64]Salidas!$G$24</f>
        <v>8345</v>
      </c>
      <c r="AG202" s="5">
        <f>+[65]Salidas!$G$24</f>
        <v>8232</v>
      </c>
      <c r="AH202" s="5">
        <f>+[66]Salidas!$G$24</f>
        <v>8063</v>
      </c>
      <c r="AI202" s="5">
        <f>+[67]Salidas!$G$24</f>
        <v>6338</v>
      </c>
      <c r="AJ202" s="5">
        <f>+[68]Salidas!$G$24</f>
        <v>2911</v>
      </c>
    </row>
    <row r="203" spans="1:36" s="4" customFormat="1" ht="15" x14ac:dyDescent="0.25">
      <c r="A203" s="398" t="s">
        <v>172</v>
      </c>
      <c r="B203" s="399"/>
      <c r="C203" s="5">
        <f>+[35]Salidas!$G$25</f>
        <v>345</v>
      </c>
      <c r="D203" s="5">
        <f>+[36]Salidas!$G$25</f>
        <v>332</v>
      </c>
      <c r="E203" s="5">
        <f>+[37]Salidas!$G$25</f>
        <v>340</v>
      </c>
      <c r="F203" s="5">
        <f>+[38]Salidas!$G$25</f>
        <v>336</v>
      </c>
      <c r="G203" s="5">
        <f>+[39]Salidas!$G$25</f>
        <v>261</v>
      </c>
      <c r="H203" s="5">
        <f>+[40]Salidas!$G$25</f>
        <v>37</v>
      </c>
      <c r="I203" s="5">
        <f>+[41]Salidas!$G$25</f>
        <v>328</v>
      </c>
      <c r="J203" s="5">
        <f>+[42]Salidas!$G$25</f>
        <v>382</v>
      </c>
      <c r="K203" s="5">
        <f>+[43]Salidas!$G$25</f>
        <v>258</v>
      </c>
      <c r="L203" s="5">
        <f>+[44]Salidas!$G$25</f>
        <v>352</v>
      </c>
      <c r="M203" s="5">
        <f>+[45]Salidas!$G$25</f>
        <v>333</v>
      </c>
      <c r="N203" s="5">
        <f>+[46]Salidas!$G$25</f>
        <v>224</v>
      </c>
      <c r="O203" s="5">
        <f>+[47]Salidas!$G$25</f>
        <v>97</v>
      </c>
      <c r="P203" s="5">
        <f>+[48]Salidas!$G$25</f>
        <v>91</v>
      </c>
      <c r="Q203" s="5">
        <f>+[49]Salidas!$G$25</f>
        <v>19</v>
      </c>
      <c r="R203" s="5">
        <f>+[50]Salidas!$G$25</f>
        <v>150</v>
      </c>
      <c r="S203" s="5">
        <f>+[51]Salidas!$G$25</f>
        <v>183</v>
      </c>
      <c r="T203" s="5">
        <f>+[52]Salidas!$G$25</f>
        <v>321</v>
      </c>
      <c r="U203" s="5">
        <f>+[53]Salidas!$G$25</f>
        <v>195</v>
      </c>
      <c r="V203" s="5">
        <f>+[54]Salidas!$G$25</f>
        <v>53</v>
      </c>
      <c r="W203" s="5">
        <f>+[55]Salidas!$G$25</f>
        <v>330</v>
      </c>
      <c r="X203" s="5">
        <f>+[56]Salidas!$G$25</f>
        <v>345</v>
      </c>
      <c r="Y203" s="5">
        <f>+[57]Salidas!$G$25</f>
        <v>353</v>
      </c>
      <c r="Z203" s="5">
        <f>+[58]Salidas!$G$25</f>
        <v>320</v>
      </c>
      <c r="AA203" s="5">
        <f>+[59]Salidas!$G$25</f>
        <v>305</v>
      </c>
      <c r="AB203" s="5">
        <f>+[60]Salidas!$G$25</f>
        <v>220</v>
      </c>
      <c r="AC203" s="5">
        <f>+[61]Salidas!$G$25</f>
        <v>90</v>
      </c>
      <c r="AD203" s="5">
        <f>+[62]Salidas!$G$25</f>
        <v>380</v>
      </c>
      <c r="AE203" s="5">
        <f>+[63]Salidas!$G$25</f>
        <v>347</v>
      </c>
      <c r="AF203" s="5">
        <f>+[64]Salidas!$G$25</f>
        <v>301</v>
      </c>
      <c r="AG203" s="5">
        <f>+[65]Salidas!$G$25</f>
        <v>313</v>
      </c>
      <c r="AH203" s="5">
        <f>+[66]Salidas!$G$25</f>
        <v>325</v>
      </c>
      <c r="AI203" s="5">
        <f>+[67]Salidas!$G$25</f>
        <v>128</v>
      </c>
      <c r="AJ203" s="5">
        <f>+[68]Salidas!$G$25</f>
        <v>103</v>
      </c>
    </row>
    <row r="204" spans="1:36" s="4" customFormat="1" ht="15" x14ac:dyDescent="0.25">
      <c r="A204" s="99" t="s">
        <v>469</v>
      </c>
      <c r="B204" s="100"/>
      <c r="C204" s="5">
        <f>SUM([35]Salidas!$G$33:$G$34)</f>
        <v>12810</v>
      </c>
      <c r="D204" s="5">
        <f>SUM([36]Salidas!$G$33:$G$34)</f>
        <v>12715</v>
      </c>
      <c r="E204" s="5">
        <f>SUM([37]Salidas!$G$33:$G$34)</f>
        <v>11583</v>
      </c>
      <c r="F204" s="5">
        <f>SUM([38]Salidas!$G$33:$G$34)</f>
        <v>11633</v>
      </c>
      <c r="G204" s="5">
        <f>SUM([39]Salidas!$G$33:$G$34)</f>
        <v>7464</v>
      </c>
      <c r="H204" s="5">
        <f>SUM([40]Salidas!$G$33:$G$34)</f>
        <v>3959</v>
      </c>
      <c r="I204" s="5">
        <f>SUM([41]Salidas!$G$33:$G$34)</f>
        <v>12263</v>
      </c>
      <c r="J204" s="5">
        <f>SUM([42]Salidas!$G$33:$G$34)</f>
        <v>12408</v>
      </c>
      <c r="K204" s="5">
        <f>SUM([43]Salidas!$G$33:$G$34)</f>
        <v>12697</v>
      </c>
      <c r="L204" s="5">
        <f>SUM([44]Salidas!$G$33:$G$34)</f>
        <v>12706</v>
      </c>
      <c r="M204" s="5">
        <f>SUM([45]Salidas!$G$33:$G$34)</f>
        <v>12444</v>
      </c>
      <c r="N204" s="5">
        <f>SUM([46]Salidas!$G$33:$G$34)</f>
        <v>7920</v>
      </c>
      <c r="O204" s="5">
        <f>SUM([47]Salidas!$G$33:$G$34)</f>
        <v>4086</v>
      </c>
      <c r="P204" s="5">
        <f>SUM([48]Salidas!$G$33:$G$34)</f>
        <v>1823</v>
      </c>
      <c r="Q204" s="5">
        <f>SUM([49]Salidas!$G$33:$G$34)</f>
        <v>3611</v>
      </c>
      <c r="R204" s="5">
        <f>SUM([50]Salidas!$G$33:$G$34)</f>
        <v>6736</v>
      </c>
      <c r="S204" s="5">
        <f>SUM([51]Salidas!$G$33:$G$34)</f>
        <v>7823</v>
      </c>
      <c r="T204" s="5">
        <f>SUM([52]Salidas!$G$33:$G$34)</f>
        <v>11342</v>
      </c>
      <c r="U204" s="5">
        <f>SUM([53]Salidas!$G$33:$G$34)</f>
        <v>6934</v>
      </c>
      <c r="V204" s="5">
        <f>SUM([54]Salidas!$G$33:$G$34)</f>
        <v>3466</v>
      </c>
      <c r="W204" s="5">
        <f>SUM([55]Salidas!$G$33:$G$34)</f>
        <v>11703</v>
      </c>
      <c r="X204" s="5">
        <f>SUM([56]Salidas!$G$33:$G$34)</f>
        <v>11914</v>
      </c>
      <c r="Y204" s="5">
        <f>SUM([57]Salidas!$G$33:$G$34)</f>
        <v>12008</v>
      </c>
      <c r="Z204" s="5">
        <f>SUM([58]Salidas!$G$33:$G$34)</f>
        <v>12582</v>
      </c>
      <c r="AA204" s="5">
        <f>SUM([59]Salidas!$G$33:$G$34)</f>
        <v>12388</v>
      </c>
      <c r="AB204" s="5">
        <f>SUM([60]Salidas!$G$33:$G$34)</f>
        <v>8146</v>
      </c>
      <c r="AC204" s="5">
        <f>SUM([61]Salidas!$G$33:$G$34)</f>
        <v>3916</v>
      </c>
      <c r="AD204" s="5">
        <f>SUM([62]Salidas!$G$33:$G$34)</f>
        <v>12610</v>
      </c>
      <c r="AE204" s="5">
        <f>SUM([63]Salidas!$G$33:$G$34)</f>
        <v>13552</v>
      </c>
      <c r="AF204" s="5">
        <f>SUM([64]Salidas!$G$33:$G$34)</f>
        <v>13905</v>
      </c>
      <c r="AG204" s="5">
        <f>SUM([65]Salidas!$G$33:$G$34)</f>
        <v>13654</v>
      </c>
      <c r="AH204" s="5">
        <f>SUM([66]Salidas!$G$33:$G$34)</f>
        <v>13103</v>
      </c>
      <c r="AI204" s="5">
        <f>SUM([67]Salidas!$G$33:$G$34)</f>
        <v>8221</v>
      </c>
      <c r="AJ204" s="5">
        <f>SUM([68]Salidas!$G$33:$G$34)</f>
        <v>4145</v>
      </c>
    </row>
    <row r="205" spans="1:36" s="4" customFormat="1" ht="15.75" thickBot="1" x14ac:dyDescent="0.25">
      <c r="A205" s="400" t="s">
        <v>59</v>
      </c>
      <c r="B205" s="401"/>
      <c r="C205" s="5">
        <f>SUM([35]Salidas!$G$26:$G$32)</f>
        <v>39083</v>
      </c>
      <c r="D205" s="5">
        <f>SUM([36]Salidas!$G$26:$G$32)</f>
        <v>41125</v>
      </c>
      <c r="E205" s="5">
        <f>SUM([37]Salidas!$G$26:$G$32)</f>
        <v>39661</v>
      </c>
      <c r="F205" s="5">
        <f>SUM([38]Salidas!$G$26:$G$32)</f>
        <v>39680</v>
      </c>
      <c r="G205" s="5">
        <f>SUM([39]Salidas!$G$26:$G$32)</f>
        <v>28327</v>
      </c>
      <c r="H205" s="5">
        <f>SUM([40]Salidas!$G$26:$G$32)</f>
        <v>13555</v>
      </c>
      <c r="I205" s="5">
        <f>SUM([41]Salidas!$G$26:$G$32)</f>
        <v>39543</v>
      </c>
      <c r="J205" s="5">
        <f>SUM([42]Salidas!$G$26:$G$32)</f>
        <v>39303</v>
      </c>
      <c r="K205" s="5">
        <f>SUM([43]Salidas!$G$26:$G$32)</f>
        <v>39844</v>
      </c>
      <c r="L205" s="5">
        <f>SUM([44]Salidas!$G$26:$G$32)</f>
        <v>39611</v>
      </c>
      <c r="M205" s="5">
        <f>SUM([45]Salidas!$G$26:$G$32)</f>
        <v>39746</v>
      </c>
      <c r="N205" s="5">
        <f>SUM([46]Salidas!$G$26:$G$32)</f>
        <v>28984</v>
      </c>
      <c r="O205" s="5">
        <f>SUM([47]Salidas!$G$26:$G$32)</f>
        <v>13786</v>
      </c>
      <c r="P205" s="5">
        <f>SUM([48]Salidas!$G$26:$G$32)</f>
        <v>7226</v>
      </c>
      <c r="Q205" s="5">
        <f>SUM([49]Salidas!$G$26:$G$32)</f>
        <v>11683</v>
      </c>
      <c r="R205" s="5">
        <f>SUM([50]Salidas!$G$26:$G$32)</f>
        <v>19297</v>
      </c>
      <c r="S205" s="5">
        <f>SUM([51]Salidas!$G$26:$G$32)</f>
        <v>22987</v>
      </c>
      <c r="T205" s="5">
        <f>SUM([52]Salidas!$G$26:$G$32)</f>
        <v>37681</v>
      </c>
      <c r="U205" s="5">
        <f>SUM([53]Salidas!$G$26:$G$32)</f>
        <v>27273</v>
      </c>
      <c r="V205" s="5">
        <f>SUM([54]Salidas!$G$26:$G$32)</f>
        <v>13748</v>
      </c>
      <c r="W205" s="5">
        <f>SUM([55]Salidas!$G$26:$G$32)</f>
        <v>40091</v>
      </c>
      <c r="X205" s="5">
        <f>SUM([56]Salidas!$G$26:$G$32)</f>
        <v>38657</v>
      </c>
      <c r="Y205" s="5">
        <f>SUM([57]Salidas!$G$26:$G$32)</f>
        <v>38658</v>
      </c>
      <c r="Z205" s="5">
        <f>SUM([58]Salidas!$G$26:$G$32)</f>
        <v>39070</v>
      </c>
      <c r="AA205" s="5">
        <f>SUM([59]Salidas!$G$26:$G$32)</f>
        <v>38066</v>
      </c>
      <c r="AB205" s="5">
        <f>SUM([60]Salidas!$G$26:$G$32)</f>
        <v>26891</v>
      </c>
      <c r="AC205" s="5">
        <f>SUM([61]Salidas!$G$26:$G$32)</f>
        <v>13097</v>
      </c>
      <c r="AD205" s="5">
        <f>SUM([62]Salidas!$G$26:$G$32)</f>
        <v>39050</v>
      </c>
      <c r="AE205" s="5">
        <f>SUM([63]Salidas!$G$26:$G$32)</f>
        <v>40440</v>
      </c>
      <c r="AF205" s="5">
        <f>SUM([64]Salidas!$G$26:$G$32)</f>
        <v>39382</v>
      </c>
      <c r="AG205" s="5">
        <f>SUM([65]Salidas!$G$26:$G$32)</f>
        <v>40485</v>
      </c>
      <c r="AH205" s="5">
        <f>SUM([66]Salidas!$G$26:$G$32)</f>
        <v>37458</v>
      </c>
      <c r="AI205" s="5">
        <f>SUM([67]Salidas!$G$26:$G$32)</f>
        <v>28179</v>
      </c>
      <c r="AJ205" s="5">
        <f>SUM([68]Salidas!$G$26:$G$32)</f>
        <v>12764</v>
      </c>
    </row>
    <row r="206" spans="1:36" s="4" customFormat="1" ht="15.75" thickBot="1" x14ac:dyDescent="0.25">
      <c r="A206" s="109"/>
      <c r="B206" s="109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</row>
    <row r="207" spans="1:36" s="4" customFormat="1" ht="15" thickBot="1" x14ac:dyDescent="0.25">
      <c r="A207" s="107" t="s">
        <v>250</v>
      </c>
      <c r="B207" s="108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</row>
    <row r="208" spans="1:36" s="4" customFormat="1" ht="15" x14ac:dyDescent="0.25">
      <c r="A208" s="99" t="s">
        <v>54</v>
      </c>
      <c r="B208" s="100"/>
      <c r="C208" s="5">
        <f>[35]Salidas!$G$38</f>
        <v>10818</v>
      </c>
      <c r="D208" s="5">
        <f>[36]Salidas!$G$38</f>
        <v>10211</v>
      </c>
      <c r="E208" s="5">
        <f>[37]Salidas!$G$38</f>
        <v>9805</v>
      </c>
      <c r="F208" s="5">
        <f>[38]Salidas!$G$38</f>
        <v>10450</v>
      </c>
      <c r="G208" s="5">
        <f>[39]Salidas!$G$38</f>
        <v>8495</v>
      </c>
      <c r="H208" s="5">
        <f>[40]Salidas!$G$38</f>
        <v>4491</v>
      </c>
      <c r="I208" s="5">
        <f>[41]Salidas!$G$38</f>
        <v>9867</v>
      </c>
      <c r="J208" s="5">
        <f>[42]Salidas!$G$38</f>
        <v>10438</v>
      </c>
      <c r="K208" s="5">
        <f>[43]Salidas!$G$38</f>
        <v>10336</v>
      </c>
      <c r="L208" s="5">
        <f>[44]Salidas!$G$38</f>
        <v>10204</v>
      </c>
      <c r="M208" s="5">
        <f>[45]Salidas!$G$38</f>
        <v>10451</v>
      </c>
      <c r="N208" s="5">
        <f>[46]Salidas!$G$38</f>
        <v>8526</v>
      </c>
      <c r="O208" s="5">
        <f>[47]Salidas!$G$38</f>
        <v>4371</v>
      </c>
      <c r="P208" s="5">
        <f>[48]Salidas!$G$38</f>
        <v>11906</v>
      </c>
      <c r="Q208" s="5">
        <f>[49]Salidas!$G$38</f>
        <v>12157</v>
      </c>
      <c r="R208" s="5">
        <f>[50]Salidas!$G$38</f>
        <v>11868</v>
      </c>
      <c r="S208" s="5">
        <f>[51]Salidas!$G$38</f>
        <v>11444</v>
      </c>
      <c r="T208" s="5">
        <f>[52]Salidas!$G$38</f>
        <v>11141</v>
      </c>
      <c r="U208" s="5">
        <f>[53]Salidas!$G$38</f>
        <v>9097</v>
      </c>
      <c r="V208" s="5">
        <f>[54]Salidas!$G$38</f>
        <v>4723</v>
      </c>
      <c r="W208" s="5">
        <f>[55]Salidas!$G$38</f>
        <v>10658</v>
      </c>
      <c r="X208" s="5">
        <f>[56]Salidas!$G$38</f>
        <v>10866</v>
      </c>
      <c r="Y208" s="5">
        <f>[57]Salidas!$G$38</f>
        <v>10566</v>
      </c>
      <c r="Z208" s="5">
        <f>[58]Salidas!$G$38</f>
        <v>10889</v>
      </c>
      <c r="AA208" s="5">
        <f>[59]Salidas!$G$38</f>
        <v>11070</v>
      </c>
      <c r="AB208" s="5">
        <f>[60]Salidas!$G$38</f>
        <v>8894</v>
      </c>
      <c r="AC208" s="5">
        <f>[61]Salidas!$G$38</f>
        <v>4701</v>
      </c>
      <c r="AD208" s="5">
        <f>[62]Salidas!$G$38</f>
        <v>11269</v>
      </c>
      <c r="AE208" s="5">
        <f>[63]Salidas!$G$38</f>
        <v>11416</v>
      </c>
      <c r="AF208" s="5">
        <f>[64]Salidas!$G$38</f>
        <v>11689</v>
      </c>
      <c r="AG208" s="5">
        <f>[65]Salidas!$G$38</f>
        <v>11084</v>
      </c>
      <c r="AH208" s="5">
        <f>[66]Salidas!$G$38</f>
        <v>11176</v>
      </c>
      <c r="AI208" s="5">
        <f>[67]Salidas!$G$38</f>
        <v>9775</v>
      </c>
      <c r="AJ208" s="5">
        <f>[68]Salidas!$G$38</f>
        <v>4659</v>
      </c>
    </row>
    <row r="209" spans="1:36" s="4" customFormat="1" ht="15" x14ac:dyDescent="0.25">
      <c r="A209" s="99" t="s">
        <v>253</v>
      </c>
      <c r="B209" s="100"/>
      <c r="C209" s="5">
        <f>[35]Salidas!$G$39</f>
        <v>599</v>
      </c>
      <c r="D209" s="5">
        <f>[36]Salidas!$G$39</f>
        <v>553</v>
      </c>
      <c r="E209" s="5">
        <f>[37]Salidas!$G$39</f>
        <v>559</v>
      </c>
      <c r="F209" s="5">
        <f>[38]Salidas!$G$39</f>
        <v>533</v>
      </c>
      <c r="G209" s="5">
        <f>[39]Salidas!$G$39</f>
        <v>374</v>
      </c>
      <c r="H209" s="5">
        <f>[40]Salidas!$G$39</f>
        <v>169</v>
      </c>
      <c r="I209" s="5">
        <f>[41]Salidas!$G$39</f>
        <v>497</v>
      </c>
      <c r="J209" s="5">
        <f>[42]Salidas!$G$39</f>
        <v>542</v>
      </c>
      <c r="K209" s="5">
        <f>[43]Salidas!$G$39</f>
        <v>535</v>
      </c>
      <c r="L209" s="5">
        <f>[44]Salidas!$G$39</f>
        <v>678</v>
      </c>
      <c r="M209" s="5">
        <f>[45]Salidas!$G$39</f>
        <v>608</v>
      </c>
      <c r="N209" s="5">
        <f>[46]Salidas!$G$39</f>
        <v>417</v>
      </c>
      <c r="O209" s="5">
        <f>[47]Salidas!$G$39</f>
        <v>184</v>
      </c>
      <c r="P209" s="5">
        <f>[48]Salidas!$G$39</f>
        <v>580</v>
      </c>
      <c r="Q209" s="5">
        <f>[49]Salidas!$G$39</f>
        <v>654</v>
      </c>
      <c r="R209" s="5">
        <f>[50]Salidas!$G$39</f>
        <v>562</v>
      </c>
      <c r="S209" s="5">
        <f>[51]Salidas!$G$39</f>
        <v>587</v>
      </c>
      <c r="T209" s="5">
        <f>[52]Salidas!$G$39</f>
        <v>531</v>
      </c>
      <c r="U209" s="5">
        <f>[53]Salidas!$G$39</f>
        <v>429</v>
      </c>
      <c r="V209" s="5">
        <f>[54]Salidas!$G$39</f>
        <v>196</v>
      </c>
      <c r="W209" s="5">
        <f>[55]Salidas!$G$39</f>
        <v>576</v>
      </c>
      <c r="X209" s="5">
        <f>[56]Salidas!$G$39</f>
        <v>603</v>
      </c>
      <c r="Y209" s="5">
        <f>[57]Salidas!$G$39</f>
        <v>625</v>
      </c>
      <c r="Z209" s="5">
        <f>[58]Salidas!$G$39</f>
        <v>614</v>
      </c>
      <c r="AA209" s="5">
        <f>[59]Salidas!$G$39</f>
        <v>532</v>
      </c>
      <c r="AB209" s="5">
        <f>[60]Salidas!$G$39</f>
        <v>330</v>
      </c>
      <c r="AC209" s="5">
        <f>[61]Salidas!$G$39</f>
        <v>201</v>
      </c>
      <c r="AD209" s="5">
        <f>[62]Salidas!$G$39</f>
        <v>574</v>
      </c>
      <c r="AE209" s="5">
        <f>[63]Salidas!$G$39</f>
        <v>601</v>
      </c>
      <c r="AF209" s="5">
        <f>[64]Salidas!$G$39</f>
        <v>531</v>
      </c>
      <c r="AG209" s="5">
        <f>[65]Salidas!$G$39</f>
        <v>484</v>
      </c>
      <c r="AH209" s="5">
        <f>[66]Salidas!$G$39</f>
        <v>490</v>
      </c>
      <c r="AI209" s="5">
        <f>[67]Salidas!$G$39</f>
        <v>384</v>
      </c>
      <c r="AJ209" s="5">
        <f>[68]Salidas!$G$39</f>
        <v>232</v>
      </c>
    </row>
    <row r="210" spans="1:36" s="4" customFormat="1" ht="15.75" thickBot="1" x14ac:dyDescent="0.25">
      <c r="A210" s="105" t="s">
        <v>59</v>
      </c>
      <c r="B210" s="106"/>
      <c r="C210" s="5">
        <f>+SUM([35]Salidas!$G$40:$G$44)</f>
        <v>33273</v>
      </c>
      <c r="D210" s="5">
        <f>+SUM([36]Salidas!$G$40:$G$44)</f>
        <v>33188</v>
      </c>
      <c r="E210" s="5">
        <f>+SUM([37]Salidas!$G$40:$G$44)</f>
        <v>32969</v>
      </c>
      <c r="F210" s="5">
        <f>+SUM([38]Salidas!$G$40:$G$44)</f>
        <v>33751</v>
      </c>
      <c r="G210" s="5">
        <f>+SUM([39]Salidas!$G$40:$G$44)</f>
        <v>25896</v>
      </c>
      <c r="H210" s="5">
        <f>+SUM([40]Salidas!$G$40:$G$44)</f>
        <v>12703</v>
      </c>
      <c r="I210" s="5">
        <f>+SUM([41]Salidas!$G$40:$G$44)</f>
        <v>33762</v>
      </c>
      <c r="J210" s="5">
        <f>+SUM([42]Salidas!$G$40:$G$44)</f>
        <v>33661</v>
      </c>
      <c r="K210" s="5">
        <f>+SUM([43]Salidas!$G$40:$G$44)</f>
        <v>32880</v>
      </c>
      <c r="L210" s="5">
        <f>+SUM([44]Salidas!$G$40:$G$44)</f>
        <v>33654</v>
      </c>
      <c r="M210" s="5">
        <f>+SUM([45]Salidas!$G$40:$G$44)</f>
        <v>34170</v>
      </c>
      <c r="N210" s="5">
        <f>+SUM([46]Salidas!$G$40:$G$44)</f>
        <v>25811</v>
      </c>
      <c r="O210" s="5">
        <f>+SUM([47]Salidas!$G$40:$G$44)</f>
        <v>12091</v>
      </c>
      <c r="P210" s="5">
        <f>+SUM([48]Salidas!$G$40:$G$44)</f>
        <v>36434</v>
      </c>
      <c r="Q210" s="5">
        <f>+SUM([49]Salidas!$G$40:$G$44)</f>
        <v>37017</v>
      </c>
      <c r="R210" s="5">
        <f>+SUM([50]Salidas!$G$40:$G$44)</f>
        <v>37209</v>
      </c>
      <c r="S210" s="5">
        <f>+SUM([51]Salidas!$G$40:$G$44)</f>
        <v>35929</v>
      </c>
      <c r="T210" s="5">
        <f>+SUM([52]Salidas!$G$40:$G$44)</f>
        <v>34594</v>
      </c>
      <c r="U210" s="5">
        <f>+SUM([53]Salidas!$G$40:$G$44)</f>
        <v>26769</v>
      </c>
      <c r="V210" s="5">
        <f>+SUM([54]Salidas!$G$40:$G$44)</f>
        <v>12019</v>
      </c>
      <c r="W210" s="5">
        <f>+SUM([55]Salidas!$G$40:$G$44)</f>
        <v>34640</v>
      </c>
      <c r="X210" s="5">
        <f>+SUM([56]Salidas!$G$40:$G$44)</f>
        <v>34997</v>
      </c>
      <c r="Y210" s="5">
        <f>+SUM([57]Salidas!$G$40:$G$44)</f>
        <v>34340</v>
      </c>
      <c r="Z210" s="5">
        <f>+SUM([58]Salidas!$G$40:$G$44)</f>
        <v>34652</v>
      </c>
      <c r="AA210" s="5">
        <f>+SUM([59]Salidas!$G$40:$G$44)</f>
        <v>34732</v>
      </c>
      <c r="AB210" s="5">
        <f>+SUM([60]Salidas!$G$40:$G$44)</f>
        <v>26683</v>
      </c>
      <c r="AC210" s="5">
        <f>+SUM([61]Salidas!$G$40:$G$44)</f>
        <v>12314</v>
      </c>
      <c r="AD210" s="5">
        <f>+SUM([62]Salidas!$G$40:$G$44)</f>
        <v>34291</v>
      </c>
      <c r="AE210" s="5">
        <f>+SUM([63]Salidas!$G$40:$G$44)</f>
        <v>35100</v>
      </c>
      <c r="AF210" s="5">
        <f>+SUM([64]Salidas!$G$40:$G$44)</f>
        <v>34638</v>
      </c>
      <c r="AG210" s="5">
        <f>+SUM([65]Salidas!$G$40:$G$44)</f>
        <v>35737</v>
      </c>
      <c r="AH210" s="5">
        <f>+SUM([66]Salidas!$G$40:$G$44)</f>
        <v>34248</v>
      </c>
      <c r="AI210" s="5">
        <f>+SUM([67]Salidas!$G$40:$G$44)</f>
        <v>27053</v>
      </c>
      <c r="AJ210" s="5">
        <f>+SUM([68]Salidas!$G$40:$G$44)</f>
        <v>12746</v>
      </c>
    </row>
    <row r="211" spans="1:36" s="4" customFormat="1" ht="15.75" thickBot="1" x14ac:dyDescent="0.25">
      <c r="A211" s="109"/>
      <c r="B211" s="109"/>
    </row>
    <row r="212" spans="1:36" s="4" customFormat="1" ht="15.75" thickBot="1" x14ac:dyDescent="0.25">
      <c r="A212" s="110" t="s">
        <v>272</v>
      </c>
      <c r="B212" s="109"/>
    </row>
    <row r="213" spans="1:36" s="4" customFormat="1" ht="15" x14ac:dyDescent="0.25">
      <c r="A213" s="103" t="s">
        <v>280</v>
      </c>
      <c r="B213" s="109"/>
      <c r="C213" s="5">
        <f>[35]Salidas!$G$48</f>
        <v>11191</v>
      </c>
      <c r="D213" s="5">
        <f>[36]Salidas!$G$48</f>
        <v>11265</v>
      </c>
      <c r="E213" s="5">
        <f>[37]Salidas!$G$48</f>
        <v>11412</v>
      </c>
      <c r="F213" s="5">
        <f>[38]Salidas!$G$48</f>
        <v>11549</v>
      </c>
      <c r="G213" s="5">
        <f>[39]Salidas!$G$48</f>
        <v>9885</v>
      </c>
      <c r="H213" s="5">
        <f>[40]Salidas!$G$48</f>
        <v>4973</v>
      </c>
      <c r="I213" s="5">
        <f>[41]Salidas!$G$48</f>
        <v>12119</v>
      </c>
      <c r="J213" s="5">
        <f>[42]Salidas!$G$48</f>
        <v>11806</v>
      </c>
      <c r="K213" s="5">
        <f>[43]Salidas!$G$48</f>
        <v>11352</v>
      </c>
      <c r="L213" s="5">
        <f>[44]Salidas!$G$48</f>
        <v>12027</v>
      </c>
      <c r="M213" s="5">
        <f>[45]Salidas!$G$48</f>
        <v>11641</v>
      </c>
      <c r="N213" s="5">
        <f>[46]Salidas!$G$48</f>
        <v>9910</v>
      </c>
      <c r="O213" s="5">
        <f>[47]Salidas!$G$48</f>
        <v>4588</v>
      </c>
      <c r="P213" s="5">
        <f>[48]Salidas!$G$48</f>
        <v>12176</v>
      </c>
      <c r="Q213" s="5">
        <f>[49]Salidas!$G$48</f>
        <v>12958</v>
      </c>
      <c r="R213" s="5">
        <f>[50]Salidas!$G$48</f>
        <v>12002</v>
      </c>
      <c r="S213" s="5">
        <f>[51]Salidas!$G$48</f>
        <v>12336</v>
      </c>
      <c r="T213" s="5">
        <f>[52]Salidas!$G$48</f>
        <v>12646</v>
      </c>
      <c r="U213" s="5">
        <f>[53]Salidas!$G$48</f>
        <v>10439</v>
      </c>
      <c r="V213" s="5">
        <f>[54]Salidas!$G$48</f>
        <v>5002</v>
      </c>
      <c r="W213" s="5">
        <f>[55]Salidas!$G$48</f>
        <v>12797</v>
      </c>
      <c r="X213" s="5">
        <f>[56]Salidas!$G$48</f>
        <v>12723</v>
      </c>
      <c r="Y213" s="5">
        <f>[57]Salidas!$G$48</f>
        <v>11932</v>
      </c>
      <c r="Z213" s="5">
        <f>[58]Salidas!$G$48</f>
        <v>11599</v>
      </c>
      <c r="AA213" s="5">
        <f>[59]Salidas!$G$48</f>
        <v>11979</v>
      </c>
      <c r="AB213" s="5">
        <f>[60]Salidas!$G$48</f>
        <v>10335</v>
      </c>
      <c r="AC213" s="5">
        <f>[61]Salidas!$G$48</f>
        <v>4962</v>
      </c>
      <c r="AD213" s="5">
        <f>[62]Salidas!$G$48</f>
        <v>12760</v>
      </c>
      <c r="AE213" s="5">
        <f>[63]Salidas!$G$48</f>
        <v>13063</v>
      </c>
      <c r="AF213" s="5">
        <f>[64]Salidas!$G$48</f>
        <v>12778</v>
      </c>
      <c r="AG213" s="5">
        <f>[65]Salidas!$G$48</f>
        <v>12530</v>
      </c>
      <c r="AH213" s="5">
        <f>[66]Salidas!$G$48</f>
        <v>12752</v>
      </c>
      <c r="AI213" s="5">
        <f>[67]Salidas!$G$48</f>
        <v>11175</v>
      </c>
      <c r="AJ213" s="5">
        <f>[68]Salidas!$G$48</f>
        <v>5070</v>
      </c>
    </row>
    <row r="214" spans="1:36" s="4" customFormat="1" ht="15" x14ac:dyDescent="0.25">
      <c r="A214" s="99" t="s">
        <v>281</v>
      </c>
      <c r="B214" s="109"/>
      <c r="C214" s="5">
        <f>[35]Salidas!$G$49</f>
        <v>144</v>
      </c>
      <c r="D214" s="5">
        <f>[36]Salidas!$G$49</f>
        <v>122</v>
      </c>
      <c r="E214" s="5">
        <f>[37]Salidas!$G$49</f>
        <v>114</v>
      </c>
      <c r="F214" s="5">
        <f>[38]Salidas!$G$49</f>
        <v>107</v>
      </c>
      <c r="G214" s="5">
        <f>[39]Salidas!$G$49</f>
        <v>95</v>
      </c>
      <c r="H214" s="5">
        <f>[40]Salidas!$G$49</f>
        <v>90</v>
      </c>
      <c r="I214" s="5">
        <f>[41]Salidas!$G$49</f>
        <v>152</v>
      </c>
      <c r="J214" s="5">
        <f>[42]Salidas!$G$49</f>
        <v>134</v>
      </c>
      <c r="K214" s="5">
        <f>[43]Salidas!$G$49</f>
        <v>122</v>
      </c>
      <c r="L214" s="5">
        <f>[44]Salidas!$G$49</f>
        <v>100</v>
      </c>
      <c r="M214" s="5">
        <f>[45]Salidas!$G$49</f>
        <v>101</v>
      </c>
      <c r="N214" s="5">
        <f>[46]Salidas!$G$49</f>
        <v>100</v>
      </c>
      <c r="O214" s="5">
        <f>[47]Salidas!$G$49</f>
        <v>67</v>
      </c>
      <c r="P214" s="5">
        <f>[48]Salidas!$G$49</f>
        <v>140</v>
      </c>
      <c r="Q214" s="5">
        <f>[49]Salidas!$G$49</f>
        <v>140</v>
      </c>
      <c r="R214" s="5">
        <f>[50]Salidas!$G$49</f>
        <v>113</v>
      </c>
      <c r="S214" s="5">
        <f>[51]Salidas!$G$49</f>
        <v>133</v>
      </c>
      <c r="T214" s="5">
        <f>[52]Salidas!$G$49</f>
        <v>108</v>
      </c>
      <c r="U214" s="5">
        <f>[53]Salidas!$G$49</f>
        <v>145</v>
      </c>
      <c r="V214" s="5">
        <f>[54]Salidas!$G$49</f>
        <v>86</v>
      </c>
      <c r="W214" s="5">
        <f>[55]Salidas!$G$49</f>
        <v>155</v>
      </c>
      <c r="X214" s="5">
        <f>[56]Salidas!$G$49</f>
        <v>130</v>
      </c>
      <c r="Y214" s="5">
        <f>[57]Salidas!$G$49</f>
        <v>143</v>
      </c>
      <c r="Z214" s="5">
        <f>[58]Salidas!$G$49</f>
        <v>102</v>
      </c>
      <c r="AA214" s="5">
        <f>[59]Salidas!$G$49</f>
        <v>100</v>
      </c>
      <c r="AB214" s="5">
        <f>[60]Salidas!$G$49</f>
        <v>96</v>
      </c>
      <c r="AC214" s="5">
        <f>[61]Salidas!$G$49</f>
        <v>65</v>
      </c>
      <c r="AD214" s="5">
        <f>[62]Salidas!$G$49</f>
        <v>114</v>
      </c>
      <c r="AE214" s="5">
        <f>[63]Salidas!$G$49</f>
        <v>160</v>
      </c>
      <c r="AF214" s="5">
        <f>[64]Salidas!$G$49</f>
        <v>120</v>
      </c>
      <c r="AG214" s="5">
        <f>[65]Salidas!$G$49</f>
        <v>104</v>
      </c>
      <c r="AH214" s="5">
        <f>[66]Salidas!$G$49</f>
        <v>82</v>
      </c>
      <c r="AI214" s="5">
        <f>[67]Salidas!$G$49</f>
        <v>145</v>
      </c>
      <c r="AJ214" s="5">
        <f>[68]Salidas!$G$49</f>
        <v>75</v>
      </c>
    </row>
    <row r="215" spans="1:36" s="4" customFormat="1" ht="15.75" thickBot="1" x14ac:dyDescent="0.25">
      <c r="A215" s="105" t="s">
        <v>59</v>
      </c>
      <c r="B215" s="109"/>
      <c r="C215" s="5">
        <f>+SUM([35]Salidas!$G$50:$G$54)</f>
        <v>49458</v>
      </c>
      <c r="D215" s="5">
        <f>+SUM([36]Salidas!$G$50:$G$54)</f>
        <v>49205</v>
      </c>
      <c r="E215" s="5">
        <f>+SUM([37]Salidas!$G$50:$G$54)</f>
        <v>46866</v>
      </c>
      <c r="F215" s="5">
        <f>+SUM([38]Salidas!$G$50:$G$54)</f>
        <v>48054</v>
      </c>
      <c r="G215" s="5">
        <f>+SUM([39]Salidas!$G$50:$G$54)</f>
        <v>33559</v>
      </c>
      <c r="H215" s="5">
        <f>+SUM([40]Salidas!$G$50:$G$54)</f>
        <v>18159</v>
      </c>
      <c r="I215" s="5">
        <f>+SUM([41]Salidas!$G$50:$G$54)</f>
        <v>50913</v>
      </c>
      <c r="J215" s="5">
        <f>+SUM([42]Salidas!$G$50:$G$54)</f>
        <v>51506</v>
      </c>
      <c r="K215" s="5">
        <f>+SUM([43]Salidas!$G$50:$G$54)</f>
        <v>52112</v>
      </c>
      <c r="L215" s="5">
        <f>+SUM([44]Salidas!$G$50:$G$54)</f>
        <v>50484</v>
      </c>
      <c r="M215" s="5">
        <f>+SUM([45]Salidas!$G$50:$G$54)</f>
        <v>50032</v>
      </c>
      <c r="N215" s="5">
        <f>+SUM([46]Salidas!$G$50:$G$54)</f>
        <v>33981</v>
      </c>
      <c r="O215" s="5">
        <f>+SUM([47]Salidas!$G$50:$G$54)</f>
        <v>17456</v>
      </c>
      <c r="P215" s="5">
        <f>+SUM([48]Salidas!$G$50:$G$54)</f>
        <v>52106</v>
      </c>
      <c r="Q215" s="5">
        <f>+SUM([49]Salidas!$G$50:$G$54)</f>
        <v>53705</v>
      </c>
      <c r="R215" s="5">
        <f>+SUM([50]Salidas!$G$50:$G$54)</f>
        <v>52300</v>
      </c>
      <c r="S215" s="5">
        <f>+SUM([51]Salidas!$G$50:$G$54)</f>
        <v>51036</v>
      </c>
      <c r="T215" s="5">
        <f>+SUM([52]Salidas!$G$50:$G$54)</f>
        <v>50285</v>
      </c>
      <c r="U215" s="5">
        <f>+SUM([53]Salidas!$G$50:$G$54)</f>
        <v>34143</v>
      </c>
      <c r="V215" s="5">
        <f>+SUM([54]Salidas!$G$50:$G$54)</f>
        <v>17867</v>
      </c>
      <c r="W215" s="5">
        <f>+SUM([55]Salidas!$G$50:$G$54)</f>
        <v>51600</v>
      </c>
      <c r="X215" s="5">
        <f>+SUM([56]Salidas!$G$50:$G$54)</f>
        <v>54864</v>
      </c>
      <c r="Y215" s="5">
        <f>+SUM([57]Salidas!$G$50:$G$54)</f>
        <v>52256</v>
      </c>
      <c r="Z215" s="5">
        <f>+SUM([58]Salidas!$G$50:$G$54)</f>
        <v>53554</v>
      </c>
      <c r="AA215" s="5">
        <f>+SUM([59]Salidas!$G$50:$G$54)</f>
        <v>50436</v>
      </c>
      <c r="AB215" s="5">
        <f>+SUM([60]Salidas!$G$50:$G$54)</f>
        <v>35066</v>
      </c>
      <c r="AC215" s="5">
        <f>+SUM([61]Salidas!$G$50:$G$54)</f>
        <v>17985</v>
      </c>
      <c r="AD215" s="5">
        <f>+SUM([62]Salidas!$G$50:$G$54)</f>
        <v>51218</v>
      </c>
      <c r="AE215" s="5">
        <f>+SUM([63]Salidas!$G$50:$G$54)</f>
        <v>53332</v>
      </c>
      <c r="AF215" s="5">
        <f>+SUM([64]Salidas!$G$50:$G$54)</f>
        <v>53761</v>
      </c>
      <c r="AG215" s="5">
        <f>+SUM([65]Salidas!$G$50:$G$54)</f>
        <v>52462</v>
      </c>
      <c r="AH215" s="5">
        <f>+SUM([66]Salidas!$G$50:$G$54)</f>
        <v>50959</v>
      </c>
      <c r="AI215" s="5">
        <f>+SUM([67]Salidas!$G$50:$G$54)</f>
        <v>35842</v>
      </c>
      <c r="AJ215" s="5">
        <f>+SUM([68]Salidas!$G$50:$G$54)</f>
        <v>18880</v>
      </c>
    </row>
    <row r="216" spans="1:36" s="4" customFormat="1" ht="409.6" x14ac:dyDescent="0.25">
      <c r="A216" s="18"/>
      <c r="B216" s="18"/>
    </row>
    <row r="218" spans="1:36" ht="409.6" x14ac:dyDescent="0.25">
      <c r="A218" t="s">
        <v>99</v>
      </c>
      <c r="C218" s="2">
        <f t="shared" ref="C218:H218" si="49">+C3-SUM(C184:C186)</f>
        <v>0</v>
      </c>
      <c r="D218" s="2">
        <f t="shared" si="49"/>
        <v>0</v>
      </c>
      <c r="E218" s="2">
        <f t="shared" si="49"/>
        <v>0</v>
      </c>
      <c r="F218" s="2">
        <f t="shared" si="49"/>
        <v>0</v>
      </c>
      <c r="G218" s="2">
        <f t="shared" si="49"/>
        <v>0</v>
      </c>
      <c r="H218" s="2">
        <f t="shared" si="49"/>
        <v>0</v>
      </c>
      <c r="I218" s="2">
        <f t="shared" ref="I218:O218" si="50">+I3-SUM(I184:I186)</f>
        <v>0</v>
      </c>
      <c r="J218" s="2">
        <f t="shared" si="50"/>
        <v>0</v>
      </c>
      <c r="K218" s="2">
        <f t="shared" si="50"/>
        <v>0</v>
      </c>
      <c r="L218" s="2">
        <f t="shared" si="50"/>
        <v>0</v>
      </c>
      <c r="M218" s="2">
        <f t="shared" si="50"/>
        <v>0</v>
      </c>
      <c r="N218" s="2">
        <f t="shared" si="50"/>
        <v>0</v>
      </c>
      <c r="O218" s="2">
        <f t="shared" si="50"/>
        <v>0</v>
      </c>
      <c r="P218" s="2">
        <f t="shared" ref="P218:V218" si="51">+P3-SUM(P184:P186)</f>
        <v>0</v>
      </c>
      <c r="Q218" s="2">
        <f t="shared" si="51"/>
        <v>0</v>
      </c>
      <c r="R218" s="2">
        <f t="shared" si="51"/>
        <v>0</v>
      </c>
      <c r="S218" s="2">
        <f t="shared" si="51"/>
        <v>0</v>
      </c>
      <c r="T218" s="2">
        <f t="shared" si="51"/>
        <v>0</v>
      </c>
      <c r="U218" s="2">
        <f t="shared" si="51"/>
        <v>0</v>
      </c>
      <c r="V218" s="2">
        <f t="shared" si="51"/>
        <v>0</v>
      </c>
      <c r="W218" s="2">
        <f t="shared" ref="W218:AC218" si="52">+W3-SUM(W184:W186)</f>
        <v>0</v>
      </c>
      <c r="X218" s="2">
        <f t="shared" si="52"/>
        <v>0</v>
      </c>
      <c r="Y218" s="2">
        <f t="shared" si="52"/>
        <v>0</v>
      </c>
      <c r="Z218" s="2">
        <f t="shared" si="52"/>
        <v>0</v>
      </c>
      <c r="AA218" s="2">
        <f t="shared" si="52"/>
        <v>0</v>
      </c>
      <c r="AB218" s="2">
        <f t="shared" si="52"/>
        <v>0</v>
      </c>
      <c r="AC218" s="2">
        <f t="shared" si="52"/>
        <v>0</v>
      </c>
      <c r="AD218" s="2">
        <f t="shared" ref="AD218:AF218" si="53">+AD3-SUM(AD184:AD186)</f>
        <v>0</v>
      </c>
      <c r="AE218" s="2">
        <f t="shared" si="53"/>
        <v>0</v>
      </c>
      <c r="AF218" s="2">
        <f t="shared" si="53"/>
        <v>0</v>
      </c>
      <c r="AG218" s="2">
        <f t="shared" ref="AG218:AJ218" si="54">+AG3-SUM(AG184:AG186)</f>
        <v>0</v>
      </c>
      <c r="AH218" s="2">
        <f t="shared" si="54"/>
        <v>0</v>
      </c>
      <c r="AI218" s="2">
        <f t="shared" si="54"/>
        <v>0</v>
      </c>
      <c r="AJ218" s="2">
        <f t="shared" si="54"/>
        <v>0</v>
      </c>
    </row>
    <row r="219" spans="1:36" ht="409.6" x14ac:dyDescent="0.25">
      <c r="A219" t="s">
        <v>100</v>
      </c>
      <c r="C219" s="2">
        <f t="shared" ref="C219:H219" si="55">+C107-SUM(C189:C190)</f>
        <v>0</v>
      </c>
      <c r="D219" s="2">
        <f t="shared" si="55"/>
        <v>0</v>
      </c>
      <c r="E219" s="2">
        <f t="shared" si="55"/>
        <v>0</v>
      </c>
      <c r="F219" s="2">
        <f t="shared" si="55"/>
        <v>0</v>
      </c>
      <c r="G219" s="2">
        <f t="shared" si="55"/>
        <v>0</v>
      </c>
      <c r="H219" s="2">
        <f t="shared" si="55"/>
        <v>0</v>
      </c>
      <c r="I219" s="2">
        <f t="shared" ref="I219:O219" si="56">+I107-SUM(I189:I190)</f>
        <v>0</v>
      </c>
      <c r="J219" s="2">
        <f t="shared" si="56"/>
        <v>0</v>
      </c>
      <c r="K219" s="2">
        <f t="shared" si="56"/>
        <v>0</v>
      </c>
      <c r="L219" s="2">
        <f t="shared" si="56"/>
        <v>0</v>
      </c>
      <c r="M219" s="2">
        <f t="shared" si="56"/>
        <v>0</v>
      </c>
      <c r="N219" s="2">
        <f t="shared" si="56"/>
        <v>0</v>
      </c>
      <c r="O219" s="2">
        <f t="shared" si="56"/>
        <v>0</v>
      </c>
      <c r="P219" s="2">
        <f t="shared" ref="P219:V219" si="57">+P107-SUM(P189:P190)</f>
        <v>0</v>
      </c>
      <c r="Q219" s="2">
        <f t="shared" si="57"/>
        <v>0</v>
      </c>
      <c r="R219" s="2">
        <f t="shared" si="57"/>
        <v>0</v>
      </c>
      <c r="S219" s="2">
        <f t="shared" si="57"/>
        <v>0</v>
      </c>
      <c r="T219" s="2">
        <f t="shared" si="57"/>
        <v>0</v>
      </c>
      <c r="U219" s="2">
        <f t="shared" si="57"/>
        <v>0</v>
      </c>
      <c r="V219" s="2">
        <f t="shared" si="57"/>
        <v>0</v>
      </c>
      <c r="W219" s="2">
        <f t="shared" ref="W219:AC219" si="58">+W107-SUM(W189:W190)</f>
        <v>0</v>
      </c>
      <c r="X219" s="2">
        <f t="shared" si="58"/>
        <v>0</v>
      </c>
      <c r="Y219" s="2">
        <f t="shared" si="58"/>
        <v>0</v>
      </c>
      <c r="Z219" s="2">
        <f t="shared" si="58"/>
        <v>0</v>
      </c>
      <c r="AA219" s="2">
        <f t="shared" si="58"/>
        <v>0</v>
      </c>
      <c r="AB219" s="2">
        <f t="shared" si="58"/>
        <v>0</v>
      </c>
      <c r="AC219" s="2">
        <f t="shared" si="58"/>
        <v>0</v>
      </c>
      <c r="AD219" s="2">
        <f t="shared" ref="AD219:AF219" si="59">+AD107-SUM(AD189:AD190)</f>
        <v>0</v>
      </c>
      <c r="AE219" s="2">
        <f t="shared" si="59"/>
        <v>0</v>
      </c>
      <c r="AF219" s="2">
        <f t="shared" si="59"/>
        <v>0</v>
      </c>
      <c r="AG219" s="2">
        <f t="shared" ref="AG219:AJ219" si="60">+AG107-SUM(AG189:AG190)</f>
        <v>0</v>
      </c>
      <c r="AH219" s="2">
        <f t="shared" si="60"/>
        <v>0</v>
      </c>
      <c r="AI219" s="2">
        <f t="shared" si="60"/>
        <v>0</v>
      </c>
      <c r="AJ219" s="2">
        <f t="shared" si="60"/>
        <v>0</v>
      </c>
    </row>
    <row r="220" spans="1:36" ht="409.6" x14ac:dyDescent="0.25">
      <c r="A220" t="s">
        <v>112</v>
      </c>
      <c r="C220" s="2">
        <f t="shared" ref="C220:H220" si="61">+C40-SUM(C193:C195)</f>
        <v>0</v>
      </c>
      <c r="D220" s="2">
        <f t="shared" si="61"/>
        <v>0</v>
      </c>
      <c r="E220" s="2">
        <f t="shared" si="61"/>
        <v>0</v>
      </c>
      <c r="F220" s="2">
        <f t="shared" si="61"/>
        <v>0</v>
      </c>
      <c r="G220" s="2">
        <f t="shared" si="61"/>
        <v>0</v>
      </c>
      <c r="H220" s="2">
        <f t="shared" si="61"/>
        <v>0</v>
      </c>
      <c r="I220" s="2">
        <f t="shared" ref="I220:O220" si="62">+I40-SUM(I193:I195)</f>
        <v>0</v>
      </c>
      <c r="J220" s="2">
        <f t="shared" si="62"/>
        <v>0</v>
      </c>
      <c r="K220" s="2">
        <f t="shared" si="62"/>
        <v>0</v>
      </c>
      <c r="L220" s="2">
        <f t="shared" si="62"/>
        <v>0</v>
      </c>
      <c r="M220" s="2">
        <f t="shared" si="62"/>
        <v>0</v>
      </c>
      <c r="N220" s="2">
        <f t="shared" si="62"/>
        <v>0</v>
      </c>
      <c r="O220" s="2">
        <f t="shared" si="62"/>
        <v>0</v>
      </c>
      <c r="P220" s="2">
        <f t="shared" ref="P220:V220" si="63">+P40-SUM(P193:P195)</f>
        <v>0</v>
      </c>
      <c r="Q220" s="2">
        <f t="shared" si="63"/>
        <v>0</v>
      </c>
      <c r="R220" s="2">
        <f t="shared" si="63"/>
        <v>0</v>
      </c>
      <c r="S220" s="2">
        <f t="shared" si="63"/>
        <v>0</v>
      </c>
      <c r="T220" s="2">
        <f t="shared" si="63"/>
        <v>0</v>
      </c>
      <c r="U220" s="2">
        <f t="shared" si="63"/>
        <v>0</v>
      </c>
      <c r="V220" s="2">
        <f t="shared" si="63"/>
        <v>0</v>
      </c>
      <c r="W220" s="2">
        <f t="shared" ref="W220:AC220" si="64">+W40-SUM(W193:W195)</f>
        <v>0</v>
      </c>
      <c r="X220" s="2">
        <f t="shared" si="64"/>
        <v>0</v>
      </c>
      <c r="Y220" s="2">
        <f t="shared" si="64"/>
        <v>0</v>
      </c>
      <c r="Z220" s="2">
        <f t="shared" si="64"/>
        <v>0</v>
      </c>
      <c r="AA220" s="2">
        <f t="shared" si="64"/>
        <v>0</v>
      </c>
      <c r="AB220" s="2">
        <f t="shared" si="64"/>
        <v>0</v>
      </c>
      <c r="AC220" s="2">
        <f t="shared" si="64"/>
        <v>0</v>
      </c>
      <c r="AD220" s="2">
        <f t="shared" ref="AD220:AF220" si="65">+AD40-SUM(AD193:AD195)</f>
        <v>0</v>
      </c>
      <c r="AE220" s="2">
        <f t="shared" si="65"/>
        <v>0</v>
      </c>
      <c r="AF220" s="2">
        <f t="shared" si="65"/>
        <v>0</v>
      </c>
      <c r="AG220" s="2">
        <f t="shared" ref="AG220:AJ220" si="66">+AG40-SUM(AG193:AG195)</f>
        <v>0</v>
      </c>
      <c r="AH220" s="2">
        <f t="shared" si="66"/>
        <v>0</v>
      </c>
      <c r="AI220" s="2">
        <f t="shared" si="66"/>
        <v>0</v>
      </c>
      <c r="AJ220" s="2">
        <f t="shared" si="66"/>
        <v>0</v>
      </c>
    </row>
    <row r="221" spans="1:36" ht="409.6" x14ac:dyDescent="0.25">
      <c r="A221" t="s">
        <v>119</v>
      </c>
      <c r="C221" s="2">
        <f t="shared" ref="C221:H221" si="67">+SUM(C198:C199)-C112</f>
        <v>0</v>
      </c>
      <c r="D221" s="2">
        <f t="shared" si="67"/>
        <v>0</v>
      </c>
      <c r="E221" s="2">
        <f t="shared" si="67"/>
        <v>0</v>
      </c>
      <c r="F221" s="2">
        <f t="shared" si="67"/>
        <v>0</v>
      </c>
      <c r="G221" s="2">
        <f t="shared" si="67"/>
        <v>0</v>
      </c>
      <c r="H221" s="2">
        <f t="shared" si="67"/>
        <v>0</v>
      </c>
      <c r="I221" s="2">
        <f t="shared" ref="I221:O221" si="68">+SUM(I198:I199)-I112</f>
        <v>0</v>
      </c>
      <c r="J221" s="2">
        <f t="shared" si="68"/>
        <v>0</v>
      </c>
      <c r="K221" s="2">
        <f t="shared" si="68"/>
        <v>0</v>
      </c>
      <c r="L221" s="2">
        <f t="shared" si="68"/>
        <v>0</v>
      </c>
      <c r="M221" s="2">
        <f t="shared" si="68"/>
        <v>0</v>
      </c>
      <c r="N221" s="2">
        <f t="shared" si="68"/>
        <v>0</v>
      </c>
      <c r="O221" s="2">
        <f t="shared" si="68"/>
        <v>0</v>
      </c>
      <c r="P221" s="2">
        <f t="shared" ref="P221:V221" si="69">+SUM(P198:P199)-P112</f>
        <v>0</v>
      </c>
      <c r="Q221" s="2">
        <f t="shared" si="69"/>
        <v>0</v>
      </c>
      <c r="R221" s="2">
        <f t="shared" si="69"/>
        <v>0</v>
      </c>
      <c r="S221" s="2">
        <f t="shared" si="69"/>
        <v>0</v>
      </c>
      <c r="T221" s="2">
        <f t="shared" si="69"/>
        <v>0</v>
      </c>
      <c r="U221" s="2">
        <f t="shared" si="69"/>
        <v>0</v>
      </c>
      <c r="V221" s="2">
        <f t="shared" si="69"/>
        <v>0</v>
      </c>
      <c r="W221" s="2">
        <f t="shared" ref="W221:AC221" si="70">+SUM(W198:W199)-W112</f>
        <v>0</v>
      </c>
      <c r="X221" s="2">
        <f t="shared" si="70"/>
        <v>0</v>
      </c>
      <c r="Y221" s="2">
        <f t="shared" si="70"/>
        <v>0</v>
      </c>
      <c r="Z221" s="2">
        <f t="shared" si="70"/>
        <v>0</v>
      </c>
      <c r="AA221" s="2">
        <f t="shared" si="70"/>
        <v>0</v>
      </c>
      <c r="AB221" s="2">
        <f t="shared" si="70"/>
        <v>0</v>
      </c>
      <c r="AC221" s="2">
        <f t="shared" si="70"/>
        <v>0</v>
      </c>
      <c r="AD221" s="2">
        <f t="shared" ref="AD221:AF221" si="71">+SUM(AD198:AD199)-AD112</f>
        <v>0</v>
      </c>
      <c r="AE221" s="2">
        <f t="shared" si="71"/>
        <v>0</v>
      </c>
      <c r="AF221" s="2">
        <f t="shared" si="71"/>
        <v>0</v>
      </c>
      <c r="AG221" s="2">
        <f t="shared" ref="AG221:AJ221" si="72">+SUM(AG198:AG199)-AG112</f>
        <v>0</v>
      </c>
      <c r="AH221" s="2">
        <f t="shared" si="72"/>
        <v>0</v>
      </c>
      <c r="AI221" s="2">
        <f t="shared" si="72"/>
        <v>0</v>
      </c>
      <c r="AJ221" s="2">
        <f t="shared" si="72"/>
        <v>0</v>
      </c>
    </row>
    <row r="222" spans="1:36" ht="409.6" x14ac:dyDescent="0.25">
      <c r="A222" t="s">
        <v>176</v>
      </c>
      <c r="C222" s="3">
        <f t="shared" ref="C222:H222" si="73">+SUM(C202:C205)-C113</f>
        <v>0</v>
      </c>
      <c r="D222" s="3">
        <f t="shared" si="73"/>
        <v>0</v>
      </c>
      <c r="E222" s="3">
        <f t="shared" si="73"/>
        <v>0</v>
      </c>
      <c r="F222" s="3">
        <f t="shared" si="73"/>
        <v>0</v>
      </c>
      <c r="G222" s="3">
        <f t="shared" si="73"/>
        <v>0</v>
      </c>
      <c r="H222" s="3">
        <f t="shared" si="73"/>
        <v>0</v>
      </c>
      <c r="I222" s="3">
        <f t="shared" ref="I222:O222" si="74">+SUM(I202:I205)-I113</f>
        <v>0</v>
      </c>
      <c r="J222" s="3">
        <f t="shared" si="74"/>
        <v>0</v>
      </c>
      <c r="K222" s="3">
        <f t="shared" si="74"/>
        <v>0</v>
      </c>
      <c r="L222" s="3">
        <f t="shared" si="74"/>
        <v>0</v>
      </c>
      <c r="M222" s="3">
        <f t="shared" si="74"/>
        <v>0</v>
      </c>
      <c r="N222" s="3">
        <f t="shared" si="74"/>
        <v>0</v>
      </c>
      <c r="O222" s="3">
        <f t="shared" si="74"/>
        <v>0</v>
      </c>
      <c r="P222" s="3">
        <f t="shared" ref="P222:V222" si="75">+SUM(P202:P205)-P113</f>
        <v>0</v>
      </c>
      <c r="Q222" s="3">
        <f t="shared" si="75"/>
        <v>0</v>
      </c>
      <c r="R222" s="3">
        <f t="shared" si="75"/>
        <v>0</v>
      </c>
      <c r="S222" s="3">
        <f t="shared" si="75"/>
        <v>0</v>
      </c>
      <c r="T222" s="3">
        <f t="shared" si="75"/>
        <v>0</v>
      </c>
      <c r="U222" s="3">
        <f t="shared" si="75"/>
        <v>0</v>
      </c>
      <c r="V222" s="3">
        <f t="shared" si="75"/>
        <v>0</v>
      </c>
      <c r="W222" s="3">
        <f t="shared" ref="W222:AC222" si="76">+SUM(W202:W205)-W113</f>
        <v>0</v>
      </c>
      <c r="X222" s="3">
        <f t="shared" si="76"/>
        <v>0</v>
      </c>
      <c r="Y222" s="3">
        <f t="shared" si="76"/>
        <v>0</v>
      </c>
      <c r="Z222" s="3">
        <f t="shared" si="76"/>
        <v>0</v>
      </c>
      <c r="AA222" s="3">
        <f t="shared" si="76"/>
        <v>0</v>
      </c>
      <c r="AB222" s="3">
        <f t="shared" si="76"/>
        <v>0</v>
      </c>
      <c r="AC222" s="3">
        <f t="shared" si="76"/>
        <v>0</v>
      </c>
      <c r="AD222" s="3">
        <f t="shared" ref="AD222:AF222" si="77">+SUM(AD202:AD205)-AD113</f>
        <v>0</v>
      </c>
      <c r="AE222" s="3">
        <f t="shared" si="77"/>
        <v>0</v>
      </c>
      <c r="AF222" s="3">
        <f t="shared" si="77"/>
        <v>0</v>
      </c>
      <c r="AG222" s="3">
        <f t="shared" ref="AG222:AJ222" si="78">+SUM(AG202:AG205)-AG113</f>
        <v>0</v>
      </c>
      <c r="AH222" s="3">
        <f t="shared" si="78"/>
        <v>0</v>
      </c>
      <c r="AI222" s="3">
        <f t="shared" si="78"/>
        <v>0</v>
      </c>
      <c r="AJ222" s="3">
        <f t="shared" si="78"/>
        <v>0</v>
      </c>
    </row>
    <row r="223" spans="1:36" ht="409.6" x14ac:dyDescent="0.25">
      <c r="A223" t="s">
        <v>282</v>
      </c>
      <c r="C223" s="3">
        <f t="shared" ref="C223:H223" si="79">+SUM(C213:C215)-C156</f>
        <v>0</v>
      </c>
      <c r="D223" s="3">
        <f t="shared" si="79"/>
        <v>0</v>
      </c>
      <c r="E223" s="3">
        <f t="shared" si="79"/>
        <v>0</v>
      </c>
      <c r="F223" s="3">
        <f t="shared" si="79"/>
        <v>0</v>
      </c>
      <c r="G223" s="3">
        <f t="shared" si="79"/>
        <v>0</v>
      </c>
      <c r="H223" s="3">
        <f t="shared" si="79"/>
        <v>0</v>
      </c>
      <c r="I223" s="3">
        <f t="shared" ref="I223:O223" si="80">+SUM(I213:I215)-I156</f>
        <v>0</v>
      </c>
      <c r="J223" s="3">
        <f t="shared" si="80"/>
        <v>0</v>
      </c>
      <c r="K223" s="3">
        <f t="shared" si="80"/>
        <v>0</v>
      </c>
      <c r="L223" s="3">
        <f t="shared" si="80"/>
        <v>0</v>
      </c>
      <c r="M223" s="3">
        <f t="shared" si="80"/>
        <v>0</v>
      </c>
      <c r="N223" s="3">
        <f t="shared" si="80"/>
        <v>0</v>
      </c>
      <c r="O223" s="3">
        <f t="shared" si="80"/>
        <v>0</v>
      </c>
      <c r="P223" s="3">
        <f t="shared" ref="P223:V223" si="81">+SUM(P213:P215)-P156</f>
        <v>0</v>
      </c>
      <c r="Q223" s="3">
        <f t="shared" si="81"/>
        <v>0</v>
      </c>
      <c r="R223" s="3">
        <f t="shared" si="81"/>
        <v>0</v>
      </c>
      <c r="S223" s="3">
        <f t="shared" si="81"/>
        <v>0</v>
      </c>
      <c r="T223" s="3">
        <f t="shared" si="81"/>
        <v>0</v>
      </c>
      <c r="U223" s="3">
        <f t="shared" si="81"/>
        <v>0</v>
      </c>
      <c r="V223" s="3">
        <f t="shared" si="81"/>
        <v>0</v>
      </c>
      <c r="W223" s="3">
        <f t="shared" ref="W223:AC223" si="82">+SUM(W213:W215)-W156</f>
        <v>0</v>
      </c>
      <c r="X223" s="3">
        <f t="shared" si="82"/>
        <v>0</v>
      </c>
      <c r="Y223" s="3">
        <f t="shared" si="82"/>
        <v>0</v>
      </c>
      <c r="Z223" s="3">
        <f t="shared" si="82"/>
        <v>0</v>
      </c>
      <c r="AA223" s="3">
        <f t="shared" si="82"/>
        <v>0</v>
      </c>
      <c r="AB223" s="3">
        <f t="shared" si="82"/>
        <v>0</v>
      </c>
      <c r="AC223" s="3">
        <f t="shared" si="82"/>
        <v>0</v>
      </c>
      <c r="AD223" s="3">
        <f t="shared" ref="AD223:AF223" si="83">+SUM(AD213:AD215)-AD156</f>
        <v>0</v>
      </c>
      <c r="AE223" s="3">
        <f t="shared" si="83"/>
        <v>0</v>
      </c>
      <c r="AF223" s="3">
        <f t="shared" si="83"/>
        <v>0</v>
      </c>
      <c r="AG223" s="3">
        <f t="shared" ref="AG223:AJ223" si="84">+SUM(AG213:AG215)-AG156</f>
        <v>0</v>
      </c>
      <c r="AH223" s="3">
        <f t="shared" si="84"/>
        <v>0</v>
      </c>
      <c r="AI223" s="3">
        <f t="shared" si="84"/>
        <v>0</v>
      </c>
      <c r="AJ223" s="3">
        <f t="shared" si="84"/>
        <v>0</v>
      </c>
    </row>
    <row r="224" spans="1:36" ht="409.6" x14ac:dyDescent="0.25">
      <c r="A224" t="s">
        <v>101</v>
      </c>
      <c r="C224" s="2">
        <f>+[1]Salidas!$D$148-C172</f>
        <v>0</v>
      </c>
      <c r="D224" s="2">
        <f>+[2]Salidas!$D$148-D172</f>
        <v>0</v>
      </c>
      <c r="E224" s="2">
        <f>+[3]Salidas!$D$148-E172</f>
        <v>0</v>
      </c>
      <c r="F224" s="2">
        <f>+[4]Salidas!$D$148-F172</f>
        <v>0</v>
      </c>
      <c r="G224" s="2">
        <f>+[5]Salidas!$D$148-G172</f>
        <v>0</v>
      </c>
      <c r="H224" s="2">
        <f>+[6]Salidas!$D$148-H172</f>
        <v>0</v>
      </c>
      <c r="I224" s="2">
        <f>+[7]Salidas!$D$148-I172</f>
        <v>0</v>
      </c>
      <c r="J224" s="2">
        <f>+[8]Salidas!$D$148-J172</f>
        <v>0</v>
      </c>
      <c r="K224" s="2">
        <f>+[9]Salidas!$D$148-K172</f>
        <v>0</v>
      </c>
      <c r="L224" s="2">
        <f>+[10]Salidas!$D$148-L172</f>
        <v>0</v>
      </c>
      <c r="M224" s="2">
        <f>+[11]Salidas!$D$148-M172</f>
        <v>0</v>
      </c>
      <c r="N224" s="2">
        <f>+[12]Salidas!$D$148-N172</f>
        <v>0</v>
      </c>
      <c r="O224" s="2">
        <f>+[13]Salidas!$D$148-O172</f>
        <v>0</v>
      </c>
      <c r="P224" s="2">
        <f>+[14]Salidas!$D$148-P172</f>
        <v>0</v>
      </c>
      <c r="Q224" s="2">
        <f>+[15]Salidas!$D$148-Q172</f>
        <v>0</v>
      </c>
      <c r="R224" s="2">
        <f>+[16]Salidas!$D$148-R172</f>
        <v>0</v>
      </c>
      <c r="S224" s="2">
        <f>+[17]Salidas!$D$148-S172</f>
        <v>0</v>
      </c>
      <c r="T224" s="2">
        <f>+[18]Salidas!$D$148-T172</f>
        <v>0</v>
      </c>
      <c r="U224" s="2">
        <f>+[19]Salidas!$D$148-U172</f>
        <v>0</v>
      </c>
      <c r="V224" s="2">
        <f>+[20]Salidas!$D$148-V172</f>
        <v>0</v>
      </c>
      <c r="W224" s="2">
        <f>+[21]Salidas!$D$148-W172</f>
        <v>0</v>
      </c>
      <c r="X224" s="2">
        <f>+[22]Salidas!$D$148-X172</f>
        <v>0</v>
      </c>
      <c r="Y224" s="2">
        <f>+[23]Salidas!$D$148-Y172</f>
        <v>0</v>
      </c>
      <c r="Z224" s="2">
        <f>+[24]Salidas!$D$148-Z172</f>
        <v>0</v>
      </c>
      <c r="AA224" s="2">
        <f>+[25]Salidas!$D$148-AA172</f>
        <v>0</v>
      </c>
      <c r="AB224" s="2">
        <f>+[26]Salidas!$D$148-AB172</f>
        <v>0</v>
      </c>
      <c r="AC224" s="2">
        <f>+[27]Salidas!$D$148-AC172</f>
        <v>0</v>
      </c>
      <c r="AD224" s="2">
        <f>+[28]Salidas!$D$148-AD172</f>
        <v>0</v>
      </c>
      <c r="AE224" s="2">
        <f>+[29]Salidas!$D$148-AE172</f>
        <v>0</v>
      </c>
      <c r="AF224" s="2">
        <f>+[30]Salidas!$D$148-AF172</f>
        <v>0</v>
      </c>
      <c r="AG224" s="2">
        <f>+[31]Salidas!$D$148-AG172</f>
        <v>0</v>
      </c>
      <c r="AH224" s="2">
        <f>+[32]Salidas!$D$148-AH172</f>
        <v>0</v>
      </c>
      <c r="AI224" s="2">
        <f>+[33]Salidas!$D$148-AI172</f>
        <v>0</v>
      </c>
      <c r="AJ224" s="2">
        <f>+[34]Salidas!$D$148-AJ172</f>
        <v>0</v>
      </c>
    </row>
    <row r="225" spans="1:36" ht="409.6" x14ac:dyDescent="0.25">
      <c r="A225" t="s">
        <v>187</v>
      </c>
      <c r="C225" s="2">
        <f>[35]Salidas!$D$96-C173</f>
        <v>0</v>
      </c>
      <c r="D225" s="2">
        <f>[36]Salidas!$D$96-D173</f>
        <v>0</v>
      </c>
      <c r="E225" s="2">
        <f>[37]Salidas!$D$96-E173</f>
        <v>0</v>
      </c>
      <c r="F225" s="2">
        <f>[38]Salidas!$D$96-F173</f>
        <v>0</v>
      </c>
      <c r="G225" s="2">
        <f>[39]Salidas!$D$96-G173</f>
        <v>0</v>
      </c>
      <c r="H225" s="2">
        <f>[40]Salidas!$D$96-H173</f>
        <v>0</v>
      </c>
      <c r="I225" s="2">
        <f>[41]Salidas!$D$96-I173</f>
        <v>0</v>
      </c>
      <c r="J225" s="2">
        <f>[42]Salidas!$D$96-J173</f>
        <v>0</v>
      </c>
      <c r="K225" s="2">
        <f>[43]Salidas!$D$96-K173</f>
        <v>0</v>
      </c>
      <c r="L225" s="2">
        <f>[44]Salidas!$D$96-L173</f>
        <v>0</v>
      </c>
      <c r="M225" s="2">
        <f>[45]Salidas!$D$96-M173</f>
        <v>0</v>
      </c>
      <c r="N225" s="2">
        <f>[46]Salidas!$D$96-N173</f>
        <v>0</v>
      </c>
      <c r="O225" s="2">
        <f>[47]Salidas!$D$96-O173</f>
        <v>0</v>
      </c>
      <c r="P225" s="2">
        <f>[48]Salidas!$D$96-P173</f>
        <v>0</v>
      </c>
      <c r="Q225" s="2">
        <f>[49]Salidas!$D$96-Q173</f>
        <v>0</v>
      </c>
      <c r="R225" s="2">
        <f>[50]Salidas!$D$96-R173</f>
        <v>0</v>
      </c>
      <c r="S225" s="2">
        <f>[51]Salidas!$D$96-S173</f>
        <v>0</v>
      </c>
      <c r="T225" s="2">
        <f>[52]Salidas!$D$96-T173</f>
        <v>0</v>
      </c>
      <c r="U225" s="2">
        <f>[53]Salidas!$D$96-U173</f>
        <v>0</v>
      </c>
      <c r="V225" s="2">
        <f>[54]Salidas!$D$96-V173</f>
        <v>0</v>
      </c>
      <c r="W225" s="2">
        <f>[55]Salidas!$D$96-W173</f>
        <v>0</v>
      </c>
      <c r="X225" s="2">
        <f>[56]Salidas!$D$96-X173</f>
        <v>0</v>
      </c>
      <c r="Y225" s="2">
        <f>[57]Salidas!$D$96-Y173</f>
        <v>0</v>
      </c>
      <c r="Z225" s="2">
        <f>[58]Salidas!$D$96-Z173</f>
        <v>0</v>
      </c>
      <c r="AA225" s="2">
        <f>[59]Salidas!$D$96-AA173</f>
        <v>0</v>
      </c>
      <c r="AB225" s="2">
        <f>[60]Salidas!$D$96-AB173</f>
        <v>0</v>
      </c>
      <c r="AC225" s="2">
        <f>[61]Salidas!$D$96-AC173</f>
        <v>0</v>
      </c>
      <c r="AD225" s="2">
        <f>[62]Salidas!$D$96-AD173</f>
        <v>0</v>
      </c>
      <c r="AE225" s="2">
        <f>[63]Salidas!$D$96-AE173</f>
        <v>0</v>
      </c>
      <c r="AF225" s="2">
        <f>[64]Salidas!$D$96-AF173</f>
        <v>0</v>
      </c>
      <c r="AG225" s="2">
        <f>[65]Salidas!$D$96-AG173</f>
        <v>0</v>
      </c>
      <c r="AH225" s="2">
        <f>[66]Salidas!$D$96-AH173</f>
        <v>0</v>
      </c>
      <c r="AI225" s="2">
        <f>[67]Salidas!$D$96-AI173</f>
        <v>0</v>
      </c>
      <c r="AJ225" s="2">
        <f>[68]Salidas!$D$96-AJ173</f>
        <v>0</v>
      </c>
    </row>
  </sheetData>
  <customSheetViews>
    <customSheetView guid="{908C4906-732C-44E1-9B79-8534D37786B4}" scale="75" fitToPage="1" showRuler="0">
      <pane xSplit="2" ySplit="2" topLeftCell="J211" activePane="bottomRight" state="frozen"/>
      <selection pane="bottomRight" activeCell="M220" sqref="M220:M221"/>
      <pageMargins left="0.78740157480314965" right="0.78740157480314965" top="0.39370078740157483" bottom="0.55118110236220474" header="0" footer="0"/>
      <printOptions horizontalCentered="1" verticalCentered="1"/>
      <pageSetup scale="33" orientation="portrait" horizontalDpi="1200" verticalDpi="1200" r:id="rId1"/>
      <headerFooter alignWithMargins="0"/>
    </customSheetView>
    <customSheetView guid="{F458E9CE-89F8-4AC8-8815-C42982D0B712}" scale="75" showPageBreaks="1" fitToPage="1" printArea="1" showRuler="0">
      <pane xSplit="2" ySplit="2" topLeftCell="AB150" activePane="bottomRight" state="frozen"/>
      <selection pane="bottomRight" activeCell="X171" sqref="X171:AD171"/>
      <pageMargins left="0.75" right="0.75" top="1" bottom="1" header="0" footer="0"/>
      <pageSetup paperSize="130" scale="28" orientation="portrait" horizontalDpi="1200" verticalDpi="1200" r:id="rId2"/>
      <headerFooter alignWithMargins="0"/>
    </customSheetView>
    <customSheetView guid="{7C4C8CB7-097D-4D84-B918-C1C53F9BC5D9}" scale="75" showPageBreaks="1" fitToPage="1" printArea="1" showRuler="0">
      <pane xSplit="2" ySplit="2" topLeftCell="S130" activePane="bottomRight" state="frozen"/>
      <selection pane="bottomRight" activeCell="Y157" sqref="Y137:Y157"/>
      <pageMargins left="0.75" right="0.75" top="1" bottom="1" header="0" footer="0"/>
      <pageSetup paperSize="130" scale="21" orientation="portrait" horizontalDpi="1200" verticalDpi="1200" r:id="rId3"/>
      <headerFooter alignWithMargins="0"/>
    </customSheetView>
    <customSheetView guid="{9CCEB12D-7506-4C24-A88C-6720CB0226C9}" scale="75" showPageBreaks="1" fitToPage="1" printArea="1" showRuler="0">
      <pane xSplit="2" ySplit="2" topLeftCell="O216" activePane="bottomRight" state="frozen"/>
      <selection pane="bottomRight" activeCell="U164" sqref="U164"/>
      <pageMargins left="0.78740157480314965" right="0.78740157480314965" top="0.39370078740157483" bottom="0.55118110236220474" header="0" footer="0"/>
      <printOptions horizontalCentered="1" verticalCentered="1"/>
      <pageSetup scale="33" orientation="portrait" horizontalDpi="1200" verticalDpi="1200" r:id="rId4"/>
      <headerFooter alignWithMargins="0"/>
    </customSheetView>
    <customSheetView guid="{647493D2-94D8-4E56-BEE8-B2C37B6B1FFF}" scale="75" showPageBreaks="1" fitToPage="1" printArea="1" showRuler="0">
      <pane xSplit="2" ySplit="2" topLeftCell="C3" activePane="bottomRight" state="frozen"/>
      <selection pane="bottomRight" activeCell="F174" sqref="F174"/>
      <pageMargins left="0.78740157480314965" right="0.78740157480314965" top="0.39370078740157483" bottom="0.55118110236220474" header="0" footer="0"/>
      <printOptions horizontalCentered="1" verticalCentered="1"/>
      <pageSetup scale="33" orientation="portrait" horizontalDpi="1200" verticalDpi="1200" r:id="rId5"/>
      <headerFooter alignWithMargins="0"/>
    </customSheetView>
    <customSheetView guid="{49227DB0-CE85-40C1-97E3-05BD293396BC}" scale="75" showPageBreaks="1" fitToPage="1" printArea="1" showRuler="0">
      <pane xSplit="2" ySplit="2" topLeftCell="AA162" activePane="bottomRight" state="frozen"/>
      <selection pane="bottomRight" activeCell="AD203" sqref="AD203"/>
      <pageMargins left="0.75" right="0.75" top="1" bottom="1" header="0" footer="0"/>
      <pageSetup paperSize="130" scale="18" orientation="portrait" horizontalDpi="1200" verticalDpi="1200" r:id="rId6"/>
      <headerFooter alignWithMargins="0"/>
    </customSheetView>
  </customSheetViews>
  <mergeCells count="23">
    <mergeCell ref="A192:B192"/>
    <mergeCell ref="A193:B193"/>
    <mergeCell ref="A181:B181"/>
    <mergeCell ref="A2:B2"/>
    <mergeCell ref="A3:A112"/>
    <mergeCell ref="A183:B183"/>
    <mergeCell ref="A184:B184"/>
    <mergeCell ref="A1:B1"/>
    <mergeCell ref="A113:A171"/>
    <mergeCell ref="A205:B205"/>
    <mergeCell ref="A199:B199"/>
    <mergeCell ref="A201:B201"/>
    <mergeCell ref="A202:B202"/>
    <mergeCell ref="A203:B203"/>
    <mergeCell ref="A194:B194"/>
    <mergeCell ref="A195:B195"/>
    <mergeCell ref="A197:B197"/>
    <mergeCell ref="A185:B185"/>
    <mergeCell ref="A186:B186"/>
    <mergeCell ref="A188:B188"/>
    <mergeCell ref="A198:B198"/>
    <mergeCell ref="A189:B189"/>
    <mergeCell ref="A190:B190"/>
  </mergeCells>
  <phoneticPr fontId="0" type="noConversion"/>
  <pageMargins left="0.75" right="0.75" top="1" bottom="1" header="0" footer="0"/>
  <pageSetup paperSize="130" scale="18" orientation="portrait" horizontalDpi="1200" verticalDpi="1200" r:id="rId7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pageSetUpPr fitToPage="1"/>
  </sheetPr>
  <dimension ref="A1:AK276"/>
  <sheetViews>
    <sheetView tabSelected="1" workbookViewId="0">
      <pane xSplit="2" ySplit="4" topLeftCell="AE221" activePane="bottomRight" state="frozen"/>
      <selection pane="topRight" activeCell="C1" sqref="C1"/>
      <selection pane="bottomLeft" activeCell="A5" sqref="A5"/>
      <selection pane="bottomRight" activeCell="AK236" sqref="AK236"/>
    </sheetView>
  </sheetViews>
  <sheetFormatPr baseColWidth="10" defaultRowHeight="12.75" x14ac:dyDescent="0.2"/>
  <cols>
    <col min="1" max="1" width="34.85546875" customWidth="1"/>
    <col min="2" max="2" width="31.85546875" bestFit="1" customWidth="1"/>
    <col min="3" max="36" width="21.140625" bestFit="1" customWidth="1"/>
  </cols>
  <sheetData>
    <row r="1" spans="1:36" ht="4.5" customHeight="1" thickBot="1" x14ac:dyDescent="0.25"/>
    <row r="2" spans="1:36" ht="13.5" thickBot="1" x14ac:dyDescent="0.25">
      <c r="A2" s="448" t="s">
        <v>283</v>
      </c>
      <c r="B2" s="448" t="s">
        <v>283</v>
      </c>
      <c r="C2" s="282" t="s">
        <v>494</v>
      </c>
      <c r="D2" s="282" t="s">
        <v>489</v>
      </c>
      <c r="E2" s="282" t="s">
        <v>490</v>
      </c>
      <c r="F2" s="282" t="s">
        <v>491</v>
      </c>
      <c r="G2" s="282" t="s">
        <v>492</v>
      </c>
      <c r="H2" s="282" t="s">
        <v>493</v>
      </c>
      <c r="I2" s="282" t="s">
        <v>480</v>
      </c>
      <c r="J2" s="282" t="s">
        <v>494</v>
      </c>
      <c r="K2" s="282" t="s">
        <v>489</v>
      </c>
      <c r="L2" s="282" t="s">
        <v>490</v>
      </c>
      <c r="M2" s="282" t="s">
        <v>491</v>
      </c>
      <c r="N2" s="282" t="s">
        <v>492</v>
      </c>
      <c r="O2" s="282" t="s">
        <v>493</v>
      </c>
      <c r="P2" s="282" t="s">
        <v>480</v>
      </c>
      <c r="Q2" s="282" t="s">
        <v>494</v>
      </c>
      <c r="R2" s="282" t="s">
        <v>489</v>
      </c>
      <c r="S2" s="282" t="s">
        <v>490</v>
      </c>
      <c r="T2" s="282" t="s">
        <v>491</v>
      </c>
      <c r="U2" s="282" t="s">
        <v>492</v>
      </c>
      <c r="V2" s="282" t="s">
        <v>493</v>
      </c>
      <c r="W2" s="282" t="s">
        <v>480</v>
      </c>
      <c r="X2" s="282" t="s">
        <v>494</v>
      </c>
      <c r="Y2" s="282" t="s">
        <v>489</v>
      </c>
      <c r="Z2" s="282" t="s">
        <v>490</v>
      </c>
      <c r="AA2" s="282" t="s">
        <v>491</v>
      </c>
      <c r="AB2" s="282" t="s">
        <v>492</v>
      </c>
      <c r="AC2" s="282" t="s">
        <v>493</v>
      </c>
      <c r="AD2" s="282" t="s">
        <v>480</v>
      </c>
      <c r="AE2" s="282" t="s">
        <v>494</v>
      </c>
      <c r="AF2" s="282" t="s">
        <v>489</v>
      </c>
      <c r="AG2" s="282" t="s">
        <v>490</v>
      </c>
      <c r="AH2" s="282" t="s">
        <v>491</v>
      </c>
      <c r="AI2" s="282" t="s">
        <v>492</v>
      </c>
      <c r="AJ2" s="282" t="s">
        <v>493</v>
      </c>
    </row>
    <row r="3" spans="1:36" ht="12.75" customHeight="1" thickBot="1" x14ac:dyDescent="0.25">
      <c r="A3" s="449" t="s">
        <v>0</v>
      </c>
      <c r="B3" s="450"/>
      <c r="C3" s="283">
        <v>40575</v>
      </c>
      <c r="D3" s="283">
        <v>40576</v>
      </c>
      <c r="E3" s="283">
        <v>40577</v>
      </c>
      <c r="F3" s="283">
        <v>40578</v>
      </c>
      <c r="G3" s="283">
        <v>40579</v>
      </c>
      <c r="H3" s="283">
        <v>40580</v>
      </c>
      <c r="I3" s="283">
        <v>40581</v>
      </c>
      <c r="J3" s="283">
        <v>40582</v>
      </c>
      <c r="K3" s="283">
        <v>40583</v>
      </c>
      <c r="L3" s="283">
        <v>40584</v>
      </c>
      <c r="M3" s="283">
        <v>40585</v>
      </c>
      <c r="N3" s="283">
        <v>40586</v>
      </c>
      <c r="O3" s="283">
        <v>40587</v>
      </c>
      <c r="P3" s="283">
        <v>40588</v>
      </c>
      <c r="Q3" s="283">
        <v>40589</v>
      </c>
      <c r="R3" s="283">
        <v>40590</v>
      </c>
      <c r="S3" s="283">
        <v>40591</v>
      </c>
      <c r="T3" s="283">
        <v>40592</v>
      </c>
      <c r="U3" s="283">
        <v>40593</v>
      </c>
      <c r="V3" s="283">
        <v>40594</v>
      </c>
      <c r="W3" s="283">
        <v>40595</v>
      </c>
      <c r="X3" s="283">
        <v>40596</v>
      </c>
      <c r="Y3" s="283">
        <v>40597</v>
      </c>
      <c r="Z3" s="283">
        <v>40598</v>
      </c>
      <c r="AA3" s="283">
        <v>40599</v>
      </c>
      <c r="AB3" s="283">
        <v>40600</v>
      </c>
      <c r="AC3" s="283">
        <v>40601</v>
      </c>
      <c r="AD3" s="283">
        <v>40602</v>
      </c>
      <c r="AE3" s="283">
        <v>40603</v>
      </c>
      <c r="AF3" s="283">
        <v>40604</v>
      </c>
      <c r="AG3" s="283">
        <v>40605</v>
      </c>
      <c r="AH3" s="283">
        <v>40606</v>
      </c>
      <c r="AI3" s="283">
        <v>40607</v>
      </c>
      <c r="AJ3" s="283">
        <v>40608</v>
      </c>
    </row>
    <row r="4" spans="1:36" ht="12.75" customHeight="1" thickBot="1" x14ac:dyDescent="0.25">
      <c r="A4" s="274"/>
      <c r="B4" s="275"/>
      <c r="C4" s="287" t="s">
        <v>346</v>
      </c>
      <c r="D4" s="287" t="s">
        <v>346</v>
      </c>
      <c r="E4" s="287" t="s">
        <v>346</v>
      </c>
      <c r="F4" s="287" t="s">
        <v>346</v>
      </c>
      <c r="G4" s="287" t="s">
        <v>346</v>
      </c>
      <c r="H4" s="287" t="s">
        <v>346</v>
      </c>
      <c r="I4" s="287" t="s">
        <v>346</v>
      </c>
      <c r="J4" s="287" t="s">
        <v>346</v>
      </c>
      <c r="K4" s="287" t="s">
        <v>346</v>
      </c>
      <c r="L4" s="287" t="s">
        <v>346</v>
      </c>
      <c r="M4" s="287" t="s">
        <v>346</v>
      </c>
      <c r="N4" s="287" t="s">
        <v>346</v>
      </c>
      <c r="O4" s="287" t="s">
        <v>346</v>
      </c>
      <c r="P4" s="287" t="s">
        <v>346</v>
      </c>
      <c r="Q4" s="287" t="s">
        <v>346</v>
      </c>
      <c r="R4" s="287" t="s">
        <v>346</v>
      </c>
      <c r="S4" s="287" t="s">
        <v>346</v>
      </c>
      <c r="T4" s="287" t="s">
        <v>346</v>
      </c>
      <c r="U4" s="287" t="s">
        <v>346</v>
      </c>
      <c r="V4" s="287" t="s">
        <v>346</v>
      </c>
      <c r="W4" s="287" t="s">
        <v>346</v>
      </c>
      <c r="X4" s="287" t="s">
        <v>346</v>
      </c>
      <c r="Y4" s="287" t="s">
        <v>346</v>
      </c>
      <c r="Z4" s="287" t="s">
        <v>346</v>
      </c>
      <c r="AA4" s="287" t="s">
        <v>346</v>
      </c>
      <c r="AB4" s="287" t="s">
        <v>346</v>
      </c>
      <c r="AC4" s="287" t="s">
        <v>346</v>
      </c>
      <c r="AD4" s="287" t="s">
        <v>346</v>
      </c>
      <c r="AE4" s="287" t="s">
        <v>346</v>
      </c>
      <c r="AF4" s="287" t="s">
        <v>346</v>
      </c>
      <c r="AG4" s="287" t="s">
        <v>346</v>
      </c>
      <c r="AH4" s="287" t="s">
        <v>346</v>
      </c>
      <c r="AI4" s="287" t="s">
        <v>346</v>
      </c>
      <c r="AJ4" s="287" t="s">
        <v>346</v>
      </c>
    </row>
    <row r="5" spans="1:36" x14ac:dyDescent="0.2">
      <c r="A5" s="423" t="s">
        <v>181</v>
      </c>
      <c r="B5" s="308" t="s">
        <v>1</v>
      </c>
      <c r="C5" s="248">
        <f>'[69]VENTAS TOTALES'!$F$10</f>
        <v>12299</v>
      </c>
      <c r="D5" s="248">
        <f>'[70]VENTAS TOTALES'!$F$10</f>
        <v>12153</v>
      </c>
      <c r="E5" s="248">
        <f>'[71]VENTAS TOTALES'!$F$10</f>
        <v>9688</v>
      </c>
      <c r="F5" s="248">
        <f>'[72]VENTAS TOTALES'!$F$10</f>
        <v>10335</v>
      </c>
      <c r="G5" s="248">
        <f>'[73]VENTAS TOTALES'!$F$10</f>
        <v>9078</v>
      </c>
      <c r="H5" s="248">
        <f>'[74]VENTAS TOTALES'!$F$10</f>
        <v>5982</v>
      </c>
      <c r="I5" s="248">
        <f>'[75]VENTAS TOTALES'!$F$10</f>
        <v>12440</v>
      </c>
      <c r="J5" s="248">
        <f>'[76]VENTAS TOTALES'!$F$10</f>
        <v>10846</v>
      </c>
      <c r="K5" s="248">
        <f>'[77]VENTAS TOTALES'!$F$10</f>
        <v>10072</v>
      </c>
      <c r="L5" s="248">
        <f>'[78]VENTAS TOTALES'!$F$10</f>
        <v>9745</v>
      </c>
      <c r="M5" s="248">
        <f>'[79]VENTAS TOTALES'!$F$10</f>
        <v>10074</v>
      </c>
      <c r="N5" s="248">
        <f>'[80]VENTAS TOTALES'!$F$10</f>
        <v>8886</v>
      </c>
      <c r="O5" s="248">
        <f>'[81]VENTAS TOTALES'!$F$10</f>
        <v>5371</v>
      </c>
      <c r="P5" s="248">
        <f>'[82]VENTAS TOTALES'!$F$10</f>
        <v>14182</v>
      </c>
      <c r="Q5" s="248">
        <f>'[83]VENTAS TOTALES'!$F$10</f>
        <v>12925</v>
      </c>
      <c r="R5" s="248">
        <f>'[84]VENTAS TOTALES'!$F$10</f>
        <v>11814</v>
      </c>
      <c r="S5" s="248">
        <f>'[85]VENTAS TOTALES'!$F$10</f>
        <v>11572</v>
      </c>
      <c r="T5" s="248">
        <f>'[86]VENTAS TOTALES'!$F$10</f>
        <v>11114</v>
      </c>
      <c r="U5" s="248">
        <f>'[87]VENTAS TOTALES'!$F$10</f>
        <v>9416</v>
      </c>
      <c r="V5" s="248">
        <f>'[88]VENTAS TOTALES'!$F$10</f>
        <v>6108</v>
      </c>
      <c r="W5" s="248">
        <f>'[89]VENTAS TOTALES'!$F$10</f>
        <v>13114</v>
      </c>
      <c r="X5" s="248">
        <f>'[90]VENTAS TOTALES'!$F$10</f>
        <v>10554</v>
      </c>
      <c r="Y5" s="248">
        <f>'[91]VENTAS TOTALES'!$F$10</f>
        <v>9896</v>
      </c>
      <c r="Z5" s="248">
        <f>'[92]VENTAS TOTALES'!$F$10</f>
        <v>10419</v>
      </c>
      <c r="AA5" s="248">
        <f>'[93]VENTAS TOTALES'!$F$10</f>
        <v>10707</v>
      </c>
      <c r="AB5" s="248">
        <f>'[94]VENTAS TOTALES'!$F$10</f>
        <v>9720</v>
      </c>
      <c r="AC5" s="248">
        <f>'[95]VENTAS TOTALES'!$F$10</f>
        <v>6396</v>
      </c>
      <c r="AD5" s="248">
        <f>'[96]VENTAS TOTALES'!$F$10</f>
        <v>15083</v>
      </c>
      <c r="AE5" s="248">
        <f>'[97]VENTAS TOTALES'!$F$10</f>
        <v>14150</v>
      </c>
      <c r="AF5" s="248">
        <f>'[98]VENTAS TOTALES'!$F$10</f>
        <v>12276</v>
      </c>
      <c r="AG5" s="248">
        <f>'[99]VENTAS TOTALES'!$F$10</f>
        <v>11802</v>
      </c>
      <c r="AH5" s="248">
        <f>'[100]VENTAS TOTALES'!$F$10</f>
        <v>10881</v>
      </c>
      <c r="AI5" s="248">
        <f>'[101]VENTAS TOTALES'!$F$10</f>
        <v>10068</v>
      </c>
      <c r="AJ5" s="248">
        <f>'[102]VENTAS TOTALES'!$F$10</f>
        <v>6140</v>
      </c>
    </row>
    <row r="6" spans="1:36" x14ac:dyDescent="0.2">
      <c r="A6" s="424"/>
      <c r="B6" s="309" t="s">
        <v>2</v>
      </c>
      <c r="C6" s="250">
        <f>'[69]VENTAS TOTALES'!$F14</f>
        <v>6189</v>
      </c>
      <c r="D6" s="250">
        <f>'[70]VENTAS TOTALES'!$F14</f>
        <v>5952</v>
      </c>
      <c r="E6" s="250">
        <f>'[71]VENTAS TOTALES'!$F14</f>
        <v>4966</v>
      </c>
      <c r="F6" s="250">
        <f>'[72]VENTAS TOTALES'!$F14</f>
        <v>4970</v>
      </c>
      <c r="G6" s="250">
        <f>'[73]VENTAS TOTALES'!$F14</f>
        <v>3895</v>
      </c>
      <c r="H6" s="250">
        <f>'[74]VENTAS TOTALES'!$F14</f>
        <v>2135</v>
      </c>
      <c r="I6" s="250">
        <f>'[75]VENTAS TOTALES'!$F14</f>
        <v>6660</v>
      </c>
      <c r="J6" s="250">
        <f>'[76]VENTAS TOTALES'!$F14</f>
        <v>5476</v>
      </c>
      <c r="K6" s="250">
        <f>'[77]VENTAS TOTALES'!$F14</f>
        <v>5283</v>
      </c>
      <c r="L6" s="250">
        <f>'[78]VENTAS TOTALES'!$F14</f>
        <v>5059</v>
      </c>
      <c r="M6" s="250">
        <f>'[79]VENTAS TOTALES'!$F14</f>
        <v>4999</v>
      </c>
      <c r="N6" s="250">
        <f>'[80]VENTAS TOTALES'!$F14</f>
        <v>4162</v>
      </c>
      <c r="O6" s="250">
        <f>'[81]VENTAS TOTALES'!$F14</f>
        <v>2095</v>
      </c>
      <c r="P6" s="250">
        <f>'[82]VENTAS TOTALES'!$F14</f>
        <v>6774</v>
      </c>
      <c r="Q6" s="250">
        <f>'[83]VENTAS TOTALES'!$F14</f>
        <v>5928</v>
      </c>
      <c r="R6" s="250">
        <f>'[84]VENTAS TOTALES'!$F14</f>
        <v>6191</v>
      </c>
      <c r="S6" s="250">
        <f>'[85]VENTAS TOTALES'!$F14</f>
        <v>5692</v>
      </c>
      <c r="T6" s="250">
        <f>'[86]VENTAS TOTALES'!$F14</f>
        <v>5475</v>
      </c>
      <c r="U6" s="250">
        <f>'[87]VENTAS TOTALES'!$F14</f>
        <v>4033</v>
      </c>
      <c r="V6" s="250">
        <f>'[88]VENTAS TOTALES'!$F14</f>
        <v>2142</v>
      </c>
      <c r="W6" s="250">
        <f>'[89]VENTAS TOTALES'!$F14</f>
        <v>6460</v>
      </c>
      <c r="X6" s="250">
        <f>'[90]VENTAS TOTALES'!$F14</f>
        <v>5559</v>
      </c>
      <c r="Y6" s="250">
        <f>'[91]VENTAS TOTALES'!$F14</f>
        <v>5544</v>
      </c>
      <c r="Z6" s="250">
        <f>'[92]VENTAS TOTALES'!$F14</f>
        <v>4856</v>
      </c>
      <c r="AA6" s="250">
        <f>'[93]VENTAS TOTALES'!$F14</f>
        <v>5348</v>
      </c>
      <c r="AB6" s="250">
        <f>'[94]VENTAS TOTALES'!$F14</f>
        <v>4304</v>
      </c>
      <c r="AC6" s="250">
        <f>'[95]VENTAS TOTALES'!$F14</f>
        <v>2212</v>
      </c>
      <c r="AD6" s="250">
        <f>'[96]VENTAS TOTALES'!$F14</f>
        <v>7099</v>
      </c>
      <c r="AE6" s="250">
        <f>'[97]VENTAS TOTALES'!$F14</f>
        <v>6521</v>
      </c>
      <c r="AF6" s="250">
        <f>'[98]VENTAS TOTALES'!$F14</f>
        <v>6558</v>
      </c>
      <c r="AG6" s="250">
        <f>'[99]VENTAS TOTALES'!$F14</f>
        <v>5833</v>
      </c>
      <c r="AH6" s="250">
        <f>'[100]VENTAS TOTALES'!$F14</f>
        <v>5331</v>
      </c>
      <c r="AI6" s="250">
        <f>'[101]VENTAS TOTALES'!$F14</f>
        <v>4382</v>
      </c>
      <c r="AJ6" s="250">
        <f>'[102]VENTAS TOTALES'!$F14</f>
        <v>2299</v>
      </c>
    </row>
    <row r="7" spans="1:36" x14ac:dyDescent="0.2">
      <c r="A7" s="424"/>
      <c r="B7" s="309" t="s">
        <v>3</v>
      </c>
      <c r="C7" s="250">
        <f>'[69]VENTAS TOTALES'!$F15</f>
        <v>6562</v>
      </c>
      <c r="D7" s="250">
        <f>'[70]VENTAS TOTALES'!$F15</f>
        <v>5573</v>
      </c>
      <c r="E7" s="250">
        <f>'[71]VENTAS TOTALES'!$F15</f>
        <v>5117</v>
      </c>
      <c r="F7" s="250">
        <f>'[72]VENTAS TOTALES'!$F15</f>
        <v>5033</v>
      </c>
      <c r="G7" s="250">
        <f>'[73]VENTAS TOTALES'!$F15</f>
        <v>3547</v>
      </c>
      <c r="H7" s="250">
        <f>'[74]VENTAS TOTALES'!$F15</f>
        <v>1709</v>
      </c>
      <c r="I7" s="250">
        <f>'[75]VENTAS TOTALES'!$F15</f>
        <v>6094</v>
      </c>
      <c r="J7" s="250">
        <f>'[76]VENTAS TOTALES'!$F15</f>
        <v>5356</v>
      </c>
      <c r="K7" s="250">
        <f>'[77]VENTAS TOTALES'!$F15</f>
        <v>4849</v>
      </c>
      <c r="L7" s="250">
        <f>'[78]VENTAS TOTALES'!$F15</f>
        <v>4811</v>
      </c>
      <c r="M7" s="250">
        <f>'[79]VENTAS TOTALES'!$F15</f>
        <v>4776</v>
      </c>
      <c r="N7" s="250">
        <f>'[80]VENTAS TOTALES'!$F15</f>
        <v>3877</v>
      </c>
      <c r="O7" s="250">
        <f>'[81]VENTAS TOTALES'!$F15</f>
        <v>1571</v>
      </c>
      <c r="P7" s="250">
        <f>'[82]VENTAS TOTALES'!$F15</f>
        <v>6437</v>
      </c>
      <c r="Q7" s="250">
        <f>'[83]VENTAS TOTALES'!$F15</f>
        <v>5599</v>
      </c>
      <c r="R7" s="250">
        <f>'[84]VENTAS TOTALES'!$F15</f>
        <v>5982</v>
      </c>
      <c r="S7" s="250">
        <f>'[85]VENTAS TOTALES'!$F15</f>
        <v>5478</v>
      </c>
      <c r="T7" s="250">
        <f>'[86]VENTAS TOTALES'!$F15</f>
        <v>5267</v>
      </c>
      <c r="U7" s="250">
        <f>'[87]VENTAS TOTALES'!$F15</f>
        <v>3972</v>
      </c>
      <c r="V7" s="250">
        <f>'[88]VENTAS TOTALES'!$F15</f>
        <v>1699</v>
      </c>
      <c r="W7" s="250">
        <f>'[89]VENTAS TOTALES'!$F15</f>
        <v>6694</v>
      </c>
      <c r="X7" s="250">
        <f>'[90]VENTAS TOTALES'!$F15</f>
        <v>5469</v>
      </c>
      <c r="Y7" s="250">
        <f>'[91]VENTAS TOTALES'!$F15</f>
        <v>5116</v>
      </c>
      <c r="Z7" s="250">
        <f>'[92]VENTAS TOTALES'!$F15</f>
        <v>4993</v>
      </c>
      <c r="AA7" s="250">
        <f>'[93]VENTAS TOTALES'!$F15</f>
        <v>4880</v>
      </c>
      <c r="AB7" s="250">
        <f>'[94]VENTAS TOTALES'!$F15</f>
        <v>3938</v>
      </c>
      <c r="AC7" s="250">
        <f>'[95]VENTAS TOTALES'!$F15</f>
        <v>1895</v>
      </c>
      <c r="AD7" s="250">
        <f>'[96]VENTAS TOTALES'!$F15</f>
        <v>6782</v>
      </c>
      <c r="AE7" s="250">
        <f>'[97]VENTAS TOTALES'!$F15</f>
        <v>6387</v>
      </c>
      <c r="AF7" s="250">
        <f>'[98]VENTAS TOTALES'!$F15</f>
        <v>6037</v>
      </c>
      <c r="AG7" s="250">
        <f>'[99]VENTAS TOTALES'!$F15</f>
        <v>5876</v>
      </c>
      <c r="AH7" s="250">
        <f>'[100]VENTAS TOTALES'!$F15</f>
        <v>5292</v>
      </c>
      <c r="AI7" s="250">
        <f>'[101]VENTAS TOTALES'!$F15</f>
        <v>3913</v>
      </c>
      <c r="AJ7" s="250">
        <f>'[102]VENTAS TOTALES'!$F15</f>
        <v>1858</v>
      </c>
    </row>
    <row r="8" spans="1:36" x14ac:dyDescent="0.2">
      <c r="A8" s="424"/>
      <c r="B8" s="309" t="s">
        <v>4</v>
      </c>
      <c r="C8" s="250">
        <f>'[69]VENTAS TOTALES'!$F16</f>
        <v>6690</v>
      </c>
      <c r="D8" s="250">
        <f>'[70]VENTAS TOTALES'!$F16</f>
        <v>6842</v>
      </c>
      <c r="E8" s="250">
        <f>'[71]VENTAS TOTALES'!$F16</f>
        <v>5850</v>
      </c>
      <c r="F8" s="250">
        <f>'[72]VENTAS TOTALES'!$F16</f>
        <v>5893</v>
      </c>
      <c r="G8" s="250">
        <f>'[73]VENTAS TOTALES'!$F16</f>
        <v>4357</v>
      </c>
      <c r="H8" s="250">
        <f>'[74]VENTAS TOTALES'!$F16</f>
        <v>2011</v>
      </c>
      <c r="I8" s="250">
        <f>'[75]VENTAS TOTALES'!$F16</f>
        <v>7532</v>
      </c>
      <c r="J8" s="250">
        <f>'[76]VENTAS TOTALES'!$F16</f>
        <v>6390</v>
      </c>
      <c r="K8" s="250">
        <f>'[77]VENTAS TOTALES'!$F16</f>
        <v>6163</v>
      </c>
      <c r="L8" s="250">
        <f>'[78]VENTAS TOTALES'!$F16</f>
        <v>6148</v>
      </c>
      <c r="M8" s="250">
        <f>'[79]VENTAS TOTALES'!$F16</f>
        <v>5864</v>
      </c>
      <c r="N8" s="250">
        <f>'[80]VENTAS TOTALES'!$F16</f>
        <v>4693</v>
      </c>
      <c r="O8" s="250">
        <f>'[81]VENTAS TOTALES'!$F16</f>
        <v>1871</v>
      </c>
      <c r="P8" s="250">
        <f>'[82]VENTAS TOTALES'!$F16</f>
        <v>8281</v>
      </c>
      <c r="Q8" s="250">
        <f>'[83]VENTAS TOTALES'!$F16</f>
        <v>6884</v>
      </c>
      <c r="R8" s="250">
        <f>'[84]VENTAS TOTALES'!$F16</f>
        <v>7474</v>
      </c>
      <c r="S8" s="250">
        <f>'[85]VENTAS TOTALES'!$F16</f>
        <v>6544</v>
      </c>
      <c r="T8" s="250">
        <f>'[86]VENTAS TOTALES'!$F16</f>
        <v>6105</v>
      </c>
      <c r="U8" s="250">
        <f>'[87]VENTAS TOTALES'!$F16</f>
        <v>4835</v>
      </c>
      <c r="V8" s="250">
        <f>'[88]VENTAS TOTALES'!$F16</f>
        <v>2241</v>
      </c>
      <c r="W8" s="250">
        <f>'[89]VENTAS TOTALES'!$F16</f>
        <v>8019</v>
      </c>
      <c r="X8" s="250">
        <f>'[90]VENTAS TOTALES'!$F16</f>
        <v>6469</v>
      </c>
      <c r="Y8" s="250">
        <f>'[91]VENTAS TOTALES'!$F16</f>
        <v>5964</v>
      </c>
      <c r="Z8" s="250">
        <f>'[92]VENTAS TOTALES'!$F16</f>
        <v>6085</v>
      </c>
      <c r="AA8" s="250">
        <f>'[93]VENTAS TOTALES'!$F16</f>
        <v>6107</v>
      </c>
      <c r="AB8" s="250">
        <f>'[94]VENTAS TOTALES'!$F16</f>
        <v>4632</v>
      </c>
      <c r="AC8" s="250">
        <f>'[95]VENTAS TOTALES'!$F16</f>
        <v>2084</v>
      </c>
      <c r="AD8" s="250">
        <f>'[96]VENTAS TOTALES'!$F16</f>
        <v>8792</v>
      </c>
      <c r="AE8" s="250">
        <f>'[97]VENTAS TOTALES'!$F16</f>
        <v>8008</v>
      </c>
      <c r="AF8" s="250">
        <f>'[98]VENTAS TOTALES'!$F16</f>
        <v>7148</v>
      </c>
      <c r="AG8" s="250">
        <f>'[99]VENTAS TOTALES'!$F16</f>
        <v>6784</v>
      </c>
      <c r="AH8" s="250">
        <f>'[100]VENTAS TOTALES'!$F16</f>
        <v>6300</v>
      </c>
      <c r="AI8" s="250">
        <f>'[101]VENTAS TOTALES'!$F16</f>
        <v>5076</v>
      </c>
      <c r="AJ8" s="250">
        <f>'[102]VENTAS TOTALES'!$F16</f>
        <v>2142</v>
      </c>
    </row>
    <row r="9" spans="1:36" x14ac:dyDescent="0.2">
      <c r="A9" s="424"/>
      <c r="B9" s="309" t="s">
        <v>5</v>
      </c>
      <c r="C9" s="250">
        <f>'[69]VENTAS TOTALES'!$F17</f>
        <v>4974</v>
      </c>
      <c r="D9" s="250">
        <f>'[70]VENTAS TOTALES'!$F17</f>
        <v>4799</v>
      </c>
      <c r="E9" s="250">
        <f>'[71]VENTAS TOTALES'!$F17</f>
        <v>3876</v>
      </c>
      <c r="F9" s="250">
        <f>'[72]VENTAS TOTALES'!$F17</f>
        <v>3309</v>
      </c>
      <c r="G9" s="250">
        <f>'[73]VENTAS TOTALES'!$F17</f>
        <v>3060</v>
      </c>
      <c r="H9" s="250">
        <f>'[74]VENTAS TOTALES'!$F17</f>
        <v>1550</v>
      </c>
      <c r="I9" s="250">
        <f>'[75]VENTAS TOTALES'!$F17</f>
        <v>5265</v>
      </c>
      <c r="J9" s="250">
        <f>'[76]VENTAS TOTALES'!$F17</f>
        <v>4486</v>
      </c>
      <c r="K9" s="250">
        <f>'[77]VENTAS TOTALES'!$F17</f>
        <v>3615</v>
      </c>
      <c r="L9" s="250">
        <f>'[78]VENTAS TOTALES'!$F17</f>
        <v>3997</v>
      </c>
      <c r="M9" s="250">
        <f>'[79]VENTAS TOTALES'!$F17</f>
        <v>3786</v>
      </c>
      <c r="N9" s="250">
        <f>'[80]VENTAS TOTALES'!$F17</f>
        <v>3137</v>
      </c>
      <c r="O9" s="250">
        <f>'[81]VENTAS TOTALES'!$F17</f>
        <v>1586</v>
      </c>
      <c r="P9" s="250">
        <f>'[82]VENTAS TOTALES'!$F17</f>
        <v>4997</v>
      </c>
      <c r="Q9" s="250">
        <f>'[83]VENTAS TOTALES'!$F17</f>
        <v>4679</v>
      </c>
      <c r="R9" s="250">
        <f>'[84]VENTAS TOTALES'!$F17</f>
        <v>4887</v>
      </c>
      <c r="S9" s="250">
        <f>'[85]VENTAS TOTALES'!$F17</f>
        <v>4380</v>
      </c>
      <c r="T9" s="250">
        <f>'[86]VENTAS TOTALES'!$F17</f>
        <v>4159</v>
      </c>
      <c r="U9" s="250">
        <f>'[87]VENTAS TOTALES'!$F17</f>
        <v>3136</v>
      </c>
      <c r="V9" s="250">
        <f>'[88]VENTAS TOTALES'!$F17</f>
        <v>1652</v>
      </c>
      <c r="W9" s="250">
        <f>'[89]VENTAS TOTALES'!$F17</f>
        <v>5300</v>
      </c>
      <c r="X9" s="250">
        <f>'[90]VENTAS TOTALES'!$F17</f>
        <v>4448</v>
      </c>
      <c r="Y9" s="250">
        <f>'[91]VENTAS TOTALES'!$F17</f>
        <v>4102</v>
      </c>
      <c r="Z9" s="250">
        <f>'[92]VENTAS TOTALES'!$F17</f>
        <v>3973</v>
      </c>
      <c r="AA9" s="250">
        <f>'[93]VENTAS TOTALES'!$F17</f>
        <v>3910</v>
      </c>
      <c r="AB9" s="250">
        <f>'[94]VENTAS TOTALES'!$F17</f>
        <v>3181</v>
      </c>
      <c r="AC9" s="250">
        <f>'[95]VENTAS TOTALES'!$F17</f>
        <v>1654</v>
      </c>
      <c r="AD9" s="250">
        <f>'[96]VENTAS TOTALES'!$F17</f>
        <v>5986</v>
      </c>
      <c r="AE9" s="250">
        <f>'[97]VENTAS TOTALES'!$F17</f>
        <v>5058</v>
      </c>
      <c r="AF9" s="250">
        <f>'[98]VENTAS TOTALES'!$F17</f>
        <v>4674</v>
      </c>
      <c r="AG9" s="250">
        <f>'[99]VENTAS TOTALES'!$F17</f>
        <v>4550</v>
      </c>
      <c r="AH9" s="250">
        <f>'[100]VENTAS TOTALES'!$F17</f>
        <v>3987</v>
      </c>
      <c r="AI9" s="250">
        <f>'[101]VENTAS TOTALES'!$F17</f>
        <v>3255</v>
      </c>
      <c r="AJ9" s="250">
        <f>'[102]VENTAS TOTALES'!$F17</f>
        <v>1585</v>
      </c>
    </row>
    <row r="10" spans="1:36" x14ac:dyDescent="0.2">
      <c r="A10" s="424"/>
      <c r="B10" s="309" t="s">
        <v>6</v>
      </c>
      <c r="C10" s="250">
        <f>'[69]VENTAS TOTALES'!$F18</f>
        <v>5704</v>
      </c>
      <c r="D10" s="250">
        <f>'[70]VENTAS TOTALES'!$F18</f>
        <v>5625</v>
      </c>
      <c r="E10" s="250">
        <f>'[71]VENTAS TOTALES'!$F18</f>
        <v>5022</v>
      </c>
      <c r="F10" s="250">
        <f>'[72]VENTAS TOTALES'!$F18</f>
        <v>4396</v>
      </c>
      <c r="G10" s="250">
        <f>'[73]VENTAS TOTALES'!$F18</f>
        <v>3812</v>
      </c>
      <c r="H10" s="250">
        <f>'[74]VENTAS TOTALES'!$F18</f>
        <v>1684</v>
      </c>
      <c r="I10" s="250">
        <f>'[75]VENTAS TOTALES'!$F18</f>
        <v>6595</v>
      </c>
      <c r="J10" s="250">
        <f>'[76]VENTAS TOTALES'!$F18</f>
        <v>5345</v>
      </c>
      <c r="K10" s="250">
        <f>'[77]VENTAS TOTALES'!$F18</f>
        <v>4968</v>
      </c>
      <c r="L10" s="250">
        <f>'[78]VENTAS TOTALES'!$F18</f>
        <v>4611</v>
      </c>
      <c r="M10" s="250">
        <f>'[79]VENTAS TOTALES'!$F18</f>
        <v>4946</v>
      </c>
      <c r="N10" s="250">
        <f>'[80]VENTAS TOTALES'!$F18</f>
        <v>3898</v>
      </c>
      <c r="O10" s="250">
        <f>'[81]VENTAS TOTALES'!$F18</f>
        <v>1763</v>
      </c>
      <c r="P10" s="250">
        <f>'[82]VENTAS TOTALES'!$F18</f>
        <v>6644</v>
      </c>
      <c r="Q10" s="250">
        <f>'[83]VENTAS TOTALES'!$F18</f>
        <v>6370</v>
      </c>
      <c r="R10" s="250">
        <f>'[84]VENTAS TOTALES'!$F18</f>
        <v>5792</v>
      </c>
      <c r="S10" s="250">
        <f>'[85]VENTAS TOTALES'!$F18</f>
        <v>5817</v>
      </c>
      <c r="T10" s="250">
        <f>'[86]VENTAS TOTALES'!$F18</f>
        <v>4907</v>
      </c>
      <c r="U10" s="250">
        <f>'[87]VENTAS TOTALES'!$F18</f>
        <v>4121</v>
      </c>
      <c r="V10" s="250">
        <f>'[88]VENTAS TOTALES'!$F18</f>
        <v>1860</v>
      </c>
      <c r="W10" s="250">
        <f>'[89]VENTAS TOTALES'!$F18</f>
        <v>6380</v>
      </c>
      <c r="X10" s="250">
        <f>'[90]VENTAS TOTALES'!$F18</f>
        <v>4703</v>
      </c>
      <c r="Y10" s="250">
        <f>'[91]VENTAS TOTALES'!$F18</f>
        <v>5113</v>
      </c>
      <c r="Z10" s="250">
        <f>'[92]VENTAS TOTALES'!$F18</f>
        <v>5144</v>
      </c>
      <c r="AA10" s="250">
        <f>'[93]VENTAS TOTALES'!$F18</f>
        <v>5173</v>
      </c>
      <c r="AB10" s="250">
        <f>'[94]VENTAS TOTALES'!$F18</f>
        <v>4115</v>
      </c>
      <c r="AC10" s="250">
        <f>'[95]VENTAS TOTALES'!$F18</f>
        <v>1951</v>
      </c>
      <c r="AD10" s="250">
        <f>'[96]VENTAS TOTALES'!$F18</f>
        <v>7114</v>
      </c>
      <c r="AE10" s="250">
        <f>'[97]VENTAS TOTALES'!$F18</f>
        <v>6548</v>
      </c>
      <c r="AF10" s="250">
        <f>'[98]VENTAS TOTALES'!$F18</f>
        <v>6390</v>
      </c>
      <c r="AG10" s="250">
        <f>'[99]VENTAS TOTALES'!$F18</f>
        <v>5132</v>
      </c>
      <c r="AH10" s="250">
        <f>'[100]VENTAS TOTALES'!$F18</f>
        <v>5296</v>
      </c>
      <c r="AI10" s="250">
        <f>'[101]VENTAS TOTALES'!$F18</f>
        <v>4373</v>
      </c>
      <c r="AJ10" s="250">
        <f>'[102]VENTAS TOTALES'!$F18</f>
        <v>1855</v>
      </c>
    </row>
    <row r="11" spans="1:36" x14ac:dyDescent="0.2">
      <c r="A11" s="424"/>
      <c r="B11" s="309" t="s">
        <v>7</v>
      </c>
      <c r="C11" s="250">
        <f>'[69]VENTAS TOTALES'!$F19</f>
        <v>6529</v>
      </c>
      <c r="D11" s="250">
        <f>'[70]VENTAS TOTALES'!$F19</f>
        <v>6215</v>
      </c>
      <c r="E11" s="250">
        <f>'[71]VENTAS TOTALES'!$F19</f>
        <v>5701</v>
      </c>
      <c r="F11" s="250">
        <f>'[72]VENTAS TOTALES'!$F19</f>
        <v>5595</v>
      </c>
      <c r="G11" s="250">
        <f>'[73]VENTAS TOTALES'!$F19</f>
        <v>3689</v>
      </c>
      <c r="H11" s="250">
        <f>'[74]VENTAS TOTALES'!$F19</f>
        <v>1781</v>
      </c>
      <c r="I11" s="250">
        <f>'[75]VENTAS TOTALES'!$F19</f>
        <v>6618</v>
      </c>
      <c r="J11" s="250">
        <f>'[76]VENTAS TOTALES'!$F19</f>
        <v>5648</v>
      </c>
      <c r="K11" s="250">
        <f>'[77]VENTAS TOTALES'!$F19</f>
        <v>5414</v>
      </c>
      <c r="L11" s="250">
        <f>'[78]VENTAS TOTALES'!$F19</f>
        <v>5302</v>
      </c>
      <c r="M11" s="250">
        <f>'[79]VENTAS TOTALES'!$F19</f>
        <v>5403</v>
      </c>
      <c r="N11" s="250">
        <f>'[80]VENTAS TOTALES'!$F19</f>
        <v>3665</v>
      </c>
      <c r="O11" s="250">
        <f>'[81]VENTAS TOTALES'!$F19</f>
        <v>1462</v>
      </c>
      <c r="P11" s="250">
        <f>'[82]VENTAS TOTALES'!$F19</f>
        <v>6573</v>
      </c>
      <c r="Q11" s="250">
        <f>'[83]VENTAS TOTALES'!$F19</f>
        <v>6006</v>
      </c>
      <c r="R11" s="250">
        <f>'[84]VENTAS TOTALES'!$F19</f>
        <v>5927</v>
      </c>
      <c r="S11" s="250">
        <f>'[85]VENTAS TOTALES'!$F19</f>
        <v>5570</v>
      </c>
      <c r="T11" s="250">
        <f>'[86]VENTAS TOTALES'!$F19</f>
        <v>5594</v>
      </c>
      <c r="U11" s="250">
        <f>'[87]VENTAS TOTALES'!$F19</f>
        <v>4156</v>
      </c>
      <c r="V11" s="250">
        <f>'[88]VENTAS TOTALES'!$F19</f>
        <v>1565</v>
      </c>
      <c r="W11" s="250">
        <f>'[89]VENTAS TOTALES'!$F19</f>
        <v>6343</v>
      </c>
      <c r="X11" s="250">
        <f>'[90]VENTAS TOTALES'!$F19</f>
        <v>5362</v>
      </c>
      <c r="Y11" s="250">
        <f>'[91]VENTAS TOTALES'!$F19</f>
        <v>5129</v>
      </c>
      <c r="Z11" s="250">
        <f>'[92]VENTAS TOTALES'!$F19</f>
        <v>5256</v>
      </c>
      <c r="AA11" s="250">
        <f>'[93]VENTAS TOTALES'!$F19</f>
        <v>5570</v>
      </c>
      <c r="AB11" s="250">
        <f>'[94]VENTAS TOTALES'!$F19</f>
        <v>3946</v>
      </c>
      <c r="AC11" s="250">
        <f>'[95]VENTAS TOTALES'!$F19</f>
        <v>1652</v>
      </c>
      <c r="AD11" s="250">
        <f>'[96]VENTAS TOTALES'!$F19</f>
        <v>6829</v>
      </c>
      <c r="AE11" s="250">
        <f>'[97]VENTAS TOTALES'!$F19</f>
        <v>6713</v>
      </c>
      <c r="AF11" s="250">
        <f>'[98]VENTAS TOTALES'!$F19</f>
        <v>6207</v>
      </c>
      <c r="AG11" s="250">
        <f>'[99]VENTAS TOTALES'!$F19</f>
        <v>5727</v>
      </c>
      <c r="AH11" s="250">
        <f>'[100]VENTAS TOTALES'!$F19</f>
        <v>5849</v>
      </c>
      <c r="AI11" s="250">
        <f>'[101]VENTAS TOTALES'!$F19</f>
        <v>4063</v>
      </c>
      <c r="AJ11" s="250">
        <f>'[102]VENTAS TOTALES'!$F19</f>
        <v>1730</v>
      </c>
    </row>
    <row r="12" spans="1:36" x14ac:dyDescent="0.2">
      <c r="A12" s="424"/>
      <c r="B12" s="309" t="s">
        <v>8</v>
      </c>
      <c r="C12" s="250">
        <f>'[69]VENTAS TOTALES'!$F20</f>
        <v>3615</v>
      </c>
      <c r="D12" s="250">
        <f>'[70]VENTAS TOTALES'!$F20</f>
        <v>3497</v>
      </c>
      <c r="E12" s="250">
        <f>'[71]VENTAS TOTALES'!$F20</f>
        <v>3285</v>
      </c>
      <c r="F12" s="250">
        <f>'[72]VENTAS TOTALES'!$F20</f>
        <v>2976</v>
      </c>
      <c r="G12" s="250">
        <f>'[73]VENTAS TOTALES'!$F20</f>
        <v>2051</v>
      </c>
      <c r="H12" s="250">
        <f>'[74]VENTAS TOTALES'!$F20</f>
        <v>879</v>
      </c>
      <c r="I12" s="250">
        <f>'[75]VENTAS TOTALES'!$F20</f>
        <v>3930</v>
      </c>
      <c r="J12" s="250">
        <f>'[76]VENTAS TOTALES'!$F20</f>
        <v>3183</v>
      </c>
      <c r="K12" s="250">
        <f>'[77]VENTAS TOTALES'!$F20</f>
        <v>3297</v>
      </c>
      <c r="L12" s="250">
        <f>'[78]VENTAS TOTALES'!$F20</f>
        <v>3019</v>
      </c>
      <c r="M12" s="250">
        <f>'[79]VENTAS TOTALES'!$F20</f>
        <v>2928</v>
      </c>
      <c r="N12" s="250">
        <f>'[80]VENTAS TOTALES'!$F20</f>
        <v>2216</v>
      </c>
      <c r="O12" s="250">
        <f>'[81]VENTAS TOTALES'!$F20</f>
        <v>899</v>
      </c>
      <c r="P12" s="250">
        <f>'[82]VENTAS TOTALES'!$F20</f>
        <v>4168</v>
      </c>
      <c r="Q12" s="250">
        <f>'[83]VENTAS TOTALES'!$F20</f>
        <v>3749</v>
      </c>
      <c r="R12" s="250">
        <f>'[84]VENTAS TOTALES'!$F20</f>
        <v>3384</v>
      </c>
      <c r="S12" s="250">
        <f>'[85]VENTAS TOTALES'!$F20</f>
        <v>3296</v>
      </c>
      <c r="T12" s="250">
        <f>'[86]VENTAS TOTALES'!$F20</f>
        <v>3221</v>
      </c>
      <c r="U12" s="250">
        <f>'[87]VENTAS TOTALES'!$F20</f>
        <v>2320</v>
      </c>
      <c r="V12" s="250">
        <f>'[88]VENTAS TOTALES'!$F20</f>
        <v>854</v>
      </c>
      <c r="W12" s="250">
        <f>'[89]VENTAS TOTALES'!$F20</f>
        <v>3791</v>
      </c>
      <c r="X12" s="250">
        <f>'[90]VENTAS TOTALES'!$F20</f>
        <v>3221</v>
      </c>
      <c r="Y12" s="250">
        <f>'[91]VENTAS TOTALES'!$F20</f>
        <v>3133</v>
      </c>
      <c r="Z12" s="250">
        <f>'[92]VENTAS TOTALES'!$F20</f>
        <v>3136</v>
      </c>
      <c r="AA12" s="250">
        <f>'[93]VENTAS TOTALES'!$F20</f>
        <v>3061</v>
      </c>
      <c r="AB12" s="250">
        <f>'[94]VENTAS TOTALES'!$F20</f>
        <v>2307</v>
      </c>
      <c r="AC12" s="250">
        <f>'[95]VENTAS TOTALES'!$F20</f>
        <v>957</v>
      </c>
      <c r="AD12" s="250">
        <f>'[96]VENTAS TOTALES'!$F20</f>
        <v>4144</v>
      </c>
      <c r="AE12" s="250">
        <f>'[97]VENTAS TOTALES'!$F20</f>
        <v>3801</v>
      </c>
      <c r="AF12" s="250">
        <f>'[98]VENTAS TOTALES'!$F20</f>
        <v>3470</v>
      </c>
      <c r="AG12" s="250">
        <f>'[99]VENTAS TOTALES'!$F20</f>
        <v>3372</v>
      </c>
      <c r="AH12" s="250">
        <f>'[100]VENTAS TOTALES'!$F20</f>
        <v>3308</v>
      </c>
      <c r="AI12" s="250">
        <f>'[101]VENTAS TOTALES'!$F20</f>
        <v>2319</v>
      </c>
      <c r="AJ12" s="250">
        <f>'[102]VENTAS TOTALES'!$F20</f>
        <v>861</v>
      </c>
    </row>
    <row r="13" spans="1:36" x14ac:dyDescent="0.2">
      <c r="A13" s="424"/>
      <c r="B13" s="309" t="s">
        <v>9</v>
      </c>
      <c r="C13" s="250">
        <f>'[69]VENTAS TOTALES'!$F21</f>
        <v>4173</v>
      </c>
      <c r="D13" s="250">
        <f>'[70]VENTAS TOTALES'!$F21</f>
        <v>4073</v>
      </c>
      <c r="E13" s="250">
        <f>'[71]VENTAS TOTALES'!$F21</f>
        <v>3594</v>
      </c>
      <c r="F13" s="250">
        <f>'[72]VENTAS TOTALES'!$F21</f>
        <v>3707</v>
      </c>
      <c r="G13" s="250">
        <f>'[73]VENTAS TOTALES'!$F21</f>
        <v>3014</v>
      </c>
      <c r="H13" s="250">
        <f>'[74]VENTAS TOTALES'!$F21</f>
        <v>1617</v>
      </c>
      <c r="I13" s="250">
        <f>'[75]VENTAS TOTALES'!$F21</f>
        <v>4081</v>
      </c>
      <c r="J13" s="250">
        <f>'[76]VENTAS TOTALES'!$F21</f>
        <v>3614</v>
      </c>
      <c r="K13" s="250">
        <f>'[77]VENTAS TOTALES'!$F21</f>
        <v>3545</v>
      </c>
      <c r="L13" s="250">
        <f>'[78]VENTAS TOTALES'!$F21</f>
        <v>3423</v>
      </c>
      <c r="M13" s="250">
        <f>'[79]VENTAS TOTALES'!$F21</f>
        <v>3557</v>
      </c>
      <c r="N13" s="250">
        <f>'[80]VENTAS TOTALES'!$F21</f>
        <v>2815</v>
      </c>
      <c r="O13" s="250">
        <f>'[81]VENTAS TOTALES'!$F21</f>
        <v>1434</v>
      </c>
      <c r="P13" s="250">
        <f>'[82]VENTAS TOTALES'!$F21</f>
        <v>4087</v>
      </c>
      <c r="Q13" s="250">
        <f>'[83]VENTAS TOTALES'!$F21</f>
        <v>4133</v>
      </c>
      <c r="R13" s="250">
        <f>'[84]VENTAS TOTALES'!$F21</f>
        <v>4137</v>
      </c>
      <c r="S13" s="250">
        <f>'[85]VENTAS TOTALES'!$F21</f>
        <v>3937</v>
      </c>
      <c r="T13" s="250">
        <f>'[86]VENTAS TOTALES'!$F21</f>
        <v>3665</v>
      </c>
      <c r="U13" s="250">
        <f>'[87]VENTAS TOTALES'!$F21</f>
        <v>2988</v>
      </c>
      <c r="V13" s="250">
        <f>'[88]VENTAS TOTALES'!$F21</f>
        <v>1585</v>
      </c>
      <c r="W13" s="250">
        <f>'[89]VENTAS TOTALES'!$F21</f>
        <v>4147</v>
      </c>
      <c r="X13" s="250">
        <f>'[90]VENTAS TOTALES'!$F21</f>
        <v>3789</v>
      </c>
      <c r="Y13" s="250">
        <f>'[91]VENTAS TOTALES'!$F21</f>
        <v>3710</v>
      </c>
      <c r="Z13" s="250">
        <f>'[92]VENTAS TOTALES'!$F21</f>
        <v>3508</v>
      </c>
      <c r="AA13" s="250">
        <f>'[93]VENTAS TOTALES'!$F21</f>
        <v>3549</v>
      </c>
      <c r="AB13" s="250">
        <f>'[94]VENTAS TOTALES'!$F21</f>
        <v>3048</v>
      </c>
      <c r="AC13" s="250">
        <f>'[95]VENTAS TOTALES'!$F21</f>
        <v>1720</v>
      </c>
      <c r="AD13" s="250">
        <f>'[96]VENTAS TOTALES'!$F21</f>
        <v>4638</v>
      </c>
      <c r="AE13" s="250">
        <f>'[97]VENTAS TOTALES'!$F21</f>
        <v>4877</v>
      </c>
      <c r="AF13" s="250">
        <f>'[98]VENTAS TOTALES'!$F21</f>
        <v>4070</v>
      </c>
      <c r="AG13" s="250">
        <f>'[99]VENTAS TOTALES'!$F21</f>
        <v>3944</v>
      </c>
      <c r="AH13" s="250">
        <f>'[100]VENTAS TOTALES'!$F21</f>
        <v>3951</v>
      </c>
      <c r="AI13" s="250">
        <f>'[101]VENTAS TOTALES'!$F21</f>
        <v>3457</v>
      </c>
      <c r="AJ13" s="250">
        <f>'[102]VENTAS TOTALES'!$F21</f>
        <v>1599</v>
      </c>
    </row>
    <row r="14" spans="1:36" x14ac:dyDescent="0.2">
      <c r="A14" s="424"/>
      <c r="B14" s="309" t="s">
        <v>10</v>
      </c>
      <c r="C14" s="250">
        <f>'[69]VENTAS TOTALES'!$F22</f>
        <v>8836</v>
      </c>
      <c r="D14" s="250">
        <f>'[70]VENTAS TOTALES'!$F22</f>
        <v>8759</v>
      </c>
      <c r="E14" s="250">
        <f>'[71]VENTAS TOTALES'!$F22</f>
        <v>7188</v>
      </c>
      <c r="F14" s="250">
        <f>'[72]VENTAS TOTALES'!$F22</f>
        <v>7332</v>
      </c>
      <c r="G14" s="250">
        <f>'[73]VENTAS TOTALES'!$F22</f>
        <v>5546</v>
      </c>
      <c r="H14" s="250">
        <f>'[74]VENTAS TOTALES'!$F22</f>
        <v>2724</v>
      </c>
      <c r="I14" s="250">
        <f>'[75]VENTAS TOTALES'!$F22</f>
        <v>8400</v>
      </c>
      <c r="J14" s="250">
        <f>'[76]VENTAS TOTALES'!$F22</f>
        <v>7876</v>
      </c>
      <c r="K14" s="250">
        <f>'[77]VENTAS TOTALES'!$F22</f>
        <v>7463</v>
      </c>
      <c r="L14" s="250">
        <f>'[78]VENTAS TOTALES'!$F22</f>
        <v>7157</v>
      </c>
      <c r="M14" s="250">
        <f>'[79]VENTAS TOTALES'!$F22</f>
        <v>7348</v>
      </c>
      <c r="N14" s="250">
        <f>'[80]VENTAS TOTALES'!$F22</f>
        <v>5388</v>
      </c>
      <c r="O14" s="250">
        <f>'[81]VENTAS TOTALES'!$F22</f>
        <v>2621</v>
      </c>
      <c r="P14" s="250">
        <f>'[82]VENTAS TOTALES'!$F22</f>
        <v>9418</v>
      </c>
      <c r="Q14" s="250">
        <f>'[83]VENTAS TOTALES'!$F22</f>
        <v>8256</v>
      </c>
      <c r="R14" s="250">
        <f>'[84]VENTAS TOTALES'!$F22</f>
        <v>8177</v>
      </c>
      <c r="S14" s="250">
        <f>'[85]VENTAS TOTALES'!$F22</f>
        <v>7902</v>
      </c>
      <c r="T14" s="250">
        <f>'[86]VENTAS TOTALES'!$F22</f>
        <v>7641</v>
      </c>
      <c r="U14" s="250">
        <f>'[87]VENTAS TOTALES'!$F22</f>
        <v>5683</v>
      </c>
      <c r="V14" s="250">
        <f>'[88]VENTAS TOTALES'!$F22</f>
        <v>2823</v>
      </c>
      <c r="W14" s="250">
        <f>'[89]VENTAS TOTALES'!$F22</f>
        <v>8943</v>
      </c>
      <c r="X14" s="250">
        <f>'[90]VENTAS TOTALES'!$F22</f>
        <v>7598</v>
      </c>
      <c r="Y14" s="250">
        <f>'[91]VENTAS TOTALES'!$F22</f>
        <v>7541</v>
      </c>
      <c r="Z14" s="250">
        <f>'[92]VENTAS TOTALES'!$F22</f>
        <v>7157</v>
      </c>
      <c r="AA14" s="250">
        <f>'[93]VENTAS TOTALES'!$F22</f>
        <v>7473</v>
      </c>
      <c r="AB14" s="250">
        <f>'[94]VENTAS TOTALES'!$F22</f>
        <v>5535</v>
      </c>
      <c r="AC14" s="250">
        <f>'[95]VENTAS TOTALES'!$F22</f>
        <v>2742</v>
      </c>
      <c r="AD14" s="250">
        <f>'[96]VENTAS TOTALES'!$F22</f>
        <v>9889</v>
      </c>
      <c r="AE14" s="250">
        <f>'[97]VENTAS TOTALES'!$F22</f>
        <v>9104</v>
      </c>
      <c r="AF14" s="250">
        <f>'[98]VENTAS TOTALES'!$F22</f>
        <v>8305</v>
      </c>
      <c r="AG14" s="250">
        <f>'[99]VENTAS TOTALES'!$F22</f>
        <v>7995</v>
      </c>
      <c r="AH14" s="250">
        <f>'[100]VENTAS TOTALES'!$F22</f>
        <v>7909</v>
      </c>
      <c r="AI14" s="250">
        <f>'[101]VENTAS TOTALES'!$F22</f>
        <v>5700</v>
      </c>
      <c r="AJ14" s="250">
        <f>'[102]VENTAS TOTALES'!$F22</f>
        <v>2766</v>
      </c>
    </row>
    <row r="15" spans="1:36" x14ac:dyDescent="0.2">
      <c r="A15" s="424"/>
      <c r="B15" s="309" t="s">
        <v>11</v>
      </c>
      <c r="C15" s="250">
        <f>'[69]VENTAS TOTALES'!$F23</f>
        <v>3756</v>
      </c>
      <c r="D15" s="250">
        <f>'[70]VENTAS TOTALES'!$F23</f>
        <v>3730</v>
      </c>
      <c r="E15" s="250">
        <f>'[71]VENTAS TOTALES'!$F23</f>
        <v>3377</v>
      </c>
      <c r="F15" s="250">
        <f>'[72]VENTAS TOTALES'!$F23</f>
        <v>3324</v>
      </c>
      <c r="G15" s="250">
        <f>'[73]VENTAS TOTALES'!$F23</f>
        <v>2284</v>
      </c>
      <c r="H15" s="250">
        <f>'[74]VENTAS TOTALES'!$F23</f>
        <v>1357</v>
      </c>
      <c r="I15" s="250">
        <f>'[75]VENTAS TOTALES'!$F23</f>
        <v>4032</v>
      </c>
      <c r="J15" s="250">
        <f>'[76]VENTAS TOTALES'!$F23</f>
        <v>3520</v>
      </c>
      <c r="K15" s="250">
        <f>'[77]VENTAS TOTALES'!$F23</f>
        <v>3201</v>
      </c>
      <c r="L15" s="250">
        <f>'[78]VENTAS TOTALES'!$F23</f>
        <v>3278</v>
      </c>
      <c r="M15" s="250">
        <f>'[79]VENTAS TOTALES'!$F23</f>
        <v>3021</v>
      </c>
      <c r="N15" s="250">
        <f>'[80]VENTAS TOTALES'!$F23</f>
        <v>2292</v>
      </c>
      <c r="O15" s="250">
        <f>'[81]VENTAS TOTALES'!$F23</f>
        <v>1064</v>
      </c>
      <c r="P15" s="250">
        <f>'[82]VENTAS TOTALES'!$F23</f>
        <v>4256</v>
      </c>
      <c r="Q15" s="250">
        <f>'[83]VENTAS TOTALES'!$F23</f>
        <v>3942</v>
      </c>
      <c r="R15" s="250">
        <f>'[84]VENTAS TOTALES'!$F23</f>
        <v>3382</v>
      </c>
      <c r="S15" s="250">
        <f>'[85]VENTAS TOTALES'!$F23</f>
        <v>3532</v>
      </c>
      <c r="T15" s="250">
        <f>'[86]VENTAS TOTALES'!$F23</f>
        <v>3504</v>
      </c>
      <c r="U15" s="250">
        <f>'[87]VENTAS TOTALES'!$F23</f>
        <v>2358</v>
      </c>
      <c r="V15" s="250">
        <f>'[88]VENTAS TOTALES'!$F23</f>
        <v>1177</v>
      </c>
      <c r="W15" s="250">
        <f>'[89]VENTAS TOTALES'!$F23</f>
        <v>3945</v>
      </c>
      <c r="X15" s="250">
        <f>'[90]VENTAS TOTALES'!$F23</f>
        <v>3641</v>
      </c>
      <c r="Y15" s="250">
        <f>'[91]VENTAS TOTALES'!$F23</f>
        <v>3499</v>
      </c>
      <c r="Z15" s="250">
        <f>'[92]VENTAS TOTALES'!$F23</f>
        <v>3272</v>
      </c>
      <c r="AA15" s="250">
        <f>'[93]VENTAS TOTALES'!$F23</f>
        <v>3428</v>
      </c>
      <c r="AB15" s="250">
        <f>'[94]VENTAS TOTALES'!$F23</f>
        <v>2469</v>
      </c>
      <c r="AC15" s="250">
        <f>'[95]VENTAS TOTALES'!$F23</f>
        <v>1256</v>
      </c>
      <c r="AD15" s="250">
        <f>'[96]VENTAS TOTALES'!$F23</f>
        <v>4197</v>
      </c>
      <c r="AE15" s="250">
        <f>'[97]VENTAS TOTALES'!$F23</f>
        <v>4062</v>
      </c>
      <c r="AF15" s="250">
        <f>'[98]VENTAS TOTALES'!$F23</f>
        <v>3757</v>
      </c>
      <c r="AG15" s="250">
        <f>'[99]VENTAS TOTALES'!$F23</f>
        <v>3587</v>
      </c>
      <c r="AH15" s="250">
        <f>'[100]VENTAS TOTALES'!$F23</f>
        <v>3512</v>
      </c>
      <c r="AI15" s="250">
        <f>'[101]VENTAS TOTALES'!$F23</f>
        <v>2495</v>
      </c>
      <c r="AJ15" s="250">
        <f>'[102]VENTAS TOTALES'!$F23</f>
        <v>1212</v>
      </c>
    </row>
    <row r="16" spans="1:36" x14ac:dyDescent="0.2">
      <c r="A16" s="424"/>
      <c r="B16" s="309" t="s">
        <v>12</v>
      </c>
      <c r="C16" s="250">
        <f>'[69]VENTAS TOTALES'!$F24</f>
        <v>3000</v>
      </c>
      <c r="D16" s="250">
        <f>'[70]VENTAS TOTALES'!$F24</f>
        <v>3079</v>
      </c>
      <c r="E16" s="250">
        <f>'[71]VENTAS TOTALES'!$F24</f>
        <v>2700</v>
      </c>
      <c r="F16" s="250">
        <f>'[72]VENTAS TOTALES'!$F24</f>
        <v>2788</v>
      </c>
      <c r="G16" s="250">
        <f>'[73]VENTAS TOTALES'!$F24</f>
        <v>2011</v>
      </c>
      <c r="H16" s="250">
        <f>'[74]VENTAS TOTALES'!$F24</f>
        <v>1206</v>
      </c>
      <c r="I16" s="250">
        <f>'[75]VENTAS TOTALES'!$F24</f>
        <v>3104</v>
      </c>
      <c r="J16" s="250">
        <f>'[76]VENTAS TOTALES'!$F24</f>
        <v>2721</v>
      </c>
      <c r="K16" s="250">
        <f>'[77]VENTAS TOTALES'!$F24</f>
        <v>2781</v>
      </c>
      <c r="L16" s="250">
        <f>'[78]VENTAS TOTALES'!$F24</f>
        <v>2688</v>
      </c>
      <c r="M16" s="250">
        <f>'[79]VENTAS TOTALES'!$F24</f>
        <v>2595</v>
      </c>
      <c r="N16" s="250">
        <f>'[80]VENTAS TOTALES'!$F24</f>
        <v>2050</v>
      </c>
      <c r="O16" s="250">
        <f>'[81]VENTAS TOTALES'!$F24</f>
        <v>1268</v>
      </c>
      <c r="P16" s="250">
        <f>'[82]VENTAS TOTALES'!$F24</f>
        <v>3353</v>
      </c>
      <c r="Q16" s="250">
        <f>'[83]VENTAS TOTALES'!$F24</f>
        <v>2983</v>
      </c>
      <c r="R16" s="250">
        <f>'[84]VENTAS TOTALES'!$F24</f>
        <v>3021</v>
      </c>
      <c r="S16" s="250">
        <f>'[85]VENTAS TOTALES'!$F24</f>
        <v>2872</v>
      </c>
      <c r="T16" s="250">
        <f>'[86]VENTAS TOTALES'!$F24</f>
        <v>3073</v>
      </c>
      <c r="U16" s="250">
        <f>'[87]VENTAS TOTALES'!$F24</f>
        <v>2152</v>
      </c>
      <c r="V16" s="250">
        <f>'[88]VENTAS TOTALES'!$F24</f>
        <v>1280</v>
      </c>
      <c r="W16" s="250">
        <f>'[89]VENTAS TOTALES'!$F24</f>
        <v>3203</v>
      </c>
      <c r="X16" s="250">
        <f>'[90]VENTAS TOTALES'!$F24</f>
        <v>2975</v>
      </c>
      <c r="Y16" s="250">
        <f>'[91]VENTAS TOTALES'!$F24</f>
        <v>2814</v>
      </c>
      <c r="Z16" s="250">
        <f>'[92]VENTAS TOTALES'!$F24</f>
        <v>2639</v>
      </c>
      <c r="AA16" s="250">
        <f>'[93]VENTAS TOTALES'!$F24</f>
        <v>2902</v>
      </c>
      <c r="AB16" s="250">
        <f>'[94]VENTAS TOTALES'!$F24</f>
        <v>2140</v>
      </c>
      <c r="AC16" s="250">
        <f>'[95]VENTAS TOTALES'!$F24</f>
        <v>1368</v>
      </c>
      <c r="AD16" s="250">
        <f>'[96]VENTAS TOTALES'!$F24</f>
        <v>3394</v>
      </c>
      <c r="AE16" s="250">
        <f>'[97]VENTAS TOTALES'!$F24</f>
        <v>3335</v>
      </c>
      <c r="AF16" s="250">
        <f>'[98]VENTAS TOTALES'!$F24</f>
        <v>3063</v>
      </c>
      <c r="AG16" s="250">
        <f>'[99]VENTAS TOTALES'!$F24</f>
        <v>2762</v>
      </c>
      <c r="AH16" s="250">
        <f>'[100]VENTAS TOTALES'!$F24</f>
        <v>2749</v>
      </c>
      <c r="AI16" s="250">
        <f>'[101]VENTAS TOTALES'!$F24</f>
        <v>2405</v>
      </c>
      <c r="AJ16" s="250">
        <f>'[102]VENTAS TOTALES'!$F24</f>
        <v>1254</v>
      </c>
    </row>
    <row r="17" spans="1:36" x14ac:dyDescent="0.2">
      <c r="A17" s="424"/>
      <c r="B17" s="309" t="s">
        <v>13</v>
      </c>
      <c r="C17" s="250">
        <f>'[69]VENTAS TOTALES'!$F25</f>
        <v>2635</v>
      </c>
      <c r="D17" s="250">
        <f>'[70]VENTAS TOTALES'!$F25</f>
        <v>2543</v>
      </c>
      <c r="E17" s="250">
        <f>'[71]VENTAS TOTALES'!$F25</f>
        <v>2221</v>
      </c>
      <c r="F17" s="250">
        <f>'[72]VENTAS TOTALES'!$F25</f>
        <v>2187</v>
      </c>
      <c r="G17" s="250">
        <f>'[73]VENTAS TOTALES'!$F25</f>
        <v>2056</v>
      </c>
      <c r="H17" s="250">
        <f>'[74]VENTAS TOTALES'!$F25</f>
        <v>1064</v>
      </c>
      <c r="I17" s="250">
        <f>'[75]VENTAS TOTALES'!$F25</f>
        <v>2689</v>
      </c>
      <c r="J17" s="250">
        <f>'[76]VENTAS TOTALES'!$F25</f>
        <v>2379</v>
      </c>
      <c r="K17" s="250">
        <f>'[77]VENTAS TOTALES'!$F25</f>
        <v>2371</v>
      </c>
      <c r="L17" s="250">
        <f>'[78]VENTAS TOTALES'!$F25</f>
        <v>2304</v>
      </c>
      <c r="M17" s="250">
        <f>'[79]VENTAS TOTALES'!$F25</f>
        <v>2399</v>
      </c>
      <c r="N17" s="250">
        <f>'[80]VENTAS TOTALES'!$F25</f>
        <v>1965</v>
      </c>
      <c r="O17" s="250">
        <f>'[81]VENTAS TOTALES'!$F25</f>
        <v>1000</v>
      </c>
      <c r="P17" s="250">
        <f>'[82]VENTAS TOTALES'!$F25</f>
        <v>2680</v>
      </c>
      <c r="Q17" s="250">
        <f>'[83]VENTAS TOTALES'!$F25</f>
        <v>2650</v>
      </c>
      <c r="R17" s="250">
        <f>'[84]VENTAS TOTALES'!$F25</f>
        <v>2531</v>
      </c>
      <c r="S17" s="250">
        <f>'[85]VENTAS TOTALES'!$F25</f>
        <v>2525</v>
      </c>
      <c r="T17" s="250">
        <f>'[86]VENTAS TOTALES'!$F25</f>
        <v>2283</v>
      </c>
      <c r="U17" s="250">
        <f>'[87]VENTAS TOTALES'!$F25</f>
        <v>1809</v>
      </c>
      <c r="V17" s="250">
        <f>'[88]VENTAS TOTALES'!$F25</f>
        <v>1352</v>
      </c>
      <c r="W17" s="250">
        <f>'[89]VENTAS TOTALES'!$F25</f>
        <v>2788</v>
      </c>
      <c r="X17" s="250">
        <f>'[90]VENTAS TOTALES'!$F25</f>
        <v>2454</v>
      </c>
      <c r="Y17" s="250">
        <f>'[91]VENTAS TOTALES'!$F25</f>
        <v>2307</v>
      </c>
      <c r="Z17" s="250">
        <f>'[92]VENTAS TOTALES'!$F25</f>
        <v>2169</v>
      </c>
      <c r="AA17" s="250">
        <f>'[93]VENTAS TOTALES'!$F25</f>
        <v>2370</v>
      </c>
      <c r="AB17" s="250">
        <f>'[94]VENTAS TOTALES'!$F25</f>
        <v>2161</v>
      </c>
      <c r="AC17" s="250">
        <f>'[95]VENTAS TOTALES'!$F25</f>
        <v>1082</v>
      </c>
      <c r="AD17" s="250">
        <f>'[96]VENTAS TOTALES'!$F25</f>
        <v>2745</v>
      </c>
      <c r="AE17" s="250">
        <f>'[97]VENTAS TOTALES'!$F25</f>
        <v>2819</v>
      </c>
      <c r="AF17" s="250">
        <f>'[98]VENTAS TOTALES'!$F25</f>
        <v>2868</v>
      </c>
      <c r="AG17" s="250">
        <f>'[99]VENTAS TOTALES'!$F25</f>
        <v>2356</v>
      </c>
      <c r="AH17" s="250">
        <f>'[100]VENTAS TOTALES'!$F25</f>
        <v>2433</v>
      </c>
      <c r="AI17" s="250">
        <f>'[101]VENTAS TOTALES'!$F25</f>
        <v>2145</v>
      </c>
      <c r="AJ17" s="250">
        <f>'[102]VENTAS TOTALES'!$F25</f>
        <v>1062</v>
      </c>
    </row>
    <row r="18" spans="1:36" ht="13.5" thickBot="1" x14ac:dyDescent="0.25">
      <c r="A18" s="424"/>
      <c r="B18" s="310" t="s">
        <v>14</v>
      </c>
      <c r="C18" s="261">
        <f>'[69]VENTAS TOTALES'!$F26</f>
        <v>6435</v>
      </c>
      <c r="D18" s="261">
        <f>'[70]VENTAS TOTALES'!$F26</f>
        <v>6318</v>
      </c>
      <c r="E18" s="261">
        <f>'[71]VENTAS TOTALES'!$F26</f>
        <v>5158</v>
      </c>
      <c r="F18" s="261">
        <f>'[72]VENTAS TOTALES'!$F26</f>
        <v>5251</v>
      </c>
      <c r="G18" s="261">
        <f>'[73]VENTAS TOTALES'!$F26</f>
        <v>4143</v>
      </c>
      <c r="H18" s="261">
        <f>'[74]VENTAS TOTALES'!$F26</f>
        <v>1553</v>
      </c>
      <c r="I18" s="261">
        <f>'[75]VENTAS TOTALES'!$F26</f>
        <v>6392</v>
      </c>
      <c r="J18" s="261">
        <f>'[76]VENTAS TOTALES'!$F26</f>
        <v>5780</v>
      </c>
      <c r="K18" s="261">
        <f>'[77]VENTAS TOTALES'!$F26</f>
        <v>5577</v>
      </c>
      <c r="L18" s="261">
        <f>'[78]VENTAS TOTALES'!$F26</f>
        <v>5272</v>
      </c>
      <c r="M18" s="261">
        <f>'[79]VENTAS TOTALES'!$F26</f>
        <v>5158</v>
      </c>
      <c r="N18" s="261">
        <f>'[80]VENTAS TOTALES'!$F26</f>
        <v>4038</v>
      </c>
      <c r="O18" s="261">
        <f>'[81]VENTAS TOTALES'!$F26</f>
        <v>1485</v>
      </c>
      <c r="P18" s="261">
        <f>'[82]VENTAS TOTALES'!$F26</f>
        <v>6249</v>
      </c>
      <c r="Q18" s="261">
        <f>'[83]VENTAS TOTALES'!$F26</f>
        <v>6230</v>
      </c>
      <c r="R18" s="261">
        <f>'[84]VENTAS TOTALES'!$F26</f>
        <v>6043</v>
      </c>
      <c r="S18" s="261">
        <f>'[85]VENTAS TOTALES'!$F26</f>
        <v>5457</v>
      </c>
      <c r="T18" s="261">
        <f>'[86]VENTAS TOTALES'!$F26</f>
        <v>5496</v>
      </c>
      <c r="U18" s="261">
        <f>'[87]VENTAS TOTALES'!$F26</f>
        <v>3971</v>
      </c>
      <c r="V18" s="261">
        <f>'[88]VENTAS TOTALES'!$F26</f>
        <v>1467</v>
      </c>
      <c r="W18" s="261">
        <f>'[89]VENTAS TOTALES'!$F26</f>
        <v>6323</v>
      </c>
      <c r="X18" s="261">
        <f>'[90]VENTAS TOTALES'!$F26</f>
        <v>5486</v>
      </c>
      <c r="Y18" s="261">
        <f>'[91]VENTAS TOTALES'!$F26</f>
        <v>5221</v>
      </c>
      <c r="Z18" s="261">
        <f>'[92]VENTAS TOTALES'!$F26</f>
        <v>5314</v>
      </c>
      <c r="AA18" s="261">
        <f>'[93]VENTAS TOTALES'!$F26</f>
        <v>5193</v>
      </c>
      <c r="AB18" s="261">
        <f>'[94]VENTAS TOTALES'!$F26</f>
        <v>4016</v>
      </c>
      <c r="AC18" s="261">
        <f>'[95]VENTAS TOTALES'!$F26</f>
        <v>1464</v>
      </c>
      <c r="AD18" s="261">
        <f>'[96]VENTAS TOTALES'!$F26</f>
        <v>6914</v>
      </c>
      <c r="AE18" s="261">
        <f>'[97]VENTAS TOTALES'!$F26</f>
        <v>6492</v>
      </c>
      <c r="AF18" s="261">
        <f>'[98]VENTAS TOTALES'!$F26</f>
        <v>6290</v>
      </c>
      <c r="AG18" s="261">
        <f>'[99]VENTAS TOTALES'!$F26</f>
        <v>6148</v>
      </c>
      <c r="AH18" s="261">
        <f>'[100]VENTAS TOTALES'!$F26</f>
        <v>5514</v>
      </c>
      <c r="AI18" s="261">
        <f>'[101]VENTAS TOTALES'!$F26</f>
        <v>4210</v>
      </c>
      <c r="AJ18" s="261">
        <f>'[102]VENTAS TOTALES'!$F26</f>
        <v>1536</v>
      </c>
    </row>
    <row r="19" spans="1:36" ht="12" customHeight="1" x14ac:dyDescent="0.2">
      <c r="A19" s="424"/>
      <c r="B19" s="41" t="s">
        <v>15</v>
      </c>
      <c r="C19" s="263">
        <f>'[69]VENTAS TOTALES'!$F27</f>
        <v>16427</v>
      </c>
      <c r="D19" s="263">
        <f>'[70]VENTAS TOTALES'!$F27</f>
        <v>15422</v>
      </c>
      <c r="E19" s="263">
        <f>'[71]VENTAS TOTALES'!$F27</f>
        <v>13044</v>
      </c>
      <c r="F19" s="263">
        <f>'[72]VENTAS TOTALES'!$F27</f>
        <v>12875</v>
      </c>
      <c r="G19" s="263">
        <f>'[73]VENTAS TOTALES'!$F27</f>
        <v>7847</v>
      </c>
      <c r="H19" s="263">
        <f>'[74]VENTAS TOTALES'!$F27</f>
        <v>1870</v>
      </c>
      <c r="I19" s="263">
        <f>'[75]VENTAS TOTALES'!$F27</f>
        <v>15959</v>
      </c>
      <c r="J19" s="263">
        <f>'[76]VENTAS TOTALES'!$F27</f>
        <v>14371</v>
      </c>
      <c r="K19" s="263">
        <f>'[77]VENTAS TOTALES'!$F27</f>
        <v>13691</v>
      </c>
      <c r="L19" s="263">
        <f>'[78]VENTAS TOTALES'!$F27</f>
        <v>14085</v>
      </c>
      <c r="M19" s="263">
        <f>'[79]VENTAS TOTALES'!$F27</f>
        <v>13023</v>
      </c>
      <c r="N19" s="263">
        <f>'[80]VENTAS TOTALES'!$F27</f>
        <v>8145</v>
      </c>
      <c r="O19" s="263">
        <f>'[81]VENTAS TOTALES'!$F27</f>
        <v>1983</v>
      </c>
      <c r="P19" s="263">
        <f>'[82]VENTAS TOTALES'!$F27</f>
        <v>16431</v>
      </c>
      <c r="Q19" s="263">
        <f>'[83]VENTAS TOTALES'!$F27</f>
        <v>16598</v>
      </c>
      <c r="R19" s="263">
        <f>'[84]VENTAS TOTALES'!$F27</f>
        <v>15767</v>
      </c>
      <c r="S19" s="263">
        <f>'[85]VENTAS TOTALES'!$F27</f>
        <v>15046</v>
      </c>
      <c r="T19" s="263">
        <f>'[86]VENTAS TOTALES'!$F27</f>
        <v>13978</v>
      </c>
      <c r="U19" s="263">
        <f>'[87]VENTAS TOTALES'!$F27</f>
        <v>8423</v>
      </c>
      <c r="V19" s="263">
        <f>'[88]VENTAS TOTALES'!$F27</f>
        <v>2087</v>
      </c>
      <c r="W19" s="263">
        <f>'[89]VENTAS TOTALES'!$F27</f>
        <v>16483</v>
      </c>
      <c r="X19" s="263">
        <f>'[90]VENTAS TOTALES'!$F27</f>
        <v>14549</v>
      </c>
      <c r="Y19" s="263">
        <f>'[91]VENTAS TOTALES'!$F27</f>
        <v>14315</v>
      </c>
      <c r="Z19" s="263">
        <f>'[92]VENTAS TOTALES'!$F27</f>
        <v>13432</v>
      </c>
      <c r="AA19" s="263">
        <f>'[93]VENTAS TOTALES'!$F27</f>
        <v>13394</v>
      </c>
      <c r="AB19" s="263">
        <f>'[94]VENTAS TOTALES'!$F27</f>
        <v>8703</v>
      </c>
      <c r="AC19" s="263">
        <f>'[95]VENTAS TOTALES'!$F27</f>
        <v>2157</v>
      </c>
      <c r="AD19" s="263">
        <f>'[96]VENTAS TOTALES'!$F27</f>
        <v>18107</v>
      </c>
      <c r="AE19" s="263">
        <f>'[97]VENTAS TOTALES'!$F27</f>
        <v>18290</v>
      </c>
      <c r="AF19" s="263">
        <f>'[98]VENTAS TOTALES'!$F27</f>
        <v>16648</v>
      </c>
      <c r="AG19" s="263">
        <f>'[99]VENTAS TOTALES'!$F27</f>
        <v>15057</v>
      </c>
      <c r="AH19" s="263">
        <f>'[100]VENTAS TOTALES'!$F27</f>
        <v>14118</v>
      </c>
      <c r="AI19" s="263">
        <f>'[101]VENTAS TOTALES'!$F27</f>
        <v>9526</v>
      </c>
      <c r="AJ19" s="263">
        <f>'[102]VENTAS TOTALES'!$F27</f>
        <v>1993</v>
      </c>
    </row>
    <row r="20" spans="1:36" ht="12" customHeight="1" x14ac:dyDescent="0.2">
      <c r="A20" s="424"/>
      <c r="B20" s="311" t="s">
        <v>17</v>
      </c>
      <c r="C20" s="250">
        <f>'[69]VENTAS TOTALES'!$F28</f>
        <v>13531</v>
      </c>
      <c r="D20" s="250">
        <f>'[70]VENTAS TOTALES'!$F28</f>
        <v>13041</v>
      </c>
      <c r="E20" s="250">
        <f>'[71]VENTAS TOTALES'!$F28</f>
        <v>10656</v>
      </c>
      <c r="F20" s="250">
        <f>'[72]VENTAS TOTALES'!$F28</f>
        <v>10563</v>
      </c>
      <c r="G20" s="250">
        <f>'[73]VENTAS TOTALES'!$F28</f>
        <v>6425</v>
      </c>
      <c r="H20" s="250">
        <f>'[74]VENTAS TOTALES'!$F28</f>
        <v>2246</v>
      </c>
      <c r="I20" s="250">
        <f>'[75]VENTAS TOTALES'!$F28</f>
        <v>12357</v>
      </c>
      <c r="J20" s="250">
        <f>'[76]VENTAS TOTALES'!$F28</f>
        <v>11451</v>
      </c>
      <c r="K20" s="250">
        <f>'[77]VENTAS TOTALES'!$F28</f>
        <v>10557</v>
      </c>
      <c r="L20" s="250">
        <f>'[78]VENTAS TOTALES'!$F28</f>
        <v>11048</v>
      </c>
      <c r="M20" s="250">
        <f>'[79]VENTAS TOTALES'!$F28</f>
        <v>10203</v>
      </c>
      <c r="N20" s="250">
        <f>'[80]VENTAS TOTALES'!$F28</f>
        <v>6926</v>
      </c>
      <c r="O20" s="250">
        <f>'[81]VENTAS TOTALES'!$F28</f>
        <v>2157</v>
      </c>
      <c r="P20" s="250">
        <f>'[82]VENTAS TOTALES'!$F28</f>
        <v>12207</v>
      </c>
      <c r="Q20" s="250">
        <f>'[83]VENTAS TOTALES'!$F28</f>
        <v>12575</v>
      </c>
      <c r="R20" s="250">
        <f>'[84]VENTAS TOTALES'!$F28</f>
        <v>12069</v>
      </c>
      <c r="S20" s="250">
        <f>'[85]VENTAS TOTALES'!$F28</f>
        <v>10946</v>
      </c>
      <c r="T20" s="250">
        <f>'[86]VENTAS TOTALES'!$F28</f>
        <v>10912</v>
      </c>
      <c r="U20" s="250">
        <f>'[87]VENTAS TOTALES'!$F28</f>
        <v>6913</v>
      </c>
      <c r="V20" s="250">
        <f>'[88]VENTAS TOTALES'!$F28</f>
        <v>2141</v>
      </c>
      <c r="W20" s="250">
        <f>'[89]VENTAS TOTALES'!$F28</f>
        <v>12836</v>
      </c>
      <c r="X20" s="250">
        <f>'[90]VENTAS TOTALES'!$F28</f>
        <v>10933</v>
      </c>
      <c r="Y20" s="250">
        <f>'[91]VENTAS TOTALES'!$F28</f>
        <v>10744</v>
      </c>
      <c r="Z20" s="250">
        <f>'[92]VENTAS TOTALES'!$F28</f>
        <v>10237</v>
      </c>
      <c r="AA20" s="250">
        <f>'[93]VENTAS TOTALES'!$F28</f>
        <v>10507</v>
      </c>
      <c r="AB20" s="250">
        <f>'[94]VENTAS TOTALES'!$F28</f>
        <v>7024</v>
      </c>
      <c r="AC20" s="250">
        <f>'[95]VENTAS TOTALES'!$F28</f>
        <v>2237</v>
      </c>
      <c r="AD20" s="250">
        <f>'[96]VENTAS TOTALES'!$F28</f>
        <v>14040</v>
      </c>
      <c r="AE20" s="250">
        <f>'[97]VENTAS TOTALES'!$F28</f>
        <v>13881</v>
      </c>
      <c r="AF20" s="250">
        <f>'[98]VENTAS TOTALES'!$F28</f>
        <v>12793</v>
      </c>
      <c r="AG20" s="250">
        <f>'[99]VENTAS TOTALES'!$F28</f>
        <v>11159</v>
      </c>
      <c r="AH20" s="250">
        <f>'[100]VENTAS TOTALES'!$F28</f>
        <v>10531</v>
      </c>
      <c r="AI20" s="250">
        <f>'[101]VENTAS TOTALES'!$F28</f>
        <v>7470</v>
      </c>
      <c r="AJ20" s="250">
        <f>'[102]VENTAS TOTALES'!$F28</f>
        <v>2349</v>
      </c>
    </row>
    <row r="21" spans="1:36" ht="12" customHeight="1" x14ac:dyDescent="0.2">
      <c r="A21" s="424"/>
      <c r="B21" s="309" t="s">
        <v>16</v>
      </c>
      <c r="C21" s="250">
        <f>'[69]VENTAS TOTALES'!$F29</f>
        <v>11290</v>
      </c>
      <c r="D21" s="250">
        <f>'[70]VENTAS TOTALES'!$F29</f>
        <v>10647</v>
      </c>
      <c r="E21" s="250">
        <f>'[71]VENTAS TOTALES'!$F29</f>
        <v>8376</v>
      </c>
      <c r="F21" s="250">
        <f>'[72]VENTAS TOTALES'!$F29</f>
        <v>8358</v>
      </c>
      <c r="G21" s="250">
        <f>'[73]VENTAS TOTALES'!$F29</f>
        <v>4929</v>
      </c>
      <c r="H21" s="250">
        <f>'[74]VENTAS TOTALES'!$F29</f>
        <v>1339</v>
      </c>
      <c r="I21" s="250">
        <f>'[75]VENTAS TOTALES'!$F29</f>
        <v>10255</v>
      </c>
      <c r="J21" s="250">
        <f>'[76]VENTAS TOTALES'!$F29</f>
        <v>9647</v>
      </c>
      <c r="K21" s="250">
        <f>'[77]VENTAS TOTALES'!$F29</f>
        <v>8605</v>
      </c>
      <c r="L21" s="250">
        <f>'[78]VENTAS TOTALES'!$F29</f>
        <v>8733</v>
      </c>
      <c r="M21" s="250">
        <f>'[79]VENTAS TOTALES'!$F29</f>
        <v>8341</v>
      </c>
      <c r="N21" s="250">
        <f>'[80]VENTAS TOTALES'!$F29</f>
        <v>5118</v>
      </c>
      <c r="O21" s="250">
        <f>'[81]VENTAS TOTALES'!$F29</f>
        <v>1308</v>
      </c>
      <c r="P21" s="250">
        <f>'[82]VENTAS TOTALES'!$F29</f>
        <v>11371</v>
      </c>
      <c r="Q21" s="250">
        <f>'[83]VENTAS TOTALES'!$F29</f>
        <v>10834</v>
      </c>
      <c r="R21" s="250">
        <f>'[84]VENTAS TOTALES'!$F29</f>
        <v>10445</v>
      </c>
      <c r="S21" s="250">
        <f>'[85]VENTAS TOTALES'!$F29</f>
        <v>9642</v>
      </c>
      <c r="T21" s="250">
        <f>'[86]VENTAS TOTALES'!$F29</f>
        <v>8978</v>
      </c>
      <c r="U21" s="250">
        <f>'[87]VENTAS TOTALES'!$F29</f>
        <v>5224</v>
      </c>
      <c r="V21" s="250">
        <f>'[88]VENTAS TOTALES'!$F29</f>
        <v>1421</v>
      </c>
      <c r="W21" s="250">
        <f>'[89]VENTAS TOTALES'!$F29</f>
        <v>11437</v>
      </c>
      <c r="X21" s="250">
        <f>'[90]VENTAS TOTALES'!$F29</f>
        <v>9876</v>
      </c>
      <c r="Y21" s="250">
        <f>'[91]VENTAS TOTALES'!$F29</f>
        <v>9491</v>
      </c>
      <c r="Z21" s="250">
        <f>'[92]VENTAS TOTALES'!$F29</f>
        <v>8334</v>
      </c>
      <c r="AA21" s="250">
        <f>'[93]VENTAS TOTALES'!$F29</f>
        <v>8704</v>
      </c>
      <c r="AB21" s="250">
        <f>'[94]VENTAS TOTALES'!$F29</f>
        <v>5335</v>
      </c>
      <c r="AC21" s="250">
        <f>'[95]VENTAS TOTALES'!$F29</f>
        <v>1328</v>
      </c>
      <c r="AD21" s="250">
        <f>'[96]VENTAS TOTALES'!$F29</f>
        <v>12607</v>
      </c>
      <c r="AE21" s="250">
        <f>'[97]VENTAS TOTALES'!$F29</f>
        <v>12829</v>
      </c>
      <c r="AF21" s="250">
        <f>'[98]VENTAS TOTALES'!$F29</f>
        <v>10472</v>
      </c>
      <c r="AG21" s="250">
        <f>'[99]VENTAS TOTALES'!$F29</f>
        <v>10079</v>
      </c>
      <c r="AH21" s="250">
        <f>'[100]VENTAS TOTALES'!$F29</f>
        <v>9438</v>
      </c>
      <c r="AI21" s="250">
        <f>'[101]VENTAS TOTALES'!$F29</f>
        <v>5595</v>
      </c>
      <c r="AJ21" s="250">
        <f>'[102]VENTAS TOTALES'!$F29</f>
        <v>1321</v>
      </c>
    </row>
    <row r="22" spans="1:36" ht="12" customHeight="1" x14ac:dyDescent="0.2">
      <c r="A22" s="424"/>
      <c r="B22" s="309" t="s">
        <v>18</v>
      </c>
      <c r="C22" s="250">
        <f>'[69]VENTAS TOTALES'!$F30</f>
        <v>15583</v>
      </c>
      <c r="D22" s="250">
        <f>'[70]VENTAS TOTALES'!$F30</f>
        <v>15979</v>
      </c>
      <c r="E22" s="250">
        <f>'[71]VENTAS TOTALES'!$F30</f>
        <v>13706</v>
      </c>
      <c r="F22" s="250">
        <f>'[72]VENTAS TOTALES'!$F30</f>
        <v>14117</v>
      </c>
      <c r="G22" s="250">
        <f>'[73]VENTAS TOTALES'!$F30</f>
        <v>9064</v>
      </c>
      <c r="H22" s="250">
        <f>'[74]VENTAS TOTALES'!$F30</f>
        <v>2945</v>
      </c>
      <c r="I22" s="250">
        <f>'[75]VENTAS TOTALES'!$F30</f>
        <v>16342</v>
      </c>
      <c r="J22" s="250">
        <f>'[76]VENTAS TOTALES'!$F30</f>
        <v>14579</v>
      </c>
      <c r="K22" s="250">
        <f>'[77]VENTAS TOTALES'!$F30</f>
        <v>14515</v>
      </c>
      <c r="L22" s="250">
        <f>'[78]VENTAS TOTALES'!$F30</f>
        <v>14378</v>
      </c>
      <c r="M22" s="250">
        <f>'[79]VENTAS TOTALES'!$F30</f>
        <v>14057</v>
      </c>
      <c r="N22" s="250">
        <f>'[80]VENTAS TOTALES'!$F30</f>
        <v>9095</v>
      </c>
      <c r="O22" s="250">
        <f>'[81]VENTAS TOTALES'!$F30</f>
        <v>2884</v>
      </c>
      <c r="P22" s="250">
        <f>'[82]VENTAS TOTALES'!$F30</f>
        <v>17171</v>
      </c>
      <c r="Q22" s="250">
        <f>'[83]VENTAS TOTALES'!$F30</f>
        <v>16986</v>
      </c>
      <c r="R22" s="250">
        <f>'[84]VENTAS TOTALES'!$F30</f>
        <v>15882</v>
      </c>
      <c r="S22" s="250">
        <f>'[85]VENTAS TOTALES'!$F30</f>
        <v>15436</v>
      </c>
      <c r="T22" s="250">
        <f>'[86]VENTAS TOTALES'!$F30</f>
        <v>14848</v>
      </c>
      <c r="U22" s="250">
        <f>'[87]VENTAS TOTALES'!$F30</f>
        <v>8922</v>
      </c>
      <c r="V22" s="250">
        <f>'[88]VENTAS TOTALES'!$F30</f>
        <v>2992</v>
      </c>
      <c r="W22" s="250">
        <f>'[89]VENTAS TOTALES'!$F30</f>
        <v>16944</v>
      </c>
      <c r="X22" s="250">
        <f>'[90]VENTAS TOTALES'!$F30</f>
        <v>15532</v>
      </c>
      <c r="Y22" s="250">
        <f>'[91]VENTAS TOTALES'!$F30</f>
        <v>14893</v>
      </c>
      <c r="Z22" s="250">
        <f>'[92]VENTAS TOTALES'!$F30</f>
        <v>14109</v>
      </c>
      <c r="AA22" s="250">
        <f>'[93]VENTAS TOTALES'!$F30</f>
        <v>14456</v>
      </c>
      <c r="AB22" s="250">
        <f>'[94]VENTAS TOTALES'!$F30</f>
        <v>8902</v>
      </c>
      <c r="AC22" s="250">
        <f>'[95]VENTAS TOTALES'!$F30</f>
        <v>3052</v>
      </c>
      <c r="AD22" s="250">
        <f>'[96]VENTAS TOTALES'!$F30</f>
        <v>19007</v>
      </c>
      <c r="AE22" s="250">
        <f>'[97]VENTAS TOTALES'!$F30</f>
        <v>18615</v>
      </c>
      <c r="AF22" s="250">
        <f>'[98]VENTAS TOTALES'!$F30</f>
        <v>16657</v>
      </c>
      <c r="AG22" s="250">
        <f>'[99]VENTAS TOTALES'!$F30</f>
        <v>15584</v>
      </c>
      <c r="AH22" s="250">
        <f>'[100]VENTAS TOTALES'!$F30</f>
        <v>14742</v>
      </c>
      <c r="AI22" s="250">
        <f>'[101]VENTAS TOTALES'!$F30</f>
        <v>9574</v>
      </c>
      <c r="AJ22" s="250">
        <f>'[102]VENTAS TOTALES'!$F30</f>
        <v>3218</v>
      </c>
    </row>
    <row r="23" spans="1:36" ht="12" customHeight="1" x14ac:dyDescent="0.2">
      <c r="A23" s="424"/>
      <c r="B23" s="309" t="s">
        <v>65</v>
      </c>
      <c r="C23" s="250">
        <f>'[69]VENTAS TOTALES'!$F31</f>
        <v>8940</v>
      </c>
      <c r="D23" s="250">
        <f>'[70]VENTAS TOTALES'!$F31</f>
        <v>8804</v>
      </c>
      <c r="E23" s="250">
        <f>'[71]VENTAS TOTALES'!$F31</f>
        <v>7345</v>
      </c>
      <c r="F23" s="250">
        <f>'[72]VENTAS TOTALES'!$F31</f>
        <v>7692</v>
      </c>
      <c r="G23" s="250">
        <f>'[73]VENTAS TOTALES'!$F31</f>
        <v>4017</v>
      </c>
      <c r="H23" s="250">
        <f>'[74]VENTAS TOTALES'!$F31</f>
        <v>1568</v>
      </c>
      <c r="I23" s="250">
        <f>'[75]VENTAS TOTALES'!$F31</f>
        <v>9088</v>
      </c>
      <c r="J23" s="250">
        <f>'[76]VENTAS TOTALES'!$F31</f>
        <v>8390</v>
      </c>
      <c r="K23" s="250">
        <f>'[77]VENTAS TOTALES'!$F31</f>
        <v>7688</v>
      </c>
      <c r="L23" s="250">
        <f>'[78]VENTAS TOTALES'!$F31</f>
        <v>8235</v>
      </c>
      <c r="M23" s="250">
        <f>'[79]VENTAS TOTALES'!$F31</f>
        <v>7445</v>
      </c>
      <c r="N23" s="250">
        <f>'[80]VENTAS TOTALES'!$F31</f>
        <v>4502</v>
      </c>
      <c r="O23" s="250">
        <f>'[81]VENTAS TOTALES'!$F31</f>
        <v>1563</v>
      </c>
      <c r="P23" s="250">
        <f>'[82]VENTAS TOTALES'!$F31</f>
        <v>9224</v>
      </c>
      <c r="Q23" s="250">
        <f>'[83]VENTAS TOTALES'!$F31</f>
        <v>8813</v>
      </c>
      <c r="R23" s="250">
        <f>'[84]VENTAS TOTALES'!$F31</f>
        <v>8948</v>
      </c>
      <c r="S23" s="250">
        <f>'[85]VENTAS TOTALES'!$F31</f>
        <v>8538</v>
      </c>
      <c r="T23" s="250">
        <f>'[86]VENTAS TOTALES'!$F31</f>
        <v>7610</v>
      </c>
      <c r="U23" s="250">
        <f>'[87]VENTAS TOTALES'!$F31</f>
        <v>4681</v>
      </c>
      <c r="V23" s="250">
        <f>'[88]VENTAS TOTALES'!$F31</f>
        <v>1794</v>
      </c>
      <c r="W23" s="250">
        <f>'[89]VENTAS TOTALES'!$F31</f>
        <v>9045</v>
      </c>
      <c r="X23" s="250">
        <f>'[90]VENTAS TOTALES'!$F31</f>
        <v>8459</v>
      </c>
      <c r="Y23" s="250">
        <f>'[91]VENTAS TOTALES'!$F31</f>
        <v>7678</v>
      </c>
      <c r="Z23" s="250">
        <f>'[92]VENTAS TOTALES'!$F31</f>
        <v>7702</v>
      </c>
      <c r="AA23" s="250">
        <f>'[93]VENTAS TOTALES'!$F31</f>
        <v>7386</v>
      </c>
      <c r="AB23" s="250">
        <f>'[94]VENTAS TOTALES'!$F31</f>
        <v>4899</v>
      </c>
      <c r="AC23" s="250">
        <f>'[95]VENTAS TOTALES'!$F31</f>
        <v>1497</v>
      </c>
      <c r="AD23" s="250">
        <f>'[96]VENTAS TOTALES'!$F31</f>
        <v>10376</v>
      </c>
      <c r="AE23" s="250">
        <f>'[97]VENTAS TOTALES'!$F31</f>
        <v>9881</v>
      </c>
      <c r="AF23" s="250">
        <f>'[98]VENTAS TOTALES'!$F31</f>
        <v>9679</v>
      </c>
      <c r="AG23" s="250">
        <f>'[99]VENTAS TOTALES'!$F31</f>
        <v>8522</v>
      </c>
      <c r="AH23" s="250">
        <f>'[100]VENTAS TOTALES'!$F31</f>
        <v>8180</v>
      </c>
      <c r="AI23" s="250">
        <f>'[101]VENTAS TOTALES'!$F31</f>
        <v>4695</v>
      </c>
      <c r="AJ23" s="250">
        <f>'[102]VENTAS TOTALES'!$F31</f>
        <v>1770</v>
      </c>
    </row>
    <row r="24" spans="1:36" ht="12" customHeight="1" x14ac:dyDescent="0.2">
      <c r="A24" s="424"/>
      <c r="B24" s="309" t="s">
        <v>66</v>
      </c>
      <c r="C24" s="250">
        <f>'[69]VENTAS TOTALES'!$F32</f>
        <v>0</v>
      </c>
      <c r="D24" s="250">
        <f>'[70]VENTAS TOTALES'!$F32</f>
        <v>0</v>
      </c>
      <c r="E24" s="250">
        <f>'[71]VENTAS TOTALES'!$F32</f>
        <v>0</v>
      </c>
      <c r="F24" s="250">
        <f>'[72]VENTAS TOTALES'!$F32</f>
        <v>0</v>
      </c>
      <c r="G24" s="250">
        <f>'[73]VENTAS TOTALES'!$F32</f>
        <v>0</v>
      </c>
      <c r="H24" s="250">
        <f>'[74]VENTAS TOTALES'!$F32</f>
        <v>0</v>
      </c>
      <c r="I24" s="250">
        <f>'[75]VENTAS TOTALES'!$F32</f>
        <v>0</v>
      </c>
      <c r="J24" s="250">
        <f>'[76]VENTAS TOTALES'!$F32</f>
        <v>0</v>
      </c>
      <c r="K24" s="250">
        <f>'[77]VENTAS TOTALES'!$F32</f>
        <v>0</v>
      </c>
      <c r="L24" s="250">
        <f>'[78]VENTAS TOTALES'!$F32</f>
        <v>0</v>
      </c>
      <c r="M24" s="250">
        <f>'[79]VENTAS TOTALES'!$F32</f>
        <v>0</v>
      </c>
      <c r="N24" s="250">
        <f>'[80]VENTAS TOTALES'!$F32</f>
        <v>0</v>
      </c>
      <c r="O24" s="250">
        <f>'[81]VENTAS TOTALES'!$F32</f>
        <v>0</v>
      </c>
      <c r="P24" s="250">
        <f>'[82]VENTAS TOTALES'!$F32</f>
        <v>0</v>
      </c>
      <c r="Q24" s="250">
        <f>'[83]VENTAS TOTALES'!$F32</f>
        <v>0</v>
      </c>
      <c r="R24" s="250">
        <f>'[84]VENTAS TOTALES'!$F32</f>
        <v>0</v>
      </c>
      <c r="S24" s="250">
        <f>'[85]VENTAS TOTALES'!$F32</f>
        <v>0</v>
      </c>
      <c r="T24" s="250">
        <f>'[86]VENTAS TOTALES'!$F32</f>
        <v>0</v>
      </c>
      <c r="U24" s="250">
        <f>'[87]VENTAS TOTALES'!$F32</f>
        <v>0</v>
      </c>
      <c r="V24" s="250">
        <f>'[88]VENTAS TOTALES'!$F32</f>
        <v>0</v>
      </c>
      <c r="W24" s="250">
        <f>'[89]VENTAS TOTALES'!$F32</f>
        <v>0</v>
      </c>
      <c r="X24" s="250">
        <f>'[90]VENTAS TOTALES'!$F32</f>
        <v>0</v>
      </c>
      <c r="Y24" s="250">
        <f>'[91]VENTAS TOTALES'!$F32</f>
        <v>0</v>
      </c>
      <c r="Z24" s="250">
        <f>'[92]VENTAS TOTALES'!$F32</f>
        <v>0</v>
      </c>
      <c r="AA24" s="250">
        <f>'[93]VENTAS TOTALES'!$F32</f>
        <v>0</v>
      </c>
      <c r="AB24" s="250">
        <f>'[94]VENTAS TOTALES'!$F32</f>
        <v>0</v>
      </c>
      <c r="AC24" s="250">
        <f>'[95]VENTAS TOTALES'!$F32</f>
        <v>0</v>
      </c>
      <c r="AD24" s="250">
        <f>'[96]VENTAS TOTALES'!$F32</f>
        <v>0</v>
      </c>
      <c r="AE24" s="250">
        <f>'[97]VENTAS TOTALES'!$F32</f>
        <v>0</v>
      </c>
      <c r="AF24" s="250">
        <f>'[98]VENTAS TOTALES'!$F32</f>
        <v>0</v>
      </c>
      <c r="AG24" s="250">
        <f>'[99]VENTAS TOTALES'!$F32</f>
        <v>0</v>
      </c>
      <c r="AH24" s="250">
        <f>'[100]VENTAS TOTALES'!$F32</f>
        <v>0</v>
      </c>
      <c r="AI24" s="250">
        <f>'[101]VENTAS TOTALES'!$F32</f>
        <v>0</v>
      </c>
      <c r="AJ24" s="250">
        <f>'[102]VENTAS TOTALES'!$F32</f>
        <v>0</v>
      </c>
    </row>
    <row r="25" spans="1:36" ht="12" customHeight="1" x14ac:dyDescent="0.2">
      <c r="A25" s="424"/>
      <c r="B25" s="309" t="s">
        <v>19</v>
      </c>
      <c r="C25" s="250">
        <f>'[69]VENTAS TOTALES'!$F33</f>
        <v>11807</v>
      </c>
      <c r="D25" s="250">
        <f>'[70]VENTAS TOTALES'!$F33</f>
        <v>11577</v>
      </c>
      <c r="E25" s="250">
        <f>'[71]VENTAS TOTALES'!$F33</f>
        <v>10003</v>
      </c>
      <c r="F25" s="250">
        <f>'[72]VENTAS TOTALES'!$F33</f>
        <v>9575</v>
      </c>
      <c r="G25" s="250">
        <f>'[73]VENTAS TOTALES'!$F33</f>
        <v>5761</v>
      </c>
      <c r="H25" s="250">
        <f>'[74]VENTAS TOTALES'!$F33</f>
        <v>2373</v>
      </c>
      <c r="I25" s="250">
        <f>'[75]VENTAS TOTALES'!$F33</f>
        <v>11809</v>
      </c>
      <c r="J25" s="250">
        <f>'[76]VENTAS TOTALES'!$F33</f>
        <v>10222</v>
      </c>
      <c r="K25" s="250">
        <f>'[77]VENTAS TOTALES'!$F33</f>
        <v>10063</v>
      </c>
      <c r="L25" s="250">
        <f>'[78]VENTAS TOTALES'!$F33</f>
        <v>9673</v>
      </c>
      <c r="M25" s="250">
        <f>'[79]VENTAS TOTALES'!$F33</f>
        <v>9002</v>
      </c>
      <c r="N25" s="250">
        <f>'[80]VENTAS TOTALES'!$F33</f>
        <v>6089</v>
      </c>
      <c r="O25" s="250">
        <f>'[81]VENTAS TOTALES'!$F33</f>
        <v>2335</v>
      </c>
      <c r="P25" s="250">
        <f>'[82]VENTAS TOTALES'!$F33</f>
        <v>12148</v>
      </c>
      <c r="Q25" s="250">
        <f>'[83]VENTAS TOTALES'!$F33</f>
        <v>11620</v>
      </c>
      <c r="R25" s="250">
        <f>'[84]VENTAS TOTALES'!$F33</f>
        <v>10115</v>
      </c>
      <c r="S25" s="250">
        <f>'[85]VENTAS TOTALES'!$F33</f>
        <v>10088</v>
      </c>
      <c r="T25" s="250">
        <f>'[86]VENTAS TOTALES'!$F33</f>
        <v>9866</v>
      </c>
      <c r="U25" s="250">
        <f>'[87]VENTAS TOTALES'!$F33</f>
        <v>6408</v>
      </c>
      <c r="V25" s="250">
        <f>'[88]VENTAS TOTALES'!$F33</f>
        <v>2268</v>
      </c>
      <c r="W25" s="250">
        <f>'[89]VENTAS TOTALES'!$F33</f>
        <v>11855</v>
      </c>
      <c r="X25" s="250">
        <f>'[90]VENTAS TOTALES'!$F33</f>
        <v>10226</v>
      </c>
      <c r="Y25" s="250">
        <f>'[91]VENTAS TOTALES'!$F33</f>
        <v>9868</v>
      </c>
      <c r="Z25" s="250">
        <f>'[92]VENTAS TOTALES'!$F33</f>
        <v>9295</v>
      </c>
      <c r="AA25" s="250">
        <f>'[93]VENTAS TOTALES'!$F33</f>
        <v>9402</v>
      </c>
      <c r="AB25" s="250">
        <f>'[94]VENTAS TOTALES'!$F33</f>
        <v>6522</v>
      </c>
      <c r="AC25" s="250">
        <f>'[95]VENTAS TOTALES'!$F33</f>
        <v>2361</v>
      </c>
      <c r="AD25" s="250">
        <f>'[96]VENTAS TOTALES'!$F33</f>
        <v>13051</v>
      </c>
      <c r="AE25" s="250">
        <f>'[97]VENTAS TOTALES'!$F33</f>
        <v>11921</v>
      </c>
      <c r="AF25" s="250">
        <f>'[98]VENTAS TOTALES'!$F33</f>
        <v>10708</v>
      </c>
      <c r="AG25" s="250">
        <f>'[99]VENTAS TOTALES'!$F33</f>
        <v>10280</v>
      </c>
      <c r="AH25" s="250">
        <f>'[100]VENTAS TOTALES'!$F33</f>
        <v>9708</v>
      </c>
      <c r="AI25" s="250">
        <f>'[101]VENTAS TOTALES'!$F33</f>
        <v>6640</v>
      </c>
      <c r="AJ25" s="250">
        <f>'[102]VENTAS TOTALES'!$F33</f>
        <v>2439</v>
      </c>
    </row>
    <row r="26" spans="1:36" ht="12" customHeight="1" x14ac:dyDescent="0.2">
      <c r="A26" s="424"/>
      <c r="B26" s="309" t="s">
        <v>20</v>
      </c>
      <c r="C26" s="250">
        <f>'[69]VENTAS TOTALES'!$F34</f>
        <v>15169</v>
      </c>
      <c r="D26" s="250">
        <f>'[70]VENTAS TOTALES'!$F34</f>
        <v>14531</v>
      </c>
      <c r="E26" s="250">
        <f>'[71]VENTAS TOTALES'!$F34</f>
        <v>12270</v>
      </c>
      <c r="F26" s="250">
        <f>'[72]VENTAS TOTALES'!$F34</f>
        <v>12433</v>
      </c>
      <c r="G26" s="250">
        <f>'[73]VENTAS TOTALES'!$F34</f>
        <v>8513</v>
      </c>
      <c r="H26" s="250">
        <f>'[74]VENTAS TOTALES'!$F34</f>
        <v>3480</v>
      </c>
      <c r="I26" s="250">
        <f>'[75]VENTAS TOTALES'!$F34</f>
        <v>15819</v>
      </c>
      <c r="J26" s="250">
        <f>'[76]VENTAS TOTALES'!$F34</f>
        <v>13458</v>
      </c>
      <c r="K26" s="250">
        <f>'[77]VENTAS TOTALES'!$F34</f>
        <v>12775</v>
      </c>
      <c r="L26" s="250">
        <f>'[78]VENTAS TOTALES'!$F34</f>
        <v>12844</v>
      </c>
      <c r="M26" s="250">
        <f>'[79]VENTAS TOTALES'!$F34</f>
        <v>12467</v>
      </c>
      <c r="N26" s="250">
        <f>'[80]VENTAS TOTALES'!$F34</f>
        <v>8994</v>
      </c>
      <c r="O26" s="250">
        <f>'[81]VENTAS TOTALES'!$F34</f>
        <v>3186</v>
      </c>
      <c r="P26" s="250">
        <f>'[82]VENTAS TOTALES'!$F34</f>
        <v>16057</v>
      </c>
      <c r="Q26" s="250">
        <f>'[83]VENTAS TOTALES'!$F34</f>
        <v>14778</v>
      </c>
      <c r="R26" s="250">
        <f>'[84]VENTAS TOTALES'!$F34</f>
        <v>14277</v>
      </c>
      <c r="S26" s="250">
        <f>'[85]VENTAS TOTALES'!$F34</f>
        <v>13164</v>
      </c>
      <c r="T26" s="250">
        <f>'[86]VENTAS TOTALES'!$F34</f>
        <v>13021</v>
      </c>
      <c r="U26" s="250">
        <f>'[87]VENTAS TOTALES'!$F34</f>
        <v>9179</v>
      </c>
      <c r="V26" s="250">
        <f>'[88]VENTAS TOTALES'!$F34</f>
        <v>3517</v>
      </c>
      <c r="W26" s="250">
        <f>'[89]VENTAS TOTALES'!$F34</f>
        <v>15700</v>
      </c>
      <c r="X26" s="250">
        <f>'[90]VENTAS TOTALES'!$F34</f>
        <v>13448</v>
      </c>
      <c r="Y26" s="250">
        <f>'[91]VENTAS TOTALES'!$F34</f>
        <v>12874</v>
      </c>
      <c r="Z26" s="250">
        <f>'[92]VENTAS TOTALES'!$F34</f>
        <v>12543</v>
      </c>
      <c r="AA26" s="250">
        <f>'[93]VENTAS TOTALES'!$F34</f>
        <v>12495</v>
      </c>
      <c r="AB26" s="250">
        <f>'[94]VENTAS TOTALES'!$F34</f>
        <v>9301</v>
      </c>
      <c r="AC26" s="250">
        <f>'[95]VENTAS TOTALES'!$F34</f>
        <v>3472</v>
      </c>
      <c r="AD26" s="250">
        <f>'[96]VENTAS TOTALES'!$F34</f>
        <v>17035</v>
      </c>
      <c r="AE26" s="250">
        <f>'[97]VENTAS TOTALES'!$F34</f>
        <v>15437</v>
      </c>
      <c r="AF26" s="250">
        <f>'[98]VENTAS TOTALES'!$F34</f>
        <v>14606</v>
      </c>
      <c r="AG26" s="250">
        <f>'[99]VENTAS TOTALES'!$F34</f>
        <v>13592</v>
      </c>
      <c r="AH26" s="250">
        <f>'[100]VENTAS TOTALES'!$F34</f>
        <v>13150</v>
      </c>
      <c r="AI26" s="250">
        <f>'[101]VENTAS TOTALES'!$F34</f>
        <v>9891</v>
      </c>
      <c r="AJ26" s="250">
        <f>'[102]VENTAS TOTALES'!$F34</f>
        <v>3388</v>
      </c>
    </row>
    <row r="27" spans="1:36" ht="12" customHeight="1" x14ac:dyDescent="0.2">
      <c r="A27" s="424"/>
      <c r="B27" s="309" t="s">
        <v>21</v>
      </c>
      <c r="C27" s="250">
        <f>'[69]VENTAS TOTALES'!$F35</f>
        <v>12136</v>
      </c>
      <c r="D27" s="250">
        <f>'[70]VENTAS TOTALES'!$F35</f>
        <v>12344</v>
      </c>
      <c r="E27" s="250">
        <f>'[71]VENTAS TOTALES'!$F35</f>
        <v>10563</v>
      </c>
      <c r="F27" s="250">
        <f>'[72]VENTAS TOTALES'!$F35</f>
        <v>10562</v>
      </c>
      <c r="G27" s="250">
        <f>'[73]VENTAS TOTALES'!$F35</f>
        <v>8522</v>
      </c>
      <c r="H27" s="250">
        <f>'[74]VENTAS TOTALES'!$F35</f>
        <v>4551</v>
      </c>
      <c r="I27" s="250">
        <f>'[75]VENTAS TOTALES'!$F35</f>
        <v>13151</v>
      </c>
      <c r="J27" s="250">
        <f>'[76]VENTAS TOTALES'!$F35</f>
        <v>11638</v>
      </c>
      <c r="K27" s="250">
        <f>'[77]VENTAS TOTALES'!$F35</f>
        <v>10366</v>
      </c>
      <c r="L27" s="250">
        <f>'[78]VENTAS TOTALES'!$F35</f>
        <v>10576</v>
      </c>
      <c r="M27" s="250">
        <f>'[79]VENTAS TOTALES'!$F35</f>
        <v>10199</v>
      </c>
      <c r="N27" s="250">
        <f>'[80]VENTAS TOTALES'!$F35</f>
        <v>8088</v>
      </c>
      <c r="O27" s="250">
        <f>'[81]VENTAS TOTALES'!$F35</f>
        <v>4344</v>
      </c>
      <c r="P27" s="250">
        <f>'[82]VENTAS TOTALES'!$F35</f>
        <v>12615</v>
      </c>
      <c r="Q27" s="250">
        <f>'[83]VENTAS TOTALES'!$F35</f>
        <v>12260</v>
      </c>
      <c r="R27" s="250">
        <f>'[84]VENTAS TOTALES'!$F35</f>
        <v>10917</v>
      </c>
      <c r="S27" s="250">
        <f>'[85]VENTAS TOTALES'!$F35</f>
        <v>11324</v>
      </c>
      <c r="T27" s="250">
        <f>'[86]VENTAS TOTALES'!$F35</f>
        <v>10690</v>
      </c>
      <c r="U27" s="250">
        <f>'[87]VENTAS TOTALES'!$F35</f>
        <v>8840</v>
      </c>
      <c r="V27" s="250">
        <f>'[88]VENTAS TOTALES'!$F35</f>
        <v>4201</v>
      </c>
      <c r="W27" s="250">
        <f>'[89]VENTAS TOTALES'!$F35</f>
        <v>13021</v>
      </c>
      <c r="X27" s="250">
        <f>'[90]VENTAS TOTALES'!$F35</f>
        <v>11326</v>
      </c>
      <c r="Y27" s="250">
        <f>'[91]VENTAS TOTALES'!$F35</f>
        <v>10739</v>
      </c>
      <c r="Z27" s="250">
        <f>'[92]VENTAS TOTALES'!$F35</f>
        <v>10422</v>
      </c>
      <c r="AA27" s="250">
        <f>'[93]VENTAS TOTALES'!$F35</f>
        <v>10191</v>
      </c>
      <c r="AB27" s="250">
        <f>'[94]VENTAS TOTALES'!$F35</f>
        <v>8780</v>
      </c>
      <c r="AC27" s="250">
        <f>'[95]VENTAS TOTALES'!$F35</f>
        <v>4332</v>
      </c>
      <c r="AD27" s="250">
        <f>'[96]VENTAS TOTALES'!$F35</f>
        <v>13970</v>
      </c>
      <c r="AE27" s="250">
        <f>'[97]VENTAS TOTALES'!$F35</f>
        <v>12213</v>
      </c>
      <c r="AF27" s="250">
        <f>'[98]VENTAS TOTALES'!$F35</f>
        <v>11690</v>
      </c>
      <c r="AG27" s="250">
        <f>'[99]VENTAS TOTALES'!$F35</f>
        <v>11461</v>
      </c>
      <c r="AH27" s="250">
        <f>'[100]VENTAS TOTALES'!$F35</f>
        <v>10983</v>
      </c>
      <c r="AI27" s="250">
        <f>'[101]VENTAS TOTALES'!$F35</f>
        <v>8807</v>
      </c>
      <c r="AJ27" s="250">
        <f>'[102]VENTAS TOTALES'!$F35</f>
        <v>4067</v>
      </c>
    </row>
    <row r="28" spans="1:36" ht="12" customHeight="1" x14ac:dyDescent="0.2">
      <c r="A28" s="424"/>
      <c r="B28" s="309" t="s">
        <v>133</v>
      </c>
      <c r="C28" s="250">
        <f>'[69]VENTAS TOTALES'!$F36</f>
        <v>13678</v>
      </c>
      <c r="D28" s="250">
        <f>'[70]VENTAS TOTALES'!$F36</f>
        <v>13409</v>
      </c>
      <c r="E28" s="250">
        <f>'[71]VENTAS TOTALES'!$F36</f>
        <v>12207</v>
      </c>
      <c r="F28" s="250">
        <f>'[72]VENTAS TOTALES'!$F36</f>
        <v>11882</v>
      </c>
      <c r="G28" s="250">
        <f>'[73]VENTAS TOTALES'!$F36</f>
        <v>8236</v>
      </c>
      <c r="H28" s="250">
        <f>'[74]VENTAS TOTALES'!$F36</f>
        <v>3724</v>
      </c>
      <c r="I28" s="250">
        <f>'[75]VENTAS TOTALES'!$F36</f>
        <v>15661</v>
      </c>
      <c r="J28" s="250">
        <f>'[76]VENTAS TOTALES'!$F36</f>
        <v>13670</v>
      </c>
      <c r="K28" s="250">
        <f>'[77]VENTAS TOTALES'!$F36</f>
        <v>12295</v>
      </c>
      <c r="L28" s="250">
        <f>'[78]VENTAS TOTALES'!$F36</f>
        <v>12258</v>
      </c>
      <c r="M28" s="250">
        <f>'[79]VENTAS TOTALES'!$F36</f>
        <v>11570</v>
      </c>
      <c r="N28" s="250">
        <f>'[80]VENTAS TOTALES'!$F36</f>
        <v>8099</v>
      </c>
      <c r="O28" s="250">
        <f>'[81]VENTAS TOTALES'!$F36</f>
        <v>3606</v>
      </c>
      <c r="P28" s="250">
        <f>'[82]VENTAS TOTALES'!$F36</f>
        <v>15858</v>
      </c>
      <c r="Q28" s="250">
        <f>'[83]VENTAS TOTALES'!$F36</f>
        <v>13664</v>
      </c>
      <c r="R28" s="250">
        <f>'[84]VENTAS TOTALES'!$F36</f>
        <v>12907</v>
      </c>
      <c r="S28" s="250">
        <f>'[85]VENTAS TOTALES'!$F36</f>
        <v>12565</v>
      </c>
      <c r="T28" s="250">
        <f>'[86]VENTAS TOTALES'!$F36</f>
        <v>12099</v>
      </c>
      <c r="U28" s="250">
        <f>'[87]VENTAS TOTALES'!$F36</f>
        <v>8719</v>
      </c>
      <c r="V28" s="250">
        <f>'[88]VENTAS TOTALES'!$F36</f>
        <v>3867</v>
      </c>
      <c r="W28" s="250">
        <f>'[89]VENTAS TOTALES'!$F36</f>
        <v>15453</v>
      </c>
      <c r="X28" s="250">
        <f>'[90]VENTAS TOTALES'!$F36</f>
        <v>12943</v>
      </c>
      <c r="Y28" s="250">
        <f>'[91]VENTAS TOTALES'!$F36</f>
        <v>12384</v>
      </c>
      <c r="Z28" s="250">
        <f>'[92]VENTAS TOTALES'!$F36</f>
        <v>11810</v>
      </c>
      <c r="AA28" s="250">
        <f>'[93]VENTAS TOTALES'!$F36</f>
        <v>11846</v>
      </c>
      <c r="AB28" s="250">
        <f>'[94]VENTAS TOTALES'!$F36</f>
        <v>8885</v>
      </c>
      <c r="AC28" s="250">
        <f>'[95]VENTAS TOTALES'!$F36</f>
        <v>3797</v>
      </c>
      <c r="AD28" s="250">
        <f>'[96]VENTAS TOTALES'!$F36</f>
        <v>16338</v>
      </c>
      <c r="AE28" s="250">
        <f>'[97]VENTAS TOTALES'!$F36</f>
        <v>14788</v>
      </c>
      <c r="AF28" s="250">
        <f>'[98]VENTAS TOTALES'!$F36</f>
        <v>13881</v>
      </c>
      <c r="AG28" s="250">
        <f>'[99]VENTAS TOTALES'!$F36</f>
        <v>12981</v>
      </c>
      <c r="AH28" s="250">
        <f>'[100]VENTAS TOTALES'!$F36</f>
        <v>12513</v>
      </c>
      <c r="AI28" s="250">
        <f>'[101]VENTAS TOTALES'!$F36</f>
        <v>9239</v>
      </c>
      <c r="AJ28" s="250">
        <f>'[102]VENTAS TOTALES'!$F36</f>
        <v>3470</v>
      </c>
    </row>
    <row r="29" spans="1:36" ht="12" customHeight="1" x14ac:dyDescent="0.2">
      <c r="A29" s="424"/>
      <c r="B29" s="309" t="s">
        <v>134</v>
      </c>
      <c r="C29" s="250">
        <f>'[69]VENTAS TOTALES'!$F37</f>
        <v>4014</v>
      </c>
      <c r="D29" s="250">
        <f>'[70]VENTAS TOTALES'!$F37</f>
        <v>4485</v>
      </c>
      <c r="E29" s="250">
        <f>'[71]VENTAS TOTALES'!$F37</f>
        <v>3466</v>
      </c>
      <c r="F29" s="250">
        <f>'[72]VENTAS TOTALES'!$F37</f>
        <v>3182</v>
      </c>
      <c r="G29" s="250">
        <f>'[73]VENTAS TOTALES'!$F37</f>
        <v>2179</v>
      </c>
      <c r="H29" s="250">
        <f>'[74]VENTAS TOTALES'!$F37</f>
        <v>1133</v>
      </c>
      <c r="I29" s="250">
        <f>'[75]VENTAS TOTALES'!$F37</f>
        <v>4329</v>
      </c>
      <c r="J29" s="250">
        <f>'[76]VENTAS TOTALES'!$F37</f>
        <v>3512</v>
      </c>
      <c r="K29" s="250">
        <f>'[77]VENTAS TOTALES'!$F37</f>
        <v>3230</v>
      </c>
      <c r="L29" s="250">
        <f>'[78]VENTAS TOTALES'!$F37</f>
        <v>3292</v>
      </c>
      <c r="M29" s="250">
        <f>'[79]VENTAS TOTALES'!$F37</f>
        <v>2931</v>
      </c>
      <c r="N29" s="250">
        <f>'[80]VENTAS TOTALES'!$F37</f>
        <v>1929</v>
      </c>
      <c r="O29" s="250">
        <f>'[81]VENTAS TOTALES'!$F37</f>
        <v>1057</v>
      </c>
      <c r="P29" s="250">
        <f>'[82]VENTAS TOTALES'!$F37</f>
        <v>4217</v>
      </c>
      <c r="Q29" s="250">
        <f>'[83]VENTAS TOTALES'!$F37</f>
        <v>3972</v>
      </c>
      <c r="R29" s="250">
        <f>'[84]VENTAS TOTALES'!$F37</f>
        <v>3669</v>
      </c>
      <c r="S29" s="250">
        <f>'[85]VENTAS TOTALES'!$F37</f>
        <v>3455</v>
      </c>
      <c r="T29" s="250">
        <f>'[86]VENTAS TOTALES'!$F37</f>
        <v>3210</v>
      </c>
      <c r="U29" s="250">
        <f>'[87]VENTAS TOTALES'!$F37</f>
        <v>2288</v>
      </c>
      <c r="V29" s="250">
        <f>'[88]VENTAS TOTALES'!$F37</f>
        <v>1080</v>
      </c>
      <c r="W29" s="250">
        <f>'[89]VENTAS TOTALES'!$F37</f>
        <v>4187</v>
      </c>
      <c r="X29" s="250">
        <f>'[90]VENTAS TOTALES'!$F37</f>
        <v>3703</v>
      </c>
      <c r="Y29" s="250">
        <f>'[91]VENTAS TOTALES'!$F37</f>
        <v>3681</v>
      </c>
      <c r="Z29" s="250">
        <f>'[92]VENTAS TOTALES'!$F37</f>
        <v>3111</v>
      </c>
      <c r="AA29" s="250">
        <f>'[93]VENTAS TOTALES'!$F37</f>
        <v>3091</v>
      </c>
      <c r="AB29" s="250">
        <f>'[94]VENTAS TOTALES'!$F37</f>
        <v>2337</v>
      </c>
      <c r="AC29" s="250">
        <f>'[95]VENTAS TOTALES'!$F37</f>
        <v>1138</v>
      </c>
      <c r="AD29" s="250">
        <f>'[96]VENTAS TOTALES'!$F37</f>
        <v>4594</v>
      </c>
      <c r="AE29" s="250">
        <f>'[97]VENTAS TOTALES'!$F37</f>
        <v>4378</v>
      </c>
      <c r="AF29" s="250">
        <f>'[98]VENTAS TOTALES'!$F37</f>
        <v>4222</v>
      </c>
      <c r="AG29" s="250">
        <f>'[99]VENTAS TOTALES'!$F37</f>
        <v>3844</v>
      </c>
      <c r="AH29" s="250">
        <f>'[100]VENTAS TOTALES'!$F37</f>
        <v>3405</v>
      </c>
      <c r="AI29" s="250">
        <f>'[101]VENTAS TOTALES'!$F37</f>
        <v>2554</v>
      </c>
      <c r="AJ29" s="250">
        <f>'[102]VENTAS TOTALES'!$F37</f>
        <v>1205</v>
      </c>
    </row>
    <row r="30" spans="1:36" ht="12" customHeight="1" x14ac:dyDescent="0.2">
      <c r="A30" s="424"/>
      <c r="B30" s="309" t="s">
        <v>69</v>
      </c>
      <c r="C30" s="250">
        <f>'[69]VENTAS TOTALES'!$F38</f>
        <v>6583</v>
      </c>
      <c r="D30" s="250">
        <f>'[70]VENTAS TOTALES'!$F38</f>
        <v>6754</v>
      </c>
      <c r="E30" s="250">
        <f>'[71]VENTAS TOTALES'!$F38</f>
        <v>6054</v>
      </c>
      <c r="F30" s="250">
        <f>'[72]VENTAS TOTALES'!$F38</f>
        <v>5774</v>
      </c>
      <c r="G30" s="250">
        <f>'[73]VENTAS TOTALES'!$F38</f>
        <v>4750</v>
      </c>
      <c r="H30" s="250">
        <f>'[74]VENTAS TOTALES'!$F38</f>
        <v>1921</v>
      </c>
      <c r="I30" s="250">
        <f>'[75]VENTAS TOTALES'!$F38</f>
        <v>7056</v>
      </c>
      <c r="J30" s="250">
        <f>'[76]VENTAS TOTALES'!$F38</f>
        <v>6314</v>
      </c>
      <c r="K30" s="250">
        <f>'[77]VENTAS TOTALES'!$F38</f>
        <v>5994</v>
      </c>
      <c r="L30" s="250">
        <f>'[78]VENTAS TOTALES'!$F38</f>
        <v>5980</v>
      </c>
      <c r="M30" s="250">
        <f>'[79]VENTAS TOTALES'!$F38</f>
        <v>5783</v>
      </c>
      <c r="N30" s="250">
        <f>'[80]VENTAS TOTALES'!$F38</f>
        <v>4867</v>
      </c>
      <c r="O30" s="250">
        <f>'[81]VENTAS TOTALES'!$F38</f>
        <v>1987</v>
      </c>
      <c r="P30" s="250">
        <f>'[82]VENTAS TOTALES'!$F38</f>
        <v>7322</v>
      </c>
      <c r="Q30" s="250">
        <f>'[83]VENTAS TOTALES'!$F38</f>
        <v>6608</v>
      </c>
      <c r="R30" s="250">
        <f>'[84]VENTAS TOTALES'!$F38</f>
        <v>6204</v>
      </c>
      <c r="S30" s="250">
        <f>'[85]VENTAS TOTALES'!$F38</f>
        <v>6074</v>
      </c>
      <c r="T30" s="250">
        <f>'[86]VENTAS TOTALES'!$F38</f>
        <v>6132</v>
      </c>
      <c r="U30" s="250">
        <f>'[87]VENTAS TOTALES'!$F38</f>
        <v>4876</v>
      </c>
      <c r="V30" s="250">
        <f>'[88]VENTAS TOTALES'!$F38</f>
        <v>1807</v>
      </c>
      <c r="W30" s="250">
        <f>'[89]VENTAS TOTALES'!$F38</f>
        <v>7292</v>
      </c>
      <c r="X30" s="250">
        <f>'[90]VENTAS TOTALES'!$F38</f>
        <v>6154</v>
      </c>
      <c r="Y30" s="250">
        <f>'[91]VENTAS TOTALES'!$F38</f>
        <v>5989</v>
      </c>
      <c r="Z30" s="250">
        <f>'[92]VENTAS TOTALES'!$F38</f>
        <v>5889</v>
      </c>
      <c r="AA30" s="250">
        <f>'[93]VENTAS TOTALES'!$F38</f>
        <v>5349</v>
      </c>
      <c r="AB30" s="250">
        <f>'[94]VENTAS TOTALES'!$F38</f>
        <v>5068</v>
      </c>
      <c r="AC30" s="250">
        <f>'[95]VENTAS TOTALES'!$F38</f>
        <v>1880</v>
      </c>
      <c r="AD30" s="250">
        <f>'[96]VENTAS TOTALES'!$F38</f>
        <v>7415</v>
      </c>
      <c r="AE30" s="250">
        <f>'[97]VENTAS TOTALES'!$F38</f>
        <v>6847</v>
      </c>
      <c r="AF30" s="250">
        <f>'[98]VENTAS TOTALES'!$F38</f>
        <v>6355</v>
      </c>
      <c r="AG30" s="250">
        <f>'[99]VENTAS TOTALES'!$F38</f>
        <v>5821</v>
      </c>
      <c r="AH30" s="250">
        <f>'[100]VENTAS TOTALES'!$F38</f>
        <v>6379</v>
      </c>
      <c r="AI30" s="250">
        <f>'[101]VENTAS TOTALES'!$F38</f>
        <v>4975</v>
      </c>
      <c r="AJ30" s="250">
        <f>'[102]VENTAS TOTALES'!$F38</f>
        <v>1982</v>
      </c>
    </row>
    <row r="31" spans="1:36" ht="12" customHeight="1" x14ac:dyDescent="0.2">
      <c r="A31" s="424"/>
      <c r="B31" s="309" t="s">
        <v>70</v>
      </c>
      <c r="C31" s="250">
        <f>'[69]VENTAS TOTALES'!$F39</f>
        <v>2853</v>
      </c>
      <c r="D31" s="250">
        <f>'[70]VENTAS TOTALES'!$F39</f>
        <v>2646</v>
      </c>
      <c r="E31" s="250">
        <f>'[71]VENTAS TOTALES'!$F39</f>
        <v>2261</v>
      </c>
      <c r="F31" s="250">
        <f>'[72]VENTAS TOTALES'!$F39</f>
        <v>2125</v>
      </c>
      <c r="G31" s="250">
        <f>'[73]VENTAS TOTALES'!$F39</f>
        <v>1201</v>
      </c>
      <c r="H31" s="250">
        <f>'[74]VENTAS TOTALES'!$F39</f>
        <v>809</v>
      </c>
      <c r="I31" s="250">
        <f>'[75]VENTAS TOTALES'!$F39</f>
        <v>3156</v>
      </c>
      <c r="J31" s="250">
        <f>'[76]VENTAS TOTALES'!$F39</f>
        <v>2563</v>
      </c>
      <c r="K31" s="250">
        <f>'[77]VENTAS TOTALES'!$F39</f>
        <v>2263</v>
      </c>
      <c r="L31" s="250">
        <f>'[78]VENTAS TOTALES'!$F39</f>
        <v>2288</v>
      </c>
      <c r="M31" s="250">
        <f>'[79]VENTAS TOTALES'!$F39</f>
        <v>2060</v>
      </c>
      <c r="N31" s="250">
        <f>'[80]VENTAS TOTALES'!$F39</f>
        <v>1154</v>
      </c>
      <c r="O31" s="250">
        <f>'[81]VENTAS TOTALES'!$F39</f>
        <v>758</v>
      </c>
      <c r="P31" s="250">
        <f>'[82]VENTAS TOTALES'!$F39</f>
        <v>3092</v>
      </c>
      <c r="Q31" s="250">
        <f>'[83]VENTAS TOTALES'!$F39</f>
        <v>2759</v>
      </c>
      <c r="R31" s="250">
        <f>'[84]VENTAS TOTALES'!$F39</f>
        <v>2557</v>
      </c>
      <c r="S31" s="250">
        <f>'[85]VENTAS TOTALES'!$F39</f>
        <v>2370</v>
      </c>
      <c r="T31" s="250">
        <f>'[86]VENTAS TOTALES'!$F39</f>
        <v>2205</v>
      </c>
      <c r="U31" s="250">
        <f>'[87]VENTAS TOTALES'!$F39</f>
        <v>1390</v>
      </c>
      <c r="V31" s="250">
        <f>'[88]VENTAS TOTALES'!$F39</f>
        <v>728</v>
      </c>
      <c r="W31" s="250">
        <f>'[89]VENTAS TOTALES'!$F39</f>
        <v>3061</v>
      </c>
      <c r="X31" s="250">
        <f>'[90]VENTAS TOTALES'!$F39</f>
        <v>2446</v>
      </c>
      <c r="Y31" s="250">
        <f>'[91]VENTAS TOTALES'!$F39</f>
        <v>2292</v>
      </c>
      <c r="Z31" s="250">
        <f>'[92]VENTAS TOTALES'!$F39</f>
        <v>2048</v>
      </c>
      <c r="AA31" s="250">
        <f>'[93]VENTAS TOTALES'!$F39</f>
        <v>2278</v>
      </c>
      <c r="AB31" s="250">
        <f>'[94]VENTAS TOTALES'!$F39</f>
        <v>1361</v>
      </c>
      <c r="AC31" s="250">
        <f>'[95]VENTAS TOTALES'!$F39</f>
        <v>699</v>
      </c>
      <c r="AD31" s="250">
        <f>'[96]VENTAS TOTALES'!$F39</f>
        <v>3464</v>
      </c>
      <c r="AE31" s="250">
        <f>'[97]VENTAS TOTALES'!$F39</f>
        <v>2949</v>
      </c>
      <c r="AF31" s="250">
        <f>'[98]VENTAS TOTALES'!$F39</f>
        <v>2769</v>
      </c>
      <c r="AG31" s="250">
        <f>'[99]VENTAS TOTALES'!$F39</f>
        <v>2500</v>
      </c>
      <c r="AH31" s="250">
        <f>'[100]VENTAS TOTALES'!$F39</f>
        <v>2231</v>
      </c>
      <c r="AI31" s="250">
        <f>'[101]VENTAS TOTALES'!$F39</f>
        <v>1433</v>
      </c>
      <c r="AJ31" s="250">
        <f>'[102]VENTAS TOTALES'!$F39</f>
        <v>827</v>
      </c>
    </row>
    <row r="32" spans="1:36" ht="12" customHeight="1" x14ac:dyDescent="0.2">
      <c r="A32" s="424"/>
      <c r="B32" s="309" t="s">
        <v>22</v>
      </c>
      <c r="C32" s="250">
        <f>'[69]VENTAS TOTALES'!$F40</f>
        <v>12721</v>
      </c>
      <c r="D32" s="250">
        <f>'[70]VENTAS TOTALES'!$F40</f>
        <v>13399</v>
      </c>
      <c r="E32" s="250">
        <f>'[71]VENTAS TOTALES'!$F40</f>
        <v>11978</v>
      </c>
      <c r="F32" s="250">
        <f>'[72]VENTAS TOTALES'!$F40</f>
        <v>11306</v>
      </c>
      <c r="G32" s="250">
        <f>'[73]VENTAS TOTALES'!$F40</f>
        <v>8086</v>
      </c>
      <c r="H32" s="250">
        <f>'[74]VENTAS TOTALES'!$F40</f>
        <v>4208</v>
      </c>
      <c r="I32" s="250">
        <f>'[75]VENTAS TOTALES'!$F40</f>
        <v>15351</v>
      </c>
      <c r="J32" s="250">
        <f>'[76]VENTAS TOTALES'!$F40</f>
        <v>12512</v>
      </c>
      <c r="K32" s="250">
        <f>'[77]VENTAS TOTALES'!$F40</f>
        <v>11509</v>
      </c>
      <c r="L32" s="250">
        <f>'[78]VENTAS TOTALES'!$F40</f>
        <v>11668</v>
      </c>
      <c r="M32" s="250">
        <f>'[79]VENTAS TOTALES'!$F40</f>
        <v>11113</v>
      </c>
      <c r="N32" s="250">
        <f>'[80]VENTAS TOTALES'!$F40</f>
        <v>7951</v>
      </c>
      <c r="O32" s="250">
        <f>'[81]VENTAS TOTALES'!$F40</f>
        <v>4151</v>
      </c>
      <c r="P32" s="250">
        <f>'[82]VENTAS TOTALES'!$F40</f>
        <v>15448</v>
      </c>
      <c r="Q32" s="250">
        <f>'[83]VENTAS TOTALES'!$F40</f>
        <v>13236</v>
      </c>
      <c r="R32" s="250">
        <f>'[84]VENTAS TOTALES'!$F40</f>
        <v>12462</v>
      </c>
      <c r="S32" s="250">
        <f>'[85]VENTAS TOTALES'!$F40</f>
        <v>12002</v>
      </c>
      <c r="T32" s="250">
        <f>'[86]VENTAS TOTALES'!$F40</f>
        <v>11547</v>
      </c>
      <c r="U32" s="250">
        <f>'[87]VENTAS TOTALES'!$F40</f>
        <v>8238</v>
      </c>
      <c r="V32" s="250">
        <f>'[88]VENTAS TOTALES'!$F40</f>
        <v>4417</v>
      </c>
      <c r="W32" s="250">
        <f>'[89]VENTAS TOTALES'!$F40</f>
        <v>15539</v>
      </c>
      <c r="X32" s="250">
        <f>'[90]VENTAS TOTALES'!$F40</f>
        <v>12326</v>
      </c>
      <c r="Y32" s="250">
        <f>'[91]VENTAS TOTALES'!$F40</f>
        <v>11927</v>
      </c>
      <c r="Z32" s="250">
        <f>'[92]VENTAS TOTALES'!$F40</f>
        <v>11419</v>
      </c>
      <c r="AA32" s="250">
        <f>'[93]VENTAS TOTALES'!$F40</f>
        <v>11417</v>
      </c>
      <c r="AB32" s="250">
        <f>'[94]VENTAS TOTALES'!$F40</f>
        <v>8687</v>
      </c>
      <c r="AC32" s="250">
        <f>'[95]VENTAS TOTALES'!$F40</f>
        <v>4291</v>
      </c>
      <c r="AD32" s="250">
        <f>'[96]VENTAS TOTALES'!$F40</f>
        <v>16386</v>
      </c>
      <c r="AE32" s="250">
        <f>'[97]VENTAS TOTALES'!$F40</f>
        <v>14122</v>
      </c>
      <c r="AF32" s="250">
        <f>'[98]VENTAS TOTALES'!$F40</f>
        <v>12392</v>
      </c>
      <c r="AG32" s="250">
        <f>'[99]VENTAS TOTALES'!$F40</f>
        <v>12145</v>
      </c>
      <c r="AH32" s="250">
        <f>'[100]VENTAS TOTALES'!$F40</f>
        <v>11749</v>
      </c>
      <c r="AI32" s="250">
        <f>'[101]VENTAS TOTALES'!$F40</f>
        <v>8841</v>
      </c>
      <c r="AJ32" s="250">
        <f>'[102]VENTAS TOTALES'!$F40</f>
        <v>4396</v>
      </c>
    </row>
    <row r="33" spans="1:36" ht="12" customHeight="1" x14ac:dyDescent="0.2">
      <c r="A33" s="424"/>
      <c r="B33" s="309" t="s">
        <v>71</v>
      </c>
      <c r="C33" s="250">
        <f>'[69]VENTAS TOTALES'!$F41</f>
        <v>6446</v>
      </c>
      <c r="D33" s="250">
        <f>'[70]VENTAS TOTALES'!$F41</f>
        <v>5956</v>
      </c>
      <c r="E33" s="250">
        <f>'[71]VENTAS TOTALES'!$F41</f>
        <v>5833</v>
      </c>
      <c r="F33" s="250">
        <f>'[72]VENTAS TOTALES'!$F41</f>
        <v>5398</v>
      </c>
      <c r="G33" s="250">
        <f>'[73]VENTAS TOTALES'!$F41</f>
        <v>3964</v>
      </c>
      <c r="H33" s="250">
        <f>'[74]VENTAS TOTALES'!$F41</f>
        <v>1500</v>
      </c>
      <c r="I33" s="250">
        <f>'[75]VENTAS TOTALES'!$F41</f>
        <v>7114</v>
      </c>
      <c r="J33" s="250">
        <f>'[76]VENTAS TOTALES'!$F41</f>
        <v>6291</v>
      </c>
      <c r="K33" s="250">
        <f>'[77]VENTAS TOTALES'!$F41</f>
        <v>5469</v>
      </c>
      <c r="L33" s="250">
        <f>'[78]VENTAS TOTALES'!$F41</f>
        <v>5839</v>
      </c>
      <c r="M33" s="250">
        <f>'[79]VENTAS TOTALES'!$F41</f>
        <v>5790</v>
      </c>
      <c r="N33" s="250">
        <f>'[80]VENTAS TOTALES'!$F41</f>
        <v>3952</v>
      </c>
      <c r="O33" s="250">
        <f>'[81]VENTAS TOTALES'!$F41</f>
        <v>1523</v>
      </c>
      <c r="P33" s="250">
        <f>'[82]VENTAS TOTALES'!$F41</f>
        <v>7597</v>
      </c>
      <c r="Q33" s="250">
        <f>'[83]VENTAS TOTALES'!$F41</f>
        <v>6214</v>
      </c>
      <c r="R33" s="250">
        <f>'[84]VENTAS TOTALES'!$F41</f>
        <v>6041</v>
      </c>
      <c r="S33" s="250">
        <f>'[85]VENTAS TOTALES'!$F41</f>
        <v>5861</v>
      </c>
      <c r="T33" s="250">
        <f>'[86]VENTAS TOTALES'!$F41</f>
        <v>5715</v>
      </c>
      <c r="U33" s="250">
        <f>'[87]VENTAS TOTALES'!$F41</f>
        <v>4191</v>
      </c>
      <c r="V33" s="250">
        <f>'[88]VENTAS TOTALES'!$F41</f>
        <v>1441</v>
      </c>
      <c r="W33" s="250">
        <f>'[89]VENTAS TOTALES'!$F41</f>
        <v>7087</v>
      </c>
      <c r="X33" s="250">
        <f>'[90]VENTAS TOTALES'!$F41</f>
        <v>5760</v>
      </c>
      <c r="Y33" s="250">
        <f>'[91]VENTAS TOTALES'!$F41</f>
        <v>5576</v>
      </c>
      <c r="Z33" s="250">
        <f>'[92]VENTAS TOTALES'!$F41</f>
        <v>5205</v>
      </c>
      <c r="AA33" s="250">
        <f>'[93]VENTAS TOTALES'!$F41</f>
        <v>5545</v>
      </c>
      <c r="AB33" s="250">
        <f>'[94]VENTAS TOTALES'!$F41</f>
        <v>4657</v>
      </c>
      <c r="AC33" s="250">
        <f>'[95]VENTAS TOTALES'!$F41</f>
        <v>1466</v>
      </c>
      <c r="AD33" s="250">
        <f>'[96]VENTAS TOTALES'!$F41</f>
        <v>7398</v>
      </c>
      <c r="AE33" s="250">
        <f>'[97]VENTAS TOTALES'!$F41</f>
        <v>6780</v>
      </c>
      <c r="AF33" s="250">
        <f>'[98]VENTAS TOTALES'!$F41</f>
        <v>6152</v>
      </c>
      <c r="AG33" s="250">
        <f>'[99]VENTAS TOTALES'!$F41</f>
        <v>6031</v>
      </c>
      <c r="AH33" s="250">
        <f>'[100]VENTAS TOTALES'!$F41</f>
        <v>5597</v>
      </c>
      <c r="AI33" s="250">
        <f>'[101]VENTAS TOTALES'!$F41</f>
        <v>4396</v>
      </c>
      <c r="AJ33" s="250">
        <f>'[102]VENTAS TOTALES'!$F41</f>
        <v>1590</v>
      </c>
    </row>
    <row r="34" spans="1:36" ht="12" customHeight="1" x14ac:dyDescent="0.2">
      <c r="A34" s="424"/>
      <c r="B34" s="309" t="s">
        <v>72</v>
      </c>
      <c r="C34" s="250">
        <f>'[69]VENTAS TOTALES'!$F42</f>
        <v>2298</v>
      </c>
      <c r="D34" s="250">
        <f>'[70]VENTAS TOTALES'!$F42</f>
        <v>2414</v>
      </c>
      <c r="E34" s="250">
        <f>'[71]VENTAS TOTALES'!$F42</f>
        <v>1959</v>
      </c>
      <c r="F34" s="250">
        <f>'[72]VENTAS TOTALES'!$F42</f>
        <v>1432</v>
      </c>
      <c r="G34" s="250">
        <f>'[73]VENTAS TOTALES'!$F42</f>
        <v>1062</v>
      </c>
      <c r="H34" s="250">
        <f>'[74]VENTAS TOTALES'!$F42</f>
        <v>505</v>
      </c>
      <c r="I34" s="250">
        <f>'[75]VENTAS TOTALES'!$F42</f>
        <v>2240</v>
      </c>
      <c r="J34" s="250">
        <f>'[76]VENTAS TOTALES'!$F42</f>
        <v>1657</v>
      </c>
      <c r="K34" s="250">
        <f>'[77]VENTAS TOTALES'!$F42</f>
        <v>1614</v>
      </c>
      <c r="L34" s="250">
        <f>'[78]VENTAS TOTALES'!$F42</f>
        <v>1729</v>
      </c>
      <c r="M34" s="250">
        <f>'[79]VENTAS TOTALES'!$F42</f>
        <v>1557</v>
      </c>
      <c r="N34" s="250">
        <f>'[80]VENTAS TOTALES'!$F42</f>
        <v>949</v>
      </c>
      <c r="O34" s="250">
        <f>'[81]VENTAS TOTALES'!$F42</f>
        <v>691</v>
      </c>
      <c r="P34" s="250">
        <f>'[82]VENTAS TOTALES'!$F42</f>
        <v>2584</v>
      </c>
      <c r="Q34" s="250">
        <f>'[83]VENTAS TOTALES'!$F42</f>
        <v>2088</v>
      </c>
      <c r="R34" s="250">
        <f>'[84]VENTAS TOTALES'!$F42</f>
        <v>1854</v>
      </c>
      <c r="S34" s="250">
        <f>'[85]VENTAS TOTALES'!$F42</f>
        <v>1910</v>
      </c>
      <c r="T34" s="250">
        <f>'[86]VENTAS TOTALES'!$F42</f>
        <v>1717</v>
      </c>
      <c r="U34" s="250">
        <f>'[87]VENTAS TOTALES'!$F42</f>
        <v>974</v>
      </c>
      <c r="V34" s="250">
        <f>'[88]VENTAS TOTALES'!$F42</f>
        <v>551</v>
      </c>
      <c r="W34" s="250">
        <f>'[89]VENTAS TOTALES'!$F42</f>
        <v>2732</v>
      </c>
      <c r="X34" s="250">
        <f>'[90]VENTAS TOTALES'!$F42</f>
        <v>1761</v>
      </c>
      <c r="Y34" s="250">
        <f>'[91]VENTAS TOTALES'!$F42</f>
        <v>1685</v>
      </c>
      <c r="Z34" s="250">
        <f>'[92]VENTAS TOTALES'!$F42</f>
        <v>1612</v>
      </c>
      <c r="AA34" s="250">
        <f>'[93]VENTAS TOTALES'!$F42</f>
        <v>1818</v>
      </c>
      <c r="AB34" s="250">
        <f>'[94]VENTAS TOTALES'!$F42</f>
        <v>1314</v>
      </c>
      <c r="AC34" s="250">
        <f>'[95]VENTAS TOTALES'!$F42</f>
        <v>493</v>
      </c>
      <c r="AD34" s="250">
        <f>'[96]VENTAS TOTALES'!$F42</f>
        <v>2919</v>
      </c>
      <c r="AE34" s="250">
        <f>'[97]VENTAS TOTALES'!$F42</f>
        <v>2506</v>
      </c>
      <c r="AF34" s="250">
        <f>'[98]VENTAS TOTALES'!$F42</f>
        <v>2258</v>
      </c>
      <c r="AG34" s="250">
        <f>'[99]VENTAS TOTALES'!$F42</f>
        <v>2107</v>
      </c>
      <c r="AH34" s="250">
        <f>'[100]VENTAS TOTALES'!$F42</f>
        <v>1978</v>
      </c>
      <c r="AI34" s="250">
        <f>'[101]VENTAS TOTALES'!$F42</f>
        <v>1101</v>
      </c>
      <c r="AJ34" s="250">
        <f>'[102]VENTAS TOTALES'!$F42</f>
        <v>535</v>
      </c>
    </row>
    <row r="35" spans="1:36" ht="12" customHeight="1" x14ac:dyDescent="0.2">
      <c r="A35" s="424"/>
      <c r="B35" s="309" t="s">
        <v>73</v>
      </c>
      <c r="C35" s="250">
        <f>'[69]VENTAS TOTALES'!$F43</f>
        <v>3967</v>
      </c>
      <c r="D35" s="250">
        <f>'[70]VENTAS TOTALES'!$F43</f>
        <v>4093</v>
      </c>
      <c r="E35" s="250">
        <f>'[71]VENTAS TOTALES'!$F43</f>
        <v>3781</v>
      </c>
      <c r="F35" s="250">
        <f>'[72]VENTAS TOTALES'!$F43</f>
        <v>3580</v>
      </c>
      <c r="G35" s="250">
        <f>'[73]VENTAS TOTALES'!$F43</f>
        <v>2496</v>
      </c>
      <c r="H35" s="250">
        <f>'[74]VENTAS TOTALES'!$F43</f>
        <v>1048</v>
      </c>
      <c r="I35" s="250">
        <f>'[75]VENTAS TOTALES'!$F43</f>
        <v>4590</v>
      </c>
      <c r="J35" s="250">
        <f>'[76]VENTAS TOTALES'!$F43</f>
        <v>3966</v>
      </c>
      <c r="K35" s="250">
        <f>'[77]VENTAS TOTALES'!$F43</f>
        <v>3755</v>
      </c>
      <c r="L35" s="250">
        <f>'[78]VENTAS TOTALES'!$F43</f>
        <v>3817</v>
      </c>
      <c r="M35" s="250">
        <f>'[79]VENTAS TOTALES'!$F43</f>
        <v>3786</v>
      </c>
      <c r="N35" s="250">
        <f>'[80]VENTAS TOTALES'!$F43</f>
        <v>2443</v>
      </c>
      <c r="O35" s="250">
        <f>'[81]VENTAS TOTALES'!$F43</f>
        <v>1010</v>
      </c>
      <c r="P35" s="250">
        <f>'[82]VENTAS TOTALES'!$F43</f>
        <v>4749</v>
      </c>
      <c r="Q35" s="250">
        <f>'[83]VENTAS TOTALES'!$F43</f>
        <v>3881</v>
      </c>
      <c r="R35" s="250">
        <f>'[84]VENTAS TOTALES'!$F43</f>
        <v>4025</v>
      </c>
      <c r="S35" s="250">
        <f>'[85]VENTAS TOTALES'!$F43</f>
        <v>4044</v>
      </c>
      <c r="T35" s="250">
        <f>'[86]VENTAS TOTALES'!$F43</f>
        <v>3813</v>
      </c>
      <c r="U35" s="250">
        <f>'[87]VENTAS TOTALES'!$F43</f>
        <v>2500</v>
      </c>
      <c r="V35" s="250">
        <f>'[88]VENTAS TOTALES'!$F43</f>
        <v>1128</v>
      </c>
      <c r="W35" s="250">
        <f>'[89]VENTAS TOTALES'!$F43</f>
        <v>4828</v>
      </c>
      <c r="X35" s="250">
        <f>'[90]VENTAS TOTALES'!$F43</f>
        <v>3850</v>
      </c>
      <c r="Y35" s="250">
        <f>'[91]VENTAS TOTALES'!$F43</f>
        <v>3909</v>
      </c>
      <c r="Z35" s="250">
        <f>'[92]VENTAS TOTALES'!$F43</f>
        <v>3617</v>
      </c>
      <c r="AA35" s="250">
        <f>'[93]VENTAS TOTALES'!$F43</f>
        <v>3671</v>
      </c>
      <c r="AB35" s="250">
        <f>'[94]VENTAS TOTALES'!$F43</f>
        <v>2553</v>
      </c>
      <c r="AC35" s="250">
        <f>'[95]VENTAS TOTALES'!$F43</f>
        <v>1127</v>
      </c>
      <c r="AD35" s="250">
        <f>'[96]VENTAS TOTALES'!$F43</f>
        <v>5215</v>
      </c>
      <c r="AE35" s="250">
        <f>'[97]VENTAS TOTALES'!$F43</f>
        <v>4864</v>
      </c>
      <c r="AF35" s="250">
        <f>'[98]VENTAS TOTALES'!$F43</f>
        <v>4646</v>
      </c>
      <c r="AG35" s="250">
        <f>'[99]VENTAS TOTALES'!$F43</f>
        <v>4451</v>
      </c>
      <c r="AH35" s="250">
        <f>'[100]VENTAS TOTALES'!$F43</f>
        <v>3778</v>
      </c>
      <c r="AI35" s="250">
        <f>'[101]VENTAS TOTALES'!$F43</f>
        <v>2881</v>
      </c>
      <c r="AJ35" s="250">
        <f>'[102]VENTAS TOTALES'!$F43</f>
        <v>1058</v>
      </c>
    </row>
    <row r="36" spans="1:36" ht="12" customHeight="1" x14ac:dyDescent="0.2">
      <c r="A36" s="424"/>
      <c r="B36" s="309" t="s">
        <v>74</v>
      </c>
      <c r="C36" s="250">
        <f>'[69]VENTAS TOTALES'!$F44</f>
        <v>1540</v>
      </c>
      <c r="D36" s="250">
        <f>'[70]VENTAS TOTALES'!$F44</f>
        <v>1093</v>
      </c>
      <c r="E36" s="250">
        <f>'[71]VENTAS TOTALES'!$F44</f>
        <v>1170</v>
      </c>
      <c r="F36" s="250">
        <f>'[72]VENTAS TOTALES'!$F44</f>
        <v>731</v>
      </c>
      <c r="G36" s="250">
        <f>'[73]VENTAS TOTALES'!$F44</f>
        <v>527</v>
      </c>
      <c r="H36" s="250">
        <f>'[74]VENTAS TOTALES'!$F44</f>
        <v>344</v>
      </c>
      <c r="I36" s="250">
        <f>'[75]VENTAS TOTALES'!$F44</f>
        <v>1091</v>
      </c>
      <c r="J36" s="250">
        <f>'[76]VENTAS TOTALES'!$F44</f>
        <v>1014</v>
      </c>
      <c r="K36" s="250">
        <f>'[77]VENTAS TOTALES'!$F44</f>
        <v>846</v>
      </c>
      <c r="L36" s="250">
        <f>'[78]VENTAS TOTALES'!$F44</f>
        <v>892</v>
      </c>
      <c r="M36" s="250">
        <f>'[79]VENTAS TOTALES'!$F44</f>
        <v>746</v>
      </c>
      <c r="N36" s="250">
        <f>'[80]VENTAS TOTALES'!$F44</f>
        <v>606</v>
      </c>
      <c r="O36" s="250">
        <f>'[81]VENTAS TOTALES'!$F44</f>
        <v>259</v>
      </c>
      <c r="P36" s="250">
        <f>'[82]VENTAS TOTALES'!$F44</f>
        <v>1202</v>
      </c>
      <c r="Q36" s="250">
        <f>'[83]VENTAS TOTALES'!$F44</f>
        <v>1100</v>
      </c>
      <c r="R36" s="250">
        <f>'[84]VENTAS TOTALES'!$F44</f>
        <v>971</v>
      </c>
      <c r="S36" s="250">
        <f>'[85]VENTAS TOTALES'!$F44</f>
        <v>885</v>
      </c>
      <c r="T36" s="250">
        <f>'[86]VENTAS TOTALES'!$F44</f>
        <v>791</v>
      </c>
      <c r="U36" s="250">
        <f>'[87]VENTAS TOTALES'!$F44</f>
        <v>563</v>
      </c>
      <c r="V36" s="250">
        <f>'[88]VENTAS TOTALES'!$F44</f>
        <v>262</v>
      </c>
      <c r="W36" s="250">
        <f>'[89]VENTAS TOTALES'!$F44</f>
        <v>1215</v>
      </c>
      <c r="X36" s="250">
        <f>'[90]VENTAS TOTALES'!$F44</f>
        <v>938</v>
      </c>
      <c r="Y36" s="250">
        <f>'[91]VENTAS TOTALES'!$F44</f>
        <v>915</v>
      </c>
      <c r="Z36" s="250">
        <f>'[92]VENTAS TOTALES'!$F44</f>
        <v>909</v>
      </c>
      <c r="AA36" s="250">
        <f>'[93]VENTAS TOTALES'!$F44</f>
        <v>833</v>
      </c>
      <c r="AB36" s="250">
        <f>'[94]VENTAS TOTALES'!$F44</f>
        <v>620</v>
      </c>
      <c r="AC36" s="250">
        <f>'[95]VENTAS TOTALES'!$F44</f>
        <v>275</v>
      </c>
      <c r="AD36" s="250">
        <f>'[96]VENTAS TOTALES'!$F44</f>
        <v>1557</v>
      </c>
      <c r="AE36" s="250">
        <f>'[97]VENTAS TOTALES'!$F44</f>
        <v>1186</v>
      </c>
      <c r="AF36" s="250">
        <f>'[98]VENTAS TOTALES'!$F44</f>
        <v>1348</v>
      </c>
      <c r="AG36" s="250">
        <f>'[99]VENTAS TOTALES'!$F44</f>
        <v>1129</v>
      </c>
      <c r="AH36" s="250">
        <f>'[100]VENTAS TOTALES'!$F44</f>
        <v>897</v>
      </c>
      <c r="AI36" s="250">
        <f>'[101]VENTAS TOTALES'!$F44</f>
        <v>528</v>
      </c>
      <c r="AJ36" s="250">
        <f>'[102]VENTAS TOTALES'!$F44</f>
        <v>302</v>
      </c>
    </row>
    <row r="37" spans="1:36" ht="12" customHeight="1" x14ac:dyDescent="0.2">
      <c r="A37" s="424"/>
      <c r="B37" s="309" t="s">
        <v>47</v>
      </c>
      <c r="C37" s="250">
        <f>'[69]VENTAS TOTALES'!$F45</f>
        <v>14944</v>
      </c>
      <c r="D37" s="250">
        <f>'[70]VENTAS TOTALES'!$F45</f>
        <v>15290</v>
      </c>
      <c r="E37" s="250">
        <f>'[71]VENTAS TOTALES'!$F45</f>
        <v>13781</v>
      </c>
      <c r="F37" s="250">
        <f>'[72]VENTAS TOTALES'!$F45</f>
        <v>12967</v>
      </c>
      <c r="G37" s="250">
        <f>'[73]VENTAS TOTALES'!$F45</f>
        <v>8679</v>
      </c>
      <c r="H37" s="250">
        <f>'[74]VENTAS TOTALES'!$F45</f>
        <v>4598</v>
      </c>
      <c r="I37" s="250">
        <f>'[75]VENTAS TOTALES'!$F45</f>
        <v>17474</v>
      </c>
      <c r="J37" s="250">
        <f>'[76]VENTAS TOTALES'!$F45</f>
        <v>14886</v>
      </c>
      <c r="K37" s="250">
        <f>'[77]VENTAS TOTALES'!$F45</f>
        <v>13724</v>
      </c>
      <c r="L37" s="250">
        <f>'[78]VENTAS TOTALES'!$F45</f>
        <v>13536</v>
      </c>
      <c r="M37" s="250">
        <f>'[79]VENTAS TOTALES'!$F45</f>
        <v>13263</v>
      </c>
      <c r="N37" s="250">
        <f>'[80]VENTAS TOTALES'!$F45</f>
        <v>8949</v>
      </c>
      <c r="O37" s="250">
        <f>'[81]VENTAS TOTALES'!$F45</f>
        <v>4228</v>
      </c>
      <c r="P37" s="250">
        <f>'[82]VENTAS TOTALES'!$F45</f>
        <v>17039</v>
      </c>
      <c r="Q37" s="250">
        <f>'[83]VENTAS TOTALES'!$F45</f>
        <v>14944</v>
      </c>
      <c r="R37" s="250">
        <f>'[84]VENTAS TOTALES'!$F45</f>
        <v>14676</v>
      </c>
      <c r="S37" s="250">
        <f>'[85]VENTAS TOTALES'!$F45</f>
        <v>14031</v>
      </c>
      <c r="T37" s="250">
        <f>'[86]VENTAS TOTALES'!$F45</f>
        <v>13282</v>
      </c>
      <c r="U37" s="250">
        <f>'[87]VENTAS TOTALES'!$F45</f>
        <v>9066</v>
      </c>
      <c r="V37" s="250">
        <f>'[88]VENTAS TOTALES'!$F45</f>
        <v>4314</v>
      </c>
      <c r="W37" s="250">
        <f>'[89]VENTAS TOTALES'!$F45</f>
        <v>16805</v>
      </c>
      <c r="X37" s="250">
        <f>'[90]VENTAS TOTALES'!$F45</f>
        <v>14225</v>
      </c>
      <c r="Y37" s="250">
        <f>'[91]VENTAS TOTALES'!$F45</f>
        <v>13675</v>
      </c>
      <c r="Z37" s="250">
        <f>'[92]VENTAS TOTALES'!$F45</f>
        <v>12887</v>
      </c>
      <c r="AA37" s="250">
        <f>'[93]VENTAS TOTALES'!$F45</f>
        <v>13163</v>
      </c>
      <c r="AB37" s="250">
        <f>'[94]VENTAS TOTALES'!$F45</f>
        <v>9410</v>
      </c>
      <c r="AC37" s="250">
        <f>'[95]VENTAS TOTALES'!$F45</f>
        <v>4388</v>
      </c>
      <c r="AD37" s="250">
        <f>'[96]VENTAS TOTALES'!$F45</f>
        <v>18704</v>
      </c>
      <c r="AE37" s="250">
        <f>'[97]VENTAS TOTALES'!$F45</f>
        <v>16699</v>
      </c>
      <c r="AF37" s="250">
        <f>'[98]VENTAS TOTALES'!$F45</f>
        <v>14815</v>
      </c>
      <c r="AG37" s="250">
        <f>'[99]VENTAS TOTALES'!$F45</f>
        <v>13981</v>
      </c>
      <c r="AH37" s="250">
        <f>'[100]VENTAS TOTALES'!$F45</f>
        <v>13189</v>
      </c>
      <c r="AI37" s="250">
        <f>'[101]VENTAS TOTALES'!$F45</f>
        <v>10010</v>
      </c>
      <c r="AJ37" s="250">
        <f>'[102]VENTAS TOTALES'!$F45</f>
        <v>4144</v>
      </c>
    </row>
    <row r="38" spans="1:36" s="12" customFormat="1" ht="12" customHeight="1" x14ac:dyDescent="0.2">
      <c r="A38" s="424"/>
      <c r="B38" s="309" t="s">
        <v>48</v>
      </c>
      <c r="C38" s="252">
        <f>'[69]VENTAS TOTALES'!$F46</f>
        <v>3284</v>
      </c>
      <c r="D38" s="252">
        <f>'[70]VENTAS TOTALES'!$F46</f>
        <v>2632</v>
      </c>
      <c r="E38" s="252">
        <f>'[71]VENTAS TOTALES'!$F46</f>
        <v>1955</v>
      </c>
      <c r="F38" s="252">
        <f>'[72]VENTAS TOTALES'!$F46</f>
        <v>1696</v>
      </c>
      <c r="G38" s="252">
        <f>'[73]VENTAS TOTALES'!$F46</f>
        <v>825</v>
      </c>
      <c r="H38" s="252">
        <f>'[74]VENTAS TOTALES'!$F46</f>
        <v>326</v>
      </c>
      <c r="I38" s="252">
        <f>'[75]VENTAS TOTALES'!$F46</f>
        <v>3089</v>
      </c>
      <c r="J38" s="252">
        <f>'[76]VENTAS TOTALES'!$F46</f>
        <v>2307</v>
      </c>
      <c r="K38" s="252">
        <f>'[77]VENTAS TOTALES'!$F46</f>
        <v>2282</v>
      </c>
      <c r="L38" s="252">
        <f>'[78]VENTAS TOTALES'!$F46</f>
        <v>2065</v>
      </c>
      <c r="M38" s="252">
        <f>'[79]VENTAS TOTALES'!$F46</f>
        <v>1916</v>
      </c>
      <c r="N38" s="252">
        <f>'[80]VENTAS TOTALES'!$F46</f>
        <v>928</v>
      </c>
      <c r="O38" s="252">
        <f>'[81]VENTAS TOTALES'!$F46</f>
        <v>295</v>
      </c>
      <c r="P38" s="252">
        <f>'[82]VENTAS TOTALES'!$F46</f>
        <v>3164</v>
      </c>
      <c r="Q38" s="252">
        <f>'[83]VENTAS TOTALES'!$F46</f>
        <v>3036</v>
      </c>
      <c r="R38" s="252">
        <f>'[84]VENTAS TOTALES'!$F46</f>
        <v>3230</v>
      </c>
      <c r="S38" s="252">
        <f>'[85]VENTAS TOTALES'!$F46</f>
        <v>2814</v>
      </c>
      <c r="T38" s="252">
        <f>'[86]VENTAS TOTALES'!$F46</f>
        <v>1864</v>
      </c>
      <c r="U38" s="252">
        <f>'[87]VENTAS TOTALES'!$F46</f>
        <v>1133</v>
      </c>
      <c r="V38" s="252">
        <f>'[88]VENTAS TOTALES'!$F46</f>
        <v>371</v>
      </c>
      <c r="W38" s="252">
        <f>'[89]VENTAS TOTALES'!$F46</f>
        <v>3264</v>
      </c>
      <c r="X38" s="252">
        <f>'[90]VENTAS TOTALES'!$F46</f>
        <v>2324</v>
      </c>
      <c r="Y38" s="252">
        <f>'[91]VENTAS TOTALES'!$F46</f>
        <v>2396</v>
      </c>
      <c r="Z38" s="252">
        <f>'[92]VENTAS TOTALES'!$F46</f>
        <v>2255</v>
      </c>
      <c r="AA38" s="252">
        <f>'[93]VENTAS TOTALES'!$F46</f>
        <v>1986</v>
      </c>
      <c r="AB38" s="252">
        <f>'[94]VENTAS TOTALES'!$F46</f>
        <v>1170</v>
      </c>
      <c r="AC38" s="252">
        <f>'[95]VENTAS TOTALES'!$F46</f>
        <v>387</v>
      </c>
      <c r="AD38" s="252">
        <f>'[96]VENTAS TOTALES'!$F46</f>
        <v>3759</v>
      </c>
      <c r="AE38" s="252">
        <f>'[97]VENTAS TOTALES'!$F46</f>
        <v>3908</v>
      </c>
      <c r="AF38" s="252">
        <f>'[98]VENTAS TOTALES'!$F46</f>
        <v>3343</v>
      </c>
      <c r="AG38" s="252">
        <f>'[99]VENTAS TOTALES'!$F46</f>
        <v>2851</v>
      </c>
      <c r="AH38" s="252">
        <f>'[100]VENTAS TOTALES'!$F46</f>
        <v>2384</v>
      </c>
      <c r="AI38" s="252">
        <f>'[101]VENTAS TOTALES'!$F46</f>
        <v>1225</v>
      </c>
      <c r="AJ38" s="252">
        <f>'[102]VENTAS TOTALES'!$F46</f>
        <v>331</v>
      </c>
    </row>
    <row r="39" spans="1:36" s="12" customFormat="1" ht="13.5" thickBot="1" x14ac:dyDescent="0.25">
      <c r="A39" s="424"/>
      <c r="B39" s="312" t="s">
        <v>110</v>
      </c>
      <c r="C39" s="265">
        <f>'[69]VENTAS TOTALES'!$F47</f>
        <v>22834</v>
      </c>
      <c r="D39" s="265">
        <f>'[70]VENTAS TOTALES'!$F47</f>
        <v>23299</v>
      </c>
      <c r="E39" s="265">
        <f>'[71]VENTAS TOTALES'!$F47</f>
        <v>19215</v>
      </c>
      <c r="F39" s="265">
        <f>'[72]VENTAS TOTALES'!$F47</f>
        <v>21759</v>
      </c>
      <c r="G39" s="265">
        <f>'[73]VENTAS TOTALES'!$F47</f>
        <v>19065</v>
      </c>
      <c r="H39" s="265">
        <f>'[74]VENTAS TOTALES'!$F47</f>
        <v>11771</v>
      </c>
      <c r="I39" s="265">
        <f>'[75]VENTAS TOTALES'!$F47</f>
        <v>26372</v>
      </c>
      <c r="J39" s="265">
        <f>'[76]VENTAS TOTALES'!$F47</f>
        <v>21922</v>
      </c>
      <c r="K39" s="265">
        <f>'[77]VENTAS TOTALES'!$F47</f>
        <v>21076</v>
      </c>
      <c r="L39" s="265">
        <f>'[78]VENTAS TOTALES'!$F47</f>
        <v>20831</v>
      </c>
      <c r="M39" s="265">
        <f>'[79]VENTAS TOTALES'!$F47</f>
        <v>21144</v>
      </c>
      <c r="N39" s="265">
        <f>'[80]VENTAS TOTALES'!$F47</f>
        <v>18401</v>
      </c>
      <c r="O39" s="265">
        <f>'[81]VENTAS TOTALES'!$F47</f>
        <v>11277</v>
      </c>
      <c r="P39" s="265">
        <f>'[82]VENTAS TOTALES'!$F47</f>
        <v>26809</v>
      </c>
      <c r="Q39" s="265">
        <f>'[83]VENTAS TOTALES'!$F47</f>
        <v>22438</v>
      </c>
      <c r="R39" s="265">
        <f>'[84]VENTAS TOTALES'!$F47</f>
        <v>20813</v>
      </c>
      <c r="S39" s="265">
        <f>'[85]VENTAS TOTALES'!$F47</f>
        <v>20136</v>
      </c>
      <c r="T39" s="265">
        <f>'[86]VENTAS TOTALES'!$F47</f>
        <v>21043</v>
      </c>
      <c r="U39" s="265">
        <f>'[87]VENTAS TOTALES'!$F47</f>
        <v>19191</v>
      </c>
      <c r="V39" s="265">
        <f>'[88]VENTAS TOTALES'!$F47</f>
        <v>11208</v>
      </c>
      <c r="W39" s="265">
        <f>'[89]VENTAS TOTALES'!$F47</f>
        <v>26376</v>
      </c>
      <c r="X39" s="265">
        <f>'[90]VENTAS TOTALES'!$F47</f>
        <v>21561</v>
      </c>
      <c r="Y39" s="265">
        <f>'[91]VENTAS TOTALES'!$F47</f>
        <v>21001</v>
      </c>
      <c r="Z39" s="265">
        <f>'[92]VENTAS TOTALES'!$F47</f>
        <v>20353</v>
      </c>
      <c r="AA39" s="265">
        <f>'[93]VENTAS TOTALES'!$F47</f>
        <v>22244</v>
      </c>
      <c r="AB39" s="265">
        <f>'[94]VENTAS TOTALES'!$F47</f>
        <v>19430</v>
      </c>
      <c r="AC39" s="265">
        <f>'[95]VENTAS TOTALES'!$F47</f>
        <v>11565</v>
      </c>
      <c r="AD39" s="265">
        <f>'[96]VENTAS TOTALES'!$F47</f>
        <v>28584</v>
      </c>
      <c r="AE39" s="265">
        <f>'[97]VENTAS TOTALES'!$F47</f>
        <v>24391</v>
      </c>
      <c r="AF39" s="265">
        <f>'[98]VENTAS TOTALES'!$F47</f>
        <v>23057</v>
      </c>
      <c r="AG39" s="265">
        <f>'[99]VENTAS TOTALES'!$F47</f>
        <v>22626</v>
      </c>
      <c r="AH39" s="265">
        <f>'[100]VENTAS TOTALES'!$F47</f>
        <v>22908</v>
      </c>
      <c r="AI39" s="265">
        <f>'[101]VENTAS TOTALES'!$F47</f>
        <v>19596</v>
      </c>
      <c r="AJ39" s="265">
        <f>'[102]VENTAS TOTALES'!$F47</f>
        <v>11316</v>
      </c>
    </row>
    <row r="40" spans="1:36" x14ac:dyDescent="0.2">
      <c r="A40" s="424"/>
      <c r="B40" s="44" t="s">
        <v>23</v>
      </c>
      <c r="C40" s="267">
        <f>'[69]VENTAS TOTALES'!$F52</f>
        <v>8994</v>
      </c>
      <c r="D40" s="267">
        <f>'[70]VENTAS TOTALES'!$F52</f>
        <v>8930</v>
      </c>
      <c r="E40" s="267">
        <f>'[71]VENTAS TOTALES'!$F52</f>
        <v>7747</v>
      </c>
      <c r="F40" s="267">
        <f>'[72]VENTAS TOTALES'!$F52</f>
        <v>7940</v>
      </c>
      <c r="G40" s="267">
        <f>'[73]VENTAS TOTALES'!$F52</f>
        <v>5062</v>
      </c>
      <c r="H40" s="267">
        <f>'[74]VENTAS TOTALES'!$F52</f>
        <v>1317</v>
      </c>
      <c r="I40" s="267">
        <f>'[75]VENTAS TOTALES'!$F52</f>
        <v>8603</v>
      </c>
      <c r="J40" s="267">
        <f>'[76]VENTAS TOTALES'!$F52</f>
        <v>7686</v>
      </c>
      <c r="K40" s="267">
        <f>'[77]VENTAS TOTALES'!$F52</f>
        <v>8337</v>
      </c>
      <c r="L40" s="267">
        <f>'[78]VENTAS TOTALES'!$F52</f>
        <v>7837</v>
      </c>
      <c r="M40" s="267">
        <f>'[79]VENTAS TOTALES'!$F52</f>
        <v>7554</v>
      </c>
      <c r="N40" s="267">
        <f>'[80]VENTAS TOTALES'!$F52</f>
        <v>5203</v>
      </c>
      <c r="O40" s="267">
        <f>'[81]VENTAS TOTALES'!$F52</f>
        <v>1422</v>
      </c>
      <c r="P40" s="267">
        <f>'[82]VENTAS TOTALES'!$F52</f>
        <v>8637</v>
      </c>
      <c r="Q40" s="267">
        <f>'[83]VENTAS TOTALES'!$F52</f>
        <v>8212</v>
      </c>
      <c r="R40" s="267">
        <f>'[84]VENTAS TOTALES'!$F52</f>
        <v>8458</v>
      </c>
      <c r="S40" s="267">
        <f>'[85]VENTAS TOTALES'!$F52</f>
        <v>7810</v>
      </c>
      <c r="T40" s="267">
        <f>'[86]VENTAS TOTALES'!$F52</f>
        <v>7747</v>
      </c>
      <c r="U40" s="267">
        <f>'[87]VENTAS TOTALES'!$F52</f>
        <v>5271</v>
      </c>
      <c r="V40" s="267">
        <f>'[88]VENTAS TOTALES'!$F52</f>
        <v>1370</v>
      </c>
      <c r="W40" s="267">
        <f>'[89]VENTAS TOTALES'!$F52</f>
        <v>9094</v>
      </c>
      <c r="X40" s="267">
        <f>'[90]VENTAS TOTALES'!$F52</f>
        <v>7947</v>
      </c>
      <c r="Y40" s="267">
        <f>'[91]VENTAS TOTALES'!$F52</f>
        <v>8195</v>
      </c>
      <c r="Z40" s="267">
        <f>'[92]VENTAS TOTALES'!$F52</f>
        <v>7652</v>
      </c>
      <c r="AA40" s="267">
        <f>'[93]VENTAS TOTALES'!$F52</f>
        <v>8217</v>
      </c>
      <c r="AB40" s="267">
        <f>'[94]VENTAS TOTALES'!$F52</f>
        <v>5553</v>
      </c>
      <c r="AC40" s="267">
        <f>'[95]VENTAS TOTALES'!$F52</f>
        <v>1462</v>
      </c>
      <c r="AD40" s="267">
        <f>'[96]VENTAS TOTALES'!$F52</f>
        <v>9771</v>
      </c>
      <c r="AE40" s="267">
        <f>'[97]VENTAS TOTALES'!$F52</f>
        <v>9901</v>
      </c>
      <c r="AF40" s="267">
        <f>'[98]VENTAS TOTALES'!$F52</f>
        <v>9028</v>
      </c>
      <c r="AG40" s="267">
        <f>'[99]VENTAS TOTALES'!$F52</f>
        <v>8545</v>
      </c>
      <c r="AH40" s="267">
        <f>'[100]VENTAS TOTALES'!$F52</f>
        <v>8157</v>
      </c>
      <c r="AI40" s="267">
        <f>'[101]VENTAS TOTALES'!$F52</f>
        <v>5636</v>
      </c>
      <c r="AJ40" s="267">
        <f>'[102]VENTAS TOTALES'!$F52</f>
        <v>1385</v>
      </c>
    </row>
    <row r="41" spans="1:36" x14ac:dyDescent="0.2">
      <c r="A41" s="424"/>
      <c r="B41" s="309" t="s">
        <v>24</v>
      </c>
      <c r="C41" s="252">
        <f>'[69]VENTAS TOTALES'!$F53</f>
        <v>7932</v>
      </c>
      <c r="D41" s="252">
        <f>'[70]VENTAS TOTALES'!$F53</f>
        <v>8100</v>
      </c>
      <c r="E41" s="252">
        <f>'[71]VENTAS TOTALES'!$F53</f>
        <v>7099</v>
      </c>
      <c r="F41" s="252">
        <f>'[72]VENTAS TOTALES'!$F53</f>
        <v>6955</v>
      </c>
      <c r="G41" s="252">
        <f>'[73]VENTAS TOTALES'!$F53</f>
        <v>3431</v>
      </c>
      <c r="H41" s="252">
        <f>'[74]VENTAS TOTALES'!$F53</f>
        <v>873</v>
      </c>
      <c r="I41" s="252">
        <f>'[75]VENTAS TOTALES'!$F53</f>
        <v>8005</v>
      </c>
      <c r="J41" s="252">
        <f>'[76]VENTAS TOTALES'!$F53</f>
        <v>7158</v>
      </c>
      <c r="K41" s="252">
        <f>'[77]VENTAS TOTALES'!$F53</f>
        <v>6931</v>
      </c>
      <c r="L41" s="252">
        <f>'[78]VENTAS TOTALES'!$F53</f>
        <v>6813</v>
      </c>
      <c r="M41" s="252">
        <f>'[79]VENTAS TOTALES'!$F53</f>
        <v>6450</v>
      </c>
      <c r="N41" s="252">
        <f>'[80]VENTAS TOTALES'!$F53</f>
        <v>3533</v>
      </c>
      <c r="O41" s="252">
        <f>'[81]VENTAS TOTALES'!$F53</f>
        <v>667</v>
      </c>
      <c r="P41" s="252">
        <f>'[82]VENTAS TOTALES'!$F53</f>
        <v>7728</v>
      </c>
      <c r="Q41" s="252">
        <f>'[83]VENTAS TOTALES'!$F53</f>
        <v>7623</v>
      </c>
      <c r="R41" s="252">
        <f>'[84]VENTAS TOTALES'!$F53</f>
        <v>7380</v>
      </c>
      <c r="S41" s="252">
        <f>'[85]VENTAS TOTALES'!$F53</f>
        <v>7016</v>
      </c>
      <c r="T41" s="252">
        <f>'[86]VENTAS TOTALES'!$F53</f>
        <v>6551</v>
      </c>
      <c r="U41" s="252">
        <f>'[87]VENTAS TOTALES'!$F53</f>
        <v>3497</v>
      </c>
      <c r="V41" s="252">
        <f>'[88]VENTAS TOTALES'!$F53</f>
        <v>640</v>
      </c>
      <c r="W41" s="252">
        <f>'[89]VENTAS TOTALES'!$F53</f>
        <v>7931</v>
      </c>
      <c r="X41" s="252">
        <f>'[90]VENTAS TOTALES'!$F53</f>
        <v>6855</v>
      </c>
      <c r="Y41" s="252">
        <f>'[91]VENTAS TOTALES'!$F53</f>
        <v>6602</v>
      </c>
      <c r="Z41" s="252">
        <f>'[92]VENTAS TOTALES'!$F53</f>
        <v>6609</v>
      </c>
      <c r="AA41" s="252">
        <f>'[93]VENTAS TOTALES'!$F53</f>
        <v>6450</v>
      </c>
      <c r="AB41" s="252">
        <f>'[94]VENTAS TOTALES'!$F53</f>
        <v>3599</v>
      </c>
      <c r="AC41" s="252">
        <f>'[95]VENTAS TOTALES'!$F53</f>
        <v>692</v>
      </c>
      <c r="AD41" s="252">
        <f>'[96]VENTAS TOTALES'!$F53</f>
        <v>8755</v>
      </c>
      <c r="AE41" s="252">
        <f>'[97]VENTAS TOTALES'!$F53</f>
        <v>7875</v>
      </c>
      <c r="AF41" s="252">
        <f>'[98]VENTAS TOTALES'!$F53</f>
        <v>7307</v>
      </c>
      <c r="AG41" s="252">
        <f>'[99]VENTAS TOTALES'!$F53</f>
        <v>6868</v>
      </c>
      <c r="AH41" s="252">
        <f>'[100]VENTAS TOTALES'!$F53</f>
        <v>6663</v>
      </c>
      <c r="AI41" s="252">
        <f>'[101]VENTAS TOTALES'!$F53</f>
        <v>3469</v>
      </c>
      <c r="AJ41" s="252">
        <f>'[102]VENTAS TOTALES'!$F53</f>
        <v>752</v>
      </c>
    </row>
    <row r="42" spans="1:36" x14ac:dyDescent="0.2">
      <c r="A42" s="424"/>
      <c r="B42" s="309" t="s">
        <v>25</v>
      </c>
      <c r="C42" s="252">
        <f>'[69]VENTAS TOTALES'!$F54</f>
        <v>14584</v>
      </c>
      <c r="D42" s="252">
        <f>'[70]VENTAS TOTALES'!$F54</f>
        <v>13844</v>
      </c>
      <c r="E42" s="252">
        <f>'[71]VENTAS TOTALES'!$F54</f>
        <v>11924</v>
      </c>
      <c r="F42" s="252">
        <f>'[72]VENTAS TOTALES'!$F54</f>
        <v>12505</v>
      </c>
      <c r="G42" s="252">
        <f>'[73]VENTAS TOTALES'!$F54</f>
        <v>8730</v>
      </c>
      <c r="H42" s="252">
        <f>'[74]VENTAS TOTALES'!$F54</f>
        <v>3907</v>
      </c>
      <c r="I42" s="252">
        <f>'[75]VENTAS TOTALES'!$F54</f>
        <v>15490</v>
      </c>
      <c r="J42" s="252">
        <f>'[76]VENTAS TOTALES'!$F54</f>
        <v>14455</v>
      </c>
      <c r="K42" s="252">
        <f>'[77]VENTAS TOTALES'!$F54</f>
        <v>13431</v>
      </c>
      <c r="L42" s="252">
        <f>'[78]VENTAS TOTALES'!$F54</f>
        <v>13973</v>
      </c>
      <c r="M42" s="252">
        <f>'[79]VENTAS TOTALES'!$F54</f>
        <v>13428</v>
      </c>
      <c r="N42" s="252">
        <f>'[80]VENTAS TOTALES'!$F54</f>
        <v>9443</v>
      </c>
      <c r="O42" s="252">
        <f>'[81]VENTAS TOTALES'!$F54</f>
        <v>3662</v>
      </c>
      <c r="P42" s="252">
        <f>'[82]VENTAS TOTALES'!$F54</f>
        <v>16524</v>
      </c>
      <c r="Q42" s="252">
        <f>'[83]VENTAS TOTALES'!$F54</f>
        <v>15777</v>
      </c>
      <c r="R42" s="252">
        <f>'[84]VENTAS TOTALES'!$F54</f>
        <v>15692</v>
      </c>
      <c r="S42" s="252">
        <f>'[85]VENTAS TOTALES'!$F54</f>
        <v>13739</v>
      </c>
      <c r="T42" s="252">
        <f>'[86]VENTAS TOTALES'!$F54</f>
        <v>13810</v>
      </c>
      <c r="U42" s="252">
        <f>'[87]VENTAS TOTALES'!$F54</f>
        <v>9699</v>
      </c>
      <c r="V42" s="252">
        <f>'[88]VENTAS TOTALES'!$F54</f>
        <v>3862</v>
      </c>
      <c r="W42" s="252">
        <f>'[89]VENTAS TOTALES'!$F54</f>
        <v>16663</v>
      </c>
      <c r="X42" s="252">
        <f>'[90]VENTAS TOTALES'!$F54</f>
        <v>14630</v>
      </c>
      <c r="Y42" s="252">
        <f>'[91]VENTAS TOTALES'!$F54</f>
        <v>14030</v>
      </c>
      <c r="Z42" s="252">
        <f>'[92]VENTAS TOTALES'!$F54</f>
        <v>13131</v>
      </c>
      <c r="AA42" s="252">
        <f>'[93]VENTAS TOTALES'!$F54</f>
        <v>14490</v>
      </c>
      <c r="AB42" s="252">
        <f>'[94]VENTAS TOTALES'!$F54</f>
        <v>10442</v>
      </c>
      <c r="AC42" s="252">
        <f>'[95]VENTAS TOTALES'!$F54</f>
        <v>3599</v>
      </c>
      <c r="AD42" s="252">
        <f>'[96]VENTAS TOTALES'!$F54</f>
        <v>18129</v>
      </c>
      <c r="AE42" s="252">
        <f>'[97]VENTAS TOTALES'!$F54</f>
        <v>17609</v>
      </c>
      <c r="AF42" s="252">
        <f>'[98]VENTAS TOTALES'!$F54</f>
        <v>15835</v>
      </c>
      <c r="AG42" s="252">
        <f>'[99]VENTAS TOTALES'!$F54</f>
        <v>14826</v>
      </c>
      <c r="AH42" s="252">
        <f>'[100]VENTAS TOTALES'!$F54</f>
        <v>15117</v>
      </c>
      <c r="AI42" s="252">
        <f>'[101]VENTAS TOTALES'!$F54</f>
        <v>10490</v>
      </c>
      <c r="AJ42" s="252">
        <f>'[102]VENTAS TOTALES'!$F54</f>
        <v>4038</v>
      </c>
    </row>
    <row r="43" spans="1:36" x14ac:dyDescent="0.2">
      <c r="A43" s="424"/>
      <c r="B43" s="309" t="s">
        <v>26</v>
      </c>
      <c r="C43" s="252">
        <f>'[69]VENTAS TOTALES'!$F55</f>
        <v>4760</v>
      </c>
      <c r="D43" s="252">
        <f>'[70]VENTAS TOTALES'!$F55</f>
        <v>4787</v>
      </c>
      <c r="E43" s="252">
        <f>'[71]VENTAS TOTALES'!$F55</f>
        <v>4103</v>
      </c>
      <c r="F43" s="252">
        <f>'[72]VENTAS TOTALES'!$F55</f>
        <v>3945</v>
      </c>
      <c r="G43" s="252">
        <f>'[73]VENTAS TOTALES'!$F55</f>
        <v>1850</v>
      </c>
      <c r="H43" s="252">
        <f>'[74]VENTAS TOTALES'!$F55</f>
        <v>708</v>
      </c>
      <c r="I43" s="252">
        <f>'[75]VENTAS TOTALES'!$F55</f>
        <v>6249</v>
      </c>
      <c r="J43" s="252">
        <f>'[76]VENTAS TOTALES'!$F55</f>
        <v>5813</v>
      </c>
      <c r="K43" s="252">
        <f>'[77]VENTAS TOTALES'!$F55</f>
        <v>5555</v>
      </c>
      <c r="L43" s="252">
        <f>'[78]VENTAS TOTALES'!$F55</f>
        <v>5386</v>
      </c>
      <c r="M43" s="252">
        <f>'[79]VENTAS TOTALES'!$F55</f>
        <v>5167</v>
      </c>
      <c r="N43" s="252">
        <f>'[80]VENTAS TOTALES'!$F55</f>
        <v>2512</v>
      </c>
      <c r="O43" s="252">
        <f>'[81]VENTAS TOTALES'!$F55</f>
        <v>693</v>
      </c>
      <c r="P43" s="252">
        <f>'[82]VENTAS TOTALES'!$F55</f>
        <v>6948</v>
      </c>
      <c r="Q43" s="252">
        <f>'[83]VENTAS TOTALES'!$F55</f>
        <v>6545</v>
      </c>
      <c r="R43" s="252">
        <f>'[84]VENTAS TOTALES'!$F55</f>
        <v>6337</v>
      </c>
      <c r="S43" s="252">
        <f>'[85]VENTAS TOTALES'!$F55</f>
        <v>6023</v>
      </c>
      <c r="T43" s="252">
        <f>'[86]VENTAS TOTALES'!$F55</f>
        <v>5547</v>
      </c>
      <c r="U43" s="252">
        <f>'[87]VENTAS TOTALES'!$F55</f>
        <v>2592</v>
      </c>
      <c r="V43" s="252">
        <f>'[88]VENTAS TOTALES'!$F55</f>
        <v>736</v>
      </c>
      <c r="W43" s="252">
        <f>'[89]VENTAS TOTALES'!$F55</f>
        <v>6845</v>
      </c>
      <c r="X43" s="252">
        <f>'[90]VENTAS TOTALES'!$F55</f>
        <v>5930</v>
      </c>
      <c r="Y43" s="252">
        <f>'[91]VENTAS TOTALES'!$F55</f>
        <v>5799</v>
      </c>
      <c r="Z43" s="252">
        <f>'[92]VENTAS TOTALES'!$F55</f>
        <v>6076</v>
      </c>
      <c r="AA43" s="252">
        <f>'[93]VENTAS TOTALES'!$F55</f>
        <v>5450</v>
      </c>
      <c r="AB43" s="252">
        <f>'[94]VENTAS TOTALES'!$F55</f>
        <v>2790</v>
      </c>
      <c r="AC43" s="252">
        <f>'[95]VENTAS TOTALES'!$F55</f>
        <v>814</v>
      </c>
      <c r="AD43" s="252">
        <f>'[96]VENTAS TOTALES'!$F55</f>
        <v>7865</v>
      </c>
      <c r="AE43" s="252">
        <f>'[97]VENTAS TOTALES'!$F55</f>
        <v>7406</v>
      </c>
      <c r="AF43" s="252">
        <f>'[98]VENTAS TOTALES'!$F55</f>
        <v>6404</v>
      </c>
      <c r="AG43" s="252">
        <f>'[99]VENTAS TOTALES'!$F55</f>
        <v>6173</v>
      </c>
      <c r="AH43" s="252">
        <f>'[100]VENTAS TOTALES'!$F55</f>
        <v>5756</v>
      </c>
      <c r="AI43" s="252">
        <f>'[101]VENTAS TOTALES'!$F55</f>
        <v>2844</v>
      </c>
      <c r="AJ43" s="252">
        <f>'[102]VENTAS TOTALES'!$F55</f>
        <v>928</v>
      </c>
    </row>
    <row r="44" spans="1:36" x14ac:dyDescent="0.2">
      <c r="A44" s="424"/>
      <c r="B44" s="309" t="s">
        <v>96</v>
      </c>
      <c r="C44" s="252">
        <f>'[69]VENTAS TOTALES'!$F56</f>
        <v>5689</v>
      </c>
      <c r="D44" s="252">
        <f>'[70]VENTAS TOTALES'!$F56</f>
        <v>5172</v>
      </c>
      <c r="E44" s="252">
        <f>'[71]VENTAS TOTALES'!$F56</f>
        <v>4187</v>
      </c>
      <c r="F44" s="252">
        <f>'[72]VENTAS TOTALES'!$F56</f>
        <v>4125</v>
      </c>
      <c r="G44" s="252">
        <f>'[73]VENTAS TOTALES'!$F56</f>
        <v>2259</v>
      </c>
      <c r="H44" s="252">
        <f>'[74]VENTAS TOTALES'!$F56</f>
        <v>757</v>
      </c>
      <c r="I44" s="252">
        <f>'[75]VENTAS TOTALES'!$F56</f>
        <v>4826</v>
      </c>
      <c r="J44" s="252">
        <f>'[76]VENTAS TOTALES'!$F56</f>
        <v>4420</v>
      </c>
      <c r="K44" s="252">
        <f>'[77]VENTAS TOTALES'!$F56</f>
        <v>4121</v>
      </c>
      <c r="L44" s="252">
        <f>'[78]VENTAS TOTALES'!$F56</f>
        <v>3818</v>
      </c>
      <c r="M44" s="252">
        <f>'[79]VENTAS TOTALES'!$F56</f>
        <v>3693</v>
      </c>
      <c r="N44" s="252">
        <f>'[80]VENTAS TOTALES'!$F56</f>
        <v>2384</v>
      </c>
      <c r="O44" s="252">
        <f>'[81]VENTAS TOTALES'!$F56</f>
        <v>908</v>
      </c>
      <c r="P44" s="252">
        <f>'[82]VENTAS TOTALES'!$F56</f>
        <v>4895</v>
      </c>
      <c r="Q44" s="252">
        <f>'[83]VENTAS TOTALES'!$F56</f>
        <v>4339</v>
      </c>
      <c r="R44" s="252">
        <f>'[84]VENTAS TOTALES'!$F56</f>
        <v>4469</v>
      </c>
      <c r="S44" s="252">
        <f>'[85]VENTAS TOTALES'!$F56</f>
        <v>4417</v>
      </c>
      <c r="T44" s="252">
        <f>'[86]VENTAS TOTALES'!$F56</f>
        <v>3855</v>
      </c>
      <c r="U44" s="252">
        <f>'[87]VENTAS TOTALES'!$F56</f>
        <v>2383</v>
      </c>
      <c r="V44" s="252">
        <f>'[88]VENTAS TOTALES'!$F56</f>
        <v>922</v>
      </c>
      <c r="W44" s="252">
        <f>'[89]VENTAS TOTALES'!$F56</f>
        <v>4443</v>
      </c>
      <c r="X44" s="252">
        <f>'[90]VENTAS TOTALES'!$F56</f>
        <v>3662</v>
      </c>
      <c r="Y44" s="252">
        <f>'[91]VENTAS TOTALES'!$F56</f>
        <v>3928</v>
      </c>
      <c r="Z44" s="252">
        <f>'[92]VENTAS TOTALES'!$F56</f>
        <v>3878</v>
      </c>
      <c r="AA44" s="252">
        <f>'[93]VENTAS TOTALES'!$F56</f>
        <v>3810</v>
      </c>
      <c r="AB44" s="252">
        <f>'[94]VENTAS TOTALES'!$F56</f>
        <v>2239</v>
      </c>
      <c r="AC44" s="252">
        <f>'[95]VENTAS TOTALES'!$F56</f>
        <v>821</v>
      </c>
      <c r="AD44" s="252">
        <f>'[96]VENTAS TOTALES'!$F56</f>
        <v>5067</v>
      </c>
      <c r="AE44" s="252">
        <f>'[97]VENTAS TOTALES'!$F56</f>
        <v>4537</v>
      </c>
      <c r="AF44" s="252">
        <f>'[98]VENTAS TOTALES'!$F56</f>
        <v>4340</v>
      </c>
      <c r="AG44" s="252">
        <f>'[99]VENTAS TOTALES'!$F56</f>
        <v>4209</v>
      </c>
      <c r="AH44" s="252">
        <f>'[100]VENTAS TOTALES'!$F56</f>
        <v>3725</v>
      </c>
      <c r="AI44" s="252">
        <f>'[101]VENTAS TOTALES'!$F56</f>
        <v>2460</v>
      </c>
      <c r="AJ44" s="252">
        <f>'[102]VENTAS TOTALES'!$F56</f>
        <v>913</v>
      </c>
    </row>
    <row r="45" spans="1:36" x14ac:dyDescent="0.2">
      <c r="A45" s="424"/>
      <c r="B45" s="309" t="s">
        <v>95</v>
      </c>
      <c r="C45" s="252">
        <f>'[69]VENTAS TOTALES'!$F57</f>
        <v>10501</v>
      </c>
      <c r="D45" s="252">
        <f>'[70]VENTAS TOTALES'!$F57</f>
        <v>10289</v>
      </c>
      <c r="E45" s="252">
        <f>'[71]VENTAS TOTALES'!$F57</f>
        <v>8952</v>
      </c>
      <c r="F45" s="252">
        <f>'[72]VENTAS TOTALES'!$F57</f>
        <v>9327</v>
      </c>
      <c r="G45" s="252">
        <f>'[73]VENTAS TOTALES'!$F57</f>
        <v>6246</v>
      </c>
      <c r="H45" s="252">
        <f>'[74]VENTAS TOTALES'!$F57</f>
        <v>3044</v>
      </c>
      <c r="I45" s="252">
        <f>'[75]VENTAS TOTALES'!$F57</f>
        <v>9995</v>
      </c>
      <c r="J45" s="252">
        <f>'[76]VENTAS TOTALES'!$F57</f>
        <v>9024</v>
      </c>
      <c r="K45" s="252">
        <f>'[77]VENTAS TOTALES'!$F57</f>
        <v>8990</v>
      </c>
      <c r="L45" s="252">
        <f>'[78]VENTAS TOTALES'!$F57</f>
        <v>8870</v>
      </c>
      <c r="M45" s="252">
        <f>'[79]VENTAS TOTALES'!$F57</f>
        <v>9252</v>
      </c>
      <c r="N45" s="252">
        <f>'[80]VENTAS TOTALES'!$F57</f>
        <v>6431</v>
      </c>
      <c r="O45" s="252">
        <f>'[81]VENTAS TOTALES'!$F57</f>
        <v>2769</v>
      </c>
      <c r="P45" s="252">
        <f>'[82]VENTAS TOTALES'!$F57</f>
        <v>10411</v>
      </c>
      <c r="Q45" s="252">
        <f>'[83]VENTAS TOTALES'!$F57</f>
        <v>9997</v>
      </c>
      <c r="R45" s="252">
        <f>'[84]VENTAS TOTALES'!$F57</f>
        <v>9807</v>
      </c>
      <c r="S45" s="252">
        <f>'[85]VENTAS TOTALES'!$F57</f>
        <v>9686</v>
      </c>
      <c r="T45" s="252">
        <f>'[86]VENTAS TOTALES'!$F57</f>
        <v>8794</v>
      </c>
      <c r="U45" s="252">
        <f>'[87]VENTAS TOTALES'!$F57</f>
        <v>6580</v>
      </c>
      <c r="V45" s="252">
        <f>'[88]VENTAS TOTALES'!$F57</f>
        <v>2824</v>
      </c>
      <c r="W45" s="252">
        <f>'[89]VENTAS TOTALES'!$F57</f>
        <v>10182</v>
      </c>
      <c r="X45" s="252">
        <f>'[90]VENTAS TOTALES'!$F57</f>
        <v>9511</v>
      </c>
      <c r="Y45" s="252">
        <f>'[91]VENTAS TOTALES'!$F57</f>
        <v>8998</v>
      </c>
      <c r="Z45" s="252">
        <f>'[92]VENTAS TOTALES'!$F57</f>
        <v>8619</v>
      </c>
      <c r="AA45" s="252">
        <f>'[93]VENTAS TOTALES'!$F57</f>
        <v>9224</v>
      </c>
      <c r="AB45" s="252">
        <f>'[94]VENTAS TOTALES'!$F57</f>
        <v>7280</v>
      </c>
      <c r="AC45" s="252">
        <f>'[95]VENTAS TOTALES'!$F57</f>
        <v>3008</v>
      </c>
      <c r="AD45" s="252">
        <f>'[96]VENTAS TOTALES'!$F57</f>
        <v>12141</v>
      </c>
      <c r="AE45" s="252">
        <f>'[97]VENTAS TOTALES'!$F57</f>
        <v>10743</v>
      </c>
      <c r="AF45" s="252">
        <f>'[98]VENTAS TOTALES'!$F57</f>
        <v>9723</v>
      </c>
      <c r="AG45" s="252">
        <f>'[99]VENTAS TOTALES'!$F57</f>
        <v>9503</v>
      </c>
      <c r="AH45" s="252">
        <f>'[100]VENTAS TOTALES'!$F57</f>
        <v>9224</v>
      </c>
      <c r="AI45" s="252">
        <f>'[101]VENTAS TOTALES'!$F57</f>
        <v>6824</v>
      </c>
      <c r="AJ45" s="252">
        <f>'[102]VENTAS TOTALES'!$F57</f>
        <v>2984</v>
      </c>
    </row>
    <row r="46" spans="1:36" x14ac:dyDescent="0.2">
      <c r="A46" s="424"/>
      <c r="B46" s="309" t="s">
        <v>27</v>
      </c>
      <c r="C46" s="252">
        <f>'[69]VENTAS TOTALES'!$F58</f>
        <v>14428</v>
      </c>
      <c r="D46" s="252">
        <f>'[70]VENTAS TOTALES'!$F58</f>
        <v>14564</v>
      </c>
      <c r="E46" s="252">
        <f>'[71]VENTAS TOTALES'!$F58</f>
        <v>12821</v>
      </c>
      <c r="F46" s="252">
        <f>'[72]VENTAS TOTALES'!$F58</f>
        <v>12799</v>
      </c>
      <c r="G46" s="252">
        <f>'[73]VENTAS TOTALES'!$F58</f>
        <v>10948</v>
      </c>
      <c r="H46" s="252">
        <f>'[74]VENTAS TOTALES'!$F58</f>
        <v>5013</v>
      </c>
      <c r="I46" s="252">
        <f>'[75]VENTAS TOTALES'!$F58</f>
        <v>15688</v>
      </c>
      <c r="J46" s="252">
        <f>'[76]VENTAS TOTALES'!$F58</f>
        <v>13907</v>
      </c>
      <c r="K46" s="252">
        <f>'[77]VENTAS TOTALES'!$F58</f>
        <v>12982</v>
      </c>
      <c r="L46" s="252">
        <f>'[78]VENTAS TOTALES'!$F58</f>
        <v>13378</v>
      </c>
      <c r="M46" s="252">
        <f>'[79]VENTAS TOTALES'!$F58</f>
        <v>13105</v>
      </c>
      <c r="N46" s="252">
        <f>'[80]VENTAS TOTALES'!$F58</f>
        <v>11863</v>
      </c>
      <c r="O46" s="252">
        <f>'[81]VENTAS TOTALES'!$F58</f>
        <v>4864</v>
      </c>
      <c r="P46" s="252">
        <f>'[82]VENTAS TOTALES'!$F58</f>
        <v>16501</v>
      </c>
      <c r="Q46" s="252">
        <f>'[83]VENTAS TOTALES'!$F58</f>
        <v>14976</v>
      </c>
      <c r="R46" s="252">
        <f>'[84]VENTAS TOTALES'!$F58</f>
        <v>14571</v>
      </c>
      <c r="S46" s="252">
        <f>'[85]VENTAS TOTALES'!$F58</f>
        <v>14381</v>
      </c>
      <c r="T46" s="252">
        <f>'[86]VENTAS TOTALES'!$F58</f>
        <v>13869</v>
      </c>
      <c r="U46" s="252">
        <f>'[87]VENTAS TOTALES'!$F58</f>
        <v>12214</v>
      </c>
      <c r="V46" s="252">
        <f>'[88]VENTAS TOTALES'!$F58</f>
        <v>5275</v>
      </c>
      <c r="W46" s="252">
        <f>'[89]VENTAS TOTALES'!$F58</f>
        <v>15969</v>
      </c>
      <c r="X46" s="252">
        <f>'[90]VENTAS TOTALES'!$F58</f>
        <v>14056</v>
      </c>
      <c r="Y46" s="252">
        <f>'[91]VENTAS TOTALES'!$F58</f>
        <v>14019</v>
      </c>
      <c r="Z46" s="252">
        <f>'[92]VENTAS TOTALES'!$F58</f>
        <v>13370</v>
      </c>
      <c r="AA46" s="252">
        <f>'[93]VENTAS TOTALES'!$F58</f>
        <v>14142</v>
      </c>
      <c r="AB46" s="252">
        <f>'[94]VENTAS TOTALES'!$F58</f>
        <v>12297</v>
      </c>
      <c r="AC46" s="252">
        <f>'[95]VENTAS TOTALES'!$F58</f>
        <v>5306</v>
      </c>
      <c r="AD46" s="252">
        <f>'[96]VENTAS TOTALES'!$F58</f>
        <v>17570</v>
      </c>
      <c r="AE46" s="252">
        <f>'[97]VENTAS TOTALES'!$F58</f>
        <v>16437</v>
      </c>
      <c r="AF46" s="252">
        <f>'[98]VENTAS TOTALES'!$F58</f>
        <v>15080</v>
      </c>
      <c r="AG46" s="252">
        <f>'[99]VENTAS TOTALES'!$F58</f>
        <v>14570</v>
      </c>
      <c r="AH46" s="252">
        <f>'[100]VENTAS TOTALES'!$F58</f>
        <v>14478</v>
      </c>
      <c r="AI46" s="252">
        <f>'[101]VENTAS TOTALES'!$F58</f>
        <v>12358</v>
      </c>
      <c r="AJ46" s="252">
        <f>'[102]VENTAS TOTALES'!$F58</f>
        <v>5072</v>
      </c>
    </row>
    <row r="47" spans="1:36" x14ac:dyDescent="0.2">
      <c r="A47" s="424"/>
      <c r="B47" s="309" t="s">
        <v>28</v>
      </c>
      <c r="C47" s="252">
        <f>'[69]VENTAS TOTALES'!$F59</f>
        <v>7258</v>
      </c>
      <c r="D47" s="252">
        <f>'[70]VENTAS TOTALES'!$F59</f>
        <v>7052</v>
      </c>
      <c r="E47" s="252">
        <f>'[71]VENTAS TOTALES'!$F59</f>
        <v>6326</v>
      </c>
      <c r="F47" s="252">
        <f>'[72]VENTAS TOTALES'!$F59</f>
        <v>6188</v>
      </c>
      <c r="G47" s="252">
        <f>'[73]VENTAS TOTALES'!$F59</f>
        <v>4928</v>
      </c>
      <c r="H47" s="252">
        <f>'[74]VENTAS TOTALES'!$F59</f>
        <v>1721</v>
      </c>
      <c r="I47" s="252">
        <f>'[75]VENTAS TOTALES'!$F59</f>
        <v>8036</v>
      </c>
      <c r="J47" s="252">
        <f>'[76]VENTAS TOTALES'!$F59</f>
        <v>7393</v>
      </c>
      <c r="K47" s="252">
        <f>'[77]VENTAS TOTALES'!$F59</f>
        <v>6908</v>
      </c>
      <c r="L47" s="252">
        <f>'[78]VENTAS TOTALES'!$F59</f>
        <v>6823</v>
      </c>
      <c r="M47" s="252">
        <f>'[79]VENTAS TOTALES'!$F59</f>
        <v>6669</v>
      </c>
      <c r="N47" s="252">
        <f>'[80]VENTAS TOTALES'!$F59</f>
        <v>5314</v>
      </c>
      <c r="O47" s="252">
        <f>'[81]VENTAS TOTALES'!$F59</f>
        <v>1714</v>
      </c>
      <c r="P47" s="252">
        <f>'[82]VENTAS TOTALES'!$F59</f>
        <v>8496</v>
      </c>
      <c r="Q47" s="252">
        <f>'[83]VENTAS TOTALES'!$F59</f>
        <v>8151</v>
      </c>
      <c r="R47" s="252">
        <f>'[84]VENTAS TOTALES'!$F59</f>
        <v>7765</v>
      </c>
      <c r="S47" s="252">
        <f>'[85]VENTAS TOTALES'!$F59</f>
        <v>6981</v>
      </c>
      <c r="T47" s="252">
        <f>'[86]VENTAS TOTALES'!$F59</f>
        <v>7237</v>
      </c>
      <c r="U47" s="252">
        <f>'[87]VENTAS TOTALES'!$F59</f>
        <v>5523</v>
      </c>
      <c r="V47" s="252">
        <f>'[88]VENTAS TOTALES'!$F59</f>
        <v>1681</v>
      </c>
      <c r="W47" s="252">
        <f>'[89]VENTAS TOTALES'!$F59</f>
        <v>8805</v>
      </c>
      <c r="X47" s="252">
        <f>'[90]VENTAS TOTALES'!$F59</f>
        <v>7691</v>
      </c>
      <c r="Y47" s="252">
        <f>'[91]VENTAS TOTALES'!$F59</f>
        <v>7445</v>
      </c>
      <c r="Z47" s="252">
        <f>'[92]VENTAS TOTALES'!$F59</f>
        <v>7018</v>
      </c>
      <c r="AA47" s="252">
        <f>'[93]VENTAS TOTALES'!$F59</f>
        <v>7518</v>
      </c>
      <c r="AB47" s="252">
        <f>'[94]VENTAS TOTALES'!$F59</f>
        <v>5642</v>
      </c>
      <c r="AC47" s="252">
        <f>'[95]VENTAS TOTALES'!$F59</f>
        <v>1808</v>
      </c>
      <c r="AD47" s="252">
        <f>'[96]VENTAS TOTALES'!$F59</f>
        <v>9759</v>
      </c>
      <c r="AE47" s="252">
        <f>'[97]VENTAS TOTALES'!$F59</f>
        <v>9084</v>
      </c>
      <c r="AF47" s="252">
        <f>'[98]VENTAS TOTALES'!$F59</f>
        <v>8113</v>
      </c>
      <c r="AG47" s="252">
        <f>'[99]VENTAS TOTALES'!$F59</f>
        <v>7239</v>
      </c>
      <c r="AH47" s="252">
        <f>'[100]VENTAS TOTALES'!$F59</f>
        <v>7287</v>
      </c>
      <c r="AI47" s="252">
        <f>'[101]VENTAS TOTALES'!$F59</f>
        <v>5770</v>
      </c>
      <c r="AJ47" s="252">
        <f>'[102]VENTAS TOTALES'!$F59</f>
        <v>1867</v>
      </c>
    </row>
    <row r="48" spans="1:36" x14ac:dyDescent="0.2">
      <c r="A48" s="424"/>
      <c r="B48" s="313" t="s">
        <v>57</v>
      </c>
      <c r="C48" s="252">
        <f>'[69]VENTAS TOTALES'!$F60</f>
        <v>8117</v>
      </c>
      <c r="D48" s="252">
        <f>'[70]VENTAS TOTALES'!$F60</f>
        <v>7919</v>
      </c>
      <c r="E48" s="252">
        <f>'[71]VENTAS TOTALES'!$F60</f>
        <v>7093</v>
      </c>
      <c r="F48" s="252">
        <f>'[72]VENTAS TOTALES'!$F60</f>
        <v>6706</v>
      </c>
      <c r="G48" s="252">
        <f>'[73]VENTAS TOTALES'!$F60</f>
        <v>4772</v>
      </c>
      <c r="H48" s="252">
        <f>'[74]VENTAS TOTALES'!$F60</f>
        <v>2020</v>
      </c>
      <c r="I48" s="252">
        <f>'[75]VENTAS TOTALES'!$F60</f>
        <v>7625</v>
      </c>
      <c r="J48" s="252">
        <f>'[76]VENTAS TOTALES'!$F60</f>
        <v>6917</v>
      </c>
      <c r="K48" s="252">
        <f>'[77]VENTAS TOTALES'!$F60</f>
        <v>6875</v>
      </c>
      <c r="L48" s="252">
        <f>'[78]VENTAS TOTALES'!$F60</f>
        <v>6520</v>
      </c>
      <c r="M48" s="252">
        <f>'[79]VENTAS TOTALES'!$F60</f>
        <v>6593</v>
      </c>
      <c r="N48" s="252">
        <f>'[80]VENTAS TOTALES'!$F60</f>
        <v>4833</v>
      </c>
      <c r="O48" s="252">
        <f>'[81]VENTAS TOTALES'!$F60</f>
        <v>1810</v>
      </c>
      <c r="P48" s="252">
        <f>'[82]VENTAS TOTALES'!$F60</f>
        <v>7369</v>
      </c>
      <c r="Q48" s="252">
        <f>'[83]VENTAS TOTALES'!$F60</f>
        <v>7018</v>
      </c>
      <c r="R48" s="252">
        <f>'[84]VENTAS TOTALES'!$F60</f>
        <v>6829</v>
      </c>
      <c r="S48" s="252">
        <f>'[85]VENTAS TOTALES'!$F60</f>
        <v>6883</v>
      </c>
      <c r="T48" s="252">
        <f>'[86]VENTAS TOTALES'!$F60</f>
        <v>6596</v>
      </c>
      <c r="U48" s="252">
        <f>'[87]VENTAS TOTALES'!$F60</f>
        <v>4961</v>
      </c>
      <c r="V48" s="252">
        <f>'[88]VENTAS TOTALES'!$F60</f>
        <v>1880</v>
      </c>
      <c r="W48" s="252">
        <f>'[89]VENTAS TOTALES'!$F60</f>
        <v>7419</v>
      </c>
      <c r="X48" s="252">
        <f>'[90]VENTAS TOTALES'!$F60</f>
        <v>6718</v>
      </c>
      <c r="Y48" s="252">
        <f>'[91]VENTAS TOTALES'!$F60</f>
        <v>6603</v>
      </c>
      <c r="Z48" s="252">
        <f>'[92]VENTAS TOTALES'!$F60</f>
        <v>6168</v>
      </c>
      <c r="AA48" s="252">
        <f>'[93]VENTAS TOTALES'!$F60</f>
        <v>6364</v>
      </c>
      <c r="AB48" s="252">
        <f>'[94]VENTAS TOTALES'!$F60</f>
        <v>4991</v>
      </c>
      <c r="AC48" s="252">
        <f>'[95]VENTAS TOTALES'!$F60</f>
        <v>1947</v>
      </c>
      <c r="AD48" s="252">
        <f>'[96]VENTAS TOTALES'!$F60</f>
        <v>8463</v>
      </c>
      <c r="AE48" s="252">
        <f>'[97]VENTAS TOTALES'!$F60</f>
        <v>8206</v>
      </c>
      <c r="AF48" s="252">
        <f>'[98]VENTAS TOTALES'!$F60</f>
        <v>7548</v>
      </c>
      <c r="AG48" s="252">
        <f>'[99]VENTAS TOTALES'!$F60</f>
        <v>7075</v>
      </c>
      <c r="AH48" s="252">
        <f>'[100]VENTAS TOTALES'!$F60</f>
        <v>6776</v>
      </c>
      <c r="AI48" s="252">
        <f>'[101]VENTAS TOTALES'!$F60</f>
        <v>5350</v>
      </c>
      <c r="AJ48" s="252">
        <f>'[102]VENTAS TOTALES'!$F60</f>
        <v>1982</v>
      </c>
    </row>
    <row r="49" spans="1:36" x14ac:dyDescent="0.2">
      <c r="A49" s="424"/>
      <c r="B49" s="313" t="s">
        <v>58</v>
      </c>
      <c r="C49" s="252">
        <f>'[69]VENTAS TOTALES'!$F61</f>
        <v>5126</v>
      </c>
      <c r="D49" s="252">
        <f>'[70]VENTAS TOTALES'!$F61</f>
        <v>5062</v>
      </c>
      <c r="E49" s="252">
        <f>'[71]VENTAS TOTALES'!$F61</f>
        <v>4715</v>
      </c>
      <c r="F49" s="252">
        <f>'[72]VENTAS TOTALES'!$F61</f>
        <v>4950</v>
      </c>
      <c r="G49" s="252">
        <f>'[73]VENTAS TOTALES'!$F61</f>
        <v>3300</v>
      </c>
      <c r="H49" s="252">
        <f>'[74]VENTAS TOTALES'!$F61</f>
        <v>1398</v>
      </c>
      <c r="I49" s="252">
        <f>'[75]VENTAS TOTALES'!$F61</f>
        <v>5287</v>
      </c>
      <c r="J49" s="252">
        <f>'[76]VENTAS TOTALES'!$F61</f>
        <v>5059</v>
      </c>
      <c r="K49" s="252">
        <f>'[77]VENTAS TOTALES'!$F61</f>
        <v>4551</v>
      </c>
      <c r="L49" s="252">
        <f>'[78]VENTAS TOTALES'!$F61</f>
        <v>4507</v>
      </c>
      <c r="M49" s="252">
        <f>'[79]VENTAS TOTALES'!$F61</f>
        <v>4612</v>
      </c>
      <c r="N49" s="252">
        <f>'[80]VENTAS TOTALES'!$F61</f>
        <v>3750</v>
      </c>
      <c r="O49" s="252">
        <f>'[81]VENTAS TOTALES'!$F61</f>
        <v>1401</v>
      </c>
      <c r="P49" s="252">
        <f>'[82]VENTAS TOTALES'!$F61</f>
        <v>5877</v>
      </c>
      <c r="Q49" s="252">
        <f>'[83]VENTAS TOTALES'!$F61</f>
        <v>4960</v>
      </c>
      <c r="R49" s="252">
        <f>'[84]VENTAS TOTALES'!$F61</f>
        <v>4964</v>
      </c>
      <c r="S49" s="252">
        <f>'[85]VENTAS TOTALES'!$F61</f>
        <v>4771</v>
      </c>
      <c r="T49" s="252">
        <f>'[86]VENTAS TOTALES'!$F61</f>
        <v>4795</v>
      </c>
      <c r="U49" s="252">
        <f>'[87]VENTAS TOTALES'!$F61</f>
        <v>3296</v>
      </c>
      <c r="V49" s="252">
        <f>'[88]VENTAS TOTALES'!$F61</f>
        <v>1441</v>
      </c>
      <c r="W49" s="252">
        <f>'[89]VENTAS TOTALES'!$F61</f>
        <v>5366</v>
      </c>
      <c r="X49" s="252">
        <f>'[90]VENTAS TOTALES'!$F61</f>
        <v>5255</v>
      </c>
      <c r="Y49" s="252">
        <f>'[91]VENTAS TOTALES'!$F61</f>
        <v>4872</v>
      </c>
      <c r="Z49" s="252">
        <f>'[92]VENTAS TOTALES'!$F61</f>
        <v>4480</v>
      </c>
      <c r="AA49" s="252">
        <f>'[93]VENTAS TOTALES'!$F61</f>
        <v>4523</v>
      </c>
      <c r="AB49" s="252">
        <f>'[94]VENTAS TOTALES'!$F61</f>
        <v>3444</v>
      </c>
      <c r="AC49" s="252">
        <f>'[95]VENTAS TOTALES'!$F61</f>
        <v>1543</v>
      </c>
      <c r="AD49" s="252">
        <f>'[96]VENTAS TOTALES'!$F61</f>
        <v>5820</v>
      </c>
      <c r="AE49" s="252">
        <f>'[97]VENTAS TOTALES'!$F61</f>
        <v>5375</v>
      </c>
      <c r="AF49" s="252">
        <f>'[98]VENTAS TOTALES'!$F61</f>
        <v>5012</v>
      </c>
      <c r="AG49" s="252">
        <f>'[99]VENTAS TOTALES'!$F61</f>
        <v>5440</v>
      </c>
      <c r="AH49" s="252">
        <f>'[100]VENTAS TOTALES'!$F61</f>
        <v>4747</v>
      </c>
      <c r="AI49" s="252">
        <f>'[101]VENTAS TOTALES'!$F61</f>
        <v>3407</v>
      </c>
      <c r="AJ49" s="252">
        <f>'[102]VENTAS TOTALES'!$F61</f>
        <v>1456</v>
      </c>
    </row>
    <row r="50" spans="1:36" x14ac:dyDescent="0.2">
      <c r="A50" s="424"/>
      <c r="B50" s="313" t="s">
        <v>29</v>
      </c>
      <c r="C50" s="252">
        <f>'[69]VENTAS TOTALES'!$F62</f>
        <v>15080</v>
      </c>
      <c r="D50" s="252">
        <f>'[70]VENTAS TOTALES'!$F62</f>
        <v>13002</v>
      </c>
      <c r="E50" s="252">
        <f>'[71]VENTAS TOTALES'!$F62</f>
        <v>11824</v>
      </c>
      <c r="F50" s="252">
        <f>'[72]VENTAS TOTALES'!$F62</f>
        <v>11606</v>
      </c>
      <c r="G50" s="252">
        <f>'[73]VENTAS TOTALES'!$F62</f>
        <v>8124</v>
      </c>
      <c r="H50" s="252">
        <f>'[74]VENTAS TOTALES'!$F62</f>
        <v>3246</v>
      </c>
      <c r="I50" s="252">
        <f>'[75]VENTAS TOTALES'!$F62</f>
        <v>13417</v>
      </c>
      <c r="J50" s="252">
        <f>'[76]VENTAS TOTALES'!$F62</f>
        <v>12469</v>
      </c>
      <c r="K50" s="252">
        <f>'[77]VENTAS TOTALES'!$F62</f>
        <v>11125</v>
      </c>
      <c r="L50" s="252">
        <f>'[78]VENTAS TOTALES'!$F62</f>
        <v>10987</v>
      </c>
      <c r="M50" s="252">
        <f>'[79]VENTAS TOTALES'!$F62</f>
        <v>11094</v>
      </c>
      <c r="N50" s="252">
        <f>'[80]VENTAS TOTALES'!$F62</f>
        <v>8742</v>
      </c>
      <c r="O50" s="252">
        <f>'[81]VENTAS TOTALES'!$F62</f>
        <v>3040</v>
      </c>
      <c r="P50" s="252">
        <f>'[82]VENTAS TOTALES'!$F62</f>
        <v>13536</v>
      </c>
      <c r="Q50" s="252">
        <f>'[83]VENTAS TOTALES'!$F62</f>
        <v>12692</v>
      </c>
      <c r="R50" s="252">
        <f>'[84]VENTAS TOTALES'!$F62</f>
        <v>12043</v>
      </c>
      <c r="S50" s="252">
        <f>'[85]VENTAS TOTALES'!$F62</f>
        <v>11816</v>
      </c>
      <c r="T50" s="252">
        <f>'[86]VENTAS TOTALES'!$F62</f>
        <v>11455</v>
      </c>
      <c r="U50" s="252">
        <f>'[87]VENTAS TOTALES'!$F62</f>
        <v>8249</v>
      </c>
      <c r="V50" s="252">
        <f>'[88]VENTAS TOTALES'!$F62</f>
        <v>3180</v>
      </c>
      <c r="W50" s="252">
        <f>'[89]VENTAS TOTALES'!$F62</f>
        <v>12955</v>
      </c>
      <c r="X50" s="252">
        <f>'[90]VENTAS TOTALES'!$F62</f>
        <v>12360</v>
      </c>
      <c r="Y50" s="252">
        <f>'[91]VENTAS TOTALES'!$F62</f>
        <v>11244</v>
      </c>
      <c r="Z50" s="252">
        <f>'[92]VENTAS TOTALES'!$F62</f>
        <v>10667</v>
      </c>
      <c r="AA50" s="252">
        <f>'[93]VENTAS TOTALES'!$F62</f>
        <v>11521</v>
      </c>
      <c r="AB50" s="252">
        <f>'[94]VENTAS TOTALES'!$F62</f>
        <v>9034</v>
      </c>
      <c r="AC50" s="252">
        <f>'[95]VENTAS TOTALES'!$F62</f>
        <v>3218</v>
      </c>
      <c r="AD50" s="252">
        <f>'[96]VENTAS TOTALES'!$F62</f>
        <v>14895</v>
      </c>
      <c r="AE50" s="252">
        <f>'[97]VENTAS TOTALES'!$F62</f>
        <v>13600</v>
      </c>
      <c r="AF50" s="252">
        <f>'[98]VENTAS TOTALES'!$F62</f>
        <v>12606</v>
      </c>
      <c r="AG50" s="252">
        <f>'[99]VENTAS TOTALES'!$F62</f>
        <v>11753</v>
      </c>
      <c r="AH50" s="252">
        <f>'[100]VENTAS TOTALES'!$F62</f>
        <v>11870</v>
      </c>
      <c r="AI50" s="252">
        <f>'[101]VENTAS TOTALES'!$F62</f>
        <v>9132</v>
      </c>
      <c r="AJ50" s="252">
        <f>'[102]VENTAS TOTALES'!$F62</f>
        <v>3484</v>
      </c>
    </row>
    <row r="51" spans="1:36" x14ac:dyDescent="0.2">
      <c r="A51" s="424"/>
      <c r="B51" s="313" t="s">
        <v>30</v>
      </c>
      <c r="C51" s="252">
        <f>'[69]VENTAS TOTALES'!$F63</f>
        <v>11757</v>
      </c>
      <c r="D51" s="252">
        <f>'[70]VENTAS TOTALES'!$F63</f>
        <v>11620</v>
      </c>
      <c r="E51" s="252">
        <f>'[71]VENTAS TOTALES'!$F63</f>
        <v>9814</v>
      </c>
      <c r="F51" s="252">
        <f>'[72]VENTAS TOTALES'!$F63</f>
        <v>9586</v>
      </c>
      <c r="G51" s="252">
        <f>'[73]VENTAS TOTALES'!$F63</f>
        <v>6430</v>
      </c>
      <c r="H51" s="252">
        <f>'[74]VENTAS TOTALES'!$F63</f>
        <v>2290</v>
      </c>
      <c r="I51" s="252">
        <f>'[75]VENTAS TOTALES'!$F63</f>
        <v>11413</v>
      </c>
      <c r="J51" s="252">
        <f>'[76]VENTAS TOTALES'!$F63</f>
        <v>10492</v>
      </c>
      <c r="K51" s="252">
        <f>'[77]VENTAS TOTALES'!$F63</f>
        <v>9284</v>
      </c>
      <c r="L51" s="252">
        <f>'[78]VENTAS TOTALES'!$F63</f>
        <v>9800</v>
      </c>
      <c r="M51" s="252">
        <f>'[79]VENTAS TOTALES'!$F63</f>
        <v>9730</v>
      </c>
      <c r="N51" s="252">
        <f>'[80]VENTAS TOTALES'!$F63</f>
        <v>6515</v>
      </c>
      <c r="O51" s="252">
        <f>'[81]VENTAS TOTALES'!$F63</f>
        <v>2340</v>
      </c>
      <c r="P51" s="252">
        <f>'[82]VENTAS TOTALES'!$F63</f>
        <v>11488</v>
      </c>
      <c r="Q51" s="252">
        <f>'[83]VENTAS TOTALES'!$F63</f>
        <v>10750</v>
      </c>
      <c r="R51" s="252">
        <f>'[84]VENTAS TOTALES'!$F63</f>
        <v>10019</v>
      </c>
      <c r="S51" s="252">
        <f>'[85]VENTAS TOTALES'!$F63</f>
        <v>10384</v>
      </c>
      <c r="T51" s="252">
        <f>'[86]VENTAS TOTALES'!$F63</f>
        <v>9590</v>
      </c>
      <c r="U51" s="252">
        <f>'[87]VENTAS TOTALES'!$F63</f>
        <v>6256</v>
      </c>
      <c r="V51" s="252">
        <f>'[88]VENTAS TOTALES'!$F63</f>
        <v>2178</v>
      </c>
      <c r="W51" s="252">
        <f>'[89]VENTAS TOTALES'!$F63</f>
        <v>11204</v>
      </c>
      <c r="X51" s="252">
        <f>'[90]VENTAS TOTALES'!$F63</f>
        <v>10118</v>
      </c>
      <c r="Y51" s="252">
        <f>'[91]VENTAS TOTALES'!$F63</f>
        <v>9345</v>
      </c>
      <c r="Z51" s="252">
        <f>'[92]VENTAS TOTALES'!$F63</f>
        <v>9145</v>
      </c>
      <c r="AA51" s="252">
        <f>'[93]VENTAS TOTALES'!$F63</f>
        <v>9375</v>
      </c>
      <c r="AB51" s="252">
        <f>'[94]VENTAS TOTALES'!$F63</f>
        <v>5942</v>
      </c>
      <c r="AC51" s="252">
        <f>'[95]VENTAS TOTALES'!$F63</f>
        <v>2381</v>
      </c>
      <c r="AD51" s="252">
        <f>'[96]VENTAS TOTALES'!$F63</f>
        <v>13086</v>
      </c>
      <c r="AE51" s="252">
        <f>'[97]VENTAS TOTALES'!$F63</f>
        <v>11796</v>
      </c>
      <c r="AF51" s="252">
        <f>'[98]VENTAS TOTALES'!$F63</f>
        <v>10486</v>
      </c>
      <c r="AG51" s="252">
        <f>'[99]VENTAS TOTALES'!$F63</f>
        <v>10223</v>
      </c>
      <c r="AH51" s="252">
        <f>'[100]VENTAS TOTALES'!$F63</f>
        <v>9653</v>
      </c>
      <c r="AI51" s="252">
        <f>'[101]VENTAS TOTALES'!$F63</f>
        <v>6403</v>
      </c>
      <c r="AJ51" s="252">
        <f>'[102]VENTAS TOTALES'!$F63</f>
        <v>2514</v>
      </c>
    </row>
    <row r="52" spans="1:36" x14ac:dyDescent="0.2">
      <c r="A52" s="424"/>
      <c r="B52" s="313" t="s">
        <v>64</v>
      </c>
      <c r="C52" s="252">
        <f>'[69]VENTAS TOTALES'!$F64</f>
        <v>9287</v>
      </c>
      <c r="D52" s="252">
        <f>'[70]VENTAS TOTALES'!$F64</f>
        <v>8453</v>
      </c>
      <c r="E52" s="252">
        <f>'[71]VENTAS TOTALES'!$F64</f>
        <v>8157</v>
      </c>
      <c r="F52" s="252">
        <f>'[72]VENTAS TOTALES'!$F64</f>
        <v>8819</v>
      </c>
      <c r="G52" s="252">
        <f>'[73]VENTAS TOTALES'!$F64</f>
        <v>5842</v>
      </c>
      <c r="H52" s="252">
        <f>'[74]VENTAS TOTALES'!$F64</f>
        <v>2264</v>
      </c>
      <c r="I52" s="252">
        <f>'[75]VENTAS TOTALES'!$F64</f>
        <v>10173</v>
      </c>
      <c r="J52" s="252">
        <f>'[76]VENTAS TOTALES'!$F64</f>
        <v>8980</v>
      </c>
      <c r="K52" s="252">
        <f>'[77]VENTAS TOTALES'!$F64</f>
        <v>8637</v>
      </c>
      <c r="L52" s="252">
        <f>'[78]VENTAS TOTALES'!$F64</f>
        <v>8822</v>
      </c>
      <c r="M52" s="252">
        <f>'[79]VENTAS TOTALES'!$F64</f>
        <v>8877</v>
      </c>
      <c r="N52" s="252">
        <f>'[80]VENTAS TOTALES'!$F64</f>
        <v>6194</v>
      </c>
      <c r="O52" s="252">
        <f>'[81]VENTAS TOTALES'!$F64</f>
        <v>2452</v>
      </c>
      <c r="P52" s="252">
        <f>'[82]VENTAS TOTALES'!$F64</f>
        <v>10552</v>
      </c>
      <c r="Q52" s="252">
        <f>'[83]VENTAS TOTALES'!$F64</f>
        <v>9546</v>
      </c>
      <c r="R52" s="252">
        <f>'[84]VENTAS TOTALES'!$F64</f>
        <v>9833</v>
      </c>
      <c r="S52" s="252">
        <f>'[85]VENTAS TOTALES'!$F64</f>
        <v>9542</v>
      </c>
      <c r="T52" s="252">
        <f>'[86]VENTAS TOTALES'!$F64</f>
        <v>9697</v>
      </c>
      <c r="U52" s="252">
        <f>'[87]VENTAS TOTALES'!$F64</f>
        <v>6769</v>
      </c>
      <c r="V52" s="252">
        <f>'[88]VENTAS TOTALES'!$F64</f>
        <v>2693</v>
      </c>
      <c r="W52" s="252">
        <f>'[89]VENTAS TOTALES'!$F64</f>
        <v>11487</v>
      </c>
      <c r="X52" s="252">
        <f>'[90]VENTAS TOTALES'!$F64</f>
        <v>10005</v>
      </c>
      <c r="Y52" s="252">
        <f>'[91]VENTAS TOTALES'!$F64</f>
        <v>9823</v>
      </c>
      <c r="Z52" s="252">
        <f>'[92]VENTAS TOTALES'!$F64</f>
        <v>9332</v>
      </c>
      <c r="AA52" s="252">
        <f>'[93]VENTAS TOTALES'!$F64</f>
        <v>10316</v>
      </c>
      <c r="AB52" s="252">
        <f>'[94]VENTAS TOTALES'!$F64</f>
        <v>7174</v>
      </c>
      <c r="AC52" s="252">
        <f>'[95]VENTAS TOTALES'!$F64</f>
        <v>2505</v>
      </c>
      <c r="AD52" s="252">
        <f>'[96]VENTAS TOTALES'!$F64</f>
        <v>12863</v>
      </c>
      <c r="AE52" s="252">
        <f>'[97]VENTAS TOTALES'!$F64</f>
        <v>11258</v>
      </c>
      <c r="AF52" s="252">
        <f>'[98]VENTAS TOTALES'!$F64</f>
        <v>10737</v>
      </c>
      <c r="AG52" s="252">
        <f>'[99]VENTAS TOTALES'!$F64</f>
        <v>10411</v>
      </c>
      <c r="AH52" s="252">
        <f>'[100]VENTAS TOTALES'!$F64</f>
        <v>10331</v>
      </c>
      <c r="AI52" s="252">
        <f>'[101]VENTAS TOTALES'!$F64</f>
        <v>7256</v>
      </c>
      <c r="AJ52" s="252">
        <f>'[102]VENTAS TOTALES'!$F64</f>
        <v>2776</v>
      </c>
    </row>
    <row r="53" spans="1:36" x14ac:dyDescent="0.2">
      <c r="A53" s="424"/>
      <c r="B53" s="313" t="s">
        <v>63</v>
      </c>
      <c r="C53" s="252">
        <f>'[69]VENTAS TOTALES'!$F65</f>
        <v>5565</v>
      </c>
      <c r="D53" s="252">
        <f>'[70]VENTAS TOTALES'!$F65</f>
        <v>5487</v>
      </c>
      <c r="E53" s="252">
        <f>'[71]VENTAS TOTALES'!$F65</f>
        <v>5121</v>
      </c>
      <c r="F53" s="252">
        <f>'[72]VENTAS TOTALES'!$F65</f>
        <v>5165</v>
      </c>
      <c r="G53" s="252">
        <f>'[73]VENTAS TOTALES'!$F65</f>
        <v>3183</v>
      </c>
      <c r="H53" s="252">
        <f>'[74]VENTAS TOTALES'!$F65</f>
        <v>1037</v>
      </c>
      <c r="I53" s="252">
        <f>'[75]VENTAS TOTALES'!$F65</f>
        <v>6700</v>
      </c>
      <c r="J53" s="252">
        <f>'[76]VENTAS TOTALES'!$F65</f>
        <v>6197</v>
      </c>
      <c r="K53" s="252">
        <f>'[77]VENTAS TOTALES'!$F65</f>
        <v>5862</v>
      </c>
      <c r="L53" s="252">
        <f>'[78]VENTAS TOTALES'!$F65</f>
        <v>5910</v>
      </c>
      <c r="M53" s="252">
        <f>'[79]VENTAS TOTALES'!$F65</f>
        <v>5613</v>
      </c>
      <c r="N53" s="252">
        <f>'[80]VENTAS TOTALES'!$F65</f>
        <v>3290</v>
      </c>
      <c r="O53" s="252">
        <f>'[81]VENTAS TOTALES'!$F65</f>
        <v>1051</v>
      </c>
      <c r="P53" s="252">
        <f>'[82]VENTAS TOTALES'!$F65</f>
        <v>7812</v>
      </c>
      <c r="Q53" s="252">
        <f>'[83]VENTAS TOTALES'!$F65</f>
        <v>6369</v>
      </c>
      <c r="R53" s="252">
        <f>'[84]VENTAS TOTALES'!$F65</f>
        <v>6860</v>
      </c>
      <c r="S53" s="252">
        <f>'[85]VENTAS TOTALES'!$F65</f>
        <v>6518</v>
      </c>
      <c r="T53" s="252">
        <f>'[86]VENTAS TOTALES'!$F65</f>
        <v>6520</v>
      </c>
      <c r="U53" s="252">
        <f>'[87]VENTAS TOTALES'!$F65</f>
        <v>3869</v>
      </c>
      <c r="V53" s="252">
        <f>'[88]VENTAS TOTALES'!$F65</f>
        <v>1369</v>
      </c>
      <c r="W53" s="252">
        <f>'[89]VENTAS TOTALES'!$F65</f>
        <v>8565</v>
      </c>
      <c r="X53" s="252">
        <f>'[90]VENTAS TOTALES'!$F65</f>
        <v>6831</v>
      </c>
      <c r="Y53" s="252">
        <f>'[91]VENTAS TOTALES'!$F65</f>
        <v>6589</v>
      </c>
      <c r="Z53" s="252">
        <f>'[92]VENTAS TOTALES'!$F65</f>
        <v>6882</v>
      </c>
      <c r="AA53" s="252">
        <f>'[93]VENTAS TOTALES'!$F65</f>
        <v>6818</v>
      </c>
      <c r="AB53" s="252">
        <f>'[94]VENTAS TOTALES'!$F65</f>
        <v>4067</v>
      </c>
      <c r="AC53" s="252">
        <f>'[95]VENTAS TOTALES'!$F65</f>
        <v>1381</v>
      </c>
      <c r="AD53" s="252">
        <f>'[96]VENTAS TOTALES'!$F65</f>
        <v>9288</v>
      </c>
      <c r="AE53" s="252">
        <f>'[97]VENTAS TOTALES'!$F65</f>
        <v>8304</v>
      </c>
      <c r="AF53" s="252">
        <f>'[98]VENTAS TOTALES'!$F65</f>
        <v>7624</v>
      </c>
      <c r="AG53" s="252">
        <f>'[99]VENTAS TOTALES'!$F65</f>
        <v>7388</v>
      </c>
      <c r="AH53" s="252">
        <f>'[100]VENTAS TOTALES'!$F65</f>
        <v>6996</v>
      </c>
      <c r="AI53" s="252">
        <f>'[101]VENTAS TOTALES'!$F65</f>
        <v>4299</v>
      </c>
      <c r="AJ53" s="252">
        <f>'[102]VENTAS TOTALES'!$F65</f>
        <v>1223</v>
      </c>
    </row>
    <row r="54" spans="1:36" x14ac:dyDescent="0.2">
      <c r="A54" s="424"/>
      <c r="B54" s="313" t="s">
        <v>94</v>
      </c>
      <c r="C54" s="252">
        <f>'[69]VENTAS TOTALES'!$F66</f>
        <v>9294</v>
      </c>
      <c r="D54" s="252">
        <f>'[70]VENTAS TOTALES'!$F66</f>
        <v>9344</v>
      </c>
      <c r="E54" s="252">
        <f>'[71]VENTAS TOTALES'!$F66</f>
        <v>7331</v>
      </c>
      <c r="F54" s="252">
        <f>'[72]VENTAS TOTALES'!$F66</f>
        <v>7098</v>
      </c>
      <c r="G54" s="252">
        <f>'[73]VENTAS TOTALES'!$F66</f>
        <v>3772</v>
      </c>
      <c r="H54" s="252">
        <f>'[74]VENTAS TOTALES'!$F66</f>
        <v>1284</v>
      </c>
      <c r="I54" s="252">
        <f>'[75]VENTAS TOTALES'!$F66</f>
        <v>8633</v>
      </c>
      <c r="J54" s="252">
        <f>'[76]VENTAS TOTALES'!$F66</f>
        <v>7562</v>
      </c>
      <c r="K54" s="252">
        <f>'[77]VENTAS TOTALES'!$F66</f>
        <v>7529</v>
      </c>
      <c r="L54" s="252">
        <f>'[78]VENTAS TOTALES'!$F66</f>
        <v>7275</v>
      </c>
      <c r="M54" s="252">
        <f>'[79]VENTAS TOTALES'!$F66</f>
        <v>6907</v>
      </c>
      <c r="N54" s="252">
        <f>'[80]VENTAS TOTALES'!$F66</f>
        <v>3579</v>
      </c>
      <c r="O54" s="252">
        <f>'[81]VENTAS TOTALES'!$F66</f>
        <v>1129</v>
      </c>
      <c r="P54" s="252">
        <f>'[82]VENTAS TOTALES'!$F66</f>
        <v>8598</v>
      </c>
      <c r="Q54" s="252">
        <f>'[83]VENTAS TOTALES'!$F66</f>
        <v>7341</v>
      </c>
      <c r="R54" s="252">
        <f>'[84]VENTAS TOTALES'!$F66</f>
        <v>7136</v>
      </c>
      <c r="S54" s="252">
        <f>'[85]VENTAS TOTALES'!$F66</f>
        <v>6596</v>
      </c>
      <c r="T54" s="252">
        <f>'[86]VENTAS TOTALES'!$F66</f>
        <v>6658</v>
      </c>
      <c r="U54" s="252">
        <f>'[87]VENTAS TOTALES'!$F66</f>
        <v>3304</v>
      </c>
      <c r="V54" s="252">
        <f>'[88]VENTAS TOTALES'!$F66</f>
        <v>1108</v>
      </c>
      <c r="W54" s="252">
        <f>'[89]VENTAS TOTALES'!$F66</f>
        <v>7746</v>
      </c>
      <c r="X54" s="252">
        <f>'[90]VENTAS TOTALES'!$F66</f>
        <v>7019</v>
      </c>
      <c r="Y54" s="252">
        <f>'[91]VENTAS TOTALES'!$F66</f>
        <v>6743</v>
      </c>
      <c r="Z54" s="252">
        <f>'[92]VENTAS TOTALES'!$F66</f>
        <v>6486</v>
      </c>
      <c r="AA54" s="252">
        <f>'[93]VENTAS TOTALES'!$F66</f>
        <v>6752</v>
      </c>
      <c r="AB54" s="252">
        <f>'[94]VENTAS TOTALES'!$F66</f>
        <v>3486</v>
      </c>
      <c r="AC54" s="252">
        <f>'[95]VENTAS TOTALES'!$F66</f>
        <v>985</v>
      </c>
      <c r="AD54" s="252">
        <f>'[96]VENTAS TOTALES'!$F66</f>
        <v>9358</v>
      </c>
      <c r="AE54" s="252">
        <f>'[97]VENTAS TOTALES'!$F66</f>
        <v>8510</v>
      </c>
      <c r="AF54" s="252">
        <f>'[98]VENTAS TOTALES'!$F66</f>
        <v>7668</v>
      </c>
      <c r="AG54" s="252">
        <f>'[99]VENTAS TOTALES'!$F66</f>
        <v>7432</v>
      </c>
      <c r="AH54" s="252">
        <f>'[100]VENTAS TOTALES'!$F66</f>
        <v>6401</v>
      </c>
      <c r="AI54" s="252">
        <f>'[101]VENTAS TOTALES'!$F66</f>
        <v>3462</v>
      </c>
      <c r="AJ54" s="252">
        <f>'[102]VENTAS TOTALES'!$F66</f>
        <v>1216</v>
      </c>
    </row>
    <row r="55" spans="1:36" x14ac:dyDescent="0.2">
      <c r="A55" s="424"/>
      <c r="B55" s="313" t="s">
        <v>93</v>
      </c>
      <c r="C55" s="252">
        <f>'[69]VENTAS TOTALES'!$F67</f>
        <v>5323</v>
      </c>
      <c r="D55" s="252">
        <f>'[70]VENTAS TOTALES'!$F67</f>
        <v>5417</v>
      </c>
      <c r="E55" s="252">
        <f>'[71]VENTAS TOTALES'!$F67</f>
        <v>4474</v>
      </c>
      <c r="F55" s="252">
        <f>'[72]VENTAS TOTALES'!$F67</f>
        <v>4520</v>
      </c>
      <c r="G55" s="252">
        <f>'[73]VENTAS TOTALES'!$F67</f>
        <v>1587</v>
      </c>
      <c r="H55" s="252">
        <f>'[74]VENTAS TOTALES'!$F67</f>
        <v>433</v>
      </c>
      <c r="I55" s="252">
        <f>'[75]VENTAS TOTALES'!$F67</f>
        <v>5883</v>
      </c>
      <c r="J55" s="252">
        <f>'[76]VENTAS TOTALES'!$F67</f>
        <v>5020</v>
      </c>
      <c r="K55" s="252">
        <f>'[77]VENTAS TOTALES'!$F67</f>
        <v>4678</v>
      </c>
      <c r="L55" s="252">
        <f>'[78]VENTAS TOTALES'!$F67</f>
        <v>4667</v>
      </c>
      <c r="M55" s="252">
        <f>'[79]VENTAS TOTALES'!$F67</f>
        <v>4611</v>
      </c>
      <c r="N55" s="252">
        <f>'[80]VENTAS TOTALES'!$F67</f>
        <v>1714</v>
      </c>
      <c r="O55" s="252">
        <f>'[81]VENTAS TOTALES'!$F67</f>
        <v>477</v>
      </c>
      <c r="P55" s="252">
        <f>'[82]VENTAS TOTALES'!$F67</f>
        <v>5924</v>
      </c>
      <c r="Q55" s="252">
        <f>'[83]VENTAS TOTALES'!$F67</f>
        <v>5379</v>
      </c>
      <c r="R55" s="252">
        <f>'[84]VENTAS TOTALES'!$F67</f>
        <v>5366</v>
      </c>
      <c r="S55" s="252">
        <f>'[85]VENTAS TOTALES'!$F67</f>
        <v>5012</v>
      </c>
      <c r="T55" s="252">
        <f>'[86]VENTAS TOTALES'!$F67</f>
        <v>4362</v>
      </c>
      <c r="U55" s="252">
        <f>'[87]VENTAS TOTALES'!$F67</f>
        <v>1731</v>
      </c>
      <c r="V55" s="252">
        <f>'[88]VENTAS TOTALES'!$F67</f>
        <v>460</v>
      </c>
      <c r="W55" s="252">
        <f>'[89]VENTAS TOTALES'!$F67</f>
        <v>5536</v>
      </c>
      <c r="X55" s="252">
        <f>'[90]VENTAS TOTALES'!$F67</f>
        <v>4945</v>
      </c>
      <c r="Y55" s="252">
        <f>'[91]VENTAS TOTALES'!$F67</f>
        <v>4710</v>
      </c>
      <c r="Z55" s="252">
        <f>'[92]VENTAS TOTALES'!$F67</f>
        <v>4507</v>
      </c>
      <c r="AA55" s="252">
        <f>'[93]VENTAS TOTALES'!$F67</f>
        <v>4609</v>
      </c>
      <c r="AB55" s="252">
        <f>'[94]VENTAS TOTALES'!$F67</f>
        <v>1591</v>
      </c>
      <c r="AC55" s="252">
        <f>'[95]VENTAS TOTALES'!$F67</f>
        <v>496</v>
      </c>
      <c r="AD55" s="252">
        <f>'[96]VENTAS TOTALES'!$F67</f>
        <v>6871</v>
      </c>
      <c r="AE55" s="252">
        <f>'[97]VENTAS TOTALES'!$F67</f>
        <v>6678</v>
      </c>
      <c r="AF55" s="252">
        <f>'[98]VENTAS TOTALES'!$F67</f>
        <v>5556</v>
      </c>
      <c r="AG55" s="252">
        <f>'[99]VENTAS TOTALES'!$F67</f>
        <v>4871</v>
      </c>
      <c r="AH55" s="252">
        <f>'[100]VENTAS TOTALES'!$F67</f>
        <v>4471</v>
      </c>
      <c r="AI55" s="252">
        <f>'[101]VENTAS TOTALES'!$F67</f>
        <v>1816</v>
      </c>
      <c r="AJ55" s="252">
        <f>'[102]VENTAS TOTALES'!$F67</f>
        <v>459</v>
      </c>
    </row>
    <row r="56" spans="1:36" x14ac:dyDescent="0.2">
      <c r="A56" s="424"/>
      <c r="B56" s="313" t="s">
        <v>97</v>
      </c>
      <c r="C56" s="252">
        <f>'[69]VENTAS TOTALES'!$F68</f>
        <v>9165</v>
      </c>
      <c r="D56" s="252">
        <f>'[70]VENTAS TOTALES'!$F68</f>
        <v>8969</v>
      </c>
      <c r="E56" s="252">
        <f>'[71]VENTAS TOTALES'!$F68</f>
        <v>7623</v>
      </c>
      <c r="F56" s="252">
        <f>'[72]VENTAS TOTALES'!$F68</f>
        <v>7636</v>
      </c>
      <c r="G56" s="252">
        <f>'[73]VENTAS TOTALES'!$F68</f>
        <v>4485</v>
      </c>
      <c r="H56" s="252">
        <f>'[74]VENTAS TOTALES'!$F68</f>
        <v>1635</v>
      </c>
      <c r="I56" s="252">
        <f>'[75]VENTAS TOTALES'!$F68</f>
        <v>9292</v>
      </c>
      <c r="J56" s="252">
        <f>'[76]VENTAS TOTALES'!$F68</f>
        <v>8251</v>
      </c>
      <c r="K56" s="252">
        <f>'[77]VENTAS TOTALES'!$F68</f>
        <v>7767</v>
      </c>
      <c r="L56" s="252">
        <f>'[78]VENTAS TOTALES'!$F68</f>
        <v>7932</v>
      </c>
      <c r="M56" s="252">
        <f>'[79]VENTAS TOTALES'!$F68</f>
        <v>7625</v>
      </c>
      <c r="N56" s="252">
        <f>'[80]VENTAS TOTALES'!$F68</f>
        <v>4137</v>
      </c>
      <c r="O56" s="252">
        <f>'[81]VENTAS TOTALES'!$F68</f>
        <v>1364</v>
      </c>
      <c r="P56" s="252">
        <f>'[82]VENTAS TOTALES'!$F68</f>
        <v>10289</v>
      </c>
      <c r="Q56" s="252">
        <f>'[83]VENTAS TOTALES'!$F68</f>
        <v>8677</v>
      </c>
      <c r="R56" s="252">
        <f>'[84]VENTAS TOTALES'!$F68</f>
        <v>8770</v>
      </c>
      <c r="S56" s="252">
        <f>'[85]VENTAS TOTALES'!$F68</f>
        <v>7821</v>
      </c>
      <c r="T56" s="252">
        <f>'[86]VENTAS TOTALES'!$F68</f>
        <v>8307</v>
      </c>
      <c r="U56" s="252">
        <f>'[87]VENTAS TOTALES'!$F68</f>
        <v>4151</v>
      </c>
      <c r="V56" s="252">
        <f>'[88]VENTAS TOTALES'!$F68</f>
        <v>1606</v>
      </c>
      <c r="W56" s="252">
        <f>'[89]VENTAS TOTALES'!$F68</f>
        <v>10103</v>
      </c>
      <c r="X56" s="252">
        <f>'[90]VENTAS TOTALES'!$F68</f>
        <v>8926</v>
      </c>
      <c r="Y56" s="252">
        <f>'[91]VENTAS TOTALES'!$F68</f>
        <v>8445</v>
      </c>
      <c r="Z56" s="252">
        <f>'[92]VENTAS TOTALES'!$F68</f>
        <v>8397</v>
      </c>
      <c r="AA56" s="252">
        <f>'[93]VENTAS TOTALES'!$F68</f>
        <v>8409</v>
      </c>
      <c r="AB56" s="252">
        <f>'[94]VENTAS TOTALES'!$F68</f>
        <v>4425</v>
      </c>
      <c r="AC56" s="252">
        <f>'[95]VENTAS TOTALES'!$F68</f>
        <v>1382</v>
      </c>
      <c r="AD56" s="252">
        <f>'[96]VENTAS TOTALES'!$F68</f>
        <v>11664</v>
      </c>
      <c r="AE56" s="252">
        <f>'[97]VENTAS TOTALES'!$F68</f>
        <v>10167</v>
      </c>
      <c r="AF56" s="252">
        <f>'[98]VENTAS TOTALES'!$F68</f>
        <v>9435</v>
      </c>
      <c r="AG56" s="252">
        <f>'[99]VENTAS TOTALES'!$F68</f>
        <v>8827</v>
      </c>
      <c r="AH56" s="252">
        <f>'[100]VENTAS TOTALES'!$F68</f>
        <v>8457</v>
      </c>
      <c r="AI56" s="252">
        <f>'[101]VENTAS TOTALES'!$F68</f>
        <v>4434</v>
      </c>
      <c r="AJ56" s="252">
        <f>'[102]VENTAS TOTALES'!$F68</f>
        <v>1444</v>
      </c>
    </row>
    <row r="57" spans="1:36" x14ac:dyDescent="0.2">
      <c r="A57" s="424"/>
      <c r="B57" s="313" t="s">
        <v>98</v>
      </c>
      <c r="C57" s="252">
        <f>'[69]VENTAS TOTALES'!$F69</f>
        <v>6914</v>
      </c>
      <c r="D57" s="252">
        <f>'[70]VENTAS TOTALES'!$F69</f>
        <v>6794</v>
      </c>
      <c r="E57" s="252">
        <f>'[71]VENTAS TOTALES'!$F69</f>
        <v>5863</v>
      </c>
      <c r="F57" s="252">
        <f>'[72]VENTAS TOTALES'!$F69</f>
        <v>6021</v>
      </c>
      <c r="G57" s="252">
        <f>'[73]VENTAS TOTALES'!$F69</f>
        <v>3261</v>
      </c>
      <c r="H57" s="252">
        <f>'[74]VENTAS TOTALES'!$F69</f>
        <v>1397</v>
      </c>
      <c r="I57" s="252">
        <f>'[75]VENTAS TOTALES'!$F69</f>
        <v>7668</v>
      </c>
      <c r="J57" s="252">
        <f>'[76]VENTAS TOTALES'!$F69</f>
        <v>6474</v>
      </c>
      <c r="K57" s="252">
        <f>'[77]VENTAS TOTALES'!$F69</f>
        <v>6368</v>
      </c>
      <c r="L57" s="252">
        <f>'[78]VENTAS TOTALES'!$F69</f>
        <v>5891</v>
      </c>
      <c r="M57" s="252">
        <f>'[79]VENTAS TOTALES'!$F69</f>
        <v>5649</v>
      </c>
      <c r="N57" s="252">
        <f>'[80]VENTAS TOTALES'!$F69</f>
        <v>2856</v>
      </c>
      <c r="O57" s="252">
        <f>'[81]VENTAS TOTALES'!$F69</f>
        <v>1409</v>
      </c>
      <c r="P57" s="252">
        <f>'[82]VENTAS TOTALES'!$F69</f>
        <v>7462</v>
      </c>
      <c r="Q57" s="252">
        <f>'[83]VENTAS TOTALES'!$F69</f>
        <v>6996</v>
      </c>
      <c r="R57" s="252">
        <f>'[84]VENTAS TOTALES'!$F69</f>
        <v>6826</v>
      </c>
      <c r="S57" s="252">
        <f>'[85]VENTAS TOTALES'!$F69</f>
        <v>6343</v>
      </c>
      <c r="T57" s="252">
        <f>'[86]VENTAS TOTALES'!$F69</f>
        <v>5569</v>
      </c>
      <c r="U57" s="252">
        <f>'[87]VENTAS TOTALES'!$F69</f>
        <v>2943</v>
      </c>
      <c r="V57" s="252">
        <f>'[88]VENTAS TOTALES'!$F69</f>
        <v>1562</v>
      </c>
      <c r="W57" s="252">
        <f>'[89]VENTAS TOTALES'!$F69</f>
        <v>6901</v>
      </c>
      <c r="X57" s="252">
        <f>'[90]VENTAS TOTALES'!$F69</f>
        <v>6384</v>
      </c>
      <c r="Y57" s="252">
        <f>'[91]VENTAS TOTALES'!$F69</f>
        <v>6106</v>
      </c>
      <c r="Z57" s="252">
        <f>'[92]VENTAS TOTALES'!$F69</f>
        <v>5846</v>
      </c>
      <c r="AA57" s="252">
        <f>'[93]VENTAS TOTALES'!$F69</f>
        <v>6371</v>
      </c>
      <c r="AB57" s="252">
        <f>'[94]VENTAS TOTALES'!$F69</f>
        <v>3058</v>
      </c>
      <c r="AC57" s="252">
        <f>'[95]VENTAS TOTALES'!$F69</f>
        <v>1553</v>
      </c>
      <c r="AD57" s="252">
        <f>'[96]VENTAS TOTALES'!$F69</f>
        <v>8124</v>
      </c>
      <c r="AE57" s="252">
        <f>'[97]VENTAS TOTALES'!$F69</f>
        <v>7714</v>
      </c>
      <c r="AF57" s="252">
        <f>'[98]VENTAS TOTALES'!$F69</f>
        <v>7165</v>
      </c>
      <c r="AG57" s="252">
        <f>'[99]VENTAS TOTALES'!$F69</f>
        <v>6074</v>
      </c>
      <c r="AH57" s="252">
        <f>'[100]VENTAS TOTALES'!$F69</f>
        <v>5745</v>
      </c>
      <c r="AI57" s="252">
        <f>'[101]VENTAS TOTALES'!$F69</f>
        <v>3160</v>
      </c>
      <c r="AJ57" s="252">
        <f>'[102]VENTAS TOTALES'!$F69</f>
        <v>1630</v>
      </c>
    </row>
    <row r="58" spans="1:36" x14ac:dyDescent="0.2">
      <c r="A58" s="424"/>
      <c r="B58" s="313" t="s">
        <v>62</v>
      </c>
      <c r="C58" s="252">
        <f>'[69]VENTAS TOTALES'!$F70</f>
        <v>12111</v>
      </c>
      <c r="D58" s="252">
        <f>'[70]VENTAS TOTALES'!$F70</f>
        <v>11062</v>
      </c>
      <c r="E58" s="252">
        <f>'[71]VENTAS TOTALES'!$F70</f>
        <v>9993</v>
      </c>
      <c r="F58" s="252">
        <f>'[72]VENTAS TOTALES'!$F70</f>
        <v>10470</v>
      </c>
      <c r="G58" s="252">
        <f>'[73]VENTAS TOTALES'!$F70</f>
        <v>4340</v>
      </c>
      <c r="H58" s="252">
        <f>'[74]VENTAS TOTALES'!$F70</f>
        <v>1747</v>
      </c>
      <c r="I58" s="252">
        <f>'[75]VENTAS TOTALES'!$F70</f>
        <v>12499</v>
      </c>
      <c r="J58" s="252">
        <f>'[76]VENTAS TOTALES'!$F70</f>
        <v>10989</v>
      </c>
      <c r="K58" s="252">
        <f>'[77]VENTAS TOTALES'!$F70</f>
        <v>10261</v>
      </c>
      <c r="L58" s="252">
        <f>'[78]VENTAS TOTALES'!$F70</f>
        <v>10642</v>
      </c>
      <c r="M58" s="252">
        <f>'[79]VENTAS TOTALES'!$F70</f>
        <v>9631</v>
      </c>
      <c r="N58" s="252">
        <f>'[80]VENTAS TOTALES'!$F70</f>
        <v>4356</v>
      </c>
      <c r="O58" s="252">
        <f>'[81]VENTAS TOTALES'!$F70</f>
        <v>2144</v>
      </c>
      <c r="P58" s="252">
        <f>'[82]VENTAS TOTALES'!$F70</f>
        <v>13257</v>
      </c>
      <c r="Q58" s="252">
        <f>'[83]VENTAS TOTALES'!$F70</f>
        <v>11900</v>
      </c>
      <c r="R58" s="252">
        <f>'[84]VENTAS TOTALES'!$F70</f>
        <v>11752</v>
      </c>
      <c r="S58" s="252">
        <f>'[85]VENTAS TOTALES'!$F70</f>
        <v>10227</v>
      </c>
      <c r="T58" s="252">
        <f>'[86]VENTAS TOTALES'!$F70</f>
        <v>10306</v>
      </c>
      <c r="U58" s="252">
        <f>'[87]VENTAS TOTALES'!$F70</f>
        <v>4758</v>
      </c>
      <c r="V58" s="252">
        <f>'[88]VENTAS TOTALES'!$F70</f>
        <v>1983</v>
      </c>
      <c r="W58" s="252">
        <f>'[89]VENTAS TOTALES'!$F70</f>
        <v>13194</v>
      </c>
      <c r="X58" s="252">
        <f>'[90]VENTAS TOTALES'!$F70</f>
        <v>11406</v>
      </c>
      <c r="Y58" s="252">
        <f>'[91]VENTAS TOTALES'!$F70</f>
        <v>11220</v>
      </c>
      <c r="Z58" s="252">
        <f>'[92]VENTAS TOTALES'!$F70</f>
        <v>10312</v>
      </c>
      <c r="AA58" s="252">
        <f>'[93]VENTAS TOTALES'!$F70</f>
        <v>10434</v>
      </c>
      <c r="AB58" s="252">
        <f>'[94]VENTAS TOTALES'!$F70</f>
        <v>4811</v>
      </c>
      <c r="AC58" s="252">
        <f>'[95]VENTAS TOTALES'!$F70</f>
        <v>1853</v>
      </c>
      <c r="AD58" s="252">
        <f>'[96]VENTAS TOTALES'!$F70</f>
        <v>15419</v>
      </c>
      <c r="AE58" s="252">
        <f>'[97]VENTAS TOTALES'!$F70</f>
        <v>13515</v>
      </c>
      <c r="AF58" s="252">
        <f>'[98]VENTAS TOTALES'!$F70</f>
        <v>12371</v>
      </c>
      <c r="AG58" s="252">
        <f>'[99]VENTAS TOTALES'!$F70</f>
        <v>10762</v>
      </c>
      <c r="AH58" s="252">
        <f>'[100]VENTAS TOTALES'!$F70</f>
        <v>10408</v>
      </c>
      <c r="AI58" s="252">
        <f>'[101]VENTAS TOTALES'!$F70</f>
        <v>4363</v>
      </c>
      <c r="AJ58" s="252">
        <f>'[102]VENTAS TOTALES'!$F70</f>
        <v>1688</v>
      </c>
    </row>
    <row r="59" spans="1:36" x14ac:dyDescent="0.2">
      <c r="A59" s="424"/>
      <c r="B59" s="313" t="s">
        <v>61</v>
      </c>
      <c r="C59" s="252">
        <f>'[69]VENTAS TOTALES'!$F71</f>
        <v>0</v>
      </c>
      <c r="D59" s="252">
        <f>'[70]VENTAS TOTALES'!$F71</f>
        <v>0</v>
      </c>
      <c r="E59" s="252">
        <f>'[71]VENTAS TOTALES'!$F71</f>
        <v>0</v>
      </c>
      <c r="F59" s="252">
        <f>'[72]VENTAS TOTALES'!$F71</f>
        <v>0</v>
      </c>
      <c r="G59" s="252">
        <f>'[73]VENTAS TOTALES'!$F71</f>
        <v>0</v>
      </c>
      <c r="H59" s="252">
        <f>'[74]VENTAS TOTALES'!$F71</f>
        <v>0</v>
      </c>
      <c r="I59" s="252">
        <f>'[75]VENTAS TOTALES'!$F71</f>
        <v>0</v>
      </c>
      <c r="J59" s="252">
        <f>'[76]VENTAS TOTALES'!$F71</f>
        <v>0</v>
      </c>
      <c r="K59" s="252">
        <f>'[77]VENTAS TOTALES'!$F71</f>
        <v>0</v>
      </c>
      <c r="L59" s="252">
        <f>'[78]VENTAS TOTALES'!$F71</f>
        <v>0</v>
      </c>
      <c r="M59" s="252">
        <f>'[79]VENTAS TOTALES'!$F71</f>
        <v>0</v>
      </c>
      <c r="N59" s="252">
        <f>'[80]VENTAS TOTALES'!$F71</f>
        <v>0</v>
      </c>
      <c r="O59" s="252">
        <f>'[81]VENTAS TOTALES'!$F71</f>
        <v>0</v>
      </c>
      <c r="P59" s="252">
        <f>'[82]VENTAS TOTALES'!$F71</f>
        <v>0</v>
      </c>
      <c r="Q59" s="252">
        <f>'[83]VENTAS TOTALES'!$F71</f>
        <v>0</v>
      </c>
      <c r="R59" s="252">
        <f>'[84]VENTAS TOTALES'!$F71</f>
        <v>0</v>
      </c>
      <c r="S59" s="252">
        <f>'[85]VENTAS TOTALES'!$F71</f>
        <v>0</v>
      </c>
      <c r="T59" s="252">
        <f>'[86]VENTAS TOTALES'!$F71</f>
        <v>0</v>
      </c>
      <c r="U59" s="252">
        <f>'[87]VENTAS TOTALES'!$F71</f>
        <v>0</v>
      </c>
      <c r="V59" s="252">
        <f>'[88]VENTAS TOTALES'!$F71</f>
        <v>0</v>
      </c>
      <c r="W59" s="252">
        <f>'[89]VENTAS TOTALES'!$F71</f>
        <v>0</v>
      </c>
      <c r="X59" s="252">
        <f>'[90]VENTAS TOTALES'!$F71</f>
        <v>0</v>
      </c>
      <c r="Y59" s="252">
        <f>'[91]VENTAS TOTALES'!$F71</f>
        <v>0</v>
      </c>
      <c r="Z59" s="252">
        <f>'[92]VENTAS TOTALES'!$F71</f>
        <v>0</v>
      </c>
      <c r="AA59" s="252">
        <f>'[93]VENTAS TOTALES'!$F71</f>
        <v>0</v>
      </c>
      <c r="AB59" s="252">
        <f>'[94]VENTAS TOTALES'!$F71</f>
        <v>0</v>
      </c>
      <c r="AC59" s="252">
        <f>'[95]VENTAS TOTALES'!$F71</f>
        <v>0</v>
      </c>
      <c r="AD59" s="252">
        <f>'[96]VENTAS TOTALES'!$F71</f>
        <v>0</v>
      </c>
      <c r="AE59" s="252">
        <f>'[97]VENTAS TOTALES'!$F71</f>
        <v>0</v>
      </c>
      <c r="AF59" s="252">
        <f>'[98]VENTAS TOTALES'!$F71</f>
        <v>0</v>
      </c>
      <c r="AG59" s="252">
        <f>'[99]VENTAS TOTALES'!$F71</f>
        <v>0</v>
      </c>
      <c r="AH59" s="252">
        <f>'[100]VENTAS TOTALES'!$F71</f>
        <v>0</v>
      </c>
      <c r="AI59" s="252">
        <f>'[101]VENTAS TOTALES'!$F71</f>
        <v>0</v>
      </c>
      <c r="AJ59" s="252">
        <f>'[102]VENTAS TOTALES'!$F71</f>
        <v>0</v>
      </c>
    </row>
    <row r="60" spans="1:36" x14ac:dyDescent="0.2">
      <c r="A60" s="424"/>
      <c r="B60" s="313" t="s">
        <v>199</v>
      </c>
      <c r="C60" s="252">
        <f>'[69]VENTAS TOTALES'!$F72</f>
        <v>5811</v>
      </c>
      <c r="D60" s="252">
        <f>'[70]VENTAS TOTALES'!$F72</f>
        <v>5915</v>
      </c>
      <c r="E60" s="252">
        <f>'[71]VENTAS TOTALES'!$F72</f>
        <v>5121</v>
      </c>
      <c r="F60" s="252">
        <f>'[72]VENTAS TOTALES'!$F72</f>
        <v>5734</v>
      </c>
      <c r="G60" s="252">
        <f>'[73]VENTAS TOTALES'!$F72</f>
        <v>3206</v>
      </c>
      <c r="H60" s="252">
        <f>'[74]VENTAS TOTALES'!$F72</f>
        <v>1761</v>
      </c>
      <c r="I60" s="252">
        <f>'[75]VENTAS TOTALES'!$F72</f>
        <v>5977</v>
      </c>
      <c r="J60" s="252">
        <f>'[76]VENTAS TOTALES'!$F72</f>
        <v>5600</v>
      </c>
      <c r="K60" s="252">
        <f>'[77]VENTAS TOTALES'!$F72</f>
        <v>5258</v>
      </c>
      <c r="L60" s="252">
        <f>'[78]VENTAS TOTALES'!$F72</f>
        <v>5445</v>
      </c>
      <c r="M60" s="252">
        <f>'[79]VENTAS TOTALES'!$F72</f>
        <v>5694</v>
      </c>
      <c r="N60" s="252">
        <f>'[80]VENTAS TOTALES'!$F72</f>
        <v>3530</v>
      </c>
      <c r="O60" s="252">
        <f>'[81]VENTAS TOTALES'!$F72</f>
        <v>1686</v>
      </c>
      <c r="P60" s="252">
        <f>'[82]VENTAS TOTALES'!$F72</f>
        <v>6191</v>
      </c>
      <c r="Q60" s="252">
        <f>'[83]VENTAS TOTALES'!$F72</f>
        <v>5742</v>
      </c>
      <c r="R60" s="252">
        <f>'[84]VENTAS TOTALES'!$F72</f>
        <v>5498</v>
      </c>
      <c r="S60" s="252">
        <f>'[85]VENTAS TOTALES'!$F72</f>
        <v>5855</v>
      </c>
      <c r="T60" s="252">
        <f>'[86]VENTAS TOTALES'!$F72</f>
        <v>5673</v>
      </c>
      <c r="U60" s="252">
        <f>'[87]VENTAS TOTALES'!$F72</f>
        <v>3587</v>
      </c>
      <c r="V60" s="252">
        <f>'[88]VENTAS TOTALES'!$F72</f>
        <v>1761</v>
      </c>
      <c r="W60" s="252">
        <f>'[89]VENTAS TOTALES'!$F72</f>
        <v>6432</v>
      </c>
      <c r="X60" s="252">
        <f>'[90]VENTAS TOTALES'!$F72</f>
        <v>5746</v>
      </c>
      <c r="Y60" s="252">
        <f>'[91]VENTAS TOTALES'!$F72</f>
        <v>5421</v>
      </c>
      <c r="Z60" s="252">
        <f>'[92]VENTAS TOTALES'!$F72</f>
        <v>5642</v>
      </c>
      <c r="AA60" s="252">
        <f>'[93]VENTAS TOTALES'!$F72</f>
        <v>5856</v>
      </c>
      <c r="AB60" s="252">
        <f>'[94]VENTAS TOTALES'!$F72</f>
        <v>3796</v>
      </c>
      <c r="AC60" s="252">
        <f>'[95]VENTAS TOTALES'!$F72</f>
        <v>1733</v>
      </c>
      <c r="AD60" s="252">
        <f>'[96]VENTAS TOTALES'!$F72</f>
        <v>7017</v>
      </c>
      <c r="AE60" s="252">
        <f>'[97]VENTAS TOTALES'!$F72</f>
        <v>6615</v>
      </c>
      <c r="AF60" s="252">
        <f>'[98]VENTAS TOTALES'!$F72</f>
        <v>6636</v>
      </c>
      <c r="AG60" s="252">
        <f>'[99]VENTAS TOTALES'!$F72</f>
        <v>6095</v>
      </c>
      <c r="AH60" s="252">
        <f>'[100]VENTAS TOTALES'!$F72</f>
        <v>5909</v>
      </c>
      <c r="AI60" s="252">
        <f>'[101]VENTAS TOTALES'!$F72</f>
        <v>3598</v>
      </c>
      <c r="AJ60" s="252">
        <f>'[102]VENTAS TOTALES'!$F72</f>
        <v>1770</v>
      </c>
    </row>
    <row r="61" spans="1:36" x14ac:dyDescent="0.2">
      <c r="A61" s="424"/>
      <c r="B61" s="313" t="s">
        <v>200</v>
      </c>
      <c r="C61" s="252">
        <f>'[69]VENTAS TOTALES'!$F73</f>
        <v>3891</v>
      </c>
      <c r="D61" s="252">
        <f>'[70]VENTAS TOTALES'!$F73</f>
        <v>3851</v>
      </c>
      <c r="E61" s="252">
        <f>'[71]VENTAS TOTALES'!$F73</f>
        <v>3671</v>
      </c>
      <c r="F61" s="252">
        <f>'[72]VENTAS TOTALES'!$F73</f>
        <v>3582</v>
      </c>
      <c r="G61" s="252">
        <f>'[73]VENTAS TOTALES'!$F73</f>
        <v>2772</v>
      </c>
      <c r="H61" s="252">
        <f>'[74]VENTAS TOTALES'!$F73</f>
        <v>1442</v>
      </c>
      <c r="I61" s="252">
        <f>'[75]VENTAS TOTALES'!$F73</f>
        <v>3984</v>
      </c>
      <c r="J61" s="252">
        <f>'[76]VENTAS TOTALES'!$F73</f>
        <v>3784</v>
      </c>
      <c r="K61" s="252">
        <f>'[77]VENTAS TOTALES'!$F73</f>
        <v>3396</v>
      </c>
      <c r="L61" s="252">
        <f>'[78]VENTAS TOTALES'!$F73</f>
        <v>3584</v>
      </c>
      <c r="M61" s="252">
        <f>'[79]VENTAS TOTALES'!$F73</f>
        <v>3600</v>
      </c>
      <c r="N61" s="252">
        <f>'[80]VENTAS TOTALES'!$F73</f>
        <v>2935</v>
      </c>
      <c r="O61" s="252">
        <f>'[81]VENTAS TOTALES'!$F73</f>
        <v>1435</v>
      </c>
      <c r="P61" s="252">
        <f>'[82]VENTAS TOTALES'!$F73</f>
        <v>3997</v>
      </c>
      <c r="Q61" s="252">
        <f>'[83]VENTAS TOTALES'!$F73</f>
        <v>3870</v>
      </c>
      <c r="R61" s="252">
        <f>'[84]VENTAS TOTALES'!$F73</f>
        <v>3877</v>
      </c>
      <c r="S61" s="252">
        <f>'[85]VENTAS TOTALES'!$F73</f>
        <v>3803</v>
      </c>
      <c r="T61" s="252">
        <f>'[86]VENTAS TOTALES'!$F73</f>
        <v>3629</v>
      </c>
      <c r="U61" s="252">
        <f>'[87]VENTAS TOTALES'!$F73</f>
        <v>3062</v>
      </c>
      <c r="V61" s="252">
        <f>'[88]VENTAS TOTALES'!$F73</f>
        <v>1483</v>
      </c>
      <c r="W61" s="252">
        <f>'[89]VENTAS TOTALES'!$F73</f>
        <v>4063</v>
      </c>
      <c r="X61" s="252">
        <f>'[90]VENTAS TOTALES'!$F73</f>
        <v>3767</v>
      </c>
      <c r="Y61" s="252">
        <f>'[91]VENTAS TOTALES'!$F73</f>
        <v>3833</v>
      </c>
      <c r="Z61" s="252">
        <f>'[92]VENTAS TOTALES'!$F73</f>
        <v>3657</v>
      </c>
      <c r="AA61" s="252">
        <f>'[93]VENTAS TOTALES'!$F73</f>
        <v>3775</v>
      </c>
      <c r="AB61" s="252">
        <f>'[94]VENTAS TOTALES'!$F73</f>
        <v>3245</v>
      </c>
      <c r="AC61" s="252">
        <f>'[95]VENTAS TOTALES'!$F73</f>
        <v>1517</v>
      </c>
      <c r="AD61" s="252">
        <f>'[96]VENTAS TOTALES'!$F73</f>
        <v>4202</v>
      </c>
      <c r="AE61" s="252">
        <f>'[97]VENTAS TOTALES'!$F73</f>
        <v>4370</v>
      </c>
      <c r="AF61" s="252">
        <f>'[98]VENTAS TOTALES'!$F73</f>
        <v>4297</v>
      </c>
      <c r="AG61" s="252">
        <f>'[99]VENTAS TOTALES'!$F73</f>
        <v>3869</v>
      </c>
      <c r="AH61" s="252">
        <f>'[100]VENTAS TOTALES'!$F73</f>
        <v>3813</v>
      </c>
      <c r="AI61" s="252">
        <f>'[101]VENTAS TOTALES'!$F73</f>
        <v>3072</v>
      </c>
      <c r="AJ61" s="252">
        <f>'[102]VENTAS TOTALES'!$F73</f>
        <v>1401</v>
      </c>
    </row>
    <row r="62" spans="1:36" x14ac:dyDescent="0.2">
      <c r="A62" s="424"/>
      <c r="B62" s="313" t="s">
        <v>31</v>
      </c>
      <c r="C62" s="252">
        <f>'[69]VENTAS TOTALES'!$F74</f>
        <v>13105</v>
      </c>
      <c r="D62" s="252">
        <f>'[70]VENTAS TOTALES'!$F74</f>
        <v>12585</v>
      </c>
      <c r="E62" s="252">
        <f>'[71]VENTAS TOTALES'!$F74</f>
        <v>11312</v>
      </c>
      <c r="F62" s="252">
        <f>'[72]VENTAS TOTALES'!$F74</f>
        <v>12344</v>
      </c>
      <c r="G62" s="252">
        <f>'[73]VENTAS TOTALES'!$F74</f>
        <v>8690</v>
      </c>
      <c r="H62" s="252">
        <f>'[74]VENTAS TOTALES'!$F74</f>
        <v>4202</v>
      </c>
      <c r="I62" s="252">
        <f>'[75]VENTAS TOTALES'!$F74</f>
        <v>14272</v>
      </c>
      <c r="J62" s="252">
        <f>'[76]VENTAS TOTALES'!$F74</f>
        <v>12167</v>
      </c>
      <c r="K62" s="252">
        <f>'[77]VENTAS TOTALES'!$F74</f>
        <v>11718</v>
      </c>
      <c r="L62" s="252">
        <f>'[78]VENTAS TOTALES'!$F74</f>
        <v>11899</v>
      </c>
      <c r="M62" s="252">
        <f>'[79]VENTAS TOTALES'!$F74</f>
        <v>12249</v>
      </c>
      <c r="N62" s="252">
        <f>'[80]VENTAS TOTALES'!$F74</f>
        <v>8562</v>
      </c>
      <c r="O62" s="252">
        <f>'[81]VENTAS TOTALES'!$F74</f>
        <v>3850</v>
      </c>
      <c r="P62" s="252">
        <f>'[82]VENTAS TOTALES'!$F74</f>
        <v>13384</v>
      </c>
      <c r="Q62" s="252">
        <f>'[83]VENTAS TOTALES'!$F74</f>
        <v>12904</v>
      </c>
      <c r="R62" s="252">
        <f>'[84]VENTAS TOTALES'!$F74</f>
        <v>12049</v>
      </c>
      <c r="S62" s="252">
        <f>'[85]VENTAS TOTALES'!$F74</f>
        <v>11938</v>
      </c>
      <c r="T62" s="252">
        <f>'[86]VENTAS TOTALES'!$F74</f>
        <v>12007</v>
      </c>
      <c r="U62" s="252">
        <f>'[87]VENTAS TOTALES'!$F74</f>
        <v>8646</v>
      </c>
      <c r="V62" s="252">
        <f>'[88]VENTAS TOTALES'!$F74</f>
        <v>4016</v>
      </c>
      <c r="W62" s="252">
        <f>'[89]VENTAS TOTALES'!$F74</f>
        <v>13346</v>
      </c>
      <c r="X62" s="252">
        <f>'[90]VENTAS TOTALES'!$F74</f>
        <v>12066</v>
      </c>
      <c r="Y62" s="252">
        <f>'[91]VENTAS TOTALES'!$F74</f>
        <v>11766</v>
      </c>
      <c r="Z62" s="252">
        <f>'[92]VENTAS TOTALES'!$F74</f>
        <v>12257</v>
      </c>
      <c r="AA62" s="252">
        <f>'[93]VENTAS TOTALES'!$F74</f>
        <v>13147</v>
      </c>
      <c r="AB62" s="252">
        <f>'[94]VENTAS TOTALES'!$F74</f>
        <v>9274</v>
      </c>
      <c r="AC62" s="252">
        <f>'[95]VENTAS TOTALES'!$F74</f>
        <v>4314</v>
      </c>
      <c r="AD62" s="252">
        <f>'[96]VENTAS TOTALES'!$F74</f>
        <v>14514</v>
      </c>
      <c r="AE62" s="252">
        <f>'[97]VENTAS TOTALES'!$F74</f>
        <v>13932</v>
      </c>
      <c r="AF62" s="252">
        <f>'[98]VENTAS TOTALES'!$F74</f>
        <v>13851</v>
      </c>
      <c r="AG62" s="252">
        <f>'[99]VENTAS TOTALES'!$F74</f>
        <v>12539</v>
      </c>
      <c r="AH62" s="252">
        <f>'[100]VENTAS TOTALES'!$F74</f>
        <v>10326</v>
      </c>
      <c r="AI62" s="252">
        <f>'[101]VENTAS TOTALES'!$F74</f>
        <v>8031</v>
      </c>
      <c r="AJ62" s="252">
        <f>'[102]VENTAS TOTALES'!$F74</f>
        <v>3451</v>
      </c>
    </row>
    <row r="63" spans="1:36" x14ac:dyDescent="0.2">
      <c r="A63" s="424"/>
      <c r="B63" s="313" t="s">
        <v>32</v>
      </c>
      <c r="C63" s="252">
        <f>'[69]VENTAS TOTALES'!$F75</f>
        <v>6252</v>
      </c>
      <c r="D63" s="252">
        <f>'[70]VENTAS TOTALES'!$F75</f>
        <v>5837</v>
      </c>
      <c r="E63" s="252">
        <f>'[71]VENTAS TOTALES'!$F75</f>
        <v>5238</v>
      </c>
      <c r="F63" s="252">
        <f>'[72]VENTAS TOTALES'!$F75</f>
        <v>5317</v>
      </c>
      <c r="G63" s="252">
        <f>'[73]VENTAS TOTALES'!$F75</f>
        <v>3615</v>
      </c>
      <c r="H63" s="252">
        <f>'[74]VENTAS TOTALES'!$F75</f>
        <v>1136</v>
      </c>
      <c r="I63" s="252">
        <f>'[75]VENTAS TOTALES'!$F75</f>
        <v>5827</v>
      </c>
      <c r="J63" s="252">
        <f>'[76]VENTAS TOTALES'!$F75</f>
        <v>5714</v>
      </c>
      <c r="K63" s="252">
        <f>'[77]VENTAS TOTALES'!$F75</f>
        <v>5470</v>
      </c>
      <c r="L63" s="252">
        <f>'[78]VENTAS TOTALES'!$F75</f>
        <v>5367</v>
      </c>
      <c r="M63" s="252">
        <f>'[79]VENTAS TOTALES'!$F75</f>
        <v>5110</v>
      </c>
      <c r="N63" s="252">
        <f>'[80]VENTAS TOTALES'!$F75</f>
        <v>3476</v>
      </c>
      <c r="O63" s="252">
        <f>'[81]VENTAS TOTALES'!$F75</f>
        <v>1116</v>
      </c>
      <c r="P63" s="252">
        <f>'[82]VENTAS TOTALES'!$F75</f>
        <v>6036</v>
      </c>
      <c r="Q63" s="252">
        <f>'[83]VENTAS TOTALES'!$F75</f>
        <v>5624</v>
      </c>
      <c r="R63" s="252">
        <f>'[84]VENTAS TOTALES'!$F75</f>
        <v>5717</v>
      </c>
      <c r="S63" s="252">
        <f>'[85]VENTAS TOTALES'!$F75</f>
        <v>5329</v>
      </c>
      <c r="T63" s="252">
        <f>'[86]VENTAS TOTALES'!$F75</f>
        <v>5342</v>
      </c>
      <c r="U63" s="252">
        <f>'[87]VENTAS TOTALES'!$F75</f>
        <v>3451</v>
      </c>
      <c r="V63" s="252">
        <f>'[88]VENTAS TOTALES'!$F75</f>
        <v>1036</v>
      </c>
      <c r="W63" s="252">
        <f>'[89]VENTAS TOTALES'!$F75</f>
        <v>6027</v>
      </c>
      <c r="X63" s="252">
        <f>'[90]VENTAS TOTALES'!$F75</f>
        <v>5565</v>
      </c>
      <c r="Y63" s="252">
        <f>'[91]VENTAS TOTALES'!$F75</f>
        <v>5538</v>
      </c>
      <c r="Z63" s="252">
        <f>'[92]VENTAS TOTALES'!$F75</f>
        <v>5262</v>
      </c>
      <c r="AA63" s="252">
        <f>'[93]VENTAS TOTALES'!$F75</f>
        <v>5223</v>
      </c>
      <c r="AB63" s="252">
        <f>'[94]VENTAS TOTALES'!$F75</f>
        <v>3404</v>
      </c>
      <c r="AC63" s="252">
        <f>'[95]VENTAS TOTALES'!$F75</f>
        <v>1181</v>
      </c>
      <c r="AD63" s="252">
        <f>'[96]VENTAS TOTALES'!$F75</f>
        <v>6944</v>
      </c>
      <c r="AE63" s="252">
        <f>'[97]VENTAS TOTALES'!$F75</f>
        <v>6373</v>
      </c>
      <c r="AF63" s="252">
        <f>'[98]VENTAS TOTALES'!$F75</f>
        <v>6235</v>
      </c>
      <c r="AG63" s="252">
        <f>'[99]VENTAS TOTALES'!$F75</f>
        <v>6093</v>
      </c>
      <c r="AH63" s="252">
        <f>'[100]VENTAS TOTALES'!$F75</f>
        <v>5542</v>
      </c>
      <c r="AI63" s="252">
        <f>'[101]VENTAS TOTALES'!$F75</f>
        <v>3363</v>
      </c>
      <c r="AJ63" s="252">
        <f>'[102]VENTAS TOTALES'!$F75</f>
        <v>1067</v>
      </c>
    </row>
    <row r="64" spans="1:36" x14ac:dyDescent="0.2">
      <c r="A64" s="424"/>
      <c r="B64" s="314" t="s">
        <v>197</v>
      </c>
      <c r="C64" s="254">
        <f>'[69]VENTAS TOTALES'!$F76</f>
        <v>21006</v>
      </c>
      <c r="D64" s="254">
        <f>'[70]VENTAS TOTALES'!$F76</f>
        <v>20961</v>
      </c>
      <c r="E64" s="254">
        <f>'[71]VENTAS TOTALES'!$F76</f>
        <v>17818</v>
      </c>
      <c r="F64" s="254">
        <f>'[72]VENTAS TOTALES'!$F76</f>
        <v>17047</v>
      </c>
      <c r="G64" s="254">
        <f>'[73]VENTAS TOTALES'!$F76</f>
        <v>14230</v>
      </c>
      <c r="H64" s="254">
        <f>'[74]VENTAS TOTALES'!$F76</f>
        <v>8862</v>
      </c>
      <c r="I64" s="254">
        <f>'[75]VENTAS TOTALES'!$F76</f>
        <v>21495</v>
      </c>
      <c r="J64" s="254">
        <f>'[76]VENTAS TOTALES'!$F76</f>
        <v>19265</v>
      </c>
      <c r="K64" s="254">
        <f>'[77]VENTAS TOTALES'!$F76</f>
        <v>19173</v>
      </c>
      <c r="L64" s="254">
        <f>'[78]VENTAS TOTALES'!$F76</f>
        <v>18465</v>
      </c>
      <c r="M64" s="254">
        <f>'[79]VENTAS TOTALES'!$F76</f>
        <v>17912</v>
      </c>
      <c r="N64" s="254">
        <f>'[80]VENTAS TOTALES'!$F76</f>
        <v>14317</v>
      </c>
      <c r="O64" s="254">
        <f>'[81]VENTAS TOTALES'!$F76</f>
        <v>7539</v>
      </c>
      <c r="P64" s="254">
        <f>'[82]VENTAS TOTALES'!$F76</f>
        <v>20174</v>
      </c>
      <c r="Q64" s="254">
        <f>'[83]VENTAS TOTALES'!$F76</f>
        <v>18040</v>
      </c>
      <c r="R64" s="254">
        <f>'[84]VENTAS TOTALES'!$F76</f>
        <v>20136</v>
      </c>
      <c r="S64" s="254">
        <f>'[85]VENTAS TOTALES'!$F76</f>
        <v>18497</v>
      </c>
      <c r="T64" s="254">
        <f>'[86]VENTAS TOTALES'!$F76</f>
        <v>19651</v>
      </c>
      <c r="U64" s="254">
        <f>'[87]VENTAS TOTALES'!$F76</f>
        <v>14058</v>
      </c>
      <c r="V64" s="254">
        <f>'[88]VENTAS TOTALES'!$F76</f>
        <v>7136</v>
      </c>
      <c r="W64" s="254">
        <f>'[89]VENTAS TOTALES'!$F76</f>
        <v>21174</v>
      </c>
      <c r="X64" s="254">
        <f>'[90]VENTAS TOTALES'!$F76</f>
        <v>19666</v>
      </c>
      <c r="Y64" s="254">
        <f>'[91]VENTAS TOTALES'!$F76</f>
        <v>18979</v>
      </c>
      <c r="Z64" s="254">
        <f>'[92]VENTAS TOTALES'!$F76</f>
        <v>17513</v>
      </c>
      <c r="AA64" s="254">
        <f>'[93]VENTAS TOTALES'!$F76</f>
        <v>18980</v>
      </c>
      <c r="AB64" s="254">
        <f>'[94]VENTAS TOTALES'!$F76</f>
        <v>13977</v>
      </c>
      <c r="AC64" s="254">
        <f>'[95]VENTAS TOTALES'!$F76</f>
        <v>7368</v>
      </c>
      <c r="AD64" s="254">
        <f>'[96]VENTAS TOTALES'!$F76</f>
        <v>22981</v>
      </c>
      <c r="AE64" s="254">
        <f>'[97]VENTAS TOTALES'!$F76</f>
        <v>21014</v>
      </c>
      <c r="AF64" s="254">
        <f>'[98]VENTAS TOTALES'!$F76</f>
        <v>21972</v>
      </c>
      <c r="AG64" s="254">
        <f>'[99]VENTAS TOTALES'!$F76</f>
        <v>19528</v>
      </c>
      <c r="AH64" s="254">
        <f>'[100]VENTAS TOTALES'!$F76</f>
        <v>13170</v>
      </c>
      <c r="AI64" s="254">
        <f>'[101]VENTAS TOTALES'!$F76</f>
        <v>11402</v>
      </c>
      <c r="AJ64" s="254">
        <f>'[102]VENTAS TOTALES'!$F76</f>
        <v>5650</v>
      </c>
    </row>
    <row r="65" spans="1:36" x14ac:dyDescent="0.2">
      <c r="A65" s="424"/>
      <c r="B65" s="315" t="s">
        <v>138</v>
      </c>
      <c r="C65" s="254">
        <f>'[69]VENTAS TOTALES'!$F77</f>
        <v>9260</v>
      </c>
      <c r="D65" s="254">
        <f>'[70]VENTAS TOTALES'!$F77</f>
        <v>9967</v>
      </c>
      <c r="E65" s="254">
        <f>'[71]VENTAS TOTALES'!$F77</f>
        <v>8094</v>
      </c>
      <c r="F65" s="254">
        <f>'[72]VENTAS TOTALES'!$F77</f>
        <v>8366</v>
      </c>
      <c r="G65" s="254">
        <f>'[73]VENTAS TOTALES'!$F77</f>
        <v>9308</v>
      </c>
      <c r="H65" s="254">
        <f>'[74]VENTAS TOTALES'!$F77</f>
        <v>4025</v>
      </c>
      <c r="I65" s="254">
        <f>'[75]VENTAS TOTALES'!$F77</f>
        <v>8604</v>
      </c>
      <c r="J65" s="254">
        <f>'[76]VENTAS TOTALES'!$F77</f>
        <v>8060</v>
      </c>
      <c r="K65" s="254">
        <f>'[77]VENTAS TOTALES'!$F77</f>
        <v>8092</v>
      </c>
      <c r="L65" s="254">
        <f>'[78]VENTAS TOTALES'!$F77</f>
        <v>7880</v>
      </c>
      <c r="M65" s="254">
        <f>'[79]VENTAS TOTALES'!$F77</f>
        <v>7436</v>
      </c>
      <c r="N65" s="254">
        <f>'[80]VENTAS TOTALES'!$F77</f>
        <v>8458</v>
      </c>
      <c r="O65" s="254">
        <f>'[81]VENTAS TOTALES'!$F77</f>
        <v>2970</v>
      </c>
      <c r="P65" s="254">
        <f>'[82]VENTAS TOTALES'!$F77</f>
        <v>8344</v>
      </c>
      <c r="Q65" s="254">
        <f>'[83]VENTAS TOTALES'!$F77</f>
        <v>7895</v>
      </c>
      <c r="R65" s="254">
        <f>'[84]VENTAS TOTALES'!$F77</f>
        <v>8541</v>
      </c>
      <c r="S65" s="254">
        <f>'[85]VENTAS TOTALES'!$F77</f>
        <v>7554</v>
      </c>
      <c r="T65" s="254">
        <f>'[86]VENTAS TOTALES'!$F77</f>
        <v>7956</v>
      </c>
      <c r="U65" s="254">
        <f>'[87]VENTAS TOTALES'!$F77</f>
        <v>8292</v>
      </c>
      <c r="V65" s="254">
        <f>'[88]VENTAS TOTALES'!$F77</f>
        <v>2810</v>
      </c>
      <c r="W65" s="254">
        <f>'[89]VENTAS TOTALES'!$F77</f>
        <v>8547</v>
      </c>
      <c r="X65" s="254">
        <f>'[90]VENTAS TOTALES'!$F77</f>
        <v>7903</v>
      </c>
      <c r="Y65" s="254">
        <f>'[91]VENTAS TOTALES'!$F77</f>
        <v>8395</v>
      </c>
      <c r="Z65" s="254">
        <f>'[92]VENTAS TOTALES'!$F77</f>
        <v>7187</v>
      </c>
      <c r="AA65" s="254">
        <f>'[93]VENTAS TOTALES'!$F77</f>
        <v>7256</v>
      </c>
      <c r="AB65" s="254">
        <f>'[94]VENTAS TOTALES'!$F77</f>
        <v>8669</v>
      </c>
      <c r="AC65" s="254">
        <f>'[95]VENTAS TOTALES'!$F77</f>
        <v>2922</v>
      </c>
      <c r="AD65" s="254">
        <f>'[96]VENTAS TOTALES'!$F77</f>
        <v>9233</v>
      </c>
      <c r="AE65" s="254">
        <f>'[97]VENTAS TOTALES'!$F77</f>
        <v>9223</v>
      </c>
      <c r="AF65" s="254">
        <f>'[98]VENTAS TOTALES'!$F77</f>
        <v>9308</v>
      </c>
      <c r="AG65" s="254">
        <f>'[99]VENTAS TOTALES'!$F77</f>
        <v>8493</v>
      </c>
      <c r="AH65" s="254">
        <f>'[100]VENTAS TOTALES'!$F77</f>
        <v>7811</v>
      </c>
      <c r="AI65" s="254">
        <f>'[101]VENTAS TOTALES'!$F77</f>
        <v>8577</v>
      </c>
      <c r="AJ65" s="254">
        <f>'[102]VENTAS TOTALES'!$F77</f>
        <v>2897</v>
      </c>
    </row>
    <row r="66" spans="1:36" x14ac:dyDescent="0.2">
      <c r="A66" s="424"/>
      <c r="B66" s="316" t="s">
        <v>198</v>
      </c>
      <c r="C66" s="254">
        <f>'[69]VENTAS TOTALES'!$F78</f>
        <v>7378</v>
      </c>
      <c r="D66" s="254">
        <f>'[70]VENTAS TOTALES'!$F78</f>
        <v>6680</v>
      </c>
      <c r="E66" s="254">
        <f>'[71]VENTAS TOTALES'!$F78</f>
        <v>5464</v>
      </c>
      <c r="F66" s="254">
        <f>'[72]VENTAS TOTALES'!$F78</f>
        <v>5793</v>
      </c>
      <c r="G66" s="254">
        <f>'[73]VENTAS TOTALES'!$F78</f>
        <v>5367</v>
      </c>
      <c r="H66" s="254">
        <f>'[74]VENTAS TOTALES'!$F78</f>
        <v>1759</v>
      </c>
      <c r="I66" s="254">
        <f>'[75]VENTAS TOTALES'!$F78</f>
        <v>7109</v>
      </c>
      <c r="J66" s="254">
        <f>'[76]VENTAS TOTALES'!$F78</f>
        <v>6350</v>
      </c>
      <c r="K66" s="254">
        <f>'[77]VENTAS TOTALES'!$F78</f>
        <v>5816</v>
      </c>
      <c r="L66" s="254">
        <f>'[78]VENTAS TOTALES'!$F78</f>
        <v>5756</v>
      </c>
      <c r="M66" s="254">
        <f>'[79]VENTAS TOTALES'!$F78</f>
        <v>5449</v>
      </c>
      <c r="N66" s="254">
        <f>'[80]VENTAS TOTALES'!$F78</f>
        <v>4673</v>
      </c>
      <c r="O66" s="254">
        <f>'[81]VENTAS TOTALES'!$F78</f>
        <v>1578</v>
      </c>
      <c r="P66" s="254">
        <f>'[82]VENTAS TOTALES'!$F78</f>
        <v>6663</v>
      </c>
      <c r="Q66" s="254">
        <f>'[83]VENTAS TOTALES'!$F78</f>
        <v>6218</v>
      </c>
      <c r="R66" s="254">
        <f>'[84]VENTAS TOTALES'!$F78</f>
        <v>5992</v>
      </c>
      <c r="S66" s="254">
        <f>'[85]VENTAS TOTALES'!$F78</f>
        <v>6031</v>
      </c>
      <c r="T66" s="254">
        <f>'[86]VENTAS TOTALES'!$F78</f>
        <v>5480</v>
      </c>
      <c r="U66" s="254">
        <f>'[87]VENTAS TOTALES'!$F78</f>
        <v>4936</v>
      </c>
      <c r="V66" s="254">
        <f>'[88]VENTAS TOTALES'!$F78</f>
        <v>1554</v>
      </c>
      <c r="W66" s="254">
        <f>'[89]VENTAS TOTALES'!$F78</f>
        <v>6982</v>
      </c>
      <c r="X66" s="254">
        <f>'[90]VENTAS TOTALES'!$F78</f>
        <v>6010</v>
      </c>
      <c r="Y66" s="254">
        <f>'[91]VENTAS TOTALES'!$F78</f>
        <v>6088</v>
      </c>
      <c r="Z66" s="254">
        <f>'[92]VENTAS TOTALES'!$F78</f>
        <v>6111</v>
      </c>
      <c r="AA66" s="254">
        <f>'[93]VENTAS TOTALES'!$F78</f>
        <v>5474</v>
      </c>
      <c r="AB66" s="254">
        <f>'[94]VENTAS TOTALES'!$F78</f>
        <v>5262</v>
      </c>
      <c r="AC66" s="254">
        <f>'[95]VENTAS TOTALES'!$F78</f>
        <v>1716</v>
      </c>
      <c r="AD66" s="254">
        <f>'[96]VENTAS TOTALES'!$F78</f>
        <v>7747</v>
      </c>
      <c r="AE66" s="254">
        <f>'[97]VENTAS TOTALES'!$F78</f>
        <v>7353</v>
      </c>
      <c r="AF66" s="254">
        <f>'[98]VENTAS TOTALES'!$F78</f>
        <v>7485</v>
      </c>
      <c r="AG66" s="254">
        <f>'[99]VENTAS TOTALES'!$F78</f>
        <v>6464</v>
      </c>
      <c r="AH66" s="254">
        <f>'[100]VENTAS TOTALES'!$F78</f>
        <v>5582</v>
      </c>
      <c r="AI66" s="254">
        <f>'[101]VENTAS TOTALES'!$F78</f>
        <v>4827</v>
      </c>
      <c r="AJ66" s="254">
        <f>'[102]VENTAS TOTALES'!$F78</f>
        <v>1668</v>
      </c>
    </row>
    <row r="67" spans="1:36" x14ac:dyDescent="0.2">
      <c r="A67" s="424"/>
      <c r="B67" s="309" t="s">
        <v>33</v>
      </c>
      <c r="C67" s="252">
        <f>'[69]VENTAS TOTALES'!$F79</f>
        <v>2424</v>
      </c>
      <c r="D67" s="252">
        <f>'[70]VENTAS TOTALES'!$F79</f>
        <v>2176</v>
      </c>
      <c r="E67" s="252">
        <f>'[71]VENTAS TOTALES'!$F79</f>
        <v>2085</v>
      </c>
      <c r="F67" s="252">
        <f>'[72]VENTAS TOTALES'!$F79</f>
        <v>2072</v>
      </c>
      <c r="G67" s="252">
        <f>'[73]VENTAS TOTALES'!$F79</f>
        <v>1500</v>
      </c>
      <c r="H67" s="252">
        <f>'[74]VENTAS TOTALES'!$F79</f>
        <v>427</v>
      </c>
      <c r="I67" s="252">
        <f>'[75]VENTAS TOTALES'!$F79</f>
        <v>2163</v>
      </c>
      <c r="J67" s="252">
        <f>'[76]VENTAS TOTALES'!$F79</f>
        <v>2137</v>
      </c>
      <c r="K67" s="252">
        <f>'[77]VENTAS TOTALES'!$F79</f>
        <v>2049</v>
      </c>
      <c r="L67" s="252">
        <f>'[78]VENTAS TOTALES'!$F79</f>
        <v>2143</v>
      </c>
      <c r="M67" s="252">
        <f>'[79]VENTAS TOTALES'!$F79</f>
        <v>2021</v>
      </c>
      <c r="N67" s="252">
        <f>'[80]VENTAS TOTALES'!$F79</f>
        <v>1447</v>
      </c>
      <c r="O67" s="252">
        <f>'[81]VENTAS TOTALES'!$F79</f>
        <v>425</v>
      </c>
      <c r="P67" s="252">
        <f>'[82]VENTAS TOTALES'!$F79</f>
        <v>2390</v>
      </c>
      <c r="Q67" s="252">
        <f>'[83]VENTAS TOTALES'!$F79</f>
        <v>2157</v>
      </c>
      <c r="R67" s="252">
        <f>'[84]VENTAS TOTALES'!$F79</f>
        <v>2200</v>
      </c>
      <c r="S67" s="252">
        <f>'[85]VENTAS TOTALES'!$F79</f>
        <v>2050</v>
      </c>
      <c r="T67" s="252">
        <f>'[86]VENTAS TOTALES'!$F79</f>
        <v>1999</v>
      </c>
      <c r="U67" s="252">
        <f>'[87]VENTAS TOTALES'!$F79</f>
        <v>1430</v>
      </c>
      <c r="V67" s="252">
        <f>'[88]VENTAS TOTALES'!$F79</f>
        <v>380</v>
      </c>
      <c r="W67" s="252">
        <f>'[89]VENTAS TOTALES'!$F79</f>
        <v>2437</v>
      </c>
      <c r="X67" s="252">
        <f>'[90]VENTAS TOTALES'!$F79</f>
        <v>2294</v>
      </c>
      <c r="Y67" s="252">
        <f>'[91]VENTAS TOTALES'!$F79</f>
        <v>2196</v>
      </c>
      <c r="Z67" s="252">
        <f>'[92]VENTAS TOTALES'!$F79</f>
        <v>2105</v>
      </c>
      <c r="AA67" s="252">
        <f>'[93]VENTAS TOTALES'!$F79</f>
        <v>2209</v>
      </c>
      <c r="AB67" s="252">
        <f>'[94]VENTAS TOTALES'!$F79</f>
        <v>1640</v>
      </c>
      <c r="AC67" s="252">
        <f>'[95]VENTAS TOTALES'!$F79</f>
        <v>534</v>
      </c>
      <c r="AD67" s="252">
        <f>'[96]VENTAS TOTALES'!$F79</f>
        <v>2625</v>
      </c>
      <c r="AE67" s="252">
        <f>'[97]VENTAS TOTALES'!$F79</f>
        <v>2534</v>
      </c>
      <c r="AF67" s="252">
        <f>'[98]VENTAS TOTALES'!$F79</f>
        <v>2361</v>
      </c>
      <c r="AG67" s="252">
        <f>'[99]VENTAS TOTALES'!$F79</f>
        <v>2426</v>
      </c>
      <c r="AH67" s="252">
        <f>'[100]VENTAS TOTALES'!$F79</f>
        <v>2082</v>
      </c>
      <c r="AI67" s="252">
        <f>'[101]VENTAS TOTALES'!$F79</f>
        <v>1532</v>
      </c>
      <c r="AJ67" s="252">
        <f>'[102]VENTAS TOTALES'!$F79</f>
        <v>446</v>
      </c>
    </row>
    <row r="68" spans="1:36" ht="13.5" thickBot="1" x14ac:dyDescent="0.25">
      <c r="A68" s="424"/>
      <c r="B68" s="310" t="s">
        <v>34</v>
      </c>
      <c r="C68" s="269">
        <f>'[69]VENTAS TOTALES'!$F80</f>
        <v>4310</v>
      </c>
      <c r="D68" s="269">
        <f>'[70]VENTAS TOTALES'!$F80</f>
        <v>4719</v>
      </c>
      <c r="E68" s="269">
        <f>'[71]VENTAS TOTALES'!$F80</f>
        <v>3910</v>
      </c>
      <c r="F68" s="269">
        <f>'[72]VENTAS TOTALES'!$F80</f>
        <v>4120</v>
      </c>
      <c r="G68" s="269">
        <f>'[73]VENTAS TOTALES'!$F80</f>
        <v>3439</v>
      </c>
      <c r="H68" s="269">
        <f>'[74]VENTAS TOTALES'!$F80</f>
        <v>1715</v>
      </c>
      <c r="I68" s="269">
        <f>'[75]VENTAS TOTALES'!$F80</f>
        <v>4613</v>
      </c>
      <c r="J68" s="269">
        <f>'[76]VENTAS TOTALES'!$F80</f>
        <v>4134</v>
      </c>
      <c r="K68" s="269">
        <f>'[77]VENTAS TOTALES'!$F80</f>
        <v>3870</v>
      </c>
      <c r="L68" s="269">
        <f>'[78]VENTAS TOTALES'!$F80</f>
        <v>4064</v>
      </c>
      <c r="M68" s="269">
        <f>'[79]VENTAS TOTALES'!$F80</f>
        <v>4017</v>
      </c>
      <c r="N68" s="269">
        <f>'[80]VENTAS TOTALES'!$F80</f>
        <v>3179</v>
      </c>
      <c r="O68" s="269">
        <f>'[81]VENTAS TOTALES'!$F80</f>
        <v>1673</v>
      </c>
      <c r="P68" s="269">
        <f>'[82]VENTAS TOTALES'!$F80</f>
        <v>4687</v>
      </c>
      <c r="Q68" s="269">
        <f>'[83]VENTAS TOTALES'!$F80</f>
        <v>4152</v>
      </c>
      <c r="R68" s="269">
        <f>'[84]VENTAS TOTALES'!$F80</f>
        <v>4539</v>
      </c>
      <c r="S68" s="269">
        <f>'[85]VENTAS TOTALES'!$F80</f>
        <v>3937</v>
      </c>
      <c r="T68" s="269">
        <f>'[86]VENTAS TOTALES'!$F80</f>
        <v>4076</v>
      </c>
      <c r="U68" s="269">
        <f>'[87]VENTAS TOTALES'!$F80</f>
        <v>3252</v>
      </c>
      <c r="V68" s="269">
        <f>'[88]VENTAS TOTALES'!$F80</f>
        <v>1813</v>
      </c>
      <c r="W68" s="269">
        <f>'[89]VENTAS TOTALES'!$F80</f>
        <v>4582</v>
      </c>
      <c r="X68" s="269">
        <f>'[90]VENTAS TOTALES'!$F80</f>
        <v>4270</v>
      </c>
      <c r="Y68" s="269">
        <f>'[91]VENTAS TOTALES'!$F80</f>
        <v>4139</v>
      </c>
      <c r="Z68" s="269">
        <f>'[92]VENTAS TOTALES'!$F80</f>
        <v>3936</v>
      </c>
      <c r="AA68" s="269">
        <f>'[93]VENTAS TOTALES'!$F80</f>
        <v>4228</v>
      </c>
      <c r="AB68" s="269">
        <f>'[94]VENTAS TOTALES'!$F80</f>
        <v>3217</v>
      </c>
      <c r="AC68" s="269">
        <f>'[95]VENTAS TOTALES'!$F80</f>
        <v>1914</v>
      </c>
      <c r="AD68" s="269">
        <f>'[96]VENTAS TOTALES'!$F80</f>
        <v>4892</v>
      </c>
      <c r="AE68" s="269">
        <f>'[97]VENTAS TOTALES'!$F80</f>
        <v>4800</v>
      </c>
      <c r="AF68" s="269">
        <f>'[98]VENTAS TOTALES'!$F80</f>
        <v>4624</v>
      </c>
      <c r="AG68" s="269">
        <f>'[99]VENTAS TOTALES'!$F80</f>
        <v>4265</v>
      </c>
      <c r="AH68" s="269">
        <f>'[100]VENTAS TOTALES'!$F80</f>
        <v>4328</v>
      </c>
      <c r="AI68" s="269">
        <f>'[101]VENTAS TOTALES'!$F80</f>
        <v>3440</v>
      </c>
      <c r="AJ68" s="269">
        <f>'[102]VENTAS TOTALES'!$F80</f>
        <v>1711</v>
      </c>
    </row>
    <row r="69" spans="1:36" x14ac:dyDescent="0.2">
      <c r="A69" s="424"/>
      <c r="B69" s="41" t="s">
        <v>127</v>
      </c>
      <c r="C69" s="267">
        <f>'[69]VENTAS TOTALES'!$F81</f>
        <v>0</v>
      </c>
      <c r="D69" s="267">
        <f>'[70]VENTAS TOTALES'!$F81</f>
        <v>0</v>
      </c>
      <c r="E69" s="267">
        <f>'[71]VENTAS TOTALES'!$F81</f>
        <v>0</v>
      </c>
      <c r="F69" s="267">
        <f>'[72]VENTAS TOTALES'!$F81</f>
        <v>0</v>
      </c>
      <c r="G69" s="267">
        <f>'[73]VENTAS TOTALES'!$F81</f>
        <v>0</v>
      </c>
      <c r="H69" s="267">
        <f>'[74]VENTAS TOTALES'!$F81</f>
        <v>0</v>
      </c>
      <c r="I69" s="267">
        <f>'[75]VENTAS TOTALES'!$F81</f>
        <v>0</v>
      </c>
      <c r="J69" s="267">
        <f>'[76]VENTAS TOTALES'!$F81</f>
        <v>0</v>
      </c>
      <c r="K69" s="267">
        <f>'[77]VENTAS TOTALES'!$F81</f>
        <v>0</v>
      </c>
      <c r="L69" s="267">
        <f>'[78]VENTAS TOTALES'!$F81</f>
        <v>0</v>
      </c>
      <c r="M69" s="267">
        <f>'[79]VENTAS TOTALES'!$F81</f>
        <v>0</v>
      </c>
      <c r="N69" s="267">
        <f>'[80]VENTAS TOTALES'!$F81</f>
        <v>0</v>
      </c>
      <c r="O69" s="267">
        <f>'[81]VENTAS TOTALES'!$F81</f>
        <v>0</v>
      </c>
      <c r="P69" s="267">
        <f>'[82]VENTAS TOTALES'!$F81</f>
        <v>0</v>
      </c>
      <c r="Q69" s="267">
        <f>'[83]VENTAS TOTALES'!$F81</f>
        <v>0</v>
      </c>
      <c r="R69" s="267">
        <f>'[84]VENTAS TOTALES'!$F81</f>
        <v>0</v>
      </c>
      <c r="S69" s="267">
        <f>'[85]VENTAS TOTALES'!$F81</f>
        <v>0</v>
      </c>
      <c r="T69" s="267">
        <f>'[86]VENTAS TOTALES'!$F81</f>
        <v>0</v>
      </c>
      <c r="U69" s="267">
        <f>'[87]VENTAS TOTALES'!$F81</f>
        <v>0</v>
      </c>
      <c r="V69" s="267">
        <f>'[88]VENTAS TOTALES'!$F81</f>
        <v>0</v>
      </c>
      <c r="W69" s="267">
        <f>'[89]VENTAS TOTALES'!$F81</f>
        <v>0</v>
      </c>
      <c r="X69" s="267">
        <f>'[90]VENTAS TOTALES'!$F81</f>
        <v>0</v>
      </c>
      <c r="Y69" s="267">
        <f>'[91]VENTAS TOTALES'!$F81</f>
        <v>0</v>
      </c>
      <c r="Z69" s="267">
        <f>'[92]VENTAS TOTALES'!$F81</f>
        <v>0</v>
      </c>
      <c r="AA69" s="267">
        <f>'[93]VENTAS TOTALES'!$F81</f>
        <v>0</v>
      </c>
      <c r="AB69" s="267">
        <f>'[94]VENTAS TOTALES'!$F81</f>
        <v>0</v>
      </c>
      <c r="AC69" s="267">
        <f>'[95]VENTAS TOTALES'!$F81</f>
        <v>0</v>
      </c>
      <c r="AD69" s="267">
        <f>'[96]VENTAS TOTALES'!$F81</f>
        <v>0</v>
      </c>
      <c r="AE69" s="267">
        <f>'[97]VENTAS TOTALES'!$F81</f>
        <v>0</v>
      </c>
      <c r="AF69" s="267">
        <f>'[98]VENTAS TOTALES'!$F81</f>
        <v>0</v>
      </c>
      <c r="AG69" s="267">
        <f>'[99]VENTAS TOTALES'!$F81</f>
        <v>0</v>
      </c>
      <c r="AH69" s="267">
        <f>'[100]VENTAS TOTALES'!$F81</f>
        <v>14466</v>
      </c>
      <c r="AI69" s="267">
        <f>'[101]VENTAS TOTALES'!$F81</f>
        <v>8066</v>
      </c>
      <c r="AJ69" s="267">
        <f>'[102]VENTAS TOTALES'!$F81</f>
        <v>2668</v>
      </c>
    </row>
    <row r="70" spans="1:36" x14ac:dyDescent="0.2">
      <c r="A70" s="424"/>
      <c r="B70" s="272" t="s">
        <v>293</v>
      </c>
      <c r="C70" s="252">
        <f>'[69]VENTAS TOTALES'!$F82</f>
        <v>0</v>
      </c>
      <c r="D70" s="252">
        <f>'[70]VENTAS TOTALES'!$F82</f>
        <v>0</v>
      </c>
      <c r="E70" s="252">
        <f>'[71]VENTAS TOTALES'!$F82</f>
        <v>0</v>
      </c>
      <c r="F70" s="252">
        <f>'[72]VENTAS TOTALES'!$F82</f>
        <v>0</v>
      </c>
      <c r="G70" s="252">
        <f>'[73]VENTAS TOTALES'!$F82</f>
        <v>0</v>
      </c>
      <c r="H70" s="252">
        <f>'[74]VENTAS TOTALES'!$F82</f>
        <v>0</v>
      </c>
      <c r="I70" s="252">
        <f>'[75]VENTAS TOTALES'!$F82</f>
        <v>0</v>
      </c>
      <c r="J70" s="252">
        <f>'[76]VENTAS TOTALES'!$F82</f>
        <v>0</v>
      </c>
      <c r="K70" s="252">
        <f>'[77]VENTAS TOTALES'!$F82</f>
        <v>0</v>
      </c>
      <c r="L70" s="252">
        <f>'[78]VENTAS TOTALES'!$F82</f>
        <v>0</v>
      </c>
      <c r="M70" s="252">
        <f>'[79]VENTAS TOTALES'!$F82</f>
        <v>0</v>
      </c>
      <c r="N70" s="252">
        <f>'[80]VENTAS TOTALES'!$F82</f>
        <v>0</v>
      </c>
      <c r="O70" s="252">
        <f>'[81]VENTAS TOTALES'!$F82</f>
        <v>0</v>
      </c>
      <c r="P70" s="252">
        <f>'[82]VENTAS TOTALES'!$F82</f>
        <v>0</v>
      </c>
      <c r="Q70" s="252">
        <f>'[83]VENTAS TOTALES'!$F82</f>
        <v>0</v>
      </c>
      <c r="R70" s="252">
        <f>'[84]VENTAS TOTALES'!$F82</f>
        <v>0</v>
      </c>
      <c r="S70" s="252">
        <f>'[85]VENTAS TOTALES'!$F82</f>
        <v>0</v>
      </c>
      <c r="T70" s="252">
        <f>'[86]VENTAS TOTALES'!$F82</f>
        <v>0</v>
      </c>
      <c r="U70" s="252">
        <f>'[87]VENTAS TOTALES'!$F82</f>
        <v>0</v>
      </c>
      <c r="V70" s="252">
        <f>'[88]VENTAS TOTALES'!$F82</f>
        <v>0</v>
      </c>
      <c r="W70" s="252">
        <f>'[89]VENTAS TOTALES'!$F82</f>
        <v>0</v>
      </c>
      <c r="X70" s="252">
        <f>'[90]VENTAS TOTALES'!$F82</f>
        <v>0</v>
      </c>
      <c r="Y70" s="252">
        <f>'[91]VENTAS TOTALES'!$F82</f>
        <v>0</v>
      </c>
      <c r="Z70" s="252">
        <f>'[92]VENTAS TOTALES'!$F82</f>
        <v>0</v>
      </c>
      <c r="AA70" s="252">
        <f>'[93]VENTAS TOTALES'!$F82</f>
        <v>0</v>
      </c>
      <c r="AB70" s="252">
        <f>'[94]VENTAS TOTALES'!$F82</f>
        <v>0</v>
      </c>
      <c r="AC70" s="252">
        <f>'[95]VENTAS TOTALES'!$F82</f>
        <v>0</v>
      </c>
      <c r="AD70" s="252">
        <f>'[96]VENTAS TOTALES'!$F82</f>
        <v>0</v>
      </c>
      <c r="AE70" s="252">
        <f>'[97]VENTAS TOTALES'!$F82</f>
        <v>0</v>
      </c>
      <c r="AF70" s="252">
        <f>'[98]VENTAS TOTALES'!$F82</f>
        <v>0</v>
      </c>
      <c r="AG70" s="252">
        <f>'[99]VENTAS TOTALES'!$F82</f>
        <v>0</v>
      </c>
      <c r="AH70" s="252">
        <f>'[100]VENTAS TOTALES'!$F82</f>
        <v>5277</v>
      </c>
      <c r="AI70" s="252">
        <f>'[101]VENTAS TOTALES'!$F82</f>
        <v>2996</v>
      </c>
      <c r="AJ70" s="252">
        <f>'[102]VENTAS TOTALES'!$F82</f>
        <v>911</v>
      </c>
    </row>
    <row r="71" spans="1:36" x14ac:dyDescent="0.2">
      <c r="A71" s="424"/>
      <c r="B71" s="272" t="s">
        <v>294</v>
      </c>
      <c r="C71" s="252">
        <f>'[69]VENTAS TOTALES'!$F83</f>
        <v>0</v>
      </c>
      <c r="D71" s="252">
        <f>'[70]VENTAS TOTALES'!$F83</f>
        <v>0</v>
      </c>
      <c r="E71" s="252">
        <f>'[71]VENTAS TOTALES'!$F83</f>
        <v>0</v>
      </c>
      <c r="F71" s="252">
        <f>'[72]VENTAS TOTALES'!$F83</f>
        <v>0</v>
      </c>
      <c r="G71" s="252">
        <f>'[73]VENTAS TOTALES'!$F83</f>
        <v>0</v>
      </c>
      <c r="H71" s="252">
        <f>'[74]VENTAS TOTALES'!$F83</f>
        <v>0</v>
      </c>
      <c r="I71" s="252">
        <f>'[75]VENTAS TOTALES'!$F83</f>
        <v>0</v>
      </c>
      <c r="J71" s="252">
        <f>'[76]VENTAS TOTALES'!$F83</f>
        <v>0</v>
      </c>
      <c r="K71" s="252">
        <f>'[77]VENTAS TOTALES'!$F83</f>
        <v>0</v>
      </c>
      <c r="L71" s="252">
        <f>'[78]VENTAS TOTALES'!$F83</f>
        <v>0</v>
      </c>
      <c r="M71" s="252">
        <f>'[79]VENTAS TOTALES'!$F83</f>
        <v>0</v>
      </c>
      <c r="N71" s="252">
        <f>'[80]VENTAS TOTALES'!$F83</f>
        <v>0</v>
      </c>
      <c r="O71" s="252">
        <f>'[81]VENTAS TOTALES'!$F83</f>
        <v>0</v>
      </c>
      <c r="P71" s="252">
        <f>'[82]VENTAS TOTALES'!$F83</f>
        <v>0</v>
      </c>
      <c r="Q71" s="252">
        <f>'[83]VENTAS TOTALES'!$F83</f>
        <v>0</v>
      </c>
      <c r="R71" s="252">
        <f>'[84]VENTAS TOTALES'!$F83</f>
        <v>0</v>
      </c>
      <c r="S71" s="252">
        <f>'[85]VENTAS TOTALES'!$F83</f>
        <v>0</v>
      </c>
      <c r="T71" s="252">
        <f>'[86]VENTAS TOTALES'!$F83</f>
        <v>0</v>
      </c>
      <c r="U71" s="252">
        <f>'[87]VENTAS TOTALES'!$F83</f>
        <v>0</v>
      </c>
      <c r="V71" s="252">
        <f>'[88]VENTAS TOTALES'!$F83</f>
        <v>0</v>
      </c>
      <c r="W71" s="252">
        <f>'[89]VENTAS TOTALES'!$F83</f>
        <v>0</v>
      </c>
      <c r="X71" s="252">
        <f>'[90]VENTAS TOTALES'!$F83</f>
        <v>0</v>
      </c>
      <c r="Y71" s="252">
        <f>'[91]VENTAS TOTALES'!$F83</f>
        <v>0</v>
      </c>
      <c r="Z71" s="252">
        <f>'[92]VENTAS TOTALES'!$F83</f>
        <v>0</v>
      </c>
      <c r="AA71" s="252">
        <f>'[93]VENTAS TOTALES'!$F83</f>
        <v>0</v>
      </c>
      <c r="AB71" s="252">
        <f>'[94]VENTAS TOTALES'!$F83</f>
        <v>0</v>
      </c>
      <c r="AC71" s="252">
        <f>'[95]VENTAS TOTALES'!$F83</f>
        <v>0</v>
      </c>
      <c r="AD71" s="252">
        <f>'[96]VENTAS TOTALES'!$F83</f>
        <v>0</v>
      </c>
      <c r="AE71" s="252">
        <f>'[97]VENTAS TOTALES'!$F83</f>
        <v>0</v>
      </c>
      <c r="AF71" s="252">
        <f>'[98]VENTAS TOTALES'!$F83</f>
        <v>0</v>
      </c>
      <c r="AG71" s="252">
        <f>'[99]VENTAS TOTALES'!$F83</f>
        <v>0</v>
      </c>
      <c r="AH71" s="252">
        <f>'[100]VENTAS TOTALES'!$F83</f>
        <v>2588</v>
      </c>
      <c r="AI71" s="252">
        <f>'[101]VENTAS TOTALES'!$F83</f>
        <v>1666</v>
      </c>
      <c r="AJ71" s="252">
        <f>'[102]VENTAS TOTALES'!$F83</f>
        <v>743</v>
      </c>
    </row>
    <row r="72" spans="1:36" x14ac:dyDescent="0.2">
      <c r="A72" s="424"/>
      <c r="B72" s="272" t="s">
        <v>140</v>
      </c>
      <c r="C72" s="252">
        <f>'[69]VENTAS TOTALES'!$F84</f>
        <v>3018</v>
      </c>
      <c r="D72" s="252">
        <f>'[70]VENTAS TOTALES'!$F84</f>
        <v>2942</v>
      </c>
      <c r="E72" s="252">
        <f>'[71]VENTAS TOTALES'!$F84</f>
        <v>2602</v>
      </c>
      <c r="F72" s="252">
        <f>'[72]VENTAS TOTALES'!$F84</f>
        <v>2340</v>
      </c>
      <c r="G72" s="252">
        <f>'[73]VENTAS TOTALES'!$F84</f>
        <v>1966</v>
      </c>
      <c r="H72" s="252">
        <f>'[74]VENTAS TOTALES'!$F84</f>
        <v>576</v>
      </c>
      <c r="I72" s="252">
        <f>'[75]VENTAS TOTALES'!$F84</f>
        <v>2682</v>
      </c>
      <c r="J72" s="252">
        <f>'[76]VENTAS TOTALES'!$F84</f>
        <v>2674</v>
      </c>
      <c r="K72" s="252">
        <f>'[77]VENTAS TOTALES'!$F84</f>
        <v>2415</v>
      </c>
      <c r="L72" s="252">
        <f>'[78]VENTAS TOTALES'!$F84</f>
        <v>2512</v>
      </c>
      <c r="M72" s="252">
        <f>'[79]VENTAS TOTALES'!$F84</f>
        <v>2668</v>
      </c>
      <c r="N72" s="252">
        <f>'[80]VENTAS TOTALES'!$F84</f>
        <v>1644</v>
      </c>
      <c r="O72" s="252">
        <f>'[81]VENTAS TOTALES'!$F84</f>
        <v>517</v>
      </c>
      <c r="P72" s="252">
        <f>'[82]VENTAS TOTALES'!$F84</f>
        <v>2521</v>
      </c>
      <c r="Q72" s="252">
        <f>'[83]VENTAS TOTALES'!$F84</f>
        <v>2335</v>
      </c>
      <c r="R72" s="252">
        <f>'[84]VENTAS TOTALES'!$F84</f>
        <v>2626</v>
      </c>
      <c r="S72" s="252">
        <f>'[85]VENTAS TOTALES'!$F84</f>
        <v>2221</v>
      </c>
      <c r="T72" s="252">
        <f>'[86]VENTAS TOTALES'!$F84</f>
        <v>2455</v>
      </c>
      <c r="U72" s="252">
        <f>'[87]VENTAS TOTALES'!$F84</f>
        <v>1870</v>
      </c>
      <c r="V72" s="252">
        <f>'[88]VENTAS TOTALES'!$F84</f>
        <v>548</v>
      </c>
      <c r="W72" s="252">
        <f>'[89]VENTAS TOTALES'!$F84</f>
        <v>2678</v>
      </c>
      <c r="X72" s="252">
        <f>'[90]VENTAS TOTALES'!$F84</f>
        <v>2589</v>
      </c>
      <c r="Y72" s="252">
        <f>'[91]VENTAS TOTALES'!$F84</f>
        <v>2506</v>
      </c>
      <c r="Z72" s="252">
        <f>'[92]VENTAS TOTALES'!$F84</f>
        <v>2583</v>
      </c>
      <c r="AA72" s="252">
        <f>'[93]VENTAS TOTALES'!$F84</f>
        <v>2527</v>
      </c>
      <c r="AB72" s="252">
        <f>'[94]VENTAS TOTALES'!$F84</f>
        <v>1886</v>
      </c>
      <c r="AC72" s="252">
        <f>'[95]VENTAS TOTALES'!$F84</f>
        <v>620</v>
      </c>
      <c r="AD72" s="252">
        <f>'[96]VENTAS TOTALES'!$F84</f>
        <v>3285</v>
      </c>
      <c r="AE72" s="252">
        <f>'[97]VENTAS TOTALES'!$F84</f>
        <v>3285</v>
      </c>
      <c r="AF72" s="252">
        <f>'[98]VENTAS TOTALES'!$F84</f>
        <v>2946</v>
      </c>
      <c r="AG72" s="252">
        <f>'[99]VENTAS TOTALES'!$F84</f>
        <v>2559</v>
      </c>
      <c r="AH72" s="252">
        <f>'[100]VENTAS TOTALES'!$F84</f>
        <v>2543</v>
      </c>
      <c r="AI72" s="252">
        <f>'[101]VENTAS TOTALES'!$F84</f>
        <v>1911</v>
      </c>
      <c r="AJ72" s="252">
        <f>'[102]VENTAS TOTALES'!$F84</f>
        <v>552</v>
      </c>
    </row>
    <row r="73" spans="1:36" ht="13.5" thickBot="1" x14ac:dyDescent="0.25">
      <c r="A73" s="424"/>
      <c r="B73" s="273" t="s">
        <v>141</v>
      </c>
      <c r="C73" s="269">
        <f>'[69]VENTAS TOTALES'!$F85</f>
        <v>1463</v>
      </c>
      <c r="D73" s="269">
        <f>'[70]VENTAS TOTALES'!$F85</f>
        <v>1362</v>
      </c>
      <c r="E73" s="269">
        <f>'[71]VENTAS TOTALES'!$F85</f>
        <v>1224</v>
      </c>
      <c r="F73" s="269">
        <f>'[72]VENTAS TOTALES'!$F85</f>
        <v>1262</v>
      </c>
      <c r="G73" s="269">
        <f>'[73]VENTAS TOTALES'!$F85</f>
        <v>1190</v>
      </c>
      <c r="H73" s="269">
        <f>'[74]VENTAS TOTALES'!$F85</f>
        <v>391</v>
      </c>
      <c r="I73" s="269">
        <f>'[75]VENTAS TOTALES'!$F85</f>
        <v>1311</v>
      </c>
      <c r="J73" s="269">
        <f>'[76]VENTAS TOTALES'!$F85</f>
        <v>1182</v>
      </c>
      <c r="K73" s="269">
        <f>'[77]VENTAS TOTALES'!$F85</f>
        <v>1216</v>
      </c>
      <c r="L73" s="269">
        <f>'[78]VENTAS TOTALES'!$F85</f>
        <v>1217</v>
      </c>
      <c r="M73" s="269">
        <f>'[79]VENTAS TOTALES'!$F85</f>
        <v>1235</v>
      </c>
      <c r="N73" s="269">
        <f>'[80]VENTAS TOTALES'!$F85</f>
        <v>1018</v>
      </c>
      <c r="O73" s="269">
        <f>'[81]VENTAS TOTALES'!$F85</f>
        <v>307</v>
      </c>
      <c r="P73" s="269">
        <f>'[82]VENTAS TOTALES'!$F85</f>
        <v>1203</v>
      </c>
      <c r="Q73" s="269">
        <f>'[83]VENTAS TOTALES'!$F85</f>
        <v>1121</v>
      </c>
      <c r="R73" s="269">
        <f>'[84]VENTAS TOTALES'!$F85</f>
        <v>1251</v>
      </c>
      <c r="S73" s="269">
        <f>'[85]VENTAS TOTALES'!$F85</f>
        <v>1169</v>
      </c>
      <c r="T73" s="269">
        <f>'[86]VENTAS TOTALES'!$F85</f>
        <v>1186</v>
      </c>
      <c r="U73" s="269">
        <f>'[87]VENTAS TOTALES'!$F85</f>
        <v>1119</v>
      </c>
      <c r="V73" s="269">
        <f>'[88]VENTAS TOTALES'!$F85</f>
        <v>351</v>
      </c>
      <c r="W73" s="269">
        <f>'[89]VENTAS TOTALES'!$F85</f>
        <v>1355</v>
      </c>
      <c r="X73" s="269">
        <f>'[90]VENTAS TOTALES'!$F85</f>
        <v>1204</v>
      </c>
      <c r="Y73" s="269">
        <f>'[91]VENTAS TOTALES'!$F85</f>
        <v>1191</v>
      </c>
      <c r="Z73" s="269">
        <f>'[92]VENTAS TOTALES'!$F85</f>
        <v>1220</v>
      </c>
      <c r="AA73" s="269">
        <f>'[93]VENTAS TOTALES'!$F85</f>
        <v>1152</v>
      </c>
      <c r="AB73" s="269">
        <f>'[94]VENTAS TOTALES'!$F85</f>
        <v>1190</v>
      </c>
      <c r="AC73" s="269">
        <f>'[95]VENTAS TOTALES'!$F85</f>
        <v>351</v>
      </c>
      <c r="AD73" s="269">
        <f>'[96]VENTAS TOTALES'!$F85</f>
        <v>978</v>
      </c>
      <c r="AE73" s="269">
        <f>'[97]VENTAS TOTALES'!$F85</f>
        <v>1636</v>
      </c>
      <c r="AF73" s="269">
        <f>'[98]VENTAS TOTALES'!$F85</f>
        <v>1397</v>
      </c>
      <c r="AG73" s="269">
        <f>'[99]VENTAS TOTALES'!$F85</f>
        <v>1403</v>
      </c>
      <c r="AH73" s="269">
        <f>'[100]VENTAS TOTALES'!$F85</f>
        <v>1162</v>
      </c>
      <c r="AI73" s="269">
        <f>'[101]VENTAS TOTALES'!$F85</f>
        <v>1127</v>
      </c>
      <c r="AJ73" s="269">
        <f>'[102]VENTAS TOTALES'!$F85</f>
        <v>471</v>
      </c>
    </row>
    <row r="74" spans="1:36" x14ac:dyDescent="0.2">
      <c r="A74" s="424"/>
      <c r="B74" s="318" t="s">
        <v>304</v>
      </c>
      <c r="C74" s="267">
        <f>'[69]VENTAS TOTALES'!$F86</f>
        <v>4145</v>
      </c>
      <c r="D74" s="267">
        <f>'[70]VENTAS TOTALES'!$F86</f>
        <v>3556</v>
      </c>
      <c r="E74" s="267">
        <f>'[71]VENTAS TOTALES'!$F86</f>
        <v>2851</v>
      </c>
      <c r="F74" s="267">
        <f>'[72]VENTAS TOTALES'!$F86</f>
        <v>2864</v>
      </c>
      <c r="G74" s="267">
        <f>'[73]VENTAS TOTALES'!$F86</f>
        <v>2555</v>
      </c>
      <c r="H74" s="267">
        <f>'[74]VENTAS TOTALES'!$F86</f>
        <v>1064</v>
      </c>
      <c r="I74" s="267">
        <f>'[75]VENTAS TOTALES'!$F86</f>
        <v>3739</v>
      </c>
      <c r="J74" s="267">
        <f>'[76]VENTAS TOTALES'!$F86</f>
        <v>3265</v>
      </c>
      <c r="K74" s="267">
        <f>'[77]VENTAS TOTALES'!$F86</f>
        <v>3129</v>
      </c>
      <c r="L74" s="267">
        <f>'[78]VENTAS TOTALES'!$F86</f>
        <v>2964</v>
      </c>
      <c r="M74" s="267">
        <f>'[79]VENTAS TOTALES'!$F86</f>
        <v>2997</v>
      </c>
      <c r="N74" s="267">
        <f>'[80]VENTAS TOTALES'!$F86</f>
        <v>2427</v>
      </c>
      <c r="O74" s="267">
        <f>'[81]VENTAS TOTALES'!$F86</f>
        <v>897</v>
      </c>
      <c r="P74" s="267">
        <f>'[82]VENTAS TOTALES'!$F86</f>
        <v>3208</v>
      </c>
      <c r="Q74" s="267">
        <f>'[83]VENTAS TOTALES'!$F86</f>
        <v>3061</v>
      </c>
      <c r="R74" s="267">
        <f>'[84]VENTAS TOTALES'!$F86</f>
        <v>3495</v>
      </c>
      <c r="S74" s="267">
        <f>'[85]VENTAS TOTALES'!$F86</f>
        <v>3196</v>
      </c>
      <c r="T74" s="267">
        <f>'[86]VENTAS TOTALES'!$F86</f>
        <v>2972</v>
      </c>
      <c r="U74" s="267">
        <f>'[87]VENTAS TOTALES'!$F86</f>
        <v>2361</v>
      </c>
      <c r="V74" s="267">
        <f>'[88]VENTAS TOTALES'!$F86</f>
        <v>961</v>
      </c>
      <c r="W74" s="267">
        <f>'[89]VENTAS TOTALES'!$F86</f>
        <v>3460</v>
      </c>
      <c r="X74" s="267">
        <f>'[90]VENTAS TOTALES'!$F86</f>
        <v>3215</v>
      </c>
      <c r="Y74" s="267">
        <f>'[91]VENTAS TOTALES'!$F86</f>
        <v>3052</v>
      </c>
      <c r="Z74" s="267">
        <f>'[92]VENTAS TOTALES'!$F86</f>
        <v>2834</v>
      </c>
      <c r="AA74" s="267">
        <f>'[93]VENTAS TOTALES'!$F86</f>
        <v>2987</v>
      </c>
      <c r="AB74" s="267">
        <f>'[94]VENTAS TOTALES'!$F86</f>
        <v>2508</v>
      </c>
      <c r="AC74" s="267">
        <f>'[95]VENTAS TOTALES'!$F86</f>
        <v>948</v>
      </c>
      <c r="AD74" s="267">
        <f>'[96]VENTAS TOTALES'!$F86</f>
        <v>4155</v>
      </c>
      <c r="AE74" s="267">
        <f>'[97]VENTAS TOTALES'!$F86</f>
        <v>4072</v>
      </c>
      <c r="AF74" s="267">
        <f>'[98]VENTAS TOTALES'!$F86</f>
        <v>3868</v>
      </c>
      <c r="AG74" s="267">
        <f>'[99]VENTAS TOTALES'!$F86</f>
        <v>3189</v>
      </c>
      <c r="AH74" s="267">
        <f>'[100]VENTAS TOTALES'!$F86</f>
        <v>3156</v>
      </c>
      <c r="AI74" s="267">
        <f>'[101]VENTAS TOTALES'!$F86</f>
        <v>2721</v>
      </c>
      <c r="AJ74" s="267">
        <f>'[102]VENTAS TOTALES'!$F86</f>
        <v>1046</v>
      </c>
    </row>
    <row r="75" spans="1:36" x14ac:dyDescent="0.2">
      <c r="A75" s="424"/>
      <c r="B75" s="313" t="s">
        <v>303</v>
      </c>
      <c r="C75" s="252">
        <f>'[69]VENTAS TOTALES'!$F87</f>
        <v>3456</v>
      </c>
      <c r="D75" s="252">
        <f>'[70]VENTAS TOTALES'!$F87</f>
        <v>3563</v>
      </c>
      <c r="E75" s="252">
        <f>'[71]VENTAS TOTALES'!$F87</f>
        <v>2971</v>
      </c>
      <c r="F75" s="252">
        <f>'[72]VENTAS TOTALES'!$F87</f>
        <v>3011</v>
      </c>
      <c r="G75" s="252">
        <f>'[73]VENTAS TOTALES'!$F87</f>
        <v>3120</v>
      </c>
      <c r="H75" s="252">
        <f>'[74]VENTAS TOTALES'!$F87</f>
        <v>1155</v>
      </c>
      <c r="I75" s="252">
        <f>'[75]VENTAS TOTALES'!$F87</f>
        <v>3096</v>
      </c>
      <c r="J75" s="252">
        <f>'[76]VENTAS TOTALES'!$F87</f>
        <v>2875</v>
      </c>
      <c r="K75" s="252">
        <f>'[77]VENTAS TOTALES'!$F87</f>
        <v>2926</v>
      </c>
      <c r="L75" s="252">
        <f>'[78]VENTAS TOTALES'!$F87</f>
        <v>2710</v>
      </c>
      <c r="M75" s="252">
        <f>'[79]VENTAS TOTALES'!$F87</f>
        <v>2797</v>
      </c>
      <c r="N75" s="252">
        <f>'[80]VENTAS TOTALES'!$F87</f>
        <v>2897</v>
      </c>
      <c r="O75" s="252">
        <f>'[81]VENTAS TOTALES'!$F87</f>
        <v>1149</v>
      </c>
      <c r="P75" s="252">
        <f>'[82]VENTAS TOTALES'!$F87</f>
        <v>3017</v>
      </c>
      <c r="Q75" s="252">
        <f>'[83]VENTAS TOTALES'!$F87</f>
        <v>2592</v>
      </c>
      <c r="R75" s="252">
        <f>'[84]VENTAS TOTALES'!$F87</f>
        <v>2847</v>
      </c>
      <c r="S75" s="252">
        <f>'[85]VENTAS TOTALES'!$F87</f>
        <v>2922</v>
      </c>
      <c r="T75" s="252">
        <f>'[86]VENTAS TOTALES'!$F87</f>
        <v>3132</v>
      </c>
      <c r="U75" s="252">
        <f>'[87]VENTAS TOTALES'!$F87</f>
        <v>3014</v>
      </c>
      <c r="V75" s="252">
        <f>'[88]VENTAS TOTALES'!$F87</f>
        <v>1084</v>
      </c>
      <c r="W75" s="252">
        <f>'[89]VENTAS TOTALES'!$F87</f>
        <v>3068</v>
      </c>
      <c r="X75" s="252">
        <f>'[90]VENTAS TOTALES'!$F87</f>
        <v>2957</v>
      </c>
      <c r="Y75" s="252">
        <f>'[91]VENTAS TOTALES'!$F87</f>
        <v>2866</v>
      </c>
      <c r="Z75" s="252">
        <f>'[92]VENTAS TOTALES'!$F87</f>
        <v>2679</v>
      </c>
      <c r="AA75" s="252">
        <f>'[93]VENTAS TOTALES'!$F87</f>
        <v>2740</v>
      </c>
      <c r="AB75" s="252">
        <f>'[94]VENTAS TOTALES'!$F87</f>
        <v>2952</v>
      </c>
      <c r="AC75" s="252">
        <f>'[95]VENTAS TOTALES'!$F87</f>
        <v>1175</v>
      </c>
      <c r="AD75" s="252">
        <f>'[96]VENTAS TOTALES'!$F87</f>
        <v>3207</v>
      </c>
      <c r="AE75" s="252">
        <f>'[97]VENTAS TOTALES'!$F87</f>
        <v>3264</v>
      </c>
      <c r="AF75" s="252">
        <f>'[98]VENTAS TOTALES'!$F87</f>
        <v>3265</v>
      </c>
      <c r="AG75" s="252">
        <f>'[99]VENTAS TOTALES'!$F87</f>
        <v>3151</v>
      </c>
      <c r="AH75" s="252">
        <f>'[100]VENTAS TOTALES'!$F87</f>
        <v>3170</v>
      </c>
      <c r="AI75" s="252">
        <f>'[101]VENTAS TOTALES'!$F87</f>
        <v>3239</v>
      </c>
      <c r="AJ75" s="252">
        <f>'[102]VENTAS TOTALES'!$F87</f>
        <v>1347</v>
      </c>
    </row>
    <row r="76" spans="1:36" x14ac:dyDescent="0.2">
      <c r="A76" s="424"/>
      <c r="B76" s="313" t="s">
        <v>154</v>
      </c>
      <c r="C76" s="252">
        <f>'[69]VENTAS TOTALES'!$F88</f>
        <v>5661</v>
      </c>
      <c r="D76" s="252">
        <f>'[70]VENTAS TOTALES'!$F88</f>
        <v>5262</v>
      </c>
      <c r="E76" s="252">
        <f>'[71]VENTAS TOTALES'!$F88</f>
        <v>4955</v>
      </c>
      <c r="F76" s="252">
        <f>'[72]VENTAS TOTALES'!$F88</f>
        <v>4494</v>
      </c>
      <c r="G76" s="252">
        <f>'[73]VENTAS TOTALES'!$F88</f>
        <v>3074</v>
      </c>
      <c r="H76" s="252">
        <f>'[74]VENTAS TOTALES'!$F88</f>
        <v>630</v>
      </c>
      <c r="I76" s="252">
        <f>'[75]VENTAS TOTALES'!$F88</f>
        <v>4953</v>
      </c>
      <c r="J76" s="252">
        <f>'[76]VENTAS TOTALES'!$F88</f>
        <v>4701</v>
      </c>
      <c r="K76" s="252">
        <f>'[77]VENTAS TOTALES'!$F88</f>
        <v>4613</v>
      </c>
      <c r="L76" s="252">
        <f>'[78]VENTAS TOTALES'!$F88</f>
        <v>4512</v>
      </c>
      <c r="M76" s="252">
        <f>'[79]VENTAS TOTALES'!$F88</f>
        <v>4326</v>
      </c>
      <c r="N76" s="252">
        <f>'[80]VENTAS TOTALES'!$F88</f>
        <v>3084</v>
      </c>
      <c r="O76" s="252">
        <f>'[81]VENTAS TOTALES'!$F88</f>
        <v>613</v>
      </c>
      <c r="P76" s="252">
        <f>'[82]VENTAS TOTALES'!$F88</f>
        <v>5085</v>
      </c>
      <c r="Q76" s="252">
        <f>'[83]VENTAS TOTALES'!$F88</f>
        <v>4910</v>
      </c>
      <c r="R76" s="252">
        <f>'[84]VENTAS TOTALES'!$F88</f>
        <v>5187</v>
      </c>
      <c r="S76" s="252">
        <f>'[85]VENTAS TOTALES'!$F88</f>
        <v>4969</v>
      </c>
      <c r="T76" s="252">
        <f>'[86]VENTAS TOTALES'!$F88</f>
        <v>4590</v>
      </c>
      <c r="U76" s="252">
        <f>'[87]VENTAS TOTALES'!$F88</f>
        <v>3023</v>
      </c>
      <c r="V76" s="252">
        <f>'[88]VENTAS TOTALES'!$F88</f>
        <v>582</v>
      </c>
      <c r="W76" s="252">
        <f>'[89]VENTAS TOTALES'!$F88</f>
        <v>4938</v>
      </c>
      <c r="X76" s="252">
        <f>'[90]VENTAS TOTALES'!$F88</f>
        <v>4483</v>
      </c>
      <c r="Y76" s="252">
        <f>'[91]VENTAS TOTALES'!$F88</f>
        <v>4735</v>
      </c>
      <c r="Z76" s="252">
        <f>'[92]VENTAS TOTALES'!$F88</f>
        <v>4514</v>
      </c>
      <c r="AA76" s="252">
        <f>'[93]VENTAS TOTALES'!$F88</f>
        <v>4600</v>
      </c>
      <c r="AB76" s="252">
        <f>'[94]VENTAS TOTALES'!$F88</f>
        <v>3150</v>
      </c>
      <c r="AC76" s="252">
        <f>'[95]VENTAS TOTALES'!$F88</f>
        <v>602</v>
      </c>
      <c r="AD76" s="252">
        <f>'[96]VENTAS TOTALES'!$F88</f>
        <v>5778</v>
      </c>
      <c r="AE76" s="252">
        <f>'[97]VENTAS TOTALES'!$F88</f>
        <v>5808</v>
      </c>
      <c r="AF76" s="252">
        <f>'[98]VENTAS TOTALES'!$F88</f>
        <v>5394</v>
      </c>
      <c r="AG76" s="252">
        <f>'[99]VENTAS TOTALES'!$F88</f>
        <v>4821</v>
      </c>
      <c r="AH76" s="252">
        <f>'[100]VENTAS TOTALES'!$F88</f>
        <v>4792</v>
      </c>
      <c r="AI76" s="252">
        <f>'[101]VENTAS TOTALES'!$F88</f>
        <v>3398</v>
      </c>
      <c r="AJ76" s="252">
        <f>'[102]VENTAS TOTALES'!$F88</f>
        <v>636</v>
      </c>
    </row>
    <row r="77" spans="1:36" ht="12.75" customHeight="1" x14ac:dyDescent="0.2">
      <c r="A77" s="424"/>
      <c r="B77" s="313" t="s">
        <v>146</v>
      </c>
      <c r="C77" s="252">
        <f>'[69]VENTAS TOTALES'!$F89</f>
        <v>2062</v>
      </c>
      <c r="D77" s="252">
        <f>'[70]VENTAS TOTALES'!$F89</f>
        <v>2115</v>
      </c>
      <c r="E77" s="252">
        <f>'[71]VENTAS TOTALES'!$F89</f>
        <v>1596</v>
      </c>
      <c r="F77" s="252">
        <f>'[72]VENTAS TOTALES'!$F89</f>
        <v>2015</v>
      </c>
      <c r="G77" s="252">
        <f>'[73]VENTAS TOTALES'!$F89</f>
        <v>672</v>
      </c>
      <c r="H77" s="252">
        <f>'[74]VENTAS TOTALES'!$F89</f>
        <v>138</v>
      </c>
      <c r="I77" s="252">
        <f>'[75]VENTAS TOTALES'!$F89</f>
        <v>1825</v>
      </c>
      <c r="J77" s="252">
        <f>'[76]VENTAS TOTALES'!$F89</f>
        <v>1519</v>
      </c>
      <c r="K77" s="252">
        <f>'[77]VENTAS TOTALES'!$F89</f>
        <v>1752</v>
      </c>
      <c r="L77" s="252">
        <f>'[78]VENTAS TOTALES'!$F89</f>
        <v>1686</v>
      </c>
      <c r="M77" s="252">
        <f>'[79]VENTAS TOTALES'!$F89</f>
        <v>1523</v>
      </c>
      <c r="N77" s="252">
        <f>'[80]VENTAS TOTALES'!$F89</f>
        <v>714</v>
      </c>
      <c r="O77" s="252">
        <f>'[81]VENTAS TOTALES'!$F89</f>
        <v>122</v>
      </c>
      <c r="P77" s="252">
        <f>'[82]VENTAS TOTALES'!$F89</f>
        <v>1686</v>
      </c>
      <c r="Q77" s="252">
        <f>'[83]VENTAS TOTALES'!$F89</f>
        <v>1726</v>
      </c>
      <c r="R77" s="252">
        <f>'[84]VENTAS TOTALES'!$F89</f>
        <v>1840</v>
      </c>
      <c r="S77" s="252">
        <f>'[85]VENTAS TOTALES'!$F89</f>
        <v>1696</v>
      </c>
      <c r="T77" s="252">
        <f>'[86]VENTAS TOTALES'!$F89</f>
        <v>1413</v>
      </c>
      <c r="U77" s="252">
        <f>'[87]VENTAS TOTALES'!$F89</f>
        <v>727</v>
      </c>
      <c r="V77" s="252">
        <f>'[88]VENTAS TOTALES'!$F89</f>
        <v>117</v>
      </c>
      <c r="W77" s="252">
        <f>'[89]VENTAS TOTALES'!$F89</f>
        <v>1830</v>
      </c>
      <c r="X77" s="252">
        <f>'[90]VENTAS TOTALES'!$F89</f>
        <v>1527</v>
      </c>
      <c r="Y77" s="252">
        <f>'[91]VENTAS TOTALES'!$F89</f>
        <v>1653</v>
      </c>
      <c r="Z77" s="252">
        <f>'[92]VENTAS TOTALES'!$F89</f>
        <v>1480</v>
      </c>
      <c r="AA77" s="252">
        <f>'[93]VENTAS TOTALES'!$F89</f>
        <v>1632</v>
      </c>
      <c r="AB77" s="252">
        <f>'[94]VENTAS TOTALES'!$F89</f>
        <v>743</v>
      </c>
      <c r="AC77" s="252">
        <f>'[95]VENTAS TOTALES'!$F89</f>
        <v>112</v>
      </c>
      <c r="AD77" s="252">
        <f>'[96]VENTAS TOTALES'!$F89</f>
        <v>1975</v>
      </c>
      <c r="AE77" s="252">
        <f>'[97]VENTAS TOTALES'!$F89</f>
        <v>2106</v>
      </c>
      <c r="AF77" s="252">
        <f>'[98]VENTAS TOTALES'!$F89</f>
        <v>2359</v>
      </c>
      <c r="AG77" s="252">
        <f>'[99]VENTAS TOTALES'!$F89</f>
        <v>1684</v>
      </c>
      <c r="AH77" s="252">
        <f>'[100]VENTAS TOTALES'!$F89</f>
        <v>1787</v>
      </c>
      <c r="AI77" s="252">
        <f>'[101]VENTAS TOTALES'!$F89</f>
        <v>864</v>
      </c>
      <c r="AJ77" s="252">
        <f>'[102]VENTAS TOTALES'!$F89</f>
        <v>134</v>
      </c>
    </row>
    <row r="78" spans="1:36" ht="12.75" customHeight="1" x14ac:dyDescent="0.2">
      <c r="A78" s="424"/>
      <c r="B78" s="313" t="s">
        <v>147</v>
      </c>
      <c r="C78" s="252">
        <f>'[69]VENTAS TOTALES'!$F90</f>
        <v>2879</v>
      </c>
      <c r="D78" s="252">
        <f>'[70]VENTAS TOTALES'!$F90</f>
        <v>2497</v>
      </c>
      <c r="E78" s="252">
        <f>'[71]VENTAS TOTALES'!$F90</f>
        <v>2427</v>
      </c>
      <c r="F78" s="252">
        <f>'[72]VENTAS TOTALES'!$F90</f>
        <v>2280</v>
      </c>
      <c r="G78" s="252">
        <f>'[73]VENTAS TOTALES'!$F90</f>
        <v>1013</v>
      </c>
      <c r="H78" s="252">
        <f>'[74]VENTAS TOTALES'!$F90</f>
        <v>318</v>
      </c>
      <c r="I78" s="252">
        <f>'[75]VENTAS TOTALES'!$F90</f>
        <v>2739</v>
      </c>
      <c r="J78" s="252">
        <f>'[76]VENTAS TOTALES'!$F90</f>
        <v>2518</v>
      </c>
      <c r="K78" s="252">
        <f>'[77]VENTAS TOTALES'!$F90</f>
        <v>2304</v>
      </c>
      <c r="L78" s="252">
        <f>'[78]VENTAS TOTALES'!$F90</f>
        <v>2447</v>
      </c>
      <c r="M78" s="252">
        <f>'[79]VENTAS TOTALES'!$F90</f>
        <v>2135</v>
      </c>
      <c r="N78" s="252">
        <f>'[80]VENTAS TOTALES'!$F90</f>
        <v>1077</v>
      </c>
      <c r="O78" s="252">
        <f>'[81]VENTAS TOTALES'!$F90</f>
        <v>300</v>
      </c>
      <c r="P78" s="252">
        <f>'[82]VENTAS TOTALES'!$F90</f>
        <v>2490</v>
      </c>
      <c r="Q78" s="252">
        <f>'[83]VENTAS TOTALES'!$F90</f>
        <v>2202</v>
      </c>
      <c r="R78" s="252">
        <f>'[84]VENTAS TOTALES'!$F90</f>
        <v>2584</v>
      </c>
      <c r="S78" s="252">
        <f>'[85]VENTAS TOTALES'!$F90</f>
        <v>2579</v>
      </c>
      <c r="T78" s="252">
        <f>'[86]VENTAS TOTALES'!$F90</f>
        <v>2318</v>
      </c>
      <c r="U78" s="252">
        <f>'[87]VENTAS TOTALES'!$F90</f>
        <v>1039</v>
      </c>
      <c r="V78" s="252">
        <f>'[88]VENTAS TOTALES'!$F90</f>
        <v>309</v>
      </c>
      <c r="W78" s="252">
        <f>'[89]VENTAS TOTALES'!$F90</f>
        <v>2678</v>
      </c>
      <c r="X78" s="252">
        <f>'[90]VENTAS TOTALES'!$F90</f>
        <v>2550</v>
      </c>
      <c r="Y78" s="252">
        <f>'[91]VENTAS TOTALES'!$F90</f>
        <v>2442</v>
      </c>
      <c r="Z78" s="252">
        <f>'[92]VENTAS TOTALES'!$F90</f>
        <v>2425</v>
      </c>
      <c r="AA78" s="252">
        <f>'[93]VENTAS TOTALES'!$F90</f>
        <v>2101</v>
      </c>
      <c r="AB78" s="252">
        <f>'[94]VENTAS TOTALES'!$F90</f>
        <v>1008</v>
      </c>
      <c r="AC78" s="252">
        <f>'[95]VENTAS TOTALES'!$F90</f>
        <v>334</v>
      </c>
      <c r="AD78" s="252">
        <f>'[96]VENTAS TOTALES'!$F90</f>
        <v>3362</v>
      </c>
      <c r="AE78" s="252">
        <f>'[97]VENTAS TOTALES'!$F90</f>
        <v>3120</v>
      </c>
      <c r="AF78" s="252">
        <f>'[98]VENTAS TOTALES'!$F90</f>
        <v>2957</v>
      </c>
      <c r="AG78" s="252">
        <f>'[99]VENTAS TOTALES'!$F90</f>
        <v>2585</v>
      </c>
      <c r="AH78" s="252">
        <f>'[100]VENTAS TOTALES'!$F90</f>
        <v>2192</v>
      </c>
      <c r="AI78" s="252">
        <f>'[101]VENTAS TOTALES'!$F90</f>
        <v>1146</v>
      </c>
      <c r="AJ78" s="252">
        <f>'[102]VENTAS TOTALES'!$F90</f>
        <v>320</v>
      </c>
    </row>
    <row r="79" spans="1:36" x14ac:dyDescent="0.2">
      <c r="A79" s="424"/>
      <c r="B79" s="313" t="s">
        <v>149</v>
      </c>
      <c r="C79" s="252">
        <f>'[69]VENTAS TOTALES'!$F91</f>
        <v>5082</v>
      </c>
      <c r="D79" s="252">
        <f>'[70]VENTAS TOTALES'!$F91</f>
        <v>4603</v>
      </c>
      <c r="E79" s="252">
        <f>'[71]VENTAS TOTALES'!$F91</f>
        <v>4362</v>
      </c>
      <c r="F79" s="252">
        <f>'[72]VENTAS TOTALES'!$F91</f>
        <v>2344</v>
      </c>
      <c r="G79" s="252">
        <f>'[73]VENTAS TOTALES'!$F91</f>
        <v>2980</v>
      </c>
      <c r="H79" s="252">
        <f>'[74]VENTAS TOTALES'!$F91</f>
        <v>1016</v>
      </c>
      <c r="I79" s="252">
        <f>'[75]VENTAS TOTALES'!$F91</f>
        <v>4600</v>
      </c>
      <c r="J79" s="252">
        <f>'[76]VENTAS TOTALES'!$F91</f>
        <v>4241</v>
      </c>
      <c r="K79" s="252">
        <f>'[77]VENTAS TOTALES'!$F91</f>
        <v>3935</v>
      </c>
      <c r="L79" s="252">
        <f>'[78]VENTAS TOTALES'!$F91</f>
        <v>4161</v>
      </c>
      <c r="M79" s="252">
        <f>'[79]VENTAS TOTALES'!$F91</f>
        <v>4031</v>
      </c>
      <c r="N79" s="252">
        <f>'[80]VENTAS TOTALES'!$F91</f>
        <v>3006</v>
      </c>
      <c r="O79" s="252">
        <f>'[81]VENTAS TOTALES'!$F91</f>
        <v>1103</v>
      </c>
      <c r="P79" s="252">
        <f>'[82]VENTAS TOTALES'!$F91</f>
        <v>4494</v>
      </c>
      <c r="Q79" s="252">
        <f>'[83]VENTAS TOTALES'!$F91</f>
        <v>4071</v>
      </c>
      <c r="R79" s="252">
        <f>'[84]VENTAS TOTALES'!$F91</f>
        <v>4220</v>
      </c>
      <c r="S79" s="252">
        <f>'[85]VENTAS TOTALES'!$F91</f>
        <v>4117</v>
      </c>
      <c r="T79" s="252">
        <f>'[86]VENTAS TOTALES'!$F91</f>
        <v>4149</v>
      </c>
      <c r="U79" s="252">
        <f>'[87]VENTAS TOTALES'!$F91</f>
        <v>3010</v>
      </c>
      <c r="V79" s="252">
        <f>'[88]VENTAS TOTALES'!$F91</f>
        <v>1053</v>
      </c>
      <c r="W79" s="252">
        <f>'[89]VENTAS TOTALES'!$F91</f>
        <v>4644</v>
      </c>
      <c r="X79" s="252">
        <f>'[90]VENTAS TOTALES'!$F91</f>
        <v>4208</v>
      </c>
      <c r="Y79" s="252">
        <f>'[91]VENTAS TOTALES'!$F91</f>
        <v>4167</v>
      </c>
      <c r="Z79" s="252">
        <f>'[92]VENTAS TOTALES'!$F91</f>
        <v>4007</v>
      </c>
      <c r="AA79" s="252">
        <f>'[93]VENTAS TOTALES'!$F91</f>
        <v>4406</v>
      </c>
      <c r="AB79" s="252">
        <f>'[94]VENTAS TOTALES'!$F91</f>
        <v>2835</v>
      </c>
      <c r="AC79" s="252">
        <f>'[95]VENTAS TOTALES'!$F91</f>
        <v>1102</v>
      </c>
      <c r="AD79" s="252">
        <f>'[96]VENTAS TOTALES'!$F91</f>
        <v>5585</v>
      </c>
      <c r="AE79" s="252">
        <f>'[97]VENTAS TOTALES'!$F91</f>
        <v>5375</v>
      </c>
      <c r="AF79" s="252">
        <f>'[98]VENTAS TOTALES'!$F91</f>
        <v>5240</v>
      </c>
      <c r="AG79" s="252">
        <f>'[99]VENTAS TOTALES'!$F91</f>
        <v>4819</v>
      </c>
      <c r="AH79" s="252">
        <f>'[100]VENTAS TOTALES'!$F91</f>
        <v>4667</v>
      </c>
      <c r="AI79" s="252">
        <f>'[101]VENTAS TOTALES'!$F91</f>
        <v>3564</v>
      </c>
      <c r="AJ79" s="252">
        <f>'[102]VENTAS TOTALES'!$F91</f>
        <v>1252</v>
      </c>
    </row>
    <row r="80" spans="1:36" x14ac:dyDescent="0.2">
      <c r="A80" s="424"/>
      <c r="B80" s="313" t="s">
        <v>148</v>
      </c>
      <c r="C80" s="252">
        <f>'[69]VENTAS TOTALES'!$F92</f>
        <v>2450</v>
      </c>
      <c r="D80" s="252">
        <f>'[70]VENTAS TOTALES'!$F92</f>
        <v>2388</v>
      </c>
      <c r="E80" s="252">
        <f>'[71]VENTAS TOTALES'!$F92</f>
        <v>1966</v>
      </c>
      <c r="F80" s="252">
        <f>'[72]VENTAS TOTALES'!$F92</f>
        <v>1463</v>
      </c>
      <c r="G80" s="252">
        <f>'[73]VENTAS TOTALES'!$F92</f>
        <v>1116</v>
      </c>
      <c r="H80" s="252">
        <f>'[74]VENTAS TOTALES'!$F92</f>
        <v>240</v>
      </c>
      <c r="I80" s="252">
        <f>'[75]VENTAS TOTALES'!$F92</f>
        <v>2461</v>
      </c>
      <c r="J80" s="252">
        <f>'[76]VENTAS TOTALES'!$F92</f>
        <v>1867</v>
      </c>
      <c r="K80" s="252">
        <f>'[77]VENTAS TOTALES'!$F92</f>
        <v>1978</v>
      </c>
      <c r="L80" s="252">
        <f>'[78]VENTAS TOTALES'!$F92</f>
        <v>1904</v>
      </c>
      <c r="M80" s="252">
        <f>'[79]VENTAS TOTALES'!$F92</f>
        <v>1888</v>
      </c>
      <c r="N80" s="252">
        <f>'[80]VENTAS TOTALES'!$F92</f>
        <v>1075</v>
      </c>
      <c r="O80" s="252">
        <f>'[81]VENTAS TOTALES'!$F92</f>
        <v>210</v>
      </c>
      <c r="P80" s="252">
        <f>'[82]VENTAS TOTALES'!$F92</f>
        <v>2433</v>
      </c>
      <c r="Q80" s="252">
        <f>'[83]VENTAS TOTALES'!$F92</f>
        <v>2454</v>
      </c>
      <c r="R80" s="252">
        <f>'[84]VENTAS TOTALES'!$F92</f>
        <v>2392</v>
      </c>
      <c r="S80" s="252">
        <f>'[85]VENTAS TOTALES'!$F92</f>
        <v>2051</v>
      </c>
      <c r="T80" s="252">
        <f>'[86]VENTAS TOTALES'!$F92</f>
        <v>1936</v>
      </c>
      <c r="U80" s="252">
        <f>'[87]VENTAS TOTALES'!$F92</f>
        <v>1013</v>
      </c>
      <c r="V80" s="252">
        <f>'[88]VENTAS TOTALES'!$F92</f>
        <v>299</v>
      </c>
      <c r="W80" s="252">
        <f>'[89]VENTAS TOTALES'!$F92</f>
        <v>2563</v>
      </c>
      <c r="X80" s="252">
        <f>'[90]VENTAS TOTALES'!$F92</f>
        <v>2181</v>
      </c>
      <c r="Y80" s="252">
        <f>'[91]VENTAS TOTALES'!$F92</f>
        <v>1860</v>
      </c>
      <c r="Z80" s="252">
        <f>'[92]VENTAS TOTALES'!$F92</f>
        <v>1952</v>
      </c>
      <c r="AA80" s="252">
        <f>'[93]VENTAS TOTALES'!$F92</f>
        <v>1975</v>
      </c>
      <c r="AB80" s="252">
        <f>'[94]VENTAS TOTALES'!$F92</f>
        <v>1140</v>
      </c>
      <c r="AC80" s="252">
        <f>'[95]VENTAS TOTALES'!$F92</f>
        <v>305</v>
      </c>
      <c r="AD80" s="252">
        <f>'[96]VENTAS TOTALES'!$F92</f>
        <v>2888</v>
      </c>
      <c r="AE80" s="252">
        <f>'[97]VENTAS TOTALES'!$F92</f>
        <v>2544</v>
      </c>
      <c r="AF80" s="252">
        <f>'[98]VENTAS TOTALES'!$F92</f>
        <v>2254</v>
      </c>
      <c r="AG80" s="252">
        <f>'[99]VENTAS TOTALES'!$F92</f>
        <v>2309</v>
      </c>
      <c r="AH80" s="252">
        <f>'[100]VENTAS TOTALES'!$F92</f>
        <v>2047</v>
      </c>
      <c r="AI80" s="252">
        <f>'[101]VENTAS TOTALES'!$F92</f>
        <v>1247</v>
      </c>
      <c r="AJ80" s="252">
        <f>'[102]VENTAS TOTALES'!$F92</f>
        <v>231</v>
      </c>
    </row>
    <row r="81" spans="1:36" x14ac:dyDescent="0.2">
      <c r="A81" s="424"/>
      <c r="B81" s="313" t="s">
        <v>150</v>
      </c>
      <c r="C81" s="252">
        <f>'[69]VENTAS TOTALES'!$F93</f>
        <v>2894</v>
      </c>
      <c r="D81" s="252">
        <f>'[70]VENTAS TOTALES'!$F93</f>
        <v>2754</v>
      </c>
      <c r="E81" s="252">
        <f>'[71]VENTAS TOTALES'!$F93</f>
        <v>2255</v>
      </c>
      <c r="F81" s="252">
        <f>'[72]VENTAS TOTALES'!$F93</f>
        <v>2527</v>
      </c>
      <c r="G81" s="252">
        <f>'[73]VENTAS TOTALES'!$F93</f>
        <v>1144</v>
      </c>
      <c r="H81" s="252">
        <f>'[74]VENTAS TOTALES'!$F93</f>
        <v>270</v>
      </c>
      <c r="I81" s="252">
        <f>'[75]VENTAS TOTALES'!$F93</f>
        <v>2832</v>
      </c>
      <c r="J81" s="252">
        <f>'[76]VENTAS TOTALES'!$F93</f>
        <v>2339</v>
      </c>
      <c r="K81" s="252">
        <f>'[77]VENTAS TOTALES'!$F93</f>
        <v>2305</v>
      </c>
      <c r="L81" s="252">
        <f>'[78]VENTAS TOTALES'!$F93</f>
        <v>2248</v>
      </c>
      <c r="M81" s="252">
        <f>'[79]VENTAS TOTALES'!$F93</f>
        <v>2114</v>
      </c>
      <c r="N81" s="252">
        <f>'[80]VENTAS TOTALES'!$F93</f>
        <v>1148</v>
      </c>
      <c r="O81" s="252">
        <f>'[81]VENTAS TOTALES'!$F93</f>
        <v>245</v>
      </c>
      <c r="P81" s="252">
        <f>'[82]VENTAS TOTALES'!$F93</f>
        <v>2653</v>
      </c>
      <c r="Q81" s="252">
        <f>'[83]VENTAS TOTALES'!$F93</f>
        <v>2252</v>
      </c>
      <c r="R81" s="252">
        <f>'[84]VENTAS TOTALES'!$F93</f>
        <v>2841</v>
      </c>
      <c r="S81" s="252">
        <f>'[85]VENTAS TOTALES'!$F93</f>
        <v>2436</v>
      </c>
      <c r="T81" s="252">
        <f>'[86]VENTAS TOTALES'!$F93</f>
        <v>2464</v>
      </c>
      <c r="U81" s="252">
        <f>'[87]VENTAS TOTALES'!$F93</f>
        <v>1219</v>
      </c>
      <c r="V81" s="252">
        <f>'[88]VENTAS TOTALES'!$F93</f>
        <v>310</v>
      </c>
      <c r="W81" s="252">
        <f>'[89]VENTAS TOTALES'!$F93</f>
        <v>2662</v>
      </c>
      <c r="X81" s="252">
        <f>'[90]VENTAS TOTALES'!$F93</f>
        <v>2089</v>
      </c>
      <c r="Y81" s="252">
        <f>'[91]VENTAS TOTALES'!$F93</f>
        <v>2530</v>
      </c>
      <c r="Z81" s="252">
        <f>'[92]VENTAS TOTALES'!$F93</f>
        <v>2289</v>
      </c>
      <c r="AA81" s="252">
        <f>'[93]VENTAS TOTALES'!$F93</f>
        <v>2309</v>
      </c>
      <c r="AB81" s="252">
        <f>'[94]VENTAS TOTALES'!$F93</f>
        <v>1241</v>
      </c>
      <c r="AC81" s="252">
        <f>'[95]VENTAS TOTALES'!$F93</f>
        <v>378</v>
      </c>
      <c r="AD81" s="252">
        <f>'[96]VENTAS TOTALES'!$F93</f>
        <v>2884</v>
      </c>
      <c r="AE81" s="252">
        <f>'[97]VENTAS TOTALES'!$F93</f>
        <v>3224</v>
      </c>
      <c r="AF81" s="252">
        <f>'[98]VENTAS TOTALES'!$F93</f>
        <v>3408</v>
      </c>
      <c r="AG81" s="252">
        <f>'[99]VENTAS TOTALES'!$F93</f>
        <v>2671</v>
      </c>
      <c r="AH81" s="252">
        <f>'[100]VENTAS TOTALES'!$F93</f>
        <v>2267</v>
      </c>
      <c r="AI81" s="252">
        <f>'[101]VENTAS TOTALES'!$F93</f>
        <v>1399</v>
      </c>
      <c r="AJ81" s="252">
        <f>'[102]VENTAS TOTALES'!$F93</f>
        <v>327</v>
      </c>
    </row>
    <row r="82" spans="1:36" x14ac:dyDescent="0.2">
      <c r="A82" s="424"/>
      <c r="B82" s="313" t="s">
        <v>151</v>
      </c>
      <c r="C82" s="252">
        <f>'[69]VENTAS TOTALES'!$F94</f>
        <v>591</v>
      </c>
      <c r="D82" s="252">
        <f>'[70]VENTAS TOTALES'!$F94</f>
        <v>522</v>
      </c>
      <c r="E82" s="252">
        <f>'[71]VENTAS TOTALES'!$F94</f>
        <v>492</v>
      </c>
      <c r="F82" s="252">
        <f>'[72]VENTAS TOTALES'!$F94</f>
        <v>1035</v>
      </c>
      <c r="G82" s="252">
        <f>'[73]VENTAS TOTALES'!$F94</f>
        <v>198</v>
      </c>
      <c r="H82" s="252">
        <f>'[74]VENTAS TOTALES'!$F94</f>
        <v>50</v>
      </c>
      <c r="I82" s="252">
        <f>'[75]VENTAS TOTALES'!$F94</f>
        <v>520</v>
      </c>
      <c r="J82" s="252">
        <f>'[76]VENTAS TOTALES'!$F94</f>
        <v>522</v>
      </c>
      <c r="K82" s="252">
        <f>'[77]VENTAS TOTALES'!$F94</f>
        <v>547</v>
      </c>
      <c r="L82" s="252">
        <f>'[78]VENTAS TOTALES'!$F94</f>
        <v>612</v>
      </c>
      <c r="M82" s="252">
        <f>'[79]VENTAS TOTALES'!$F94</f>
        <v>488</v>
      </c>
      <c r="N82" s="252">
        <f>'[80]VENTAS TOTALES'!$F94</f>
        <v>229</v>
      </c>
      <c r="O82" s="252">
        <f>'[81]VENTAS TOTALES'!$F94</f>
        <v>29</v>
      </c>
      <c r="P82" s="252">
        <f>'[82]VENTAS TOTALES'!$F94</f>
        <v>561</v>
      </c>
      <c r="Q82" s="252">
        <f>'[83]VENTAS TOTALES'!$F94</f>
        <v>408</v>
      </c>
      <c r="R82" s="252">
        <f>'[84]VENTAS TOTALES'!$F94</f>
        <v>649</v>
      </c>
      <c r="S82" s="252">
        <f>'[85]VENTAS TOTALES'!$F94</f>
        <v>462</v>
      </c>
      <c r="T82" s="252">
        <f>'[86]VENTAS TOTALES'!$F94</f>
        <v>458</v>
      </c>
      <c r="U82" s="252">
        <f>'[87]VENTAS TOTALES'!$F94</f>
        <v>177</v>
      </c>
      <c r="V82" s="252">
        <f>'[88]VENTAS TOTALES'!$F94</f>
        <v>24</v>
      </c>
      <c r="W82" s="252">
        <f>'[89]VENTAS TOTALES'!$F94</f>
        <v>564</v>
      </c>
      <c r="X82" s="252">
        <f>'[90]VENTAS TOTALES'!$F94</f>
        <v>698</v>
      </c>
      <c r="Y82" s="252">
        <f>'[91]VENTAS TOTALES'!$F94</f>
        <v>498</v>
      </c>
      <c r="Z82" s="252">
        <f>'[92]VENTAS TOTALES'!$F94</f>
        <v>526</v>
      </c>
      <c r="AA82" s="252">
        <f>'[93]VENTAS TOTALES'!$F94</f>
        <v>501</v>
      </c>
      <c r="AB82" s="252">
        <f>'[94]VENTAS TOTALES'!$F94</f>
        <v>180</v>
      </c>
      <c r="AC82" s="252">
        <f>'[95]VENTAS TOTALES'!$F94</f>
        <v>43</v>
      </c>
      <c r="AD82" s="252">
        <f>'[96]VENTAS TOTALES'!$F94</f>
        <v>633</v>
      </c>
      <c r="AE82" s="252">
        <f>'[97]VENTAS TOTALES'!$F94</f>
        <v>682</v>
      </c>
      <c r="AF82" s="252">
        <f>'[98]VENTAS TOTALES'!$F94</f>
        <v>679</v>
      </c>
      <c r="AG82" s="252">
        <f>'[99]VENTAS TOTALES'!$F94</f>
        <v>499</v>
      </c>
      <c r="AH82" s="252">
        <f>'[100]VENTAS TOTALES'!$F94</f>
        <v>671</v>
      </c>
      <c r="AI82" s="252">
        <f>'[101]VENTAS TOTALES'!$F94</f>
        <v>277</v>
      </c>
      <c r="AJ82" s="252">
        <f>'[102]VENTAS TOTALES'!$F94</f>
        <v>42</v>
      </c>
    </row>
    <row r="83" spans="1:36" ht="13.5" thickBot="1" x14ac:dyDescent="0.25">
      <c r="A83" s="424"/>
      <c r="B83" s="321" t="s">
        <v>155</v>
      </c>
      <c r="C83" s="269">
        <f>'[69]VENTAS TOTALES'!$F95</f>
        <v>2945</v>
      </c>
      <c r="D83" s="269">
        <f>'[70]VENTAS TOTALES'!$F95</f>
        <v>2801</v>
      </c>
      <c r="E83" s="269">
        <f>'[71]VENTAS TOTALES'!$F95</f>
        <v>2761</v>
      </c>
      <c r="F83" s="269">
        <f>'[72]VENTAS TOTALES'!$F95</f>
        <v>2324</v>
      </c>
      <c r="G83" s="269">
        <f>'[73]VENTAS TOTALES'!$F95</f>
        <v>1369</v>
      </c>
      <c r="H83" s="269">
        <f>'[74]VENTAS TOTALES'!$F95</f>
        <v>557</v>
      </c>
      <c r="I83" s="269">
        <f>'[75]VENTAS TOTALES'!$F95</f>
        <v>2818</v>
      </c>
      <c r="J83" s="269">
        <f>'[76]VENTAS TOTALES'!$F95</f>
        <v>2642</v>
      </c>
      <c r="K83" s="269">
        <f>'[77]VENTAS TOTALES'!$F95</f>
        <v>2612</v>
      </c>
      <c r="L83" s="269">
        <f>'[78]VENTAS TOTALES'!$F95</f>
        <v>2654</v>
      </c>
      <c r="M83" s="269">
        <f>'[79]VENTAS TOTALES'!$F95</f>
        <v>2393</v>
      </c>
      <c r="N83" s="269">
        <f>'[80]VENTAS TOTALES'!$F95</f>
        <v>1350</v>
      </c>
      <c r="O83" s="269">
        <f>'[81]VENTAS TOTALES'!$F95</f>
        <v>575</v>
      </c>
      <c r="P83" s="269">
        <f>'[82]VENTAS TOTALES'!$F95</f>
        <v>2953</v>
      </c>
      <c r="Q83" s="269">
        <f>'[83]VENTAS TOTALES'!$F95</f>
        <v>2639</v>
      </c>
      <c r="R83" s="269">
        <f>'[84]VENTAS TOTALES'!$F95</f>
        <v>2838</v>
      </c>
      <c r="S83" s="269">
        <f>'[85]VENTAS TOTALES'!$F95</f>
        <v>2685</v>
      </c>
      <c r="T83" s="269">
        <f>'[86]VENTAS TOTALES'!$F95</f>
        <v>2515</v>
      </c>
      <c r="U83" s="269">
        <f>'[87]VENTAS TOTALES'!$F95</f>
        <v>1322</v>
      </c>
      <c r="V83" s="269">
        <f>'[88]VENTAS TOTALES'!$F95</f>
        <v>696</v>
      </c>
      <c r="W83" s="269">
        <f>'[89]VENTAS TOTALES'!$F95</f>
        <v>3055</v>
      </c>
      <c r="X83" s="269">
        <f>'[90]VENTAS TOTALES'!$F95</f>
        <v>2681</v>
      </c>
      <c r="Y83" s="269">
        <f>'[91]VENTAS TOTALES'!$F95</f>
        <v>2554</v>
      </c>
      <c r="Z83" s="269">
        <f>'[92]VENTAS TOTALES'!$F95</f>
        <v>2715</v>
      </c>
      <c r="AA83" s="269">
        <f>'[93]VENTAS TOTALES'!$F95</f>
        <v>2727</v>
      </c>
      <c r="AB83" s="269">
        <f>'[94]VENTAS TOTALES'!$F95</f>
        <v>1547</v>
      </c>
      <c r="AC83" s="269">
        <f>'[95]VENTAS TOTALES'!$F95</f>
        <v>724</v>
      </c>
      <c r="AD83" s="269">
        <f>'[96]VENTAS TOTALES'!$F95</f>
        <v>3154</v>
      </c>
      <c r="AE83" s="269">
        <f>'[97]VENTAS TOTALES'!$F95</f>
        <v>3288</v>
      </c>
      <c r="AF83" s="269">
        <f>'[98]VENTAS TOTALES'!$F95</f>
        <v>3205</v>
      </c>
      <c r="AG83" s="269">
        <f>'[99]VENTAS TOTALES'!$F95</f>
        <v>3069</v>
      </c>
      <c r="AH83" s="269">
        <f>'[100]VENTAS TOTALES'!$F95</f>
        <v>2536</v>
      </c>
      <c r="AI83" s="269">
        <f>'[101]VENTAS TOTALES'!$F95</f>
        <v>1442</v>
      </c>
      <c r="AJ83" s="269">
        <f>'[102]VENTAS TOTALES'!$F95</f>
        <v>575</v>
      </c>
    </row>
    <row r="84" spans="1:36" x14ac:dyDescent="0.2">
      <c r="A84" s="424"/>
      <c r="B84" s="319" t="s">
        <v>35</v>
      </c>
      <c r="C84" s="252">
        <f>'[69]VENTAS TOTALES'!$F96</f>
        <v>3226</v>
      </c>
      <c r="D84" s="252">
        <f>'[70]VENTAS TOTALES'!$F96</f>
        <v>3150</v>
      </c>
      <c r="E84" s="252">
        <f>'[71]VENTAS TOTALES'!$F96</f>
        <v>2762</v>
      </c>
      <c r="F84" s="252">
        <f>'[72]VENTAS TOTALES'!$F96</f>
        <v>2785</v>
      </c>
      <c r="G84" s="252">
        <f>'[73]VENTAS TOTALES'!$F96</f>
        <v>2231</v>
      </c>
      <c r="H84" s="252">
        <f>'[74]VENTAS TOTALES'!$F96</f>
        <v>1484</v>
      </c>
      <c r="I84" s="252">
        <f>'[75]VENTAS TOTALES'!$F96</f>
        <v>3325</v>
      </c>
      <c r="J84" s="252">
        <f>'[76]VENTAS TOTALES'!$F96</f>
        <v>2879</v>
      </c>
      <c r="K84" s="252">
        <f>'[77]VENTAS TOTALES'!$F96</f>
        <v>2736</v>
      </c>
      <c r="L84" s="252">
        <f>'[78]VENTAS TOTALES'!$F96</f>
        <v>2728</v>
      </c>
      <c r="M84" s="252">
        <f>'[79]VENTAS TOTALES'!$F96</f>
        <v>2867</v>
      </c>
      <c r="N84" s="252">
        <f>'[80]VENTAS TOTALES'!$F96</f>
        <v>2331</v>
      </c>
      <c r="O84" s="252">
        <f>'[81]VENTAS TOTALES'!$F96</f>
        <v>1454</v>
      </c>
      <c r="P84" s="252">
        <f>'[82]VENTAS TOTALES'!$F96</f>
        <v>3240</v>
      </c>
      <c r="Q84" s="252">
        <f>'[83]VENTAS TOTALES'!$F96</f>
        <v>2934</v>
      </c>
      <c r="R84" s="252">
        <f>'[84]VENTAS TOTALES'!$F96</f>
        <v>3091</v>
      </c>
      <c r="S84" s="252">
        <f>'[85]VENTAS TOTALES'!$F96</f>
        <v>2915</v>
      </c>
      <c r="T84" s="252">
        <f>'[86]VENTAS TOTALES'!$F96</f>
        <v>2799</v>
      </c>
      <c r="U84" s="252">
        <f>'[87]VENTAS TOTALES'!$F96</f>
        <v>2500</v>
      </c>
      <c r="V84" s="252">
        <f>'[88]VENTAS TOTALES'!$F96</f>
        <v>1518</v>
      </c>
      <c r="W84" s="252">
        <f>'[89]VENTAS TOTALES'!$F96</f>
        <v>3413</v>
      </c>
      <c r="X84" s="252">
        <f>'[90]VENTAS TOTALES'!$F96</f>
        <v>2744</v>
      </c>
      <c r="Y84" s="252">
        <f>'[91]VENTAS TOTALES'!$F96</f>
        <v>3090</v>
      </c>
      <c r="Z84" s="252">
        <f>'[92]VENTAS TOTALES'!$F96</f>
        <v>2891</v>
      </c>
      <c r="AA84" s="252">
        <f>'[93]VENTAS TOTALES'!$F96</f>
        <v>2600</v>
      </c>
      <c r="AB84" s="252">
        <f>'[94]VENTAS TOTALES'!$F96</f>
        <v>2532</v>
      </c>
      <c r="AC84" s="252">
        <f>'[95]VENTAS TOTALES'!$F96</f>
        <v>1652</v>
      </c>
      <c r="AD84" s="252">
        <f>'[96]VENTAS TOTALES'!$F96</f>
        <v>3645</v>
      </c>
      <c r="AE84" s="252">
        <f>'[97]VENTAS TOTALES'!$F96</f>
        <v>3643</v>
      </c>
      <c r="AF84" s="252">
        <f>'[98]VENTAS TOTALES'!$F96</f>
        <v>3440</v>
      </c>
      <c r="AG84" s="252">
        <f>'[99]VENTAS TOTALES'!$F96</f>
        <v>3039</v>
      </c>
      <c r="AH84" s="252">
        <f>'[100]VENTAS TOTALES'!$F96</f>
        <v>2920</v>
      </c>
      <c r="AI84" s="252">
        <f>'[101]VENTAS TOTALES'!$F96</f>
        <v>2386</v>
      </c>
      <c r="AJ84" s="252">
        <f>'[102]VENTAS TOTALES'!$F96</f>
        <v>1437</v>
      </c>
    </row>
    <row r="85" spans="1:36" x14ac:dyDescent="0.2">
      <c r="A85" s="424"/>
      <c r="B85" s="43" t="s">
        <v>496</v>
      </c>
      <c r="C85" s="252">
        <f>'[69]VENTAS TOTALES'!$F97</f>
        <v>6909</v>
      </c>
      <c r="D85" s="252">
        <f>'[70]VENTAS TOTALES'!$F97</f>
        <v>6361</v>
      </c>
      <c r="E85" s="252">
        <f>'[71]VENTAS TOTALES'!$F97</f>
        <v>5806</v>
      </c>
      <c r="F85" s="252">
        <f>'[72]VENTAS TOTALES'!$F97</f>
        <v>5795</v>
      </c>
      <c r="G85" s="252">
        <f>'[73]VENTAS TOTALES'!$F97</f>
        <v>3945</v>
      </c>
      <c r="H85" s="252">
        <f>'[74]VENTAS TOTALES'!$F97</f>
        <v>2007</v>
      </c>
      <c r="I85" s="252">
        <f>'[75]VENTAS TOTALES'!$F97</f>
        <v>7079</v>
      </c>
      <c r="J85" s="252">
        <f>'[76]VENTAS TOTALES'!$F97</f>
        <v>6549</v>
      </c>
      <c r="K85" s="252">
        <f>'[77]VENTAS TOTALES'!$F97</f>
        <v>6042</v>
      </c>
      <c r="L85" s="252">
        <f>'[78]VENTAS TOTALES'!$F97</f>
        <v>6088</v>
      </c>
      <c r="M85" s="252">
        <f>'[79]VENTAS TOTALES'!$F97</f>
        <v>5551</v>
      </c>
      <c r="N85" s="252">
        <f>'[80]VENTAS TOTALES'!$F97</f>
        <v>3806</v>
      </c>
      <c r="O85" s="252">
        <f>'[81]VENTAS TOTALES'!$F97</f>
        <v>1941</v>
      </c>
      <c r="P85" s="252">
        <f>'[82]VENTAS TOTALES'!$F97</f>
        <v>7209</v>
      </c>
      <c r="Q85" s="252">
        <f>'[83]VENTAS TOTALES'!$F97</f>
        <v>6169</v>
      </c>
      <c r="R85" s="252">
        <f>'[84]VENTAS TOTALES'!$F97</f>
        <v>6366</v>
      </c>
      <c r="S85" s="252">
        <f>'[85]VENTAS TOTALES'!$F97</f>
        <v>5949</v>
      </c>
      <c r="T85" s="252">
        <f>'[86]VENTAS TOTALES'!$F97</f>
        <v>6041</v>
      </c>
      <c r="U85" s="252">
        <f>'[87]VENTAS TOTALES'!$F97</f>
        <v>4229</v>
      </c>
      <c r="V85" s="252">
        <f>'[88]VENTAS TOTALES'!$F97</f>
        <v>1941</v>
      </c>
      <c r="W85" s="252">
        <f>'[89]VENTAS TOTALES'!$F97</f>
        <v>7041</v>
      </c>
      <c r="X85" s="252">
        <f>'[90]VENTAS TOTALES'!$F97</f>
        <v>6183</v>
      </c>
      <c r="Y85" s="252">
        <f>'[91]VENTAS TOTALES'!$F97</f>
        <v>6226</v>
      </c>
      <c r="Z85" s="252">
        <f>'[92]VENTAS TOTALES'!$F97</f>
        <v>6026</v>
      </c>
      <c r="AA85" s="252">
        <f>'[93]VENTAS TOTALES'!$F97</f>
        <v>5951</v>
      </c>
      <c r="AB85" s="252">
        <f>'[94]VENTAS TOTALES'!$F97</f>
        <v>3983</v>
      </c>
      <c r="AC85" s="252">
        <f>'[95]VENTAS TOTALES'!$F97</f>
        <v>2004</v>
      </c>
      <c r="AD85" s="252">
        <f>'[96]VENTAS TOTALES'!$F97</f>
        <v>7644</v>
      </c>
      <c r="AE85" s="252">
        <f>'[97]VENTAS TOTALES'!$F97</f>
        <v>7055</v>
      </c>
      <c r="AF85" s="252">
        <f>'[98]VENTAS TOTALES'!$F97</f>
        <v>6580</v>
      </c>
      <c r="AG85" s="252">
        <f>'[99]VENTAS TOTALES'!$F97</f>
        <v>6797</v>
      </c>
      <c r="AH85" s="252">
        <f>'[100]VENTAS TOTALES'!$F97</f>
        <v>6011</v>
      </c>
      <c r="AI85" s="252">
        <f>'[101]VENTAS TOTALES'!$F97</f>
        <v>4094</v>
      </c>
      <c r="AJ85" s="252">
        <f>'[102]VENTAS TOTALES'!$F97</f>
        <v>2022</v>
      </c>
    </row>
    <row r="86" spans="1:36" x14ac:dyDescent="0.2">
      <c r="A86" s="424"/>
      <c r="B86" s="43" t="s">
        <v>497</v>
      </c>
      <c r="C86" s="252">
        <f>'[69]VENTAS TOTALES'!$F98</f>
        <v>3309</v>
      </c>
      <c r="D86" s="252">
        <f>'[70]VENTAS TOTALES'!$F98</f>
        <v>3076</v>
      </c>
      <c r="E86" s="252">
        <f>'[71]VENTAS TOTALES'!$F98</f>
        <v>2842</v>
      </c>
      <c r="F86" s="252">
        <f>'[72]VENTAS TOTALES'!$F98</f>
        <v>2799</v>
      </c>
      <c r="G86" s="252">
        <f>'[73]VENTAS TOTALES'!$F98</f>
        <v>2212</v>
      </c>
      <c r="H86" s="252">
        <f>'[74]VENTAS TOTALES'!$F98</f>
        <v>1210</v>
      </c>
      <c r="I86" s="252">
        <f>'[75]VENTAS TOTALES'!$F98</f>
        <v>3551</v>
      </c>
      <c r="J86" s="252">
        <f>'[76]VENTAS TOTALES'!$F98</f>
        <v>3131</v>
      </c>
      <c r="K86" s="252">
        <f>'[77]VENTAS TOTALES'!$F98</f>
        <v>2959</v>
      </c>
      <c r="L86" s="252">
        <f>'[78]VENTAS TOTALES'!$F98</f>
        <v>2913</v>
      </c>
      <c r="M86" s="252">
        <f>'[79]VENTAS TOTALES'!$F98</f>
        <v>2964</v>
      </c>
      <c r="N86" s="252">
        <f>'[80]VENTAS TOTALES'!$F98</f>
        <v>2318</v>
      </c>
      <c r="O86" s="252">
        <f>'[81]VENTAS TOTALES'!$F98</f>
        <v>1232</v>
      </c>
      <c r="P86" s="252">
        <f>'[82]VENTAS TOTALES'!$F98</f>
        <v>3822</v>
      </c>
      <c r="Q86" s="252">
        <f>'[83]VENTAS TOTALES'!$F98</f>
        <v>3247</v>
      </c>
      <c r="R86" s="252">
        <f>'[84]VENTAS TOTALES'!$F98</f>
        <v>3252</v>
      </c>
      <c r="S86" s="252">
        <f>'[85]VENTAS TOTALES'!$F98</f>
        <v>3245</v>
      </c>
      <c r="T86" s="252">
        <f>'[86]VENTAS TOTALES'!$F98</f>
        <v>3178</v>
      </c>
      <c r="U86" s="252">
        <f>'[87]VENTAS TOTALES'!$F98</f>
        <v>2208</v>
      </c>
      <c r="V86" s="252">
        <f>'[88]VENTAS TOTALES'!$F98</f>
        <v>1111</v>
      </c>
      <c r="W86" s="252">
        <f>'[89]VENTAS TOTALES'!$F98</f>
        <v>3945</v>
      </c>
      <c r="X86" s="252">
        <f>'[90]VENTAS TOTALES'!$F98</f>
        <v>3563</v>
      </c>
      <c r="Y86" s="252">
        <f>'[91]VENTAS TOTALES'!$F98</f>
        <v>3360</v>
      </c>
      <c r="Z86" s="252">
        <f>'[92]VENTAS TOTALES'!$F98</f>
        <v>2957</v>
      </c>
      <c r="AA86" s="252">
        <f>'[93]VENTAS TOTALES'!$F98</f>
        <v>3178</v>
      </c>
      <c r="AB86" s="252">
        <f>'[94]VENTAS TOTALES'!$F98</f>
        <v>2437</v>
      </c>
      <c r="AC86" s="252">
        <f>'[95]VENTAS TOTALES'!$F98</f>
        <v>1271</v>
      </c>
      <c r="AD86" s="252">
        <f>'[96]VENTAS TOTALES'!$F98</f>
        <v>4237</v>
      </c>
      <c r="AE86" s="252">
        <f>'[97]VENTAS TOTALES'!$F98</f>
        <v>3741</v>
      </c>
      <c r="AF86" s="252">
        <f>'[98]VENTAS TOTALES'!$F98</f>
        <v>3667</v>
      </c>
      <c r="AG86" s="252">
        <f>'[99]VENTAS TOTALES'!$F98</f>
        <v>3549</v>
      </c>
      <c r="AH86" s="252">
        <f>'[100]VENTAS TOTALES'!$F98</f>
        <v>3418</v>
      </c>
      <c r="AI86" s="252">
        <f>'[101]VENTAS TOTALES'!$F98</f>
        <v>2623</v>
      </c>
      <c r="AJ86" s="252">
        <f>'[102]VENTAS TOTALES'!$F98</f>
        <v>1241</v>
      </c>
    </row>
    <row r="87" spans="1:36" x14ac:dyDescent="0.2">
      <c r="A87" s="424"/>
      <c r="B87" s="309" t="s">
        <v>36</v>
      </c>
      <c r="C87" s="252">
        <f>'[69]VENTAS TOTALES'!$F99</f>
        <v>7407</v>
      </c>
      <c r="D87" s="252">
        <f>'[70]VENTAS TOTALES'!$F99</f>
        <v>6835</v>
      </c>
      <c r="E87" s="252">
        <f>'[71]VENTAS TOTALES'!$F99</f>
        <v>6041</v>
      </c>
      <c r="F87" s="252">
        <f>'[72]VENTAS TOTALES'!$F99</f>
        <v>6173</v>
      </c>
      <c r="G87" s="252">
        <f>'[73]VENTAS TOTALES'!$F99</f>
        <v>4787</v>
      </c>
      <c r="H87" s="252">
        <f>'[74]VENTAS TOTALES'!$F99</f>
        <v>2676</v>
      </c>
      <c r="I87" s="252">
        <f>'[75]VENTAS TOTALES'!$F99</f>
        <v>7313</v>
      </c>
      <c r="J87" s="252">
        <f>'[76]VENTAS TOTALES'!$F99</f>
        <v>6922</v>
      </c>
      <c r="K87" s="252">
        <f>'[77]VENTAS TOTALES'!$F99</f>
        <v>6266</v>
      </c>
      <c r="L87" s="252">
        <f>'[78]VENTAS TOTALES'!$F99</f>
        <v>6398</v>
      </c>
      <c r="M87" s="252">
        <f>'[79]VENTAS TOTALES'!$F99</f>
        <v>6234</v>
      </c>
      <c r="N87" s="252">
        <f>'[80]VENTAS TOTALES'!$F99</f>
        <v>4844</v>
      </c>
      <c r="O87" s="252">
        <f>'[81]VENTAS TOTALES'!$F99</f>
        <v>2429</v>
      </c>
      <c r="P87" s="252">
        <f>'[82]VENTAS TOTALES'!$F99</f>
        <v>8093</v>
      </c>
      <c r="Q87" s="252">
        <f>'[83]VENTAS TOTALES'!$F99</f>
        <v>6792</v>
      </c>
      <c r="R87" s="252">
        <f>'[84]VENTAS TOTALES'!$F99</f>
        <v>6943</v>
      </c>
      <c r="S87" s="252">
        <f>'[85]VENTAS TOTALES'!$F99</f>
        <v>6611</v>
      </c>
      <c r="T87" s="252">
        <f>'[86]VENTAS TOTALES'!$F99</f>
        <v>6368</v>
      </c>
      <c r="U87" s="252">
        <f>'[87]VENTAS TOTALES'!$F99</f>
        <v>5038</v>
      </c>
      <c r="V87" s="252">
        <f>'[88]VENTAS TOTALES'!$F99</f>
        <v>2765</v>
      </c>
      <c r="W87" s="252">
        <f>'[89]VENTAS TOTALES'!$F99</f>
        <v>7908</v>
      </c>
      <c r="X87" s="252">
        <f>'[90]VENTAS TOTALES'!$F99</f>
        <v>6692</v>
      </c>
      <c r="Y87" s="252">
        <f>'[91]VENTAS TOTALES'!$F99</f>
        <v>6486</v>
      </c>
      <c r="Z87" s="252">
        <f>'[92]VENTAS TOTALES'!$F99</f>
        <v>6237</v>
      </c>
      <c r="AA87" s="252">
        <f>'[93]VENTAS TOTALES'!$F99</f>
        <v>6130</v>
      </c>
      <c r="AB87" s="252">
        <f>'[94]VENTAS TOTALES'!$F99</f>
        <v>5157</v>
      </c>
      <c r="AC87" s="252">
        <f>'[95]VENTAS TOTALES'!$F99</f>
        <v>2323</v>
      </c>
      <c r="AD87" s="252">
        <f>'[96]VENTAS TOTALES'!$F99</f>
        <v>8328</v>
      </c>
      <c r="AE87" s="252">
        <f>'[97]VENTAS TOTALES'!$F99</f>
        <v>7345</v>
      </c>
      <c r="AF87" s="252">
        <f>'[98]VENTAS TOTALES'!$F99</f>
        <v>7263</v>
      </c>
      <c r="AG87" s="252">
        <f>'[99]VENTAS TOTALES'!$F99</f>
        <v>7241</v>
      </c>
      <c r="AH87" s="252">
        <f>'[100]VENTAS TOTALES'!$F99</f>
        <v>6607</v>
      </c>
      <c r="AI87" s="252">
        <f>'[101]VENTAS TOTALES'!$F99</f>
        <v>5155</v>
      </c>
      <c r="AJ87" s="252">
        <f>'[102]VENTAS TOTALES'!$F99</f>
        <v>2504</v>
      </c>
    </row>
    <row r="88" spans="1:36" x14ac:dyDescent="0.2">
      <c r="A88" s="424"/>
      <c r="B88" s="309" t="s">
        <v>37</v>
      </c>
      <c r="C88" s="252">
        <f>'[69]VENTAS TOTALES'!$F100</f>
        <v>8431</v>
      </c>
      <c r="D88" s="252">
        <f>'[70]VENTAS TOTALES'!$F100</f>
        <v>7751</v>
      </c>
      <c r="E88" s="252">
        <f>'[71]VENTAS TOTALES'!$F100</f>
        <v>7156</v>
      </c>
      <c r="F88" s="252">
        <f>'[72]VENTAS TOTALES'!$F100</f>
        <v>7031</v>
      </c>
      <c r="G88" s="252">
        <f>'[73]VENTAS TOTALES'!$F100</f>
        <v>6022</v>
      </c>
      <c r="H88" s="252">
        <f>'[74]VENTAS TOTALES'!$F100</f>
        <v>2938</v>
      </c>
      <c r="I88" s="252">
        <f>'[75]VENTAS TOTALES'!$F100</f>
        <v>8432</v>
      </c>
      <c r="J88" s="252">
        <f>'[76]VENTAS TOTALES'!$F100</f>
        <v>7336</v>
      </c>
      <c r="K88" s="252">
        <f>'[77]VENTAS TOTALES'!$F100</f>
        <v>6944</v>
      </c>
      <c r="L88" s="252">
        <f>'[78]VENTAS TOTALES'!$F100</f>
        <v>6800</v>
      </c>
      <c r="M88" s="252">
        <f>'[79]VENTAS TOTALES'!$F100</f>
        <v>6820</v>
      </c>
      <c r="N88" s="252">
        <f>'[80]VENTAS TOTALES'!$F100</f>
        <v>6182</v>
      </c>
      <c r="O88" s="252">
        <f>'[81]VENTAS TOTALES'!$F100</f>
        <v>2638</v>
      </c>
      <c r="P88" s="252">
        <f>'[82]VENTAS TOTALES'!$F100</f>
        <v>7870</v>
      </c>
      <c r="Q88" s="252">
        <f>'[83]VENTAS TOTALES'!$F100</f>
        <v>7794</v>
      </c>
      <c r="R88" s="252">
        <f>'[84]VENTAS TOTALES'!$F100</f>
        <v>7459</v>
      </c>
      <c r="S88" s="252">
        <f>'[85]VENTAS TOTALES'!$F100</f>
        <v>7291</v>
      </c>
      <c r="T88" s="252">
        <f>'[86]VENTAS TOTALES'!$F100</f>
        <v>7053</v>
      </c>
      <c r="U88" s="252">
        <f>'[87]VENTAS TOTALES'!$F100</f>
        <v>6330</v>
      </c>
      <c r="V88" s="252">
        <f>'[88]VENTAS TOTALES'!$F100</f>
        <v>2704</v>
      </c>
      <c r="W88" s="252">
        <f>'[89]VENTAS TOTALES'!$F100</f>
        <v>8593</v>
      </c>
      <c r="X88" s="252">
        <f>'[90]VENTAS TOTALES'!$F100</f>
        <v>7195</v>
      </c>
      <c r="Y88" s="252">
        <f>'[91]VENTAS TOTALES'!$F100</f>
        <v>6878</v>
      </c>
      <c r="Z88" s="252">
        <f>'[92]VENTAS TOTALES'!$F100</f>
        <v>6593</v>
      </c>
      <c r="AA88" s="252">
        <f>'[93]VENTAS TOTALES'!$F100</f>
        <v>7161</v>
      </c>
      <c r="AB88" s="252">
        <f>'[94]VENTAS TOTALES'!$F100</f>
        <v>6329</v>
      </c>
      <c r="AC88" s="252">
        <f>'[95]VENTAS TOTALES'!$F100</f>
        <v>2937</v>
      </c>
      <c r="AD88" s="252">
        <f>'[96]VENTAS TOTALES'!$F100</f>
        <v>9271</v>
      </c>
      <c r="AE88" s="252">
        <f>'[97]VENTAS TOTALES'!$F100</f>
        <v>8327</v>
      </c>
      <c r="AF88" s="252">
        <f>'[98]VENTAS TOTALES'!$F100</f>
        <v>8057</v>
      </c>
      <c r="AG88" s="252">
        <f>'[99]VENTAS TOTALES'!$F100</f>
        <v>7964</v>
      </c>
      <c r="AH88" s="252">
        <f>'[100]VENTAS TOTALES'!$F100</f>
        <v>7417</v>
      </c>
      <c r="AI88" s="252">
        <f>'[101]VENTAS TOTALES'!$F100</f>
        <v>6758</v>
      </c>
      <c r="AJ88" s="252">
        <f>'[102]VENTAS TOTALES'!$F100</f>
        <v>2842</v>
      </c>
    </row>
    <row r="89" spans="1:36" x14ac:dyDescent="0.2">
      <c r="A89" s="424"/>
      <c r="B89" s="309" t="s">
        <v>135</v>
      </c>
      <c r="C89" s="252">
        <f>'[69]VENTAS TOTALES'!$F101</f>
        <v>2321</v>
      </c>
      <c r="D89" s="252">
        <f>'[70]VENTAS TOTALES'!$F101</f>
        <v>2316</v>
      </c>
      <c r="E89" s="252">
        <f>'[71]VENTAS TOTALES'!$F101</f>
        <v>2226</v>
      </c>
      <c r="F89" s="252">
        <f>'[72]VENTAS TOTALES'!$F101</f>
        <v>2251</v>
      </c>
      <c r="G89" s="252">
        <f>'[73]VENTAS TOTALES'!$F101</f>
        <v>1903</v>
      </c>
      <c r="H89" s="252">
        <f>'[74]VENTAS TOTALES'!$F101</f>
        <v>1089</v>
      </c>
      <c r="I89" s="252">
        <f>'[75]VENTAS TOTALES'!$F101</f>
        <v>2698</v>
      </c>
      <c r="J89" s="252">
        <f>'[76]VENTAS TOTALES'!$F101</f>
        <v>2423</v>
      </c>
      <c r="K89" s="252">
        <f>'[77]VENTAS TOTALES'!$F101</f>
        <v>2362</v>
      </c>
      <c r="L89" s="252">
        <f>'[78]VENTAS TOTALES'!$F101</f>
        <v>2192</v>
      </c>
      <c r="M89" s="252">
        <f>'[79]VENTAS TOTALES'!$F101</f>
        <v>2349</v>
      </c>
      <c r="N89" s="252">
        <f>'[80]VENTAS TOTALES'!$F101</f>
        <v>1900</v>
      </c>
      <c r="O89" s="252">
        <f>'[81]VENTAS TOTALES'!$F101</f>
        <v>956</v>
      </c>
      <c r="P89" s="252">
        <f>'[82]VENTAS TOTALES'!$F101</f>
        <v>2660</v>
      </c>
      <c r="Q89" s="252">
        <f>'[83]VENTAS TOTALES'!$F101</f>
        <v>2508</v>
      </c>
      <c r="R89" s="252">
        <f>'[84]VENTAS TOTALES'!$F101</f>
        <v>2576</v>
      </c>
      <c r="S89" s="252">
        <f>'[85]VENTAS TOTALES'!$F101</f>
        <v>2394</v>
      </c>
      <c r="T89" s="252">
        <f>'[86]VENTAS TOTALES'!$F101</f>
        <v>1809</v>
      </c>
      <c r="U89" s="252">
        <f>'[87]VENTAS TOTALES'!$F101</f>
        <v>2271</v>
      </c>
      <c r="V89" s="252">
        <f>'[88]VENTAS TOTALES'!$F101</f>
        <v>1032</v>
      </c>
      <c r="W89" s="252">
        <f>'[89]VENTAS TOTALES'!$F101</f>
        <v>2920</v>
      </c>
      <c r="X89" s="252">
        <f>'[90]VENTAS TOTALES'!$F101</f>
        <v>2382</v>
      </c>
      <c r="Y89" s="252">
        <f>'[91]VENTAS TOTALES'!$F101</f>
        <v>2269</v>
      </c>
      <c r="Z89" s="252">
        <f>'[92]VENTAS TOTALES'!$F101</f>
        <v>2155</v>
      </c>
      <c r="AA89" s="252">
        <f>'[93]VENTAS TOTALES'!$F101</f>
        <v>2296</v>
      </c>
      <c r="AB89" s="252">
        <f>'[94]VENTAS TOTALES'!$F101</f>
        <v>2151</v>
      </c>
      <c r="AC89" s="252">
        <f>'[95]VENTAS TOTALES'!$F101</f>
        <v>996</v>
      </c>
      <c r="AD89" s="252">
        <f>'[96]VENTAS TOTALES'!$F101</f>
        <v>3100</v>
      </c>
      <c r="AE89" s="252">
        <f>'[97]VENTAS TOTALES'!$F101</f>
        <v>2936</v>
      </c>
      <c r="AF89" s="252">
        <f>'[98]VENTAS TOTALES'!$F101</f>
        <v>2634</v>
      </c>
      <c r="AG89" s="252">
        <f>'[99]VENTAS TOTALES'!$F101</f>
        <v>2580</v>
      </c>
      <c r="AH89" s="252">
        <f>'[100]VENTAS TOTALES'!$F101</f>
        <v>2523</v>
      </c>
      <c r="AI89" s="252">
        <f>'[101]VENTAS TOTALES'!$F101</f>
        <v>2164</v>
      </c>
      <c r="AJ89" s="252">
        <f>'[102]VENTAS TOTALES'!$F101</f>
        <v>1032</v>
      </c>
    </row>
    <row r="90" spans="1:36" x14ac:dyDescent="0.2">
      <c r="A90" s="424"/>
      <c r="B90" s="309" t="s">
        <v>136</v>
      </c>
      <c r="C90" s="252">
        <f>'[69]VENTAS TOTALES'!$F102</f>
        <v>12949</v>
      </c>
      <c r="D90" s="252">
        <f>'[70]VENTAS TOTALES'!$F102</f>
        <v>12704</v>
      </c>
      <c r="E90" s="252">
        <f>'[71]VENTAS TOTALES'!$F102</f>
        <v>11455</v>
      </c>
      <c r="F90" s="252">
        <f>'[72]VENTAS TOTALES'!$F102</f>
        <v>12576</v>
      </c>
      <c r="G90" s="252">
        <f>'[73]VENTAS TOTALES'!$F102</f>
        <v>11141</v>
      </c>
      <c r="H90" s="252">
        <f>'[74]VENTAS TOTALES'!$F102</f>
        <v>6278</v>
      </c>
      <c r="I90" s="252">
        <f>'[75]VENTAS TOTALES'!$F102</f>
        <v>13791</v>
      </c>
      <c r="J90" s="252">
        <f>'[76]VENTAS TOTALES'!$F102</f>
        <v>12848</v>
      </c>
      <c r="K90" s="252">
        <f>'[77]VENTAS TOTALES'!$F102</f>
        <v>12482</v>
      </c>
      <c r="L90" s="252">
        <f>'[78]VENTAS TOTALES'!$F102</f>
        <v>12194</v>
      </c>
      <c r="M90" s="252">
        <f>'[79]VENTAS TOTALES'!$F102</f>
        <v>12700</v>
      </c>
      <c r="N90" s="252">
        <f>'[80]VENTAS TOTALES'!$F102</f>
        <v>11018</v>
      </c>
      <c r="O90" s="252">
        <f>'[81]VENTAS TOTALES'!$F102</f>
        <v>6152</v>
      </c>
      <c r="P90" s="252">
        <f>'[82]VENTAS TOTALES'!$F102</f>
        <v>14740</v>
      </c>
      <c r="Q90" s="252">
        <f>'[83]VENTAS TOTALES'!$F102</f>
        <v>13757</v>
      </c>
      <c r="R90" s="252">
        <f>'[84]VENTAS TOTALES'!$F102</f>
        <v>13848</v>
      </c>
      <c r="S90" s="252">
        <f>'[85]VENTAS TOTALES'!$F102</f>
        <v>13175</v>
      </c>
      <c r="T90" s="252">
        <f>'[86]VENTAS TOTALES'!$F102</f>
        <v>13369</v>
      </c>
      <c r="U90" s="252">
        <f>'[87]VENTAS TOTALES'!$F102</f>
        <v>11393</v>
      </c>
      <c r="V90" s="252">
        <f>'[88]VENTAS TOTALES'!$F102</f>
        <v>6484</v>
      </c>
      <c r="W90" s="252">
        <f>'[89]VENTAS TOTALES'!$F102</f>
        <v>14743</v>
      </c>
      <c r="X90" s="252">
        <f>'[90]VENTAS TOTALES'!$F102</f>
        <v>13087</v>
      </c>
      <c r="Y90" s="252">
        <f>'[91]VENTAS TOTALES'!$F102</f>
        <v>12711</v>
      </c>
      <c r="Z90" s="252">
        <f>'[92]VENTAS TOTALES'!$F102</f>
        <v>12719</v>
      </c>
      <c r="AA90" s="252">
        <f>'[93]VENTAS TOTALES'!$F102</f>
        <v>13568</v>
      </c>
      <c r="AB90" s="252">
        <f>'[94]VENTAS TOTALES'!$F102</f>
        <v>12052</v>
      </c>
      <c r="AC90" s="252">
        <f>'[95]VENTAS TOTALES'!$F102</f>
        <v>6617</v>
      </c>
      <c r="AD90" s="252">
        <f>'[96]VENTAS TOTALES'!$F102</f>
        <v>15812</v>
      </c>
      <c r="AE90" s="252">
        <f>'[97]VENTAS TOTALES'!$F102</f>
        <v>14899</v>
      </c>
      <c r="AF90" s="252">
        <f>'[98]VENTAS TOTALES'!$F102</f>
        <v>15117</v>
      </c>
      <c r="AG90" s="252">
        <f>'[99]VENTAS TOTALES'!$F102</f>
        <v>13920</v>
      </c>
      <c r="AH90" s="252">
        <f>'[100]VENTAS TOTALES'!$F102</f>
        <v>13818</v>
      </c>
      <c r="AI90" s="252">
        <f>'[101]VENTAS TOTALES'!$F102</f>
        <v>12182</v>
      </c>
      <c r="AJ90" s="252">
        <f>'[102]VENTAS TOTALES'!$F102</f>
        <v>6648</v>
      </c>
    </row>
    <row r="91" spans="1:36" x14ac:dyDescent="0.2">
      <c r="A91" s="424"/>
      <c r="B91" s="309" t="s">
        <v>38</v>
      </c>
      <c r="C91" s="252">
        <f>'[69]VENTAS TOTALES'!$F103</f>
        <v>12265</v>
      </c>
      <c r="D91" s="252">
        <f>'[70]VENTAS TOTALES'!$F103</f>
        <v>12010</v>
      </c>
      <c r="E91" s="252">
        <f>'[71]VENTAS TOTALES'!$F103</f>
        <v>10175</v>
      </c>
      <c r="F91" s="252">
        <f>'[72]VENTAS TOTALES'!$F103</f>
        <v>10078</v>
      </c>
      <c r="G91" s="252">
        <f>'[73]VENTAS TOTALES'!$F103</f>
        <v>8115</v>
      </c>
      <c r="H91" s="252">
        <f>'[74]VENTAS TOTALES'!$F103</f>
        <v>5021</v>
      </c>
      <c r="I91" s="252">
        <f>'[75]VENTAS TOTALES'!$F103</f>
        <v>13318</v>
      </c>
      <c r="J91" s="252">
        <f>'[76]VENTAS TOTALES'!$F103</f>
        <v>10968</v>
      </c>
      <c r="K91" s="252">
        <f>'[77]VENTAS TOTALES'!$F103</f>
        <v>10919</v>
      </c>
      <c r="L91" s="252">
        <f>'[78]VENTAS TOTALES'!$F103</f>
        <v>10254</v>
      </c>
      <c r="M91" s="252">
        <f>'[79]VENTAS TOTALES'!$F103</f>
        <v>10263</v>
      </c>
      <c r="N91" s="252">
        <f>'[80]VENTAS TOTALES'!$F103</f>
        <v>8406</v>
      </c>
      <c r="O91" s="252">
        <f>'[81]VENTAS TOTALES'!$F103</f>
        <v>4605</v>
      </c>
      <c r="P91" s="252">
        <f>'[82]VENTAS TOTALES'!$F103</f>
        <v>12689</v>
      </c>
      <c r="Q91" s="252">
        <f>'[83]VENTAS TOTALES'!$F103</f>
        <v>11290</v>
      </c>
      <c r="R91" s="252">
        <f>'[84]VENTAS TOTALES'!$F103</f>
        <v>11929</v>
      </c>
      <c r="S91" s="252">
        <f>'[85]VENTAS TOTALES'!$F103</f>
        <v>11252</v>
      </c>
      <c r="T91" s="252">
        <f>'[86]VENTAS TOTALES'!$F103</f>
        <v>10405</v>
      </c>
      <c r="U91" s="252">
        <f>'[87]VENTAS TOTALES'!$F103</f>
        <v>8510</v>
      </c>
      <c r="V91" s="252">
        <f>'[88]VENTAS TOTALES'!$F103</f>
        <v>4949</v>
      </c>
      <c r="W91" s="252">
        <f>'[89]VENTAS TOTALES'!$F103</f>
        <v>13725</v>
      </c>
      <c r="X91" s="252">
        <f>'[90]VENTAS TOTALES'!$F103</f>
        <v>10853</v>
      </c>
      <c r="Y91" s="252">
        <f>'[91]VENTAS TOTALES'!$F103</f>
        <v>11226</v>
      </c>
      <c r="Z91" s="252">
        <f>'[92]VENTAS TOTALES'!$F103</f>
        <v>10716</v>
      </c>
      <c r="AA91" s="252">
        <f>'[93]VENTAS TOTALES'!$F103</f>
        <v>10599</v>
      </c>
      <c r="AB91" s="252">
        <f>'[94]VENTAS TOTALES'!$F103</f>
        <v>8444</v>
      </c>
      <c r="AC91" s="252">
        <f>'[95]VENTAS TOTALES'!$F103</f>
        <v>4776</v>
      </c>
      <c r="AD91" s="252">
        <f>'[96]VENTAS TOTALES'!$F103</f>
        <v>13788</v>
      </c>
      <c r="AE91" s="252">
        <f>'[97]VENTAS TOTALES'!$F103</f>
        <v>12898</v>
      </c>
      <c r="AF91" s="252">
        <f>'[98]VENTAS TOTALES'!$F103</f>
        <v>12763</v>
      </c>
      <c r="AG91" s="252">
        <f>'[99]VENTAS TOTALES'!$F103</f>
        <v>11457</v>
      </c>
      <c r="AH91" s="252">
        <f>'[100]VENTAS TOTALES'!$F103</f>
        <v>10973</v>
      </c>
      <c r="AI91" s="252">
        <f>'[101]VENTAS TOTALES'!$F103</f>
        <v>8828</v>
      </c>
      <c r="AJ91" s="252">
        <f>'[102]VENTAS TOTALES'!$F103</f>
        <v>5014</v>
      </c>
    </row>
    <row r="92" spans="1:36" x14ac:dyDescent="0.2">
      <c r="A92" s="424"/>
      <c r="B92" s="309" t="s">
        <v>39</v>
      </c>
      <c r="C92" s="252">
        <f>'[69]VENTAS TOTALES'!$F104</f>
        <v>5472</v>
      </c>
      <c r="D92" s="252">
        <f>'[70]VENTAS TOTALES'!$F104</f>
        <v>5404</v>
      </c>
      <c r="E92" s="252">
        <f>'[71]VENTAS TOTALES'!$F104</f>
        <v>4805</v>
      </c>
      <c r="F92" s="252">
        <f>'[72]VENTAS TOTALES'!$F104</f>
        <v>4833</v>
      </c>
      <c r="G92" s="252">
        <f>'[73]VENTAS TOTALES'!$F104</f>
        <v>4252</v>
      </c>
      <c r="H92" s="252">
        <f>'[74]VENTAS TOTALES'!$F104</f>
        <v>2689</v>
      </c>
      <c r="I92" s="252">
        <f>'[75]VENTAS TOTALES'!$F104</f>
        <v>5703</v>
      </c>
      <c r="J92" s="252">
        <f>'[76]VENTAS TOTALES'!$F104</f>
        <v>5220</v>
      </c>
      <c r="K92" s="252">
        <f>'[77]VENTAS TOTALES'!$F104</f>
        <v>4969</v>
      </c>
      <c r="L92" s="252">
        <f>'[78]VENTAS TOTALES'!$F104</f>
        <v>5022</v>
      </c>
      <c r="M92" s="252">
        <f>'[79]VENTAS TOTALES'!$F104</f>
        <v>4790</v>
      </c>
      <c r="N92" s="252">
        <f>'[80]VENTAS TOTALES'!$F104</f>
        <v>4136</v>
      </c>
      <c r="O92" s="252">
        <f>'[81]VENTAS TOTALES'!$F104</f>
        <v>2633</v>
      </c>
      <c r="P92" s="252">
        <f>'[82]VENTAS TOTALES'!$F104</f>
        <v>5835</v>
      </c>
      <c r="Q92" s="252">
        <f>'[83]VENTAS TOTALES'!$F104</f>
        <v>5250</v>
      </c>
      <c r="R92" s="252">
        <f>'[84]VENTAS TOTALES'!$F104</f>
        <v>5298</v>
      </c>
      <c r="S92" s="252">
        <f>'[85]VENTAS TOTALES'!$F104</f>
        <v>5536</v>
      </c>
      <c r="T92" s="252">
        <f>'[86]VENTAS TOTALES'!$F104</f>
        <v>5274</v>
      </c>
      <c r="U92" s="252">
        <f>'[87]VENTAS TOTALES'!$F104</f>
        <v>4304</v>
      </c>
      <c r="V92" s="252">
        <f>'[88]VENTAS TOTALES'!$F104</f>
        <v>2901</v>
      </c>
      <c r="W92" s="252">
        <f>'[89]VENTAS TOTALES'!$F104</f>
        <v>6037</v>
      </c>
      <c r="X92" s="252">
        <f>'[90]VENTAS TOTALES'!$F104</f>
        <v>5260</v>
      </c>
      <c r="Y92" s="252">
        <f>'[91]VENTAS TOTALES'!$F104</f>
        <v>4856</v>
      </c>
      <c r="Z92" s="252">
        <f>'[92]VENTAS TOTALES'!$F104</f>
        <v>4882</v>
      </c>
      <c r="AA92" s="252">
        <f>'[93]VENTAS TOTALES'!$F104</f>
        <v>5063</v>
      </c>
      <c r="AB92" s="252">
        <f>'[94]VENTAS TOTALES'!$F104</f>
        <v>4269</v>
      </c>
      <c r="AC92" s="252">
        <f>'[95]VENTAS TOTALES'!$F104</f>
        <v>2611</v>
      </c>
      <c r="AD92" s="252">
        <f>'[96]VENTAS TOTALES'!$F104</f>
        <v>6658</v>
      </c>
      <c r="AE92" s="252">
        <f>'[97]VENTAS TOTALES'!$F104</f>
        <v>5969</v>
      </c>
      <c r="AF92" s="252">
        <f>'[98]VENTAS TOTALES'!$F104</f>
        <v>5919</v>
      </c>
      <c r="AG92" s="252">
        <f>'[99]VENTAS TOTALES'!$F104</f>
        <v>5419</v>
      </c>
      <c r="AH92" s="252">
        <f>'[100]VENTAS TOTALES'!$F104</f>
        <v>5045</v>
      </c>
      <c r="AI92" s="252">
        <f>'[101]VENTAS TOTALES'!$F104</f>
        <v>4495</v>
      </c>
      <c r="AJ92" s="252">
        <f>'[102]VENTAS TOTALES'!$F104</f>
        <v>3001</v>
      </c>
    </row>
    <row r="93" spans="1:36" ht="12" customHeight="1" x14ac:dyDescent="0.2">
      <c r="A93" s="424"/>
      <c r="B93" s="309" t="s">
        <v>125</v>
      </c>
      <c r="C93" s="252">
        <f>'[69]VENTAS TOTALES'!$F105</f>
        <v>3890</v>
      </c>
      <c r="D93" s="252">
        <f>'[70]VENTAS TOTALES'!$F105</f>
        <v>3603</v>
      </c>
      <c r="E93" s="252">
        <f>'[71]VENTAS TOTALES'!$F105</f>
        <v>2991</v>
      </c>
      <c r="F93" s="252">
        <f>'[72]VENTAS TOTALES'!$F105</f>
        <v>2904</v>
      </c>
      <c r="G93" s="252">
        <f>'[73]VENTAS TOTALES'!$F105</f>
        <v>2127</v>
      </c>
      <c r="H93" s="252">
        <f>'[74]VENTAS TOTALES'!$F105</f>
        <v>1201</v>
      </c>
      <c r="I93" s="252">
        <f>'[75]VENTAS TOTALES'!$F105</f>
        <v>3947</v>
      </c>
      <c r="J93" s="252">
        <f>'[76]VENTAS TOTALES'!$F105</f>
        <v>3508</v>
      </c>
      <c r="K93" s="252">
        <f>'[77]VENTAS TOTALES'!$F105</f>
        <v>2961</v>
      </c>
      <c r="L93" s="252">
        <f>'[78]VENTAS TOTALES'!$F105</f>
        <v>3097</v>
      </c>
      <c r="M93" s="252">
        <f>'[79]VENTAS TOTALES'!$F105</f>
        <v>2848</v>
      </c>
      <c r="N93" s="252">
        <f>'[80]VENTAS TOTALES'!$F105</f>
        <v>2234</v>
      </c>
      <c r="O93" s="252">
        <f>'[81]VENTAS TOTALES'!$F105</f>
        <v>1098</v>
      </c>
      <c r="P93" s="252">
        <f>'[82]VENTAS TOTALES'!$F105</f>
        <v>4164</v>
      </c>
      <c r="Q93" s="252">
        <f>'[83]VENTAS TOTALES'!$F105</f>
        <v>3362</v>
      </c>
      <c r="R93" s="252">
        <f>'[84]VENTAS TOTALES'!$F105</f>
        <v>3712</v>
      </c>
      <c r="S93" s="252">
        <f>'[85]VENTAS TOTALES'!$F105</f>
        <v>3379</v>
      </c>
      <c r="T93" s="252">
        <f>'[86]VENTAS TOTALES'!$F105</f>
        <v>3006</v>
      </c>
      <c r="U93" s="252">
        <f>'[87]VENTAS TOTALES'!$F105</f>
        <v>2369</v>
      </c>
      <c r="V93" s="252">
        <f>'[88]VENTAS TOTALES'!$F105</f>
        <v>1176</v>
      </c>
      <c r="W93" s="252">
        <f>'[89]VENTAS TOTALES'!$F105</f>
        <v>3921</v>
      </c>
      <c r="X93" s="252">
        <f>'[90]VENTAS TOTALES'!$F105</f>
        <v>3498</v>
      </c>
      <c r="Y93" s="252">
        <f>'[91]VENTAS TOTALES'!$F105</f>
        <v>3321</v>
      </c>
      <c r="Z93" s="252">
        <f>'[92]VENTAS TOTALES'!$F105</f>
        <v>3284</v>
      </c>
      <c r="AA93" s="252">
        <f>'[93]VENTAS TOTALES'!$F105</f>
        <v>3121</v>
      </c>
      <c r="AB93" s="252">
        <f>'[94]VENTAS TOTALES'!$F105</f>
        <v>2401</v>
      </c>
      <c r="AC93" s="252">
        <f>'[95]VENTAS TOTALES'!$F105</f>
        <v>1161</v>
      </c>
      <c r="AD93" s="252">
        <f>'[96]VENTAS TOTALES'!$F105</f>
        <v>4101</v>
      </c>
      <c r="AE93" s="252">
        <f>'[97]VENTAS TOTALES'!$F105</f>
        <v>4613</v>
      </c>
      <c r="AF93" s="252">
        <f>'[98]VENTAS TOTALES'!$F105</f>
        <v>3977</v>
      </c>
      <c r="AG93" s="252">
        <f>'[99]VENTAS TOTALES'!$F105</f>
        <v>3540</v>
      </c>
      <c r="AH93" s="252">
        <f>'[100]VENTAS TOTALES'!$F105</f>
        <v>3227</v>
      </c>
      <c r="AI93" s="252">
        <f>'[101]VENTAS TOTALES'!$F105</f>
        <v>2565</v>
      </c>
      <c r="AJ93" s="252">
        <f>'[102]VENTAS TOTALES'!$F105</f>
        <v>1116</v>
      </c>
    </row>
    <row r="94" spans="1:36" ht="12" customHeight="1" x14ac:dyDescent="0.2">
      <c r="A94" s="424"/>
      <c r="B94" s="320" t="s">
        <v>124</v>
      </c>
      <c r="C94" s="252">
        <f>'[69]VENTAS TOTALES'!$F106</f>
        <v>3371</v>
      </c>
      <c r="D94" s="252">
        <f>'[70]VENTAS TOTALES'!$F106</f>
        <v>3401</v>
      </c>
      <c r="E94" s="252">
        <f>'[71]VENTAS TOTALES'!$F106</f>
        <v>2874</v>
      </c>
      <c r="F94" s="252">
        <f>'[72]VENTAS TOTALES'!$F106</f>
        <v>2754</v>
      </c>
      <c r="G94" s="252">
        <f>'[73]VENTAS TOTALES'!$F106</f>
        <v>1877</v>
      </c>
      <c r="H94" s="252">
        <f>'[74]VENTAS TOTALES'!$F106</f>
        <v>1057</v>
      </c>
      <c r="I94" s="252">
        <f>'[75]VENTAS TOTALES'!$F106</f>
        <v>3895</v>
      </c>
      <c r="J94" s="252">
        <f>'[76]VENTAS TOTALES'!$F106</f>
        <v>3169</v>
      </c>
      <c r="K94" s="252">
        <f>'[77]VENTAS TOTALES'!$F106</f>
        <v>2987</v>
      </c>
      <c r="L94" s="252">
        <f>'[78]VENTAS TOTALES'!$F106</f>
        <v>2853</v>
      </c>
      <c r="M94" s="252">
        <f>'[79]VENTAS TOTALES'!$F106</f>
        <v>2607</v>
      </c>
      <c r="N94" s="252">
        <f>'[80]VENTAS TOTALES'!$F106</f>
        <v>1984</v>
      </c>
      <c r="O94" s="252">
        <f>'[81]VENTAS TOTALES'!$F106</f>
        <v>1016</v>
      </c>
      <c r="P94" s="252">
        <f>'[82]VENTAS TOTALES'!$F106</f>
        <v>3681</v>
      </c>
      <c r="Q94" s="252">
        <f>'[83]VENTAS TOTALES'!$F106</f>
        <v>3196</v>
      </c>
      <c r="R94" s="252">
        <f>'[84]VENTAS TOTALES'!$F106</f>
        <v>3334</v>
      </c>
      <c r="S94" s="252">
        <f>'[85]VENTAS TOTALES'!$F106</f>
        <v>2873</v>
      </c>
      <c r="T94" s="252">
        <f>'[86]VENTAS TOTALES'!$F106</f>
        <v>2640</v>
      </c>
      <c r="U94" s="252">
        <f>'[87]VENTAS TOTALES'!$F106</f>
        <v>2106</v>
      </c>
      <c r="V94" s="252">
        <f>'[88]VENTAS TOTALES'!$F106</f>
        <v>1125</v>
      </c>
      <c r="W94" s="252">
        <f>'[89]VENTAS TOTALES'!$F106</f>
        <v>3919</v>
      </c>
      <c r="X94" s="252">
        <f>'[90]VENTAS TOTALES'!$F106</f>
        <v>3233</v>
      </c>
      <c r="Y94" s="252">
        <f>'[91]VENTAS TOTALES'!$F106</f>
        <v>2907</v>
      </c>
      <c r="Z94" s="252">
        <f>'[92]VENTAS TOTALES'!$F106</f>
        <v>2924</v>
      </c>
      <c r="AA94" s="252">
        <f>'[93]VENTAS TOTALES'!$F106</f>
        <v>2778</v>
      </c>
      <c r="AB94" s="252">
        <f>'[94]VENTAS TOTALES'!$F106</f>
        <v>2070</v>
      </c>
      <c r="AC94" s="252">
        <f>'[95]VENTAS TOTALES'!$F106</f>
        <v>1075</v>
      </c>
      <c r="AD94" s="252">
        <f>'[96]VENTAS TOTALES'!$F106</f>
        <v>3981</v>
      </c>
      <c r="AE94" s="252">
        <f>'[97]VENTAS TOTALES'!$F106</f>
        <v>3692</v>
      </c>
      <c r="AF94" s="252">
        <f>'[98]VENTAS TOTALES'!$F106</f>
        <v>3356</v>
      </c>
      <c r="AG94" s="252">
        <f>'[99]VENTAS TOTALES'!$F106</f>
        <v>3217</v>
      </c>
      <c r="AH94" s="252">
        <f>'[100]VENTAS TOTALES'!$F106</f>
        <v>2920</v>
      </c>
      <c r="AI94" s="252">
        <f>'[101]VENTAS TOTALES'!$F106</f>
        <v>2252</v>
      </c>
      <c r="AJ94" s="252">
        <f>'[102]VENTAS TOTALES'!$F106</f>
        <v>967</v>
      </c>
    </row>
    <row r="95" spans="1:36" x14ac:dyDescent="0.2">
      <c r="A95" s="424"/>
      <c r="B95" s="320" t="s">
        <v>295</v>
      </c>
      <c r="C95" s="252">
        <f>'[69]VENTAS TOTALES'!$F107</f>
        <v>5524</v>
      </c>
      <c r="D95" s="252">
        <f>'[70]VENTAS TOTALES'!$F107</f>
        <v>5132</v>
      </c>
      <c r="E95" s="252">
        <f>'[71]VENTAS TOTALES'!$F107</f>
        <v>4694</v>
      </c>
      <c r="F95" s="252">
        <f>'[72]VENTAS TOTALES'!$F107</f>
        <v>4599</v>
      </c>
      <c r="G95" s="252">
        <f>'[73]VENTAS TOTALES'!$F107</f>
        <v>4193</v>
      </c>
      <c r="H95" s="252">
        <f>'[74]VENTAS TOTALES'!$F107</f>
        <v>2443</v>
      </c>
      <c r="I95" s="252">
        <f>'[75]VENTAS TOTALES'!$F107</f>
        <v>6081</v>
      </c>
      <c r="J95" s="252">
        <f>'[76]VENTAS TOTALES'!$F107</f>
        <v>4783</v>
      </c>
      <c r="K95" s="252">
        <f>'[77]VENTAS TOTALES'!$F107</f>
        <v>4741</v>
      </c>
      <c r="L95" s="252">
        <f>'[78]VENTAS TOTALES'!$F107</f>
        <v>4733</v>
      </c>
      <c r="M95" s="252">
        <f>'[79]VENTAS TOTALES'!$F107</f>
        <v>4554</v>
      </c>
      <c r="N95" s="252">
        <f>'[80]VENTAS TOTALES'!$F107</f>
        <v>3869</v>
      </c>
      <c r="O95" s="252">
        <f>'[81]VENTAS TOTALES'!$F107</f>
        <v>2266</v>
      </c>
      <c r="P95" s="252">
        <f>'[82]VENTAS TOTALES'!$F107</f>
        <v>5813</v>
      </c>
      <c r="Q95" s="252">
        <f>'[83]VENTAS TOTALES'!$F107</f>
        <v>5063</v>
      </c>
      <c r="R95" s="252">
        <f>'[84]VENTAS TOTALES'!$F107</f>
        <v>5290</v>
      </c>
      <c r="S95" s="252">
        <f>'[85]VENTAS TOTALES'!$F107</f>
        <v>4960</v>
      </c>
      <c r="T95" s="252">
        <f>'[86]VENTAS TOTALES'!$F107</f>
        <v>4449</v>
      </c>
      <c r="U95" s="252">
        <f>'[87]VENTAS TOTALES'!$F107</f>
        <v>4026</v>
      </c>
      <c r="V95" s="252">
        <f>'[88]VENTAS TOTALES'!$F107</f>
        <v>2418</v>
      </c>
      <c r="W95" s="252">
        <f>'[89]VENTAS TOTALES'!$F107</f>
        <v>6391</v>
      </c>
      <c r="X95" s="252">
        <f>'[90]VENTAS TOTALES'!$F107</f>
        <v>4775</v>
      </c>
      <c r="Y95" s="252">
        <f>'[91]VENTAS TOTALES'!$F107</f>
        <v>4729</v>
      </c>
      <c r="Z95" s="252">
        <f>'[92]VENTAS TOTALES'!$F107</f>
        <v>4687</v>
      </c>
      <c r="AA95" s="252">
        <f>'[93]VENTAS TOTALES'!$F107</f>
        <v>4542</v>
      </c>
      <c r="AB95" s="252">
        <f>'[94]VENTAS TOTALES'!$F107</f>
        <v>4013</v>
      </c>
      <c r="AC95" s="252">
        <f>'[95]VENTAS TOTALES'!$F107</f>
        <v>2284</v>
      </c>
      <c r="AD95" s="252">
        <f>'[96]VENTAS TOTALES'!$F107</f>
        <v>6279</v>
      </c>
      <c r="AE95" s="252">
        <f>'[97]VENTAS TOTALES'!$F107</f>
        <v>5693</v>
      </c>
      <c r="AF95" s="252">
        <f>'[98]VENTAS TOTALES'!$F107</f>
        <v>5478</v>
      </c>
      <c r="AG95" s="252">
        <f>'[99]VENTAS TOTALES'!$F107</f>
        <v>5093</v>
      </c>
      <c r="AH95" s="252">
        <f>'[100]VENTAS TOTALES'!$F107</f>
        <v>4886</v>
      </c>
      <c r="AI95" s="252">
        <f>'[101]VENTAS TOTALES'!$F107</f>
        <v>4129</v>
      </c>
      <c r="AJ95" s="252">
        <f>'[102]VENTAS TOTALES'!$F107</f>
        <v>2372</v>
      </c>
    </row>
    <row r="96" spans="1:36" x14ac:dyDescent="0.2">
      <c r="A96" s="424"/>
      <c r="B96" s="320" t="s">
        <v>296</v>
      </c>
      <c r="C96" s="252">
        <f>'[69]VENTAS TOTALES'!$F108</f>
        <v>5052</v>
      </c>
      <c r="D96" s="252">
        <f>'[70]VENTAS TOTALES'!$F108</f>
        <v>5088</v>
      </c>
      <c r="E96" s="252">
        <f>'[71]VENTAS TOTALES'!$F108</f>
        <v>4460</v>
      </c>
      <c r="F96" s="252">
        <f>'[72]VENTAS TOTALES'!$F108</f>
        <v>4441</v>
      </c>
      <c r="G96" s="252">
        <f>'[73]VENTAS TOTALES'!$F108</f>
        <v>3881</v>
      </c>
      <c r="H96" s="252">
        <f>'[74]VENTAS TOTALES'!$F108</f>
        <v>2608</v>
      </c>
      <c r="I96" s="252">
        <f>'[75]VENTAS TOTALES'!$F108</f>
        <v>5698</v>
      </c>
      <c r="J96" s="252">
        <f>'[76]VENTAS TOTALES'!$F108</f>
        <v>4651</v>
      </c>
      <c r="K96" s="252">
        <f>'[77]VENTAS TOTALES'!$F108</f>
        <v>4242</v>
      </c>
      <c r="L96" s="252">
        <f>'[78]VENTAS TOTALES'!$F108</f>
        <v>4393</v>
      </c>
      <c r="M96" s="252">
        <f>'[79]VENTAS TOTALES'!$F108</f>
        <v>4371</v>
      </c>
      <c r="N96" s="252">
        <f>'[80]VENTAS TOTALES'!$F108</f>
        <v>3702</v>
      </c>
      <c r="O96" s="252">
        <f>'[81]VENTAS TOTALES'!$F108</f>
        <v>2303</v>
      </c>
      <c r="P96" s="252">
        <f>'[82]VENTAS TOTALES'!$F108</f>
        <v>6062</v>
      </c>
      <c r="Q96" s="252">
        <f>'[83]VENTAS TOTALES'!$F108</f>
        <v>5195</v>
      </c>
      <c r="R96" s="252">
        <f>'[84]VENTAS TOTALES'!$F108</f>
        <v>5355</v>
      </c>
      <c r="S96" s="252">
        <f>'[85]VENTAS TOTALES'!$F108</f>
        <v>5095</v>
      </c>
      <c r="T96" s="252">
        <f>'[86]VENTAS TOTALES'!$F108</f>
        <v>4165</v>
      </c>
      <c r="U96" s="252">
        <f>'[87]VENTAS TOTALES'!$F108</f>
        <v>3818</v>
      </c>
      <c r="V96" s="252">
        <f>'[88]VENTAS TOTALES'!$F108</f>
        <v>2562</v>
      </c>
      <c r="W96" s="252">
        <f>'[89]VENTAS TOTALES'!$F108</f>
        <v>6034</v>
      </c>
      <c r="X96" s="252">
        <f>'[90]VENTAS TOTALES'!$F108</f>
        <v>4853</v>
      </c>
      <c r="Y96" s="252">
        <f>'[91]VENTAS TOTALES'!$F108</f>
        <v>4620</v>
      </c>
      <c r="Z96" s="252">
        <f>'[92]VENTAS TOTALES'!$F108</f>
        <v>4301</v>
      </c>
      <c r="AA96" s="252">
        <f>'[93]VENTAS TOTALES'!$F108</f>
        <v>4493</v>
      </c>
      <c r="AB96" s="252">
        <f>'[94]VENTAS TOTALES'!$F108</f>
        <v>3816</v>
      </c>
      <c r="AC96" s="252">
        <f>'[95]VENTAS TOTALES'!$F108</f>
        <v>2489</v>
      </c>
      <c r="AD96" s="252">
        <f>'[96]VENTAS TOTALES'!$F108</f>
        <v>6420</v>
      </c>
      <c r="AE96" s="252">
        <f>'[97]VENTAS TOTALES'!$F108</f>
        <v>5622</v>
      </c>
      <c r="AF96" s="252">
        <f>'[98]VENTAS TOTALES'!$F108</f>
        <v>5649</v>
      </c>
      <c r="AG96" s="252">
        <f>'[99]VENTAS TOTALES'!$F108</f>
        <v>4990</v>
      </c>
      <c r="AH96" s="252">
        <f>'[100]VENTAS TOTALES'!$F108</f>
        <v>4523</v>
      </c>
      <c r="AI96" s="252">
        <f>'[101]VENTAS TOTALES'!$F108</f>
        <v>4079</v>
      </c>
      <c r="AJ96" s="252">
        <f>'[102]VENTAS TOTALES'!$F108</f>
        <v>2629</v>
      </c>
    </row>
    <row r="97" spans="1:36" x14ac:dyDescent="0.2">
      <c r="A97" s="424"/>
      <c r="B97" s="309" t="s">
        <v>41</v>
      </c>
      <c r="C97" s="252">
        <f>'[69]VENTAS TOTALES'!$F109</f>
        <v>3423</v>
      </c>
      <c r="D97" s="252">
        <f>'[70]VENTAS TOTALES'!$F109</f>
        <v>3305</v>
      </c>
      <c r="E97" s="252">
        <f>'[71]VENTAS TOTALES'!$F109</f>
        <v>3046</v>
      </c>
      <c r="F97" s="252">
        <f>'[72]VENTAS TOTALES'!$F109</f>
        <v>2918</v>
      </c>
      <c r="G97" s="252">
        <f>'[73]VENTAS TOTALES'!$F109</f>
        <v>2354</v>
      </c>
      <c r="H97" s="252">
        <f>'[74]VENTAS TOTALES'!$F109</f>
        <v>1266</v>
      </c>
      <c r="I97" s="252">
        <f>'[75]VENTAS TOTALES'!$F109</f>
        <v>3685</v>
      </c>
      <c r="J97" s="252">
        <f>'[76]VENTAS TOTALES'!$F109</f>
        <v>3229</v>
      </c>
      <c r="K97" s="252">
        <f>'[77]VENTAS TOTALES'!$F109</f>
        <v>3027</v>
      </c>
      <c r="L97" s="252">
        <f>'[78]VENTAS TOTALES'!$F109</f>
        <v>2953</v>
      </c>
      <c r="M97" s="252">
        <f>'[79]VENTAS TOTALES'!$F109</f>
        <v>2866</v>
      </c>
      <c r="N97" s="252">
        <f>'[80]VENTAS TOTALES'!$F109</f>
        <v>2295</v>
      </c>
      <c r="O97" s="252">
        <f>'[81]VENTAS TOTALES'!$F109</f>
        <v>1280</v>
      </c>
      <c r="P97" s="252">
        <f>'[82]VENTAS TOTALES'!$F109</f>
        <v>3728</v>
      </c>
      <c r="Q97" s="252">
        <f>'[83]VENTAS TOTALES'!$F109</f>
        <v>3413</v>
      </c>
      <c r="R97" s="252">
        <f>'[84]VENTAS TOTALES'!$F109</f>
        <v>3353</v>
      </c>
      <c r="S97" s="252">
        <f>'[85]VENTAS TOTALES'!$F109</f>
        <v>3029</v>
      </c>
      <c r="T97" s="252">
        <f>'[86]VENTAS TOTALES'!$F109</f>
        <v>3270</v>
      </c>
      <c r="U97" s="252">
        <f>'[87]VENTAS TOTALES'!$F109</f>
        <v>2556</v>
      </c>
      <c r="V97" s="252">
        <f>'[88]VENTAS TOTALES'!$F109</f>
        <v>1507</v>
      </c>
      <c r="W97" s="252">
        <f>'[89]VENTAS TOTALES'!$F109</f>
        <v>3755</v>
      </c>
      <c r="X97" s="252">
        <f>'[90]VENTAS TOTALES'!$F109</f>
        <v>3265</v>
      </c>
      <c r="Y97" s="252">
        <f>'[91]VENTAS TOTALES'!$F109</f>
        <v>3026</v>
      </c>
      <c r="Z97" s="252">
        <f>'[92]VENTAS TOTALES'!$F109</f>
        <v>2975</v>
      </c>
      <c r="AA97" s="252">
        <f>'[93]VENTAS TOTALES'!$F109</f>
        <v>2869</v>
      </c>
      <c r="AB97" s="252">
        <f>'[94]VENTAS TOTALES'!$F109</f>
        <v>2338</v>
      </c>
      <c r="AC97" s="252">
        <f>'[95]VENTAS TOTALES'!$F109</f>
        <v>1452</v>
      </c>
      <c r="AD97" s="252">
        <f>'[96]VENTAS TOTALES'!$F109</f>
        <v>3884</v>
      </c>
      <c r="AE97" s="252">
        <f>'[97]VENTAS TOTALES'!$F109</f>
        <v>3623</v>
      </c>
      <c r="AF97" s="252">
        <f>'[98]VENTAS TOTALES'!$F109</f>
        <v>3529</v>
      </c>
      <c r="AG97" s="252">
        <f>'[99]VENTAS TOTALES'!$F109</f>
        <v>3229</v>
      </c>
      <c r="AH97" s="252">
        <f>'[100]VENTAS TOTALES'!$F109</f>
        <v>3143</v>
      </c>
      <c r="AI97" s="252">
        <f>'[101]VENTAS TOTALES'!$F109</f>
        <v>2405</v>
      </c>
      <c r="AJ97" s="252">
        <f>'[102]VENTAS TOTALES'!$F109</f>
        <v>1390</v>
      </c>
    </row>
    <row r="98" spans="1:36" s="12" customFormat="1" x14ac:dyDescent="0.2">
      <c r="A98" s="424"/>
      <c r="B98" s="309" t="s">
        <v>42</v>
      </c>
      <c r="C98" s="252">
        <f>'[69]VENTAS TOTALES'!$F110</f>
        <v>2323</v>
      </c>
      <c r="D98" s="252">
        <f>'[70]VENTAS TOTALES'!$F110</f>
        <v>2179</v>
      </c>
      <c r="E98" s="252">
        <f>'[71]VENTAS TOTALES'!$F110</f>
        <v>1928</v>
      </c>
      <c r="F98" s="252">
        <f>'[72]VENTAS TOTALES'!$F110</f>
        <v>1824</v>
      </c>
      <c r="G98" s="252">
        <f>'[73]VENTAS TOTALES'!$F110</f>
        <v>1441</v>
      </c>
      <c r="H98" s="252">
        <f>'[74]VENTAS TOTALES'!$F110</f>
        <v>748</v>
      </c>
      <c r="I98" s="252">
        <f>'[75]VENTAS TOTALES'!$F110</f>
        <v>2387</v>
      </c>
      <c r="J98" s="252">
        <f>'[76]VENTAS TOTALES'!$F110</f>
        <v>2068</v>
      </c>
      <c r="K98" s="252">
        <f>'[77]VENTAS TOTALES'!$F110</f>
        <v>1793</v>
      </c>
      <c r="L98" s="252">
        <f>'[78]VENTAS TOTALES'!$F110</f>
        <v>1825</v>
      </c>
      <c r="M98" s="252">
        <f>'[79]VENTAS TOTALES'!$F110</f>
        <v>1797</v>
      </c>
      <c r="N98" s="252">
        <f>'[80]VENTAS TOTALES'!$F110</f>
        <v>1323</v>
      </c>
      <c r="O98" s="252">
        <f>'[81]VENTAS TOTALES'!$F110</f>
        <v>756</v>
      </c>
      <c r="P98" s="252">
        <f>'[82]VENTAS TOTALES'!$F110</f>
        <v>2377</v>
      </c>
      <c r="Q98" s="252">
        <f>'[83]VENTAS TOTALES'!$F110</f>
        <v>2101</v>
      </c>
      <c r="R98" s="252">
        <f>'[84]VENTAS TOTALES'!$F110</f>
        <v>2428</v>
      </c>
      <c r="S98" s="252">
        <f>'[85]VENTAS TOTALES'!$F110</f>
        <v>1999</v>
      </c>
      <c r="T98" s="252">
        <f>'[86]VENTAS TOTALES'!$F110</f>
        <v>1937</v>
      </c>
      <c r="U98" s="252">
        <f>'[87]VENTAS TOTALES'!$F110</f>
        <v>1377</v>
      </c>
      <c r="V98" s="252">
        <f>'[88]VENTAS TOTALES'!$F110</f>
        <v>713</v>
      </c>
      <c r="W98" s="252">
        <f>'[89]VENTAS TOTALES'!$F110</f>
        <v>2505</v>
      </c>
      <c r="X98" s="252">
        <f>'[90]VENTAS TOTALES'!$F110</f>
        <v>1997</v>
      </c>
      <c r="Y98" s="252">
        <f>'[91]VENTAS TOTALES'!$F110</f>
        <v>1962</v>
      </c>
      <c r="Z98" s="252">
        <f>'[92]VENTAS TOTALES'!$F110</f>
        <v>1875</v>
      </c>
      <c r="AA98" s="252">
        <f>'[93]VENTAS TOTALES'!$F110</f>
        <v>1748</v>
      </c>
      <c r="AB98" s="252">
        <f>'[94]VENTAS TOTALES'!$F110</f>
        <v>1384</v>
      </c>
      <c r="AC98" s="252">
        <f>'[95]VENTAS TOTALES'!$F110</f>
        <v>718</v>
      </c>
      <c r="AD98" s="252">
        <f>'[96]VENTAS TOTALES'!$F110</f>
        <v>2630</v>
      </c>
      <c r="AE98" s="252">
        <f>'[97]VENTAS TOTALES'!$F110</f>
        <v>2433</v>
      </c>
      <c r="AF98" s="252">
        <f>'[98]VENTAS TOTALES'!$F110</f>
        <v>2361</v>
      </c>
      <c r="AG98" s="252">
        <f>'[99]VENTAS TOTALES'!$F110</f>
        <v>1970</v>
      </c>
      <c r="AH98" s="252">
        <f>'[100]VENTAS TOTALES'!$F110</f>
        <v>1842</v>
      </c>
      <c r="AI98" s="252">
        <f>'[101]VENTAS TOTALES'!$F110</f>
        <v>1350</v>
      </c>
      <c r="AJ98" s="252">
        <f>'[102]VENTAS TOTALES'!$F110</f>
        <v>707</v>
      </c>
    </row>
    <row r="99" spans="1:36" x14ac:dyDescent="0.2">
      <c r="A99" s="424"/>
      <c r="B99" s="311" t="s">
        <v>107</v>
      </c>
      <c r="C99" s="252">
        <f>'[69]VENTAS TOTALES'!$F111</f>
        <v>6405</v>
      </c>
      <c r="D99" s="252">
        <f>'[70]VENTAS TOTALES'!$F111</f>
        <v>5928</v>
      </c>
      <c r="E99" s="252">
        <f>'[71]VENTAS TOTALES'!$F111</f>
        <v>5104</v>
      </c>
      <c r="F99" s="252">
        <f>'[72]VENTAS TOTALES'!$F111</f>
        <v>4746</v>
      </c>
      <c r="G99" s="252">
        <f>'[73]VENTAS TOTALES'!$F111</f>
        <v>4194</v>
      </c>
      <c r="H99" s="252">
        <f>'[74]VENTAS TOTALES'!$F111</f>
        <v>2369</v>
      </c>
      <c r="I99" s="252">
        <f>'[75]VENTAS TOTALES'!$F111</f>
        <v>6605</v>
      </c>
      <c r="J99" s="252">
        <f>'[76]VENTAS TOTALES'!$F111</f>
        <v>5394</v>
      </c>
      <c r="K99" s="252">
        <f>'[77]VENTAS TOTALES'!$F111</f>
        <v>5240</v>
      </c>
      <c r="L99" s="252">
        <f>'[78]VENTAS TOTALES'!$F111</f>
        <v>5096</v>
      </c>
      <c r="M99" s="252">
        <f>'[79]VENTAS TOTALES'!$F111</f>
        <v>4727</v>
      </c>
      <c r="N99" s="252">
        <f>'[80]VENTAS TOTALES'!$F111</f>
        <v>3953</v>
      </c>
      <c r="O99" s="252">
        <f>'[81]VENTAS TOTALES'!$F111</f>
        <v>2285</v>
      </c>
      <c r="P99" s="252">
        <f>'[82]VENTAS TOTALES'!$F111</f>
        <v>6420</v>
      </c>
      <c r="Q99" s="252">
        <f>'[83]VENTAS TOTALES'!$F111</f>
        <v>5897</v>
      </c>
      <c r="R99" s="252">
        <f>'[84]VENTAS TOTALES'!$F111</f>
        <v>5805</v>
      </c>
      <c r="S99" s="252">
        <f>'[85]VENTAS TOTALES'!$F111</f>
        <v>5506</v>
      </c>
      <c r="T99" s="252">
        <f>'[86]VENTAS TOTALES'!$F111</f>
        <v>4993</v>
      </c>
      <c r="U99" s="252">
        <f>'[87]VENTAS TOTALES'!$F111</f>
        <v>4140</v>
      </c>
      <c r="V99" s="252">
        <f>'[88]VENTAS TOTALES'!$F111</f>
        <v>2628</v>
      </c>
      <c r="W99" s="252">
        <f>'[89]VENTAS TOTALES'!$F111</f>
        <v>6756</v>
      </c>
      <c r="X99" s="252">
        <f>'[90]VENTAS TOTALES'!$F111</f>
        <v>5315</v>
      </c>
      <c r="Y99" s="252">
        <f>'[91]VENTAS TOTALES'!$F111</f>
        <v>5395</v>
      </c>
      <c r="Z99" s="252">
        <f>'[92]VENTAS TOTALES'!$F111</f>
        <v>5140</v>
      </c>
      <c r="AA99" s="252">
        <f>'[93]VENTAS TOTALES'!$F111</f>
        <v>4803</v>
      </c>
      <c r="AB99" s="252">
        <f>'[94]VENTAS TOTALES'!$F111</f>
        <v>4289</v>
      </c>
      <c r="AC99" s="252">
        <f>'[95]VENTAS TOTALES'!$F111</f>
        <v>2547</v>
      </c>
      <c r="AD99" s="252">
        <f>'[96]VENTAS TOTALES'!$F111</f>
        <v>7142</v>
      </c>
      <c r="AE99" s="252">
        <f>'[97]VENTAS TOTALES'!$F111</f>
        <v>7044</v>
      </c>
      <c r="AF99" s="252">
        <f>'[98]VENTAS TOTALES'!$F111</f>
        <v>6438</v>
      </c>
      <c r="AG99" s="252">
        <f>'[99]VENTAS TOTALES'!$F111</f>
        <v>5732</v>
      </c>
      <c r="AH99" s="252">
        <f>'[100]VENTAS TOTALES'!$F111</f>
        <v>5341</v>
      </c>
      <c r="AI99" s="252">
        <f>'[101]VENTAS TOTALES'!$F111</f>
        <v>4463</v>
      </c>
      <c r="AJ99" s="252">
        <f>'[102]VENTAS TOTALES'!$F111</f>
        <v>2337</v>
      </c>
    </row>
    <row r="100" spans="1:36" ht="13.5" thickBot="1" x14ac:dyDescent="0.25">
      <c r="A100" s="424"/>
      <c r="B100" s="310" t="s">
        <v>108</v>
      </c>
      <c r="C100" s="252">
        <f>'[69]VENTAS TOTALES'!$F112</f>
        <v>4464</v>
      </c>
      <c r="D100" s="252">
        <f>'[70]VENTAS TOTALES'!$F112</f>
        <v>3965</v>
      </c>
      <c r="E100" s="252">
        <f>'[71]VENTAS TOTALES'!$F112</f>
        <v>2958</v>
      </c>
      <c r="F100" s="252">
        <f>'[72]VENTAS TOTALES'!$F112</f>
        <v>3372</v>
      </c>
      <c r="G100" s="252">
        <f>'[73]VENTAS TOTALES'!$F112</f>
        <v>2390</v>
      </c>
      <c r="H100" s="252">
        <f>'[74]VENTAS TOTALES'!$F112</f>
        <v>1424</v>
      </c>
      <c r="I100" s="252">
        <f>'[75]VENTAS TOTALES'!$F112</f>
        <v>4696</v>
      </c>
      <c r="J100" s="252">
        <f>'[76]VENTAS TOTALES'!$F112</f>
        <v>3605</v>
      </c>
      <c r="K100" s="252">
        <f>'[77]VENTAS TOTALES'!$F112</f>
        <v>3411</v>
      </c>
      <c r="L100" s="252">
        <f>'[78]VENTAS TOTALES'!$F112</f>
        <v>3376</v>
      </c>
      <c r="M100" s="252">
        <f>'[79]VENTAS TOTALES'!$F112</f>
        <v>3087</v>
      </c>
      <c r="N100" s="252">
        <f>'[80]VENTAS TOTALES'!$F112</f>
        <v>2523</v>
      </c>
      <c r="O100" s="252">
        <f>'[81]VENTAS TOTALES'!$F112</f>
        <v>1396</v>
      </c>
      <c r="P100" s="252">
        <f>'[82]VENTAS TOTALES'!$F112</f>
        <v>4896</v>
      </c>
      <c r="Q100" s="252">
        <f>'[83]VENTAS TOTALES'!$F112</f>
        <v>4031</v>
      </c>
      <c r="R100" s="252">
        <f>'[84]VENTAS TOTALES'!$F112</f>
        <v>4326</v>
      </c>
      <c r="S100" s="252">
        <f>'[85]VENTAS TOTALES'!$F112</f>
        <v>3831</v>
      </c>
      <c r="T100" s="252">
        <f>'[86]VENTAS TOTALES'!$F112</f>
        <v>3291</v>
      </c>
      <c r="U100" s="252">
        <f>'[87]VENTAS TOTALES'!$F112</f>
        <v>2567</v>
      </c>
      <c r="V100" s="252">
        <f>'[88]VENTAS TOTALES'!$F112</f>
        <v>1534</v>
      </c>
      <c r="W100" s="252">
        <f>'[89]VENTAS TOTALES'!$F112</f>
        <v>4701</v>
      </c>
      <c r="X100" s="252">
        <f>'[90]VENTAS TOTALES'!$F112</f>
        <v>3693</v>
      </c>
      <c r="Y100" s="252">
        <f>'[91]VENTAS TOTALES'!$F112</f>
        <v>3408</v>
      </c>
      <c r="Z100" s="252">
        <f>'[92]VENTAS TOTALES'!$F112</f>
        <v>3379</v>
      </c>
      <c r="AA100" s="252">
        <f>'[93]VENTAS TOTALES'!$F112</f>
        <v>3142</v>
      </c>
      <c r="AB100" s="252">
        <f>'[94]VENTAS TOTALES'!$F112</f>
        <v>2661</v>
      </c>
      <c r="AC100" s="252">
        <f>'[95]VENTAS TOTALES'!$F112</f>
        <v>1662</v>
      </c>
      <c r="AD100" s="252">
        <f>'[96]VENTAS TOTALES'!$F112</f>
        <v>5681</v>
      </c>
      <c r="AE100" s="252">
        <f>'[97]VENTAS TOTALES'!$F112</f>
        <v>5215</v>
      </c>
      <c r="AF100" s="252">
        <f>'[98]VENTAS TOTALES'!$F112</f>
        <v>4578</v>
      </c>
      <c r="AG100" s="252">
        <f>'[99]VENTAS TOTALES'!$F112</f>
        <v>4237</v>
      </c>
      <c r="AH100" s="252">
        <f>'[100]VENTAS TOTALES'!$F112</f>
        <v>3542</v>
      </c>
      <c r="AI100" s="252">
        <f>'[101]VENTAS TOTALES'!$F112</f>
        <v>2799</v>
      </c>
      <c r="AJ100" s="252">
        <f>'[102]VENTAS TOTALES'!$F112</f>
        <v>1743</v>
      </c>
    </row>
    <row r="101" spans="1:36" ht="13.5" thickBot="1" x14ac:dyDescent="0.25">
      <c r="A101" s="424"/>
      <c r="B101" s="317" t="s">
        <v>43</v>
      </c>
      <c r="C101" s="252">
        <f>'[69]VENTAS TOTALES'!$F113</f>
        <v>4339</v>
      </c>
      <c r="D101" s="252">
        <f>'[70]VENTAS TOTALES'!$F113</f>
        <v>4444</v>
      </c>
      <c r="E101" s="252">
        <f>'[71]VENTAS TOTALES'!$F113</f>
        <v>3491</v>
      </c>
      <c r="F101" s="252">
        <f>'[72]VENTAS TOTALES'!$F113</f>
        <v>3642</v>
      </c>
      <c r="G101" s="252">
        <f>'[73]VENTAS TOTALES'!$F113</f>
        <v>3149</v>
      </c>
      <c r="H101" s="252">
        <f>'[74]VENTAS TOTALES'!$F113</f>
        <v>2267</v>
      </c>
      <c r="I101" s="252">
        <f>'[75]VENTAS TOTALES'!$F113</f>
        <v>4436</v>
      </c>
      <c r="J101" s="252">
        <f>'[76]VENTAS TOTALES'!$F113</f>
        <v>3970</v>
      </c>
      <c r="K101" s="252">
        <f>'[77]VENTAS TOTALES'!$F113</f>
        <v>3486</v>
      </c>
      <c r="L101" s="252">
        <f>'[78]VENTAS TOTALES'!$F113</f>
        <v>3584</v>
      </c>
      <c r="M101" s="252">
        <f>'[79]VENTAS TOTALES'!$F113</f>
        <v>3633</v>
      </c>
      <c r="N101" s="252">
        <f>'[80]VENTAS TOTALES'!$F113</f>
        <v>3066</v>
      </c>
      <c r="O101" s="252">
        <f>'[81]VENTAS TOTALES'!$F113</f>
        <v>1838</v>
      </c>
      <c r="P101" s="252">
        <f>'[82]VENTAS TOTALES'!$F113</f>
        <v>4789</v>
      </c>
      <c r="Q101" s="252">
        <f>'[83]VENTAS TOTALES'!$F113</f>
        <v>4306</v>
      </c>
      <c r="R101" s="252">
        <f>'[84]VENTAS TOTALES'!$F113</f>
        <v>4334</v>
      </c>
      <c r="S101" s="252">
        <f>'[85]VENTAS TOTALES'!$F113</f>
        <v>4301</v>
      </c>
      <c r="T101" s="252">
        <f>'[86]VENTAS TOTALES'!$F113</f>
        <v>3667</v>
      </c>
      <c r="U101" s="252">
        <f>'[87]VENTAS TOTALES'!$F113</f>
        <v>3293</v>
      </c>
      <c r="V101" s="252">
        <f>'[88]VENTAS TOTALES'!$F113</f>
        <v>2038</v>
      </c>
      <c r="W101" s="252">
        <f>'[89]VENTAS TOTALES'!$F113</f>
        <v>4926</v>
      </c>
      <c r="X101" s="252">
        <f>'[90]VENTAS TOTALES'!$F113</f>
        <v>3800</v>
      </c>
      <c r="Y101" s="252">
        <f>'[91]VENTAS TOTALES'!$F113</f>
        <v>3837</v>
      </c>
      <c r="Z101" s="252">
        <f>'[92]VENTAS TOTALES'!$F113</f>
        <v>3671</v>
      </c>
      <c r="AA101" s="252">
        <f>'[93]VENTAS TOTALES'!$F113</f>
        <v>3791</v>
      </c>
      <c r="AB101" s="252">
        <f>'[94]VENTAS TOTALES'!$F113</f>
        <v>3405</v>
      </c>
      <c r="AC101" s="252">
        <f>'[95]VENTAS TOTALES'!$F113</f>
        <v>2171</v>
      </c>
      <c r="AD101" s="252">
        <f>'[96]VENTAS TOTALES'!$F113</f>
        <v>5699</v>
      </c>
      <c r="AE101" s="252">
        <f>'[97]VENTAS TOTALES'!$F113</f>
        <v>5487</v>
      </c>
      <c r="AF101" s="252">
        <f>'[98]VENTAS TOTALES'!$F113</f>
        <v>4762</v>
      </c>
      <c r="AG101" s="252">
        <f>'[99]VENTAS TOTALES'!$F113</f>
        <v>4049</v>
      </c>
      <c r="AH101" s="252">
        <f>'[100]VENTAS TOTALES'!$F113</f>
        <v>4098</v>
      </c>
      <c r="AI101" s="252">
        <f>'[101]VENTAS TOTALES'!$F113</f>
        <v>3271</v>
      </c>
      <c r="AJ101" s="252">
        <f>'[102]VENTAS TOTALES'!$F113</f>
        <v>2113</v>
      </c>
    </row>
    <row r="102" spans="1:36" x14ac:dyDescent="0.2">
      <c r="A102" s="424"/>
      <c r="B102" s="323" t="s">
        <v>114</v>
      </c>
      <c r="C102" s="252">
        <f>'[69]VENTAS TOTALES'!$F114</f>
        <v>464</v>
      </c>
      <c r="D102" s="252">
        <f>'[70]VENTAS TOTALES'!$F114</f>
        <v>400</v>
      </c>
      <c r="E102" s="252">
        <f>'[71]VENTAS TOTALES'!$F114</f>
        <v>306</v>
      </c>
      <c r="F102" s="252">
        <f>'[72]VENTAS TOTALES'!$F114</f>
        <v>292</v>
      </c>
      <c r="G102" s="252">
        <f>'[73]VENTAS TOTALES'!$F114</f>
        <v>173</v>
      </c>
      <c r="H102" s="252">
        <f>'[74]VENTAS TOTALES'!$F114</f>
        <v>143</v>
      </c>
      <c r="I102" s="252">
        <f>'[75]VENTAS TOTALES'!$F114</f>
        <v>530</v>
      </c>
      <c r="J102" s="252">
        <f>'[76]VENTAS TOTALES'!$F114</f>
        <v>311</v>
      </c>
      <c r="K102" s="252">
        <f>'[77]VENTAS TOTALES'!$F114</f>
        <v>327</v>
      </c>
      <c r="L102" s="252">
        <f>'[78]VENTAS TOTALES'!$F114</f>
        <v>298</v>
      </c>
      <c r="M102" s="252">
        <f>'[79]VENTAS TOTALES'!$F114</f>
        <v>290</v>
      </c>
      <c r="N102" s="252">
        <f>'[80]VENTAS TOTALES'!$F114</f>
        <v>182</v>
      </c>
      <c r="O102" s="252">
        <f>'[81]VENTAS TOTALES'!$F114</f>
        <v>169</v>
      </c>
      <c r="P102" s="252">
        <f>'[82]VENTAS TOTALES'!$F114</f>
        <v>349</v>
      </c>
      <c r="Q102" s="252">
        <f>'[83]VENTAS TOTALES'!$F114</f>
        <v>379</v>
      </c>
      <c r="R102" s="252">
        <f>'[84]VENTAS TOTALES'!$F114</f>
        <v>569</v>
      </c>
      <c r="S102" s="252">
        <f>'[85]VENTAS TOTALES'!$F114</f>
        <v>286</v>
      </c>
      <c r="T102" s="252">
        <f>'[86]VENTAS TOTALES'!$F114</f>
        <v>331</v>
      </c>
      <c r="U102" s="252">
        <f>'[87]VENTAS TOTALES'!$F114</f>
        <v>214</v>
      </c>
      <c r="V102" s="252">
        <f>'[88]VENTAS TOTALES'!$F114</f>
        <v>216</v>
      </c>
      <c r="W102" s="252">
        <f>'[89]VENTAS TOTALES'!$F114</f>
        <v>368</v>
      </c>
      <c r="X102" s="252">
        <f>'[90]VENTAS TOTALES'!$F114</f>
        <v>294</v>
      </c>
      <c r="Y102" s="252">
        <f>'[91]VENTAS TOTALES'!$F114</f>
        <v>415</v>
      </c>
      <c r="Z102" s="252">
        <f>'[92]VENTAS TOTALES'!$F114</f>
        <v>295</v>
      </c>
      <c r="AA102" s="252">
        <f>'[93]VENTAS TOTALES'!$F114</f>
        <v>286</v>
      </c>
      <c r="AB102" s="252">
        <f>'[94]VENTAS TOTALES'!$F114</f>
        <v>175</v>
      </c>
      <c r="AC102" s="252">
        <f>'[95]VENTAS TOTALES'!$F114</f>
        <v>164</v>
      </c>
      <c r="AD102" s="252">
        <f>'[96]VENTAS TOTALES'!$F114</f>
        <v>653</v>
      </c>
      <c r="AE102" s="252">
        <f>'[97]VENTAS TOTALES'!$F114</f>
        <v>412</v>
      </c>
      <c r="AF102" s="252">
        <f>'[98]VENTAS TOTALES'!$F114</f>
        <v>405</v>
      </c>
      <c r="AG102" s="252">
        <f>'[99]VENTAS TOTALES'!$F114</f>
        <v>364</v>
      </c>
      <c r="AH102" s="252">
        <f>'[100]VENTAS TOTALES'!$F114</f>
        <v>286</v>
      </c>
      <c r="AI102" s="252">
        <f>'[101]VENTAS TOTALES'!$F114</f>
        <v>272</v>
      </c>
      <c r="AJ102" s="252">
        <f>'[102]VENTAS TOTALES'!$F114</f>
        <v>134</v>
      </c>
    </row>
    <row r="103" spans="1:36" x14ac:dyDescent="0.2">
      <c r="A103" s="424"/>
      <c r="B103" s="320" t="s">
        <v>115</v>
      </c>
      <c r="C103" s="252">
        <f>'[69]VENTAS TOTALES'!$F115</f>
        <v>2227</v>
      </c>
      <c r="D103" s="252">
        <f>'[70]VENTAS TOTALES'!$F115</f>
        <v>2286</v>
      </c>
      <c r="E103" s="252">
        <f>'[71]VENTAS TOTALES'!$F115</f>
        <v>1979</v>
      </c>
      <c r="F103" s="252">
        <f>'[72]VENTAS TOTALES'!$F115</f>
        <v>1919</v>
      </c>
      <c r="G103" s="252">
        <f>'[73]VENTAS TOTALES'!$F115</f>
        <v>1375</v>
      </c>
      <c r="H103" s="252">
        <f>'[74]VENTAS TOTALES'!$F115</f>
        <v>784</v>
      </c>
      <c r="I103" s="252">
        <f>'[75]VENTAS TOTALES'!$F115</f>
        <v>2605</v>
      </c>
      <c r="J103" s="252">
        <f>'[76]VENTAS TOTALES'!$F115</f>
        <v>2050</v>
      </c>
      <c r="K103" s="252">
        <f>'[77]VENTAS TOTALES'!$F115</f>
        <v>2107</v>
      </c>
      <c r="L103" s="252">
        <f>'[78]VENTAS TOTALES'!$F115</f>
        <v>1970</v>
      </c>
      <c r="M103" s="252">
        <f>'[79]VENTAS TOTALES'!$F115</f>
        <v>1942</v>
      </c>
      <c r="N103" s="252">
        <f>'[80]VENTAS TOTALES'!$F115</f>
        <v>1387</v>
      </c>
      <c r="O103" s="252">
        <f>'[81]VENTAS TOTALES'!$F115</f>
        <v>673</v>
      </c>
      <c r="P103" s="252">
        <f>'[82]VENTAS TOTALES'!$F115</f>
        <v>2713</v>
      </c>
      <c r="Q103" s="252">
        <f>'[83]VENTAS TOTALES'!$F115</f>
        <v>2141</v>
      </c>
      <c r="R103" s="252">
        <f>'[84]VENTAS TOTALES'!$F115</f>
        <v>2024</v>
      </c>
      <c r="S103" s="252">
        <f>'[85]VENTAS TOTALES'!$F115</f>
        <v>1996</v>
      </c>
      <c r="T103" s="252">
        <f>'[86]VENTAS TOTALES'!$F115</f>
        <v>2153</v>
      </c>
      <c r="U103" s="252">
        <f>'[87]VENTAS TOTALES'!$F115</f>
        <v>1427</v>
      </c>
      <c r="V103" s="252">
        <f>'[88]VENTAS TOTALES'!$F115</f>
        <v>774</v>
      </c>
      <c r="W103" s="252">
        <f>'[89]VENTAS TOTALES'!$F115</f>
        <v>2669</v>
      </c>
      <c r="X103" s="252">
        <f>'[90]VENTAS TOTALES'!$F115</f>
        <v>2197</v>
      </c>
      <c r="Y103" s="252">
        <f>'[91]VENTAS TOTALES'!$F115</f>
        <v>1885</v>
      </c>
      <c r="Z103" s="252">
        <f>'[92]VENTAS TOTALES'!$F115</f>
        <v>1883</v>
      </c>
      <c r="AA103" s="252">
        <f>'[93]VENTAS TOTALES'!$F115</f>
        <v>1936</v>
      </c>
      <c r="AB103" s="252">
        <f>'[94]VENTAS TOTALES'!$F115</f>
        <v>1596</v>
      </c>
      <c r="AC103" s="252">
        <f>'[95]VENTAS TOTALES'!$F115</f>
        <v>840</v>
      </c>
      <c r="AD103" s="252">
        <f>'[96]VENTAS TOTALES'!$F115</f>
        <v>2783</v>
      </c>
      <c r="AE103" s="252">
        <f>'[97]VENTAS TOTALES'!$F115</f>
        <v>2386</v>
      </c>
      <c r="AF103" s="252">
        <f>'[98]VENTAS TOTALES'!$F115</f>
        <v>2412</v>
      </c>
      <c r="AG103" s="252">
        <f>'[99]VENTAS TOTALES'!$F115</f>
        <v>2211</v>
      </c>
      <c r="AH103" s="252">
        <f>'[100]VENTAS TOTALES'!$F115</f>
        <v>1940</v>
      </c>
      <c r="AI103" s="252">
        <f>'[101]VENTAS TOTALES'!$F115</f>
        <v>1558</v>
      </c>
      <c r="AJ103" s="252">
        <f>'[102]VENTAS TOTALES'!$F115</f>
        <v>721</v>
      </c>
    </row>
    <row r="104" spans="1:36" x14ac:dyDescent="0.2">
      <c r="A104" s="424"/>
      <c r="B104" s="309" t="s">
        <v>335</v>
      </c>
      <c r="C104" s="252">
        <f>'[69]VENTAS TOTALES'!$F116</f>
        <v>471</v>
      </c>
      <c r="D104" s="252">
        <f>'[70]VENTAS TOTALES'!$F116</f>
        <v>392</v>
      </c>
      <c r="E104" s="252">
        <f>'[71]VENTAS TOTALES'!$F116</f>
        <v>239</v>
      </c>
      <c r="F104" s="252">
        <f>'[72]VENTAS TOTALES'!$F116</f>
        <v>312</v>
      </c>
      <c r="G104" s="252">
        <f>'[73]VENTAS TOTALES'!$F116</f>
        <v>215</v>
      </c>
      <c r="H104" s="252">
        <f>'[74]VENTAS TOTALES'!$F116</f>
        <v>123</v>
      </c>
      <c r="I104" s="252">
        <f>'[75]VENTAS TOTALES'!$F116</f>
        <v>417</v>
      </c>
      <c r="J104" s="252">
        <f>'[76]VENTAS TOTALES'!$F116</f>
        <v>364</v>
      </c>
      <c r="K104" s="252">
        <f>'[77]VENTAS TOTALES'!$F116</f>
        <v>283</v>
      </c>
      <c r="L104" s="252">
        <f>'[78]VENTAS TOTALES'!$F116</f>
        <v>255</v>
      </c>
      <c r="M104" s="252">
        <f>'[79]VENTAS TOTALES'!$F116</f>
        <v>277</v>
      </c>
      <c r="N104" s="252">
        <f>'[80]VENTAS TOTALES'!$F116</f>
        <v>179</v>
      </c>
      <c r="O104" s="252">
        <f>'[81]VENTAS TOTALES'!$F116</f>
        <v>105</v>
      </c>
      <c r="P104" s="252">
        <f>'[82]VENTAS TOTALES'!$F116</f>
        <v>423</v>
      </c>
      <c r="Q104" s="252">
        <f>'[83]VENTAS TOTALES'!$F116</f>
        <v>277</v>
      </c>
      <c r="R104" s="252">
        <f>'[84]VENTAS TOTALES'!$F116</f>
        <v>424</v>
      </c>
      <c r="S104" s="252">
        <f>'[85]VENTAS TOTALES'!$F116</f>
        <v>279</v>
      </c>
      <c r="T104" s="252">
        <f>'[86]VENTAS TOTALES'!$F116</f>
        <v>272</v>
      </c>
      <c r="U104" s="252">
        <f>'[87]VENTAS TOTALES'!$F116</f>
        <v>146</v>
      </c>
      <c r="V104" s="252">
        <f>'[88]VENTAS TOTALES'!$F116</f>
        <v>93</v>
      </c>
      <c r="W104" s="252">
        <f>'[89]VENTAS TOTALES'!$F116</f>
        <v>467</v>
      </c>
      <c r="X104" s="252">
        <f>'[90]VENTAS TOTALES'!$F116</f>
        <v>431</v>
      </c>
      <c r="Y104" s="252">
        <f>'[91]VENTAS TOTALES'!$F116</f>
        <v>317</v>
      </c>
      <c r="Z104" s="252">
        <f>'[92]VENTAS TOTALES'!$F116</f>
        <v>283</v>
      </c>
      <c r="AA104" s="252">
        <f>'[93]VENTAS TOTALES'!$F116</f>
        <v>278</v>
      </c>
      <c r="AB104" s="252">
        <f>'[94]VENTAS TOTALES'!$F116</f>
        <v>190</v>
      </c>
      <c r="AC104" s="252">
        <f>'[95]VENTAS TOTALES'!$F116</f>
        <v>96</v>
      </c>
      <c r="AD104" s="252">
        <f>'[96]VENTAS TOTALES'!$F116</f>
        <v>650</v>
      </c>
      <c r="AE104" s="252">
        <f>'[97]VENTAS TOTALES'!$F116</f>
        <v>499</v>
      </c>
      <c r="AF104" s="252">
        <f>'[98]VENTAS TOTALES'!$F116</f>
        <v>265</v>
      </c>
      <c r="AG104" s="252">
        <f>'[99]VENTAS TOTALES'!$F116</f>
        <v>283</v>
      </c>
      <c r="AH104" s="252">
        <f>'[100]VENTAS TOTALES'!$F116</f>
        <v>372</v>
      </c>
      <c r="AI104" s="252">
        <f>'[101]VENTAS TOTALES'!$F116</f>
        <v>128</v>
      </c>
      <c r="AJ104" s="252">
        <f>'[102]VENTAS TOTALES'!$F116</f>
        <v>75</v>
      </c>
    </row>
    <row r="105" spans="1:36" x14ac:dyDescent="0.2">
      <c r="A105" s="424"/>
      <c r="B105" s="309" t="s">
        <v>117</v>
      </c>
      <c r="C105" s="252">
        <f>'[69]VENTAS TOTALES'!$F117</f>
        <v>2250</v>
      </c>
      <c r="D105" s="252">
        <f>'[70]VENTAS TOTALES'!$F117</f>
        <v>2103</v>
      </c>
      <c r="E105" s="252">
        <f>'[71]VENTAS TOTALES'!$F117</f>
        <v>1956</v>
      </c>
      <c r="F105" s="252">
        <f>'[72]VENTAS TOTALES'!$F117</f>
        <v>2093</v>
      </c>
      <c r="G105" s="252">
        <f>'[73]VENTAS TOTALES'!$F117</f>
        <v>1487</v>
      </c>
      <c r="H105" s="252">
        <f>'[74]VENTAS TOTALES'!$F117</f>
        <v>681</v>
      </c>
      <c r="I105" s="252">
        <f>'[75]VENTAS TOTALES'!$F117</f>
        <v>2759</v>
      </c>
      <c r="J105" s="252">
        <f>'[76]VENTAS TOTALES'!$F117</f>
        <v>2025</v>
      </c>
      <c r="K105" s="252">
        <f>'[77]VENTAS TOTALES'!$F117</f>
        <v>1947</v>
      </c>
      <c r="L105" s="252">
        <f>'[78]VENTAS TOTALES'!$F117</f>
        <v>2057</v>
      </c>
      <c r="M105" s="252">
        <f>'[79]VENTAS TOTALES'!$F117</f>
        <v>1923</v>
      </c>
      <c r="N105" s="252">
        <f>'[80]VENTAS TOTALES'!$F117</f>
        <v>1497</v>
      </c>
      <c r="O105" s="252">
        <f>'[81]VENTAS TOTALES'!$F117</f>
        <v>633</v>
      </c>
      <c r="P105" s="252">
        <f>'[82]VENTAS TOTALES'!$F117</f>
        <v>2796</v>
      </c>
      <c r="Q105" s="252">
        <f>'[83]VENTAS TOTALES'!$F117</f>
        <v>2133</v>
      </c>
      <c r="R105" s="252">
        <f>'[84]VENTAS TOTALES'!$F117</f>
        <v>2527</v>
      </c>
      <c r="S105" s="252">
        <f>'[85]VENTAS TOTALES'!$F117</f>
        <v>2287</v>
      </c>
      <c r="T105" s="252">
        <f>'[86]VENTAS TOTALES'!$F117</f>
        <v>2116</v>
      </c>
      <c r="U105" s="252">
        <f>'[87]VENTAS TOTALES'!$F117</f>
        <v>1622</v>
      </c>
      <c r="V105" s="252">
        <f>'[88]VENTAS TOTALES'!$F117</f>
        <v>723</v>
      </c>
      <c r="W105" s="252">
        <f>'[89]VENTAS TOTALES'!$F117</f>
        <v>2904</v>
      </c>
      <c r="X105" s="252">
        <f>'[90]VENTAS TOTALES'!$F117</f>
        <v>2138</v>
      </c>
      <c r="Y105" s="252">
        <f>'[91]VENTAS TOTALES'!$F117</f>
        <v>2074</v>
      </c>
      <c r="Z105" s="252">
        <f>'[92]VENTAS TOTALES'!$F117</f>
        <v>2242</v>
      </c>
      <c r="AA105" s="252">
        <f>'[93]VENTAS TOTALES'!$F117</f>
        <v>1970</v>
      </c>
      <c r="AB105" s="252">
        <f>'[94]VENTAS TOTALES'!$F117</f>
        <v>1611</v>
      </c>
      <c r="AC105" s="252">
        <f>'[95]VENTAS TOTALES'!$F117</f>
        <v>698</v>
      </c>
      <c r="AD105" s="252">
        <f>'[96]VENTAS TOTALES'!$F117</f>
        <v>2840</v>
      </c>
      <c r="AE105" s="252">
        <f>'[97]VENTAS TOTALES'!$F117</f>
        <v>2583</v>
      </c>
      <c r="AF105" s="252">
        <f>'[98]VENTAS TOTALES'!$F117</f>
        <v>2539</v>
      </c>
      <c r="AG105" s="252">
        <f>'[99]VENTAS TOTALES'!$F117</f>
        <v>2176</v>
      </c>
      <c r="AH105" s="252">
        <f>'[100]VENTAS TOTALES'!$F117</f>
        <v>2133</v>
      </c>
      <c r="AI105" s="252">
        <f>'[101]VENTAS TOTALES'!$F117</f>
        <v>1615</v>
      </c>
      <c r="AJ105" s="252">
        <f>'[102]VENTAS TOTALES'!$F117</f>
        <v>713</v>
      </c>
    </row>
    <row r="106" spans="1:36" ht="13.5" thickBot="1" x14ac:dyDescent="0.25">
      <c r="A106" s="424"/>
      <c r="B106" s="312" t="s">
        <v>113</v>
      </c>
      <c r="C106" s="252">
        <f>'[69]VENTAS TOTALES'!$F118</f>
        <v>2662</v>
      </c>
      <c r="D106" s="252">
        <f>'[70]VENTAS TOTALES'!$F118</f>
        <v>2974</v>
      </c>
      <c r="E106" s="252">
        <f>'[71]VENTAS TOTALES'!$F118</f>
        <v>2365</v>
      </c>
      <c r="F106" s="252">
        <f>'[72]VENTAS TOTALES'!$F118</f>
        <v>2936</v>
      </c>
      <c r="G106" s="252">
        <f>'[73]VENTAS TOTALES'!$F118</f>
        <v>2055</v>
      </c>
      <c r="H106" s="252">
        <f>'[74]VENTAS TOTALES'!$F118</f>
        <v>1291</v>
      </c>
      <c r="I106" s="252">
        <f>'[75]VENTAS TOTALES'!$F118</f>
        <v>3414</v>
      </c>
      <c r="J106" s="252">
        <f>'[76]VENTAS TOTALES'!$F118</f>
        <v>2825</v>
      </c>
      <c r="K106" s="252">
        <f>'[77]VENTAS TOTALES'!$F118</f>
        <v>2497</v>
      </c>
      <c r="L106" s="252">
        <f>'[78]VENTAS TOTALES'!$F118</f>
        <v>2763</v>
      </c>
      <c r="M106" s="252">
        <f>'[79]VENTAS TOTALES'!$F118</f>
        <v>3213</v>
      </c>
      <c r="N106" s="252">
        <f>'[80]VENTAS TOTALES'!$F118</f>
        <v>1926</v>
      </c>
      <c r="O106" s="252">
        <f>'[81]VENTAS TOTALES'!$F118</f>
        <v>1124</v>
      </c>
      <c r="P106" s="252">
        <f>'[82]VENTAS TOTALES'!$F118</f>
        <v>4396</v>
      </c>
      <c r="Q106" s="252">
        <f>'[83]VENTAS TOTALES'!$F118</f>
        <v>2953</v>
      </c>
      <c r="R106" s="252">
        <f>'[84]VENTAS TOTALES'!$F118</f>
        <v>2967</v>
      </c>
      <c r="S106" s="252">
        <f>'[85]VENTAS TOTALES'!$F118</f>
        <v>2870</v>
      </c>
      <c r="T106" s="252">
        <f>'[86]VENTAS TOTALES'!$F118</f>
        <v>2805</v>
      </c>
      <c r="U106" s="252">
        <f>'[87]VENTAS TOTALES'!$F118</f>
        <v>1870</v>
      </c>
      <c r="V106" s="252">
        <f>'[88]VENTAS TOTALES'!$F118</f>
        <v>1314</v>
      </c>
      <c r="W106" s="252">
        <f>'[89]VENTAS TOTALES'!$F118</f>
        <v>3549</v>
      </c>
      <c r="X106" s="252">
        <f>'[90]VENTAS TOTALES'!$F118</f>
        <v>2808</v>
      </c>
      <c r="Y106" s="252">
        <f>'[91]VENTAS TOTALES'!$F118</f>
        <v>2782</v>
      </c>
      <c r="Z106" s="252">
        <f>'[92]VENTAS TOTALES'!$F118</f>
        <v>2899</v>
      </c>
      <c r="AA106" s="252">
        <f>'[93]VENTAS TOTALES'!$F118</f>
        <v>2893</v>
      </c>
      <c r="AB106" s="252">
        <f>'[94]VENTAS TOTALES'!$F118</f>
        <v>2044</v>
      </c>
      <c r="AC106" s="252">
        <f>'[95]VENTAS TOTALES'!$F118</f>
        <v>1348</v>
      </c>
      <c r="AD106" s="252">
        <f>'[96]VENTAS TOTALES'!$F118</f>
        <v>3657</v>
      </c>
      <c r="AE106" s="252">
        <f>'[97]VENTAS TOTALES'!$F118</f>
        <v>3043</v>
      </c>
      <c r="AF106" s="252">
        <f>'[98]VENTAS TOTALES'!$F118</f>
        <v>3142</v>
      </c>
      <c r="AG106" s="252">
        <f>'[99]VENTAS TOTALES'!$F118</f>
        <v>2774</v>
      </c>
      <c r="AH106" s="252">
        <f>'[100]VENTAS TOTALES'!$F118</f>
        <v>2999</v>
      </c>
      <c r="AI106" s="252">
        <f>'[101]VENTAS TOTALES'!$F118</f>
        <v>2286</v>
      </c>
      <c r="AJ106" s="252">
        <f>'[102]VENTAS TOTALES'!$F118</f>
        <v>1235</v>
      </c>
    </row>
    <row r="107" spans="1:36" x14ac:dyDescent="0.2">
      <c r="A107" s="424"/>
      <c r="B107" s="276" t="s">
        <v>292</v>
      </c>
      <c r="C107" s="322"/>
      <c r="D107" s="322"/>
      <c r="E107" s="322"/>
      <c r="F107" s="322"/>
      <c r="G107" s="322"/>
      <c r="H107" s="322"/>
      <c r="I107" s="322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>
        <f>[103]CONCILIACION!$C$32/1700</f>
        <v>478</v>
      </c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</row>
    <row r="108" spans="1:36" x14ac:dyDescent="0.2">
      <c r="A108" s="424"/>
      <c r="B108" s="277" t="s">
        <v>44</v>
      </c>
      <c r="C108" s="271">
        <f>'[69]VENTAS TOTALES'!$F133</f>
        <v>178111</v>
      </c>
      <c r="D108" s="271">
        <f>'[70]VENTAS TOTALES'!$F133</f>
        <v>173966</v>
      </c>
      <c r="E108" s="271">
        <f>'[71]VENTAS TOTALES'!$F133</f>
        <v>153437</v>
      </c>
      <c r="F108" s="271">
        <f>'[72]VENTAS TOTALES'!$F133</f>
        <v>154950</v>
      </c>
      <c r="G108" s="271">
        <f>'[73]VENTAS TOTALES'!$F133</f>
        <v>125074</v>
      </c>
      <c r="H108" s="271">
        <f>'[74]VENTAS TOTALES'!$F133</f>
        <v>68366</v>
      </c>
      <c r="I108" s="271">
        <f>'[75]VENTAS TOTALES'!$F133</f>
        <v>208882</v>
      </c>
      <c r="J108" s="271">
        <f>'[76]VENTAS TOTALES'!$F133</f>
        <v>167886</v>
      </c>
      <c r="K108" s="271">
        <f>'[77]VENTAS TOTALES'!$F133</f>
        <v>159361</v>
      </c>
      <c r="L108" s="271">
        <f>'[78]VENTAS TOTALES'!$F133</f>
        <v>156770</v>
      </c>
      <c r="M108" s="271">
        <f>'[79]VENTAS TOTALES'!$F133</f>
        <v>153808</v>
      </c>
      <c r="N108" s="271">
        <f>'[80]VENTAS TOTALES'!$F133</f>
        <v>122857</v>
      </c>
      <c r="O108" s="271">
        <f>'[81]VENTAS TOTALES'!$F133</f>
        <v>65865</v>
      </c>
      <c r="P108" s="271">
        <f>'[82]VENTAS TOTALES'!$F133</f>
        <v>207393</v>
      </c>
      <c r="Q108" s="271">
        <f>'[83]VENTAS TOTALES'!$F133</f>
        <v>172895</v>
      </c>
      <c r="R108" s="271">
        <f>'[84]VENTAS TOTALES'!$F133</f>
        <v>179286</v>
      </c>
      <c r="S108" s="271">
        <f>'[85]VENTAS TOTALES'!$F133</f>
        <v>168609</v>
      </c>
      <c r="T108" s="271">
        <f>'[86]VENTAS TOTALES'!$F133</f>
        <v>159866</v>
      </c>
      <c r="U108" s="271">
        <f>'[87]VENTAS TOTALES'!$F133</f>
        <v>127459</v>
      </c>
      <c r="V108" s="271">
        <f>'[88]VENTAS TOTALES'!$F133</f>
        <v>68415</v>
      </c>
      <c r="W108" s="271">
        <f>'[89]VENTAS TOTALES'!$F133</f>
        <v>210797</v>
      </c>
      <c r="X108" s="271">
        <f>'[90]VENTAS TOTALES'!$F133</f>
        <v>168518</v>
      </c>
      <c r="Y108" s="271">
        <f>'[91]VENTAS TOTALES'!$F133</f>
        <v>160449</v>
      </c>
      <c r="Z108" s="271">
        <f>'[92]VENTAS TOTALES'!$F133</f>
        <v>152895</v>
      </c>
      <c r="AA108" s="271">
        <f>'[93]VENTAS TOTALES'!$F133</f>
        <v>154937</v>
      </c>
      <c r="AB108" s="271">
        <f>'[94]VENTAS TOTALES'!$F133</f>
        <v>128861</v>
      </c>
      <c r="AC108" s="271">
        <f>'[95]VENTAS TOTALES'!$F133</f>
        <v>68089</v>
      </c>
      <c r="AD108" s="271">
        <f>'[96]VENTAS TOTALES'!$F133</f>
        <v>225567</v>
      </c>
      <c r="AE108" s="271">
        <f>'[97]VENTAS TOTALES'!$F133</f>
        <v>195530</v>
      </c>
      <c r="AF108" s="271">
        <f>'[98]VENTAS TOTALES'!$F133</f>
        <v>181944</v>
      </c>
      <c r="AG108" s="271">
        <f>'[99]VENTAS TOTALES'!$F133</f>
        <v>169393</v>
      </c>
      <c r="AH108" s="271">
        <f>'[100]VENTAS TOTALES'!$F133</f>
        <v>163378</v>
      </c>
      <c r="AI108" s="271">
        <f>'[101]VENTAS TOTALES'!$F133</f>
        <v>132716</v>
      </c>
      <c r="AJ108" s="271">
        <f>'[102]VENTAS TOTALES'!$F133</f>
        <v>69430</v>
      </c>
    </row>
    <row r="109" spans="1:36" s="10" customFormat="1" x14ac:dyDescent="0.2">
      <c r="A109" s="424"/>
      <c r="B109" s="278" t="s">
        <v>121</v>
      </c>
      <c r="C109" s="285">
        <f>+'[69]VENTAS TOTALES'!$F$121</f>
        <v>40104</v>
      </c>
      <c r="D109" s="285">
        <f>+'[70]VENTAS TOTALES'!$F$121</f>
        <v>44386</v>
      </c>
      <c r="E109" s="285">
        <f>+'[71]VENTAS TOTALES'!$F$121</f>
        <v>43120</v>
      </c>
      <c r="F109" s="285">
        <f>+'[72]VENTAS TOTALES'!$F$121</f>
        <v>41774</v>
      </c>
      <c r="G109" s="285">
        <f>+'[73]VENTAS TOTALES'!$F$121</f>
        <v>27848</v>
      </c>
      <c r="H109" s="285">
        <f>+'[74]VENTAS TOTALES'!$F$121</f>
        <v>15047</v>
      </c>
      <c r="I109" s="285">
        <f>+'[75]VENTAS TOTALES'!$F$121</f>
        <v>44105</v>
      </c>
      <c r="J109" s="285">
        <f>+'[76]VENTAS TOTALES'!$F$121</f>
        <v>43921</v>
      </c>
      <c r="K109" s="285">
        <f>+'[77]VENTAS TOTALES'!$F$121</f>
        <v>41410</v>
      </c>
      <c r="L109" s="285">
        <f>+'[78]VENTAS TOTALES'!$F$121</f>
        <v>42772</v>
      </c>
      <c r="M109" s="285">
        <f>+'[79]VENTAS TOTALES'!$F$121</f>
        <v>41073</v>
      </c>
      <c r="N109" s="285">
        <f>+'[80]VENTAS TOTALES'!$F$121</f>
        <v>28168</v>
      </c>
      <c r="O109" s="285">
        <f>+'[81]VENTAS TOTALES'!$F$121</f>
        <v>13572</v>
      </c>
      <c r="P109" s="285">
        <f>+'[82]VENTAS TOTALES'!$F$121</f>
        <v>45116</v>
      </c>
      <c r="Q109" s="285">
        <f>+'[83]VENTAS TOTALES'!$F$121</f>
        <v>42530</v>
      </c>
      <c r="R109" s="285">
        <f>+'[84]VENTAS TOTALES'!$F$121</f>
        <v>42662</v>
      </c>
      <c r="S109" s="285">
        <f>+'[85]VENTAS TOTALES'!$F$121</f>
        <v>42210</v>
      </c>
      <c r="T109" s="285">
        <f>+'[86]VENTAS TOTALES'!$F$121</f>
        <v>42187</v>
      </c>
      <c r="U109" s="285">
        <f>+'[87]VENTAS TOTALES'!$F$121</f>
        <v>28282</v>
      </c>
      <c r="V109" s="285">
        <f>+'[88]VENTAS TOTALES'!$F$121</f>
        <v>14961</v>
      </c>
      <c r="W109" s="285">
        <f>+'[89]VENTAS TOTALES'!$F$121</f>
        <v>45402</v>
      </c>
      <c r="X109" s="285">
        <f>+'[90]VENTAS TOTALES'!$F$121</f>
        <v>43718</v>
      </c>
      <c r="Y109" s="285">
        <f>+'[91]VENTAS TOTALES'!$F$121</f>
        <v>42809</v>
      </c>
      <c r="Z109" s="285">
        <f>+'[92]VENTAS TOTALES'!$F$121</f>
        <v>42201</v>
      </c>
      <c r="AA109" s="285">
        <f>+'[93]VENTAS TOTALES'!$F$121</f>
        <v>41542</v>
      </c>
      <c r="AB109" s="285">
        <f>+'[94]VENTAS TOTALES'!$F$121</f>
        <v>29131</v>
      </c>
      <c r="AC109" s="285">
        <f>+'[95]VENTAS TOTALES'!$F$121</f>
        <v>13960</v>
      </c>
      <c r="AD109" s="285">
        <f>+'[96]VENTAS TOTALES'!$F$121</f>
        <v>45656</v>
      </c>
      <c r="AE109" s="285">
        <f>+'[97]VENTAS TOTALES'!$F$121</f>
        <v>45964</v>
      </c>
      <c r="AF109" s="285">
        <f>+'[98]VENTAS TOTALES'!$F$121</f>
        <v>44640</v>
      </c>
      <c r="AG109" s="285">
        <f>+'[99]VENTAS TOTALES'!$F$121</f>
        <v>44558</v>
      </c>
      <c r="AH109" s="285">
        <f>+'[100]VENTAS TOTALES'!$F$121</f>
        <v>43602</v>
      </c>
      <c r="AI109" s="285">
        <f>+'[101]VENTAS TOTALES'!$F$121</f>
        <v>30310</v>
      </c>
      <c r="AJ109" s="285">
        <f>+'[102]VENTAS TOTALES'!$F$121</f>
        <v>14336</v>
      </c>
    </row>
    <row r="110" spans="1:36" s="10" customFormat="1" ht="12" customHeight="1" x14ac:dyDescent="0.2">
      <c r="A110" s="424"/>
      <c r="B110" s="278" t="s">
        <v>120</v>
      </c>
      <c r="C110" s="285">
        <f>+'[69]VENTAS TOTALES'!$F$122</f>
        <v>9575</v>
      </c>
      <c r="D110" s="285">
        <f>+'[70]VENTAS TOTALES'!$F$122</f>
        <v>9615</v>
      </c>
      <c r="E110" s="285">
        <f>+'[71]VENTAS TOTALES'!$F$122</f>
        <v>8945</v>
      </c>
      <c r="F110" s="285">
        <f>+'[72]VENTAS TOTALES'!$F$122</f>
        <v>9691</v>
      </c>
      <c r="G110" s="285">
        <f>+'[73]VENTAS TOTALES'!$F$122</f>
        <v>7475</v>
      </c>
      <c r="H110" s="285">
        <f>+'[74]VENTAS TOTALES'!$F$122</f>
        <v>4100</v>
      </c>
      <c r="I110" s="285">
        <f>+'[75]VENTAS TOTALES'!$F$122</f>
        <v>9951</v>
      </c>
      <c r="J110" s="285">
        <f>+'[76]VENTAS TOTALES'!$F$122</f>
        <v>8992</v>
      </c>
      <c r="K110" s="285">
        <f>+'[77]VENTAS TOTALES'!$F$122</f>
        <v>8594</v>
      </c>
      <c r="L110" s="285">
        <f>+'[78]VENTAS TOTALES'!$F$122</f>
        <v>8469</v>
      </c>
      <c r="M110" s="285">
        <f>+'[79]VENTAS TOTALES'!$F$122</f>
        <v>8686</v>
      </c>
      <c r="N110" s="285">
        <f>+'[80]VENTAS TOTALES'!$F$122</f>
        <v>7164</v>
      </c>
      <c r="O110" s="285">
        <f>+'[81]VENTAS TOTALES'!$F$122</f>
        <v>3901</v>
      </c>
      <c r="P110" s="285">
        <f>+'[82]VENTAS TOTALES'!$F$122</f>
        <v>10540</v>
      </c>
      <c r="Q110" s="285">
        <f>+'[83]VENTAS TOTALES'!$F$122</f>
        <v>10582</v>
      </c>
      <c r="R110" s="285">
        <f>+'[84]VENTAS TOTALES'!$F$122</f>
        <v>10283</v>
      </c>
      <c r="S110" s="285">
        <f>+'[85]VENTAS TOTALES'!$F$122</f>
        <v>9692</v>
      </c>
      <c r="T110" s="285">
        <f>+'[86]VENTAS TOTALES'!$F$122</f>
        <v>9180</v>
      </c>
      <c r="U110" s="285">
        <f>+'[87]VENTAS TOTALES'!$F$122</f>
        <v>7393</v>
      </c>
      <c r="V110" s="285">
        <f>+'[88]VENTAS TOTALES'!$F$122</f>
        <v>4044</v>
      </c>
      <c r="W110" s="285">
        <f>+'[89]VENTAS TOTALES'!$F$122</f>
        <v>9822</v>
      </c>
      <c r="X110" s="285">
        <f>+'[90]VENTAS TOTALES'!$F$122</f>
        <v>9150</v>
      </c>
      <c r="Y110" s="285">
        <f>+'[91]VENTAS TOTALES'!$F$122</f>
        <v>8772</v>
      </c>
      <c r="Z110" s="285">
        <f>+'[92]VENTAS TOTALES'!$F$122</f>
        <v>8776</v>
      </c>
      <c r="AA110" s="285">
        <f>+'[93]VENTAS TOTALES'!$F$122</f>
        <v>9202</v>
      </c>
      <c r="AB110" s="285">
        <f>+'[94]VENTAS TOTALES'!$F$122</f>
        <v>7726</v>
      </c>
      <c r="AC110" s="285">
        <f>+'[95]VENTAS TOTALES'!$F$122</f>
        <v>3896</v>
      </c>
      <c r="AD110" s="285">
        <f>+'[96]VENTAS TOTALES'!$F$122</f>
        <v>9879</v>
      </c>
      <c r="AE110" s="285">
        <f>+'[97]VENTAS TOTALES'!$F$122</f>
        <v>9534</v>
      </c>
      <c r="AF110" s="285">
        <f>+'[98]VENTAS TOTALES'!$F$122</f>
        <v>9408</v>
      </c>
      <c r="AG110" s="285">
        <f>+'[99]VENTAS TOTALES'!$F$122</f>
        <v>9466</v>
      </c>
      <c r="AH110" s="285">
        <f>+'[100]VENTAS TOTALES'!$F$122</f>
        <v>9620</v>
      </c>
      <c r="AI110" s="285">
        <f>+'[101]VENTAS TOTALES'!$F$122</f>
        <v>7993</v>
      </c>
      <c r="AJ110" s="285">
        <f>+'[102]VENTAS TOTALES'!$F$122</f>
        <v>4219</v>
      </c>
    </row>
    <row r="111" spans="1:36" s="10" customFormat="1" ht="12" customHeight="1" thickBot="1" x14ac:dyDescent="0.25">
      <c r="A111" s="424"/>
      <c r="B111" s="151" t="s">
        <v>350</v>
      </c>
      <c r="C111" s="289">
        <f>+[104]CONCILIACION!$D$50</f>
        <v>30772</v>
      </c>
      <c r="D111" s="289">
        <f>+[105]CONCILIACION!$D$50</f>
        <v>31404</v>
      </c>
      <c r="E111" s="289">
        <f>+[106]CONCILIACION!$D$50</f>
        <v>32978</v>
      </c>
      <c r="F111" s="289">
        <f>+[107]CONCILIACION!$D$50</f>
        <v>31742</v>
      </c>
      <c r="G111" s="289">
        <f>+[108]CONCILIACION!$D$50</f>
        <v>16412</v>
      </c>
      <c r="H111" s="289">
        <f>+[109]CONCILIACION!$D$50</f>
        <v>4982</v>
      </c>
      <c r="I111" s="289">
        <f>+[110]CONCILIACION!$D$50</f>
        <v>32478</v>
      </c>
      <c r="J111" s="289">
        <f>+[111]CONCILIACION!$D$50</f>
        <v>33158</v>
      </c>
      <c r="K111" s="289">
        <f>+[112]CONCILIACION!$D$50</f>
        <v>32548</v>
      </c>
      <c r="L111" s="289">
        <f>+[113]CONCILIACION!$D$50</f>
        <v>33218</v>
      </c>
      <c r="M111" s="289">
        <f>+[114]CONCILIACION!$D$50</f>
        <v>32396</v>
      </c>
      <c r="N111" s="289">
        <f>+[115]CONCILIACION!$D$50</f>
        <v>16440</v>
      </c>
      <c r="O111" s="289">
        <f>+[116]CONCILIACION!$D$50</f>
        <v>4904</v>
      </c>
      <c r="P111" s="289">
        <f>+[117]CONCILIACION!$D$50</f>
        <v>32950</v>
      </c>
      <c r="Q111" s="289">
        <f>+[118]CONCILIACION!$D$50</f>
        <v>33170</v>
      </c>
      <c r="R111" s="289">
        <f>+[119]CONCILIACION!$D$50</f>
        <v>33294</v>
      </c>
      <c r="S111" s="289">
        <f>+[120]CONCILIACION!$D$50</f>
        <v>33340</v>
      </c>
      <c r="T111" s="289">
        <f>+[121]CONCILIACION!$D$50</f>
        <v>32726</v>
      </c>
      <c r="U111" s="289">
        <f>+[122]CONCILIACION!$D$50</f>
        <v>16456</v>
      </c>
      <c r="V111" s="289">
        <f>+[123]CONCILIACION!$D$50</f>
        <v>5112</v>
      </c>
      <c r="W111" s="289">
        <f>+[124]CONCILIACION!$D$50</f>
        <v>33114</v>
      </c>
      <c r="X111" s="289">
        <f>+[125]CONCILIACION!$D$50</f>
        <v>33174</v>
      </c>
      <c r="Y111" s="289">
        <f>+[103]CONCILIACION!$D$52</f>
        <v>33130</v>
      </c>
      <c r="Z111" s="289">
        <f>+[126]CONCILIACION!$D$50</f>
        <v>32588</v>
      </c>
      <c r="AA111" s="289">
        <f>+[127]CONCILIACION!$D$50</f>
        <v>33252</v>
      </c>
      <c r="AB111" s="289">
        <f>+[128]CONCILIACION!$D$50</f>
        <v>16706</v>
      </c>
      <c r="AC111" s="289">
        <f>+[129]CONCILIACION!$D$50</f>
        <v>4984</v>
      </c>
      <c r="AD111" s="289">
        <f>+[130]CONCILIACION!$D$50</f>
        <v>32606</v>
      </c>
      <c r="AE111" s="289">
        <f>+[131]CONCILIACION!$D$50</f>
        <v>32882</v>
      </c>
      <c r="AF111" s="289">
        <f>+[132]CONCILIACION!$D$50</f>
        <v>33274</v>
      </c>
      <c r="AG111" s="289">
        <f>+[133]CONCILIACION!$D$50</f>
        <v>32924</v>
      </c>
      <c r="AH111" s="289">
        <f>+[134]CONCILIACION!$D$50</f>
        <v>33216</v>
      </c>
      <c r="AI111" s="289">
        <f>+[135]CONCILIACION!$D$50</f>
        <v>17172</v>
      </c>
      <c r="AJ111" s="289">
        <f>+[136]CONCILIACION!$D$50</f>
        <v>5068</v>
      </c>
    </row>
    <row r="112" spans="1:36" s="10" customFormat="1" ht="12.75" customHeight="1" thickBot="1" x14ac:dyDescent="0.25">
      <c r="A112" s="454" t="s">
        <v>336</v>
      </c>
      <c r="B112" s="348" t="s">
        <v>297</v>
      </c>
      <c r="C112" s="350">
        <f>+'[69]VENTAS TOTALES'!$F135</f>
        <v>305</v>
      </c>
      <c r="D112" s="350">
        <f>+'[70]VENTAS TOTALES'!$F135</f>
        <v>281</v>
      </c>
      <c r="E112" s="350">
        <f>+'[71]VENTAS TOTALES'!$F135</f>
        <v>165</v>
      </c>
      <c r="F112" s="350">
        <f>+'[72]VENTAS TOTALES'!$F135</f>
        <v>187</v>
      </c>
      <c r="G112" s="350">
        <f>+'[73]VENTAS TOTALES'!$F135</f>
        <v>0</v>
      </c>
      <c r="H112" s="350">
        <f>+'[74]VENTAS TOTALES'!$F135</f>
        <v>0</v>
      </c>
      <c r="I112" s="350">
        <f>+'[75]VENTAS TOTALES'!$F135</f>
        <v>218</v>
      </c>
      <c r="J112" s="350">
        <f>+'[76]VENTAS TOTALES'!$F135</f>
        <v>177</v>
      </c>
      <c r="K112" s="350">
        <f>+'[77]VENTAS TOTALES'!$F135</f>
        <v>213</v>
      </c>
      <c r="L112" s="350">
        <f>+'[78]VENTAS TOTALES'!$F135</f>
        <v>170</v>
      </c>
      <c r="M112" s="350">
        <f>+'[79]VENTAS TOTALES'!$F135</f>
        <v>202</v>
      </c>
      <c r="N112" s="350">
        <f>+'[80]VENTAS TOTALES'!$F135</f>
        <v>0</v>
      </c>
      <c r="O112" s="350">
        <f>+'[81]VENTAS TOTALES'!$F135</f>
        <v>0</v>
      </c>
      <c r="P112" s="350">
        <f>+'[82]VENTAS TOTALES'!$F135</f>
        <v>234</v>
      </c>
      <c r="Q112" s="350">
        <f>+'[83]VENTAS TOTALES'!$F135</f>
        <v>230</v>
      </c>
      <c r="R112" s="350">
        <f>+'[84]VENTAS TOTALES'!$F135</f>
        <v>237</v>
      </c>
      <c r="S112" s="350">
        <f>+'[85]VENTAS TOTALES'!$F135</f>
        <v>293</v>
      </c>
      <c r="T112" s="350">
        <f>+'[86]VENTAS TOTALES'!$F135</f>
        <v>129</v>
      </c>
      <c r="U112" s="350">
        <f>+'[87]VENTAS TOTALES'!$F135</f>
        <v>0</v>
      </c>
      <c r="V112" s="350">
        <f>+'[88]VENTAS TOTALES'!$F135</f>
        <v>0</v>
      </c>
      <c r="W112" s="350">
        <f>+'[89]VENTAS TOTALES'!$F135</f>
        <v>261</v>
      </c>
      <c r="X112" s="350">
        <f>+'[90]VENTAS TOTALES'!$F135</f>
        <v>76</v>
      </c>
      <c r="Y112" s="350">
        <f>+'[91]VENTAS TOTALES'!$F135</f>
        <v>167</v>
      </c>
      <c r="Z112" s="350">
        <f>+'[92]VENTAS TOTALES'!$F135</f>
        <v>164</v>
      </c>
      <c r="AA112" s="350">
        <f>+'[93]VENTAS TOTALES'!$F135</f>
        <v>209</v>
      </c>
      <c r="AB112" s="350">
        <f>+'[94]VENTAS TOTALES'!$F135</f>
        <v>0</v>
      </c>
      <c r="AC112" s="350">
        <f>+'[95]VENTAS TOTALES'!$F135</f>
        <v>0</v>
      </c>
      <c r="AD112" s="350">
        <f>+'[96]VENTAS TOTALES'!$F135</f>
        <v>323</v>
      </c>
      <c r="AE112" s="350">
        <f>+'[97]VENTAS TOTALES'!$F135</f>
        <v>504</v>
      </c>
      <c r="AF112" s="350">
        <f>+'[98]VENTAS TOTALES'!$F135</f>
        <v>282</v>
      </c>
      <c r="AG112" s="350">
        <f>+'[99]VENTAS TOTALES'!$F135</f>
        <v>256</v>
      </c>
      <c r="AH112" s="350">
        <f>+'[100]VENTAS TOTALES'!$F135</f>
        <v>213</v>
      </c>
      <c r="AI112" s="350">
        <f>+'[101]VENTAS TOTALES'!$F135</f>
        <v>0</v>
      </c>
      <c r="AJ112" s="350">
        <f>+'[102]VENTAS TOTALES'!$F135</f>
        <v>0</v>
      </c>
    </row>
    <row r="113" spans="1:36" s="10" customFormat="1" ht="12" customHeight="1" thickBot="1" x14ac:dyDescent="0.25">
      <c r="A113" s="455"/>
      <c r="B113" s="349" t="s">
        <v>298</v>
      </c>
      <c r="C113" s="350">
        <f>+'[69]VENTAS TOTALES'!$F136</f>
        <v>6046</v>
      </c>
      <c r="D113" s="350">
        <f>+'[70]VENTAS TOTALES'!$F136</f>
        <v>5947</v>
      </c>
      <c r="E113" s="350">
        <f>+'[71]VENTAS TOTALES'!$F136</f>
        <v>4518</v>
      </c>
      <c r="F113" s="350">
        <f>+'[72]VENTAS TOTALES'!$F136</f>
        <v>4226</v>
      </c>
      <c r="G113" s="350">
        <f>+'[73]VENTAS TOTALES'!$F136</f>
        <v>2621</v>
      </c>
      <c r="H113" s="350">
        <f>+'[74]VENTAS TOTALES'!$F136</f>
        <v>488</v>
      </c>
      <c r="I113" s="350">
        <f>+'[75]VENTAS TOTALES'!$F136</f>
        <v>5933</v>
      </c>
      <c r="J113" s="350">
        <f>+'[76]VENTAS TOTALES'!$F136</f>
        <v>5165</v>
      </c>
      <c r="K113" s="350">
        <f>+'[77]VENTAS TOTALES'!$F136</f>
        <v>4643</v>
      </c>
      <c r="L113" s="350">
        <f>+'[78]VENTAS TOTALES'!$F136</f>
        <v>4808</v>
      </c>
      <c r="M113" s="350">
        <f>+'[79]VENTAS TOTALES'!$F136</f>
        <v>4585</v>
      </c>
      <c r="N113" s="350">
        <f>+'[80]VENTAS TOTALES'!$F136</f>
        <v>2395</v>
      </c>
      <c r="O113" s="350">
        <f>+'[81]VENTAS TOTALES'!$F136</f>
        <v>544</v>
      </c>
      <c r="P113" s="350">
        <f>+'[82]VENTAS TOTALES'!$F136</f>
        <v>5844</v>
      </c>
      <c r="Q113" s="350">
        <f>+'[83]VENTAS TOTALES'!$F136</f>
        <v>6011</v>
      </c>
      <c r="R113" s="350">
        <f>+'[84]VENTAS TOTALES'!$F136</f>
        <v>5487</v>
      </c>
      <c r="S113" s="350">
        <f>+'[85]VENTAS TOTALES'!$F136</f>
        <v>4993</v>
      </c>
      <c r="T113" s="350">
        <f>+'[86]VENTAS TOTALES'!$F136</f>
        <v>4557</v>
      </c>
      <c r="U113" s="350">
        <f>+'[87]VENTAS TOTALES'!$F136</f>
        <v>2677</v>
      </c>
      <c r="V113" s="350">
        <f>+'[88]VENTAS TOTALES'!$F136</f>
        <v>430</v>
      </c>
      <c r="W113" s="350">
        <f>+'[89]VENTAS TOTALES'!$F136</f>
        <v>6240</v>
      </c>
      <c r="X113" s="350">
        <f>+'[90]VENTAS TOTALES'!$F136</f>
        <v>4911</v>
      </c>
      <c r="Y113" s="350">
        <f>+'[91]VENTAS TOTALES'!$F136</f>
        <v>4706</v>
      </c>
      <c r="Z113" s="350">
        <f>+'[92]VENTAS TOTALES'!$F136</f>
        <v>4600</v>
      </c>
      <c r="AA113" s="350">
        <f>+'[93]VENTAS TOTALES'!$F136</f>
        <v>4455</v>
      </c>
      <c r="AB113" s="350">
        <f>+'[94]VENTAS TOTALES'!$F136</f>
        <v>2695</v>
      </c>
      <c r="AC113" s="350">
        <f>+'[95]VENTAS TOTALES'!$F136</f>
        <v>483</v>
      </c>
      <c r="AD113" s="350">
        <f>+'[96]VENTAS TOTALES'!$F136</f>
        <v>6840</v>
      </c>
      <c r="AE113" s="350">
        <f>+'[97]VENTAS TOTALES'!$F136</f>
        <v>6428</v>
      </c>
      <c r="AF113" s="350">
        <f>+'[98]VENTAS TOTALES'!$F136</f>
        <v>5636</v>
      </c>
      <c r="AG113" s="350">
        <f>+'[99]VENTAS TOTALES'!$F136</f>
        <v>5290</v>
      </c>
      <c r="AH113" s="350">
        <f>+'[100]VENTAS TOTALES'!$F136</f>
        <v>4734</v>
      </c>
      <c r="AI113" s="350">
        <f>+'[101]VENTAS TOTALES'!$F136</f>
        <v>2817</v>
      </c>
      <c r="AJ113" s="350">
        <f>+'[102]VENTAS TOTALES'!$F136</f>
        <v>551</v>
      </c>
    </row>
    <row r="114" spans="1:36" s="10" customFormat="1" ht="12" customHeight="1" thickBot="1" x14ac:dyDescent="0.25">
      <c r="A114" s="455"/>
      <c r="B114" s="349" t="s">
        <v>470</v>
      </c>
      <c r="C114" s="350">
        <f>+'[69]VENTAS TOTALES'!$F137</f>
        <v>373</v>
      </c>
      <c r="D114" s="350">
        <f>+'[70]VENTAS TOTALES'!$F137</f>
        <v>483</v>
      </c>
      <c r="E114" s="350">
        <f>+'[71]VENTAS TOTALES'!$F137</f>
        <v>339</v>
      </c>
      <c r="F114" s="350">
        <f>+'[72]VENTAS TOTALES'!$F137</f>
        <v>202</v>
      </c>
      <c r="G114" s="350">
        <f>+'[73]VENTAS TOTALES'!$F137</f>
        <v>0</v>
      </c>
      <c r="H114" s="350">
        <f>+'[74]VENTAS TOTALES'!$F137</f>
        <v>0</v>
      </c>
      <c r="I114" s="350">
        <f>+'[75]VENTAS TOTALES'!$F137</f>
        <v>444</v>
      </c>
      <c r="J114" s="350">
        <f>+'[76]VENTAS TOTALES'!$F137</f>
        <v>486</v>
      </c>
      <c r="K114" s="350">
        <f>+'[77]VENTAS TOTALES'!$F137</f>
        <v>444</v>
      </c>
      <c r="L114" s="350">
        <f>+'[78]VENTAS TOTALES'!$F137</f>
        <v>385</v>
      </c>
      <c r="M114" s="350">
        <f>+'[79]VENTAS TOTALES'!$F137</f>
        <v>294</v>
      </c>
      <c r="N114" s="350">
        <f>+'[80]VENTAS TOTALES'!$F137</f>
        <v>0</v>
      </c>
      <c r="O114" s="350">
        <f>+'[81]VENTAS TOTALES'!$F137</f>
        <v>0</v>
      </c>
      <c r="P114" s="350">
        <f>+'[82]VENTAS TOTALES'!$F137</f>
        <v>642</v>
      </c>
      <c r="Q114" s="350">
        <f>+'[83]VENTAS TOTALES'!$F137</f>
        <v>525</v>
      </c>
      <c r="R114" s="350">
        <f>+'[84]VENTAS TOTALES'!$F137</f>
        <v>566</v>
      </c>
      <c r="S114" s="350">
        <f>+'[85]VENTAS TOTALES'!$F137</f>
        <v>533</v>
      </c>
      <c r="T114" s="350">
        <f>+'[86]VENTAS TOTALES'!$F137</f>
        <v>335</v>
      </c>
      <c r="U114" s="350">
        <f>+'[87]VENTAS TOTALES'!$F137</f>
        <v>0</v>
      </c>
      <c r="V114" s="350">
        <f>+'[88]VENTAS TOTALES'!$F137</f>
        <v>0</v>
      </c>
      <c r="W114" s="350">
        <f>+'[89]VENTAS TOTALES'!$F137</f>
        <v>576</v>
      </c>
      <c r="X114" s="350">
        <f>+'[90]VENTAS TOTALES'!$F137</f>
        <v>446</v>
      </c>
      <c r="Y114" s="350">
        <f>+'[91]VENTAS TOTALES'!$F137</f>
        <v>412</v>
      </c>
      <c r="Z114" s="350">
        <f>+'[92]VENTAS TOTALES'!$F137</f>
        <v>355</v>
      </c>
      <c r="AA114" s="350">
        <f>+'[93]VENTAS TOTALES'!$F137</f>
        <v>323</v>
      </c>
      <c r="AB114" s="350">
        <f>+'[94]VENTAS TOTALES'!$F137</f>
        <v>0</v>
      </c>
      <c r="AC114" s="350">
        <f>+'[95]VENTAS TOTALES'!$F137</f>
        <v>0</v>
      </c>
      <c r="AD114" s="350">
        <f>+'[96]VENTAS TOTALES'!$F137</f>
        <v>938</v>
      </c>
      <c r="AE114" s="350">
        <f>+'[97]VENTAS TOTALES'!$F137</f>
        <v>745</v>
      </c>
      <c r="AF114" s="350">
        <f>+'[98]VENTAS TOTALES'!$F137</f>
        <v>638</v>
      </c>
      <c r="AG114" s="350">
        <f>+'[99]VENTAS TOTALES'!$F137</f>
        <v>519</v>
      </c>
      <c r="AH114" s="350">
        <f>+'[100]VENTAS TOTALES'!$F137</f>
        <v>423</v>
      </c>
      <c r="AI114" s="350">
        <f>+'[101]VENTAS TOTALES'!$F137</f>
        <v>0</v>
      </c>
      <c r="AJ114" s="350">
        <f>+'[102]VENTAS TOTALES'!$F137</f>
        <v>0</v>
      </c>
    </row>
    <row r="115" spans="1:36" s="10" customFormat="1" ht="12" customHeight="1" thickBot="1" x14ac:dyDescent="0.25">
      <c r="A115" s="455"/>
      <c r="B115" s="349" t="s">
        <v>299</v>
      </c>
      <c r="C115" s="350">
        <f>+'[69]VENTAS TOTALES'!$F138</f>
        <v>0</v>
      </c>
      <c r="D115" s="350">
        <f>+'[70]VENTAS TOTALES'!$F138</f>
        <v>0</v>
      </c>
      <c r="E115" s="350">
        <f>+'[71]VENTAS TOTALES'!$F138</f>
        <v>0</v>
      </c>
      <c r="F115" s="350">
        <f>+'[72]VENTAS TOTALES'!$F138</f>
        <v>0</v>
      </c>
      <c r="G115" s="350">
        <f>+'[73]VENTAS TOTALES'!$F138</f>
        <v>0</v>
      </c>
      <c r="H115" s="350">
        <f>+'[74]VENTAS TOTALES'!$F138</f>
        <v>0</v>
      </c>
      <c r="I115" s="350">
        <f>+'[75]VENTAS TOTALES'!$F138</f>
        <v>0</v>
      </c>
      <c r="J115" s="350">
        <f>+'[76]VENTAS TOTALES'!$F138</f>
        <v>0</v>
      </c>
      <c r="K115" s="350">
        <f>+'[77]VENTAS TOTALES'!$F138</f>
        <v>0</v>
      </c>
      <c r="L115" s="350">
        <f>+'[78]VENTAS TOTALES'!$F138</f>
        <v>0</v>
      </c>
      <c r="M115" s="350">
        <f>+'[79]VENTAS TOTALES'!$F138</f>
        <v>0</v>
      </c>
      <c r="N115" s="350">
        <f>+'[80]VENTAS TOTALES'!$F138</f>
        <v>0</v>
      </c>
      <c r="O115" s="350">
        <f>+'[81]VENTAS TOTALES'!$F138</f>
        <v>0</v>
      </c>
      <c r="P115" s="350">
        <f>+'[82]VENTAS TOTALES'!$F138</f>
        <v>0</v>
      </c>
      <c r="Q115" s="350">
        <f>+'[83]VENTAS TOTALES'!$F138</f>
        <v>0</v>
      </c>
      <c r="R115" s="350">
        <f>+'[84]VENTAS TOTALES'!$F138</f>
        <v>0</v>
      </c>
      <c r="S115" s="350">
        <f>+'[85]VENTAS TOTALES'!$F138</f>
        <v>0</v>
      </c>
      <c r="T115" s="350">
        <f>+'[86]VENTAS TOTALES'!$F138</f>
        <v>0</v>
      </c>
      <c r="U115" s="350">
        <f>+'[87]VENTAS TOTALES'!$F138</f>
        <v>0</v>
      </c>
      <c r="V115" s="350">
        <f>+'[88]VENTAS TOTALES'!$F138</f>
        <v>0</v>
      </c>
      <c r="W115" s="350">
        <f>+'[89]VENTAS TOTALES'!$F138</f>
        <v>0</v>
      </c>
      <c r="X115" s="350">
        <f>+'[90]VENTAS TOTALES'!$F138</f>
        <v>0</v>
      </c>
      <c r="Y115" s="350">
        <f>+'[91]VENTAS TOTALES'!$F138</f>
        <v>0</v>
      </c>
      <c r="Z115" s="350">
        <f>+'[92]VENTAS TOTALES'!$F138</f>
        <v>0</v>
      </c>
      <c r="AA115" s="350">
        <f>+'[93]VENTAS TOTALES'!$F138</f>
        <v>0</v>
      </c>
      <c r="AB115" s="350">
        <f>+'[94]VENTAS TOTALES'!$F138</f>
        <v>0</v>
      </c>
      <c r="AC115" s="350">
        <f>+'[95]VENTAS TOTALES'!$F138</f>
        <v>0</v>
      </c>
      <c r="AD115" s="350">
        <f>+'[96]VENTAS TOTALES'!$F138</f>
        <v>0</v>
      </c>
      <c r="AE115" s="350">
        <f>+'[97]VENTAS TOTALES'!$F138</f>
        <v>0</v>
      </c>
      <c r="AF115" s="350">
        <f>+'[98]VENTAS TOTALES'!$F138</f>
        <v>0</v>
      </c>
      <c r="AG115" s="350">
        <f>+'[99]VENTAS TOTALES'!$F138</f>
        <v>0</v>
      </c>
      <c r="AH115" s="350">
        <f>+'[100]VENTAS TOTALES'!$F138</f>
        <v>0</v>
      </c>
      <c r="AI115" s="350">
        <f>+'[101]VENTAS TOTALES'!$F138</f>
        <v>0</v>
      </c>
      <c r="AJ115" s="350">
        <f>+'[102]VENTAS TOTALES'!$F138</f>
        <v>0</v>
      </c>
    </row>
    <row r="116" spans="1:36" s="10" customFormat="1" ht="12" customHeight="1" thickBot="1" x14ac:dyDescent="0.25">
      <c r="A116" s="455"/>
      <c r="B116" s="349" t="s">
        <v>305</v>
      </c>
      <c r="C116" s="350">
        <f>+'[69]VENTAS TOTALES'!$F139</f>
        <v>237</v>
      </c>
      <c r="D116" s="350">
        <f>+'[70]VENTAS TOTALES'!$F139</f>
        <v>457</v>
      </c>
      <c r="E116" s="350">
        <f>+'[71]VENTAS TOTALES'!$F139</f>
        <v>194</v>
      </c>
      <c r="F116" s="350">
        <f>+'[72]VENTAS TOTALES'!$F139</f>
        <v>276</v>
      </c>
      <c r="G116" s="350">
        <f>+'[73]VENTAS TOTALES'!$F139</f>
        <v>0</v>
      </c>
      <c r="H116" s="350">
        <f>+'[74]VENTAS TOTALES'!$F139</f>
        <v>0</v>
      </c>
      <c r="I116" s="350">
        <f>+'[75]VENTAS TOTALES'!$F139</f>
        <v>450</v>
      </c>
      <c r="J116" s="350">
        <f>+'[76]VENTAS TOTALES'!$F139</f>
        <v>303</v>
      </c>
      <c r="K116" s="350">
        <f>+'[77]VENTAS TOTALES'!$F139</f>
        <v>188</v>
      </c>
      <c r="L116" s="350">
        <f>+'[78]VENTAS TOTALES'!$F139</f>
        <v>204</v>
      </c>
      <c r="M116" s="350">
        <f>+'[79]VENTAS TOTALES'!$F139</f>
        <v>170</v>
      </c>
      <c r="N116" s="350">
        <f>+'[80]VENTAS TOTALES'!$F139</f>
        <v>0</v>
      </c>
      <c r="O116" s="350">
        <f>+'[81]VENTAS TOTALES'!$F139</f>
        <v>0</v>
      </c>
      <c r="P116" s="350">
        <f>+'[82]VENTAS TOTALES'!$F139</f>
        <v>392</v>
      </c>
      <c r="Q116" s="350">
        <f>+'[83]VENTAS TOTALES'!$F139</f>
        <v>516</v>
      </c>
      <c r="R116" s="350">
        <f>+'[84]VENTAS TOTALES'!$F139</f>
        <v>441</v>
      </c>
      <c r="S116" s="350">
        <f>+'[85]VENTAS TOTALES'!$F139</f>
        <v>379</v>
      </c>
      <c r="T116" s="350">
        <f>+'[86]VENTAS TOTALES'!$F139</f>
        <v>330</v>
      </c>
      <c r="U116" s="350">
        <f>+'[87]VENTAS TOTALES'!$F139</f>
        <v>0</v>
      </c>
      <c r="V116" s="350">
        <f>+'[88]VENTAS TOTALES'!$F139</f>
        <v>0</v>
      </c>
      <c r="W116" s="350">
        <f>+'[89]VENTAS TOTALES'!$F139</f>
        <v>445</v>
      </c>
      <c r="X116" s="350">
        <f>+'[90]VENTAS TOTALES'!$F139</f>
        <v>934</v>
      </c>
      <c r="Y116" s="350">
        <f>+'[91]VENTAS TOTALES'!$F139</f>
        <v>459</v>
      </c>
      <c r="Z116" s="350">
        <f>+'[92]VENTAS TOTALES'!$F139</f>
        <v>279</v>
      </c>
      <c r="AA116" s="350">
        <f>+'[93]VENTAS TOTALES'!$F139</f>
        <v>337</v>
      </c>
      <c r="AB116" s="350">
        <f>+'[94]VENTAS TOTALES'!$F139</f>
        <v>0</v>
      </c>
      <c r="AC116" s="350">
        <f>+'[95]VENTAS TOTALES'!$F139</f>
        <v>0</v>
      </c>
      <c r="AD116" s="350">
        <f>+'[96]VENTAS TOTALES'!$F139</f>
        <v>1211</v>
      </c>
      <c r="AE116" s="350">
        <f>+'[97]VENTAS TOTALES'!$F139</f>
        <v>713</v>
      </c>
      <c r="AF116" s="350">
        <f>+'[98]VENTAS TOTALES'!$F139</f>
        <v>480</v>
      </c>
      <c r="AG116" s="350">
        <f>+'[99]VENTAS TOTALES'!$F139</f>
        <v>372</v>
      </c>
      <c r="AH116" s="350">
        <f>+'[100]VENTAS TOTALES'!$F139</f>
        <v>380</v>
      </c>
      <c r="AI116" s="350">
        <f>+'[101]VENTAS TOTALES'!$F139</f>
        <v>0</v>
      </c>
      <c r="AJ116" s="350">
        <f>+'[102]VENTAS TOTALES'!$F139</f>
        <v>0</v>
      </c>
    </row>
    <row r="117" spans="1:36" s="10" customFormat="1" ht="12" customHeight="1" thickBot="1" x14ac:dyDescent="0.25">
      <c r="A117" s="455"/>
      <c r="B117" s="349" t="s">
        <v>337</v>
      </c>
      <c r="C117" s="350">
        <f>+'[69]VENTAS TOTALES'!$F140</f>
        <v>899</v>
      </c>
      <c r="D117" s="350">
        <f>+'[70]VENTAS TOTALES'!$F140</f>
        <v>982</v>
      </c>
      <c r="E117" s="350">
        <f>+'[71]VENTAS TOTALES'!$F140</f>
        <v>435</v>
      </c>
      <c r="F117" s="350">
        <f>+'[72]VENTAS TOTALES'!$F140</f>
        <v>495</v>
      </c>
      <c r="G117" s="350">
        <f>+'[73]VENTAS TOTALES'!$F140</f>
        <v>0</v>
      </c>
      <c r="H117" s="350">
        <f>+'[74]VENTAS TOTALES'!$F140</f>
        <v>0</v>
      </c>
      <c r="I117" s="350">
        <f>+'[75]VENTAS TOTALES'!$F140</f>
        <v>846</v>
      </c>
      <c r="J117" s="350">
        <f>+'[76]VENTAS TOTALES'!$F140</f>
        <v>558</v>
      </c>
      <c r="K117" s="350">
        <f>+'[77]VENTAS TOTALES'!$F140</f>
        <v>563</v>
      </c>
      <c r="L117" s="350">
        <f>+'[78]VENTAS TOTALES'!$F140</f>
        <v>471</v>
      </c>
      <c r="M117" s="350">
        <f>+'[79]VENTAS TOTALES'!$F140</f>
        <v>445</v>
      </c>
      <c r="N117" s="350">
        <f>+'[80]VENTAS TOTALES'!$F140</f>
        <v>0</v>
      </c>
      <c r="O117" s="350">
        <f>+'[81]VENTAS TOTALES'!$F140</f>
        <v>0</v>
      </c>
      <c r="P117" s="350">
        <f>+'[82]VENTAS TOTALES'!$F140</f>
        <v>898</v>
      </c>
      <c r="Q117" s="350">
        <f>+'[83]VENTAS TOTALES'!$F140</f>
        <v>922</v>
      </c>
      <c r="R117" s="350">
        <f>+'[84]VENTAS TOTALES'!$F140</f>
        <v>757</v>
      </c>
      <c r="S117" s="350">
        <f>+'[85]VENTAS TOTALES'!$F140</f>
        <v>731</v>
      </c>
      <c r="T117" s="350">
        <f>+'[86]VENTAS TOTALES'!$F140</f>
        <v>569</v>
      </c>
      <c r="U117" s="350">
        <f>+'[87]VENTAS TOTALES'!$F140</f>
        <v>0</v>
      </c>
      <c r="V117" s="350">
        <f>+'[88]VENTAS TOTALES'!$F140</f>
        <v>0</v>
      </c>
      <c r="W117" s="350">
        <f>+'[89]VENTAS TOTALES'!$F140</f>
        <v>896</v>
      </c>
      <c r="X117" s="350">
        <f>+'[90]VENTAS TOTALES'!$F140</f>
        <v>620</v>
      </c>
      <c r="Y117" s="350">
        <f>+'[91]VENTAS TOTALES'!$F140</f>
        <v>633</v>
      </c>
      <c r="Z117" s="350">
        <f>+'[92]VENTAS TOTALES'!$F140</f>
        <v>631</v>
      </c>
      <c r="AA117" s="350">
        <f>+'[93]VENTAS TOTALES'!$F140</f>
        <v>798</v>
      </c>
      <c r="AB117" s="350">
        <f>+'[94]VENTAS TOTALES'!$F140</f>
        <v>0</v>
      </c>
      <c r="AC117" s="350">
        <f>+'[95]VENTAS TOTALES'!$F140</f>
        <v>0</v>
      </c>
      <c r="AD117" s="350">
        <f>+'[96]VENTAS TOTALES'!$F140</f>
        <v>1457</v>
      </c>
      <c r="AE117" s="350">
        <f>+'[97]VENTAS TOTALES'!$F140</f>
        <v>1466</v>
      </c>
      <c r="AF117" s="350">
        <f>+'[98]VENTAS TOTALES'!$F140</f>
        <v>887</v>
      </c>
      <c r="AG117" s="350">
        <f>+'[99]VENTAS TOTALES'!$F140</f>
        <v>794</v>
      </c>
      <c r="AH117" s="350">
        <f>+'[100]VENTAS TOTALES'!$F140</f>
        <v>471</v>
      </c>
      <c r="AI117" s="350">
        <f>+'[101]VENTAS TOTALES'!$F140</f>
        <v>0</v>
      </c>
      <c r="AJ117" s="350">
        <f>+'[102]VENTAS TOTALES'!$F140</f>
        <v>0</v>
      </c>
    </row>
    <row r="118" spans="1:36" s="10" customFormat="1" ht="12" customHeight="1" thickBot="1" x14ac:dyDescent="0.25">
      <c r="A118" s="455"/>
      <c r="B118" s="349" t="s">
        <v>300</v>
      </c>
      <c r="C118" s="350">
        <f>+'[69]VENTAS TOTALES'!$F141</f>
        <v>0</v>
      </c>
      <c r="D118" s="350">
        <f>+'[70]VENTAS TOTALES'!$F141</f>
        <v>0</v>
      </c>
      <c r="E118" s="350">
        <f>+'[71]VENTAS TOTALES'!$F141</f>
        <v>0</v>
      </c>
      <c r="F118" s="350">
        <f>+'[72]VENTAS TOTALES'!$F141</f>
        <v>0</v>
      </c>
      <c r="G118" s="350">
        <f>+'[73]VENTAS TOTALES'!$F141</f>
        <v>0</v>
      </c>
      <c r="H118" s="350">
        <f>+'[74]VENTAS TOTALES'!$F141</f>
        <v>0</v>
      </c>
      <c r="I118" s="350">
        <f>+'[75]VENTAS TOTALES'!$F141</f>
        <v>0</v>
      </c>
      <c r="J118" s="350">
        <f>+'[76]VENTAS TOTALES'!$F141</f>
        <v>0</v>
      </c>
      <c r="K118" s="350">
        <f>+'[77]VENTAS TOTALES'!$F141</f>
        <v>0</v>
      </c>
      <c r="L118" s="350">
        <f>+'[78]VENTAS TOTALES'!$F141</f>
        <v>0</v>
      </c>
      <c r="M118" s="350">
        <f>+'[79]VENTAS TOTALES'!$F141</f>
        <v>0</v>
      </c>
      <c r="N118" s="350">
        <f>+'[80]VENTAS TOTALES'!$F141</f>
        <v>0</v>
      </c>
      <c r="O118" s="350">
        <f>+'[81]VENTAS TOTALES'!$F141</f>
        <v>0</v>
      </c>
      <c r="P118" s="350">
        <f>+'[82]VENTAS TOTALES'!$F141</f>
        <v>0</v>
      </c>
      <c r="Q118" s="350">
        <f>+'[83]VENTAS TOTALES'!$F141</f>
        <v>57</v>
      </c>
      <c r="R118" s="350">
        <f>+'[84]VENTAS TOTALES'!$F141</f>
        <v>249</v>
      </c>
      <c r="S118" s="350">
        <f>+'[85]VENTAS TOTALES'!$F141</f>
        <v>217</v>
      </c>
      <c r="T118" s="350">
        <f>+'[86]VENTAS TOTALES'!$F141</f>
        <v>225</v>
      </c>
      <c r="U118" s="350">
        <f>+'[87]VENTAS TOTALES'!$F141</f>
        <v>0</v>
      </c>
      <c r="V118" s="350">
        <f>+'[88]VENTAS TOTALES'!$F141</f>
        <v>0</v>
      </c>
      <c r="W118" s="350">
        <f>+'[89]VENTAS TOTALES'!$F141</f>
        <v>465</v>
      </c>
      <c r="X118" s="350">
        <f>+'[90]VENTAS TOTALES'!$F141</f>
        <v>317</v>
      </c>
      <c r="Y118" s="350">
        <f>+'[91]VENTAS TOTALES'!$F141</f>
        <v>285</v>
      </c>
      <c r="Z118" s="350">
        <f>+'[92]VENTAS TOTALES'!$F141</f>
        <v>358</v>
      </c>
      <c r="AA118" s="350">
        <f>+'[93]VENTAS TOTALES'!$F141</f>
        <v>296</v>
      </c>
      <c r="AB118" s="350">
        <f>+'[94]VENTAS TOTALES'!$F141</f>
        <v>0</v>
      </c>
      <c r="AC118" s="350">
        <f>+'[95]VENTAS TOTALES'!$F141</f>
        <v>0</v>
      </c>
      <c r="AD118" s="350">
        <f>+'[96]VENTAS TOTALES'!$F141</f>
        <v>580</v>
      </c>
      <c r="AE118" s="350">
        <f>+'[97]VENTAS TOTALES'!$F141</f>
        <v>420</v>
      </c>
      <c r="AF118" s="350">
        <f>+'[98]VENTAS TOTALES'!$F141</f>
        <v>386</v>
      </c>
      <c r="AG118" s="350">
        <f>+'[99]VENTAS TOTALES'!$F141</f>
        <v>419</v>
      </c>
      <c r="AH118" s="350">
        <f>+'[100]VENTAS TOTALES'!$F141</f>
        <v>354</v>
      </c>
      <c r="AI118" s="350">
        <f>+'[101]VENTAS TOTALES'!$F141</f>
        <v>0</v>
      </c>
      <c r="AJ118" s="350">
        <f>+'[102]VENTAS TOTALES'!$F141</f>
        <v>0</v>
      </c>
    </row>
    <row r="119" spans="1:36" s="10" customFormat="1" ht="12" customHeight="1" thickBot="1" x14ac:dyDescent="0.25">
      <c r="A119" s="455"/>
      <c r="B119" s="349" t="s">
        <v>301</v>
      </c>
      <c r="C119" s="350">
        <f>+'[69]VENTAS TOTALES'!$F142</f>
        <v>430</v>
      </c>
      <c r="D119" s="350">
        <f>+'[70]VENTAS TOTALES'!$F142</f>
        <v>283</v>
      </c>
      <c r="E119" s="350">
        <f>+'[71]VENTAS TOTALES'!$F142</f>
        <v>240</v>
      </c>
      <c r="F119" s="350">
        <f>+'[72]VENTAS TOTALES'!$F142</f>
        <v>228</v>
      </c>
      <c r="G119" s="350">
        <f>+'[73]VENTAS TOTALES'!$F142</f>
        <v>0</v>
      </c>
      <c r="H119" s="350">
        <f>+'[74]VENTAS TOTALES'!$F142</f>
        <v>0</v>
      </c>
      <c r="I119" s="350">
        <f>+'[75]VENTAS TOTALES'!$F142</f>
        <v>205</v>
      </c>
      <c r="J119" s="350">
        <f>+'[76]VENTAS TOTALES'!$F142</f>
        <v>207</v>
      </c>
      <c r="K119" s="350">
        <f>+'[77]VENTAS TOTALES'!$F142</f>
        <v>239</v>
      </c>
      <c r="L119" s="350">
        <f>+'[78]VENTAS TOTALES'!$F142</f>
        <v>258</v>
      </c>
      <c r="M119" s="350">
        <f>+'[79]VENTAS TOTALES'!$F142</f>
        <v>150</v>
      </c>
      <c r="N119" s="350">
        <f>+'[80]VENTAS TOTALES'!$F142</f>
        <v>0</v>
      </c>
      <c r="O119" s="350">
        <f>+'[81]VENTAS TOTALES'!$F142</f>
        <v>0</v>
      </c>
      <c r="P119" s="350">
        <f>+'[82]VENTAS TOTALES'!$F142</f>
        <v>430</v>
      </c>
      <c r="Q119" s="350">
        <f>+'[83]VENTAS TOTALES'!$F142</f>
        <v>322</v>
      </c>
      <c r="R119" s="350">
        <f>+'[84]VENTAS TOTALES'!$F142</f>
        <v>197</v>
      </c>
      <c r="S119" s="350">
        <f>+'[85]VENTAS TOTALES'!$F142</f>
        <v>292</v>
      </c>
      <c r="T119" s="350">
        <f>+'[86]VENTAS TOTALES'!$F142</f>
        <v>166</v>
      </c>
      <c r="U119" s="350">
        <f>+'[87]VENTAS TOTALES'!$F142</f>
        <v>0</v>
      </c>
      <c r="V119" s="350">
        <f>+'[88]VENTAS TOTALES'!$F142</f>
        <v>0</v>
      </c>
      <c r="W119" s="350">
        <f>+'[89]VENTAS TOTALES'!$F142</f>
        <v>476</v>
      </c>
      <c r="X119" s="350">
        <f>+'[90]VENTAS TOTALES'!$F142</f>
        <v>328</v>
      </c>
      <c r="Y119" s="350">
        <f>+'[91]VENTAS TOTALES'!$F142</f>
        <v>222</v>
      </c>
      <c r="Z119" s="350">
        <f>+'[92]VENTAS TOTALES'!$F142</f>
        <v>152</v>
      </c>
      <c r="AA119" s="350">
        <f>+'[93]VENTAS TOTALES'!$F142</f>
        <v>191</v>
      </c>
      <c r="AB119" s="350">
        <f>+'[94]VENTAS TOTALES'!$F142</f>
        <v>0</v>
      </c>
      <c r="AC119" s="350">
        <f>+'[95]VENTAS TOTALES'!$F142</f>
        <v>0</v>
      </c>
      <c r="AD119" s="350">
        <f>+'[96]VENTAS TOTALES'!$F142</f>
        <v>610</v>
      </c>
      <c r="AE119" s="350">
        <f>+'[97]VENTAS TOTALES'!$F142</f>
        <v>549</v>
      </c>
      <c r="AF119" s="350">
        <f>+'[98]VENTAS TOTALES'!$F142</f>
        <v>368</v>
      </c>
      <c r="AG119" s="350">
        <f>+'[99]VENTAS TOTALES'!$F142</f>
        <v>319</v>
      </c>
      <c r="AH119" s="350">
        <f>+'[100]VENTAS TOTALES'!$F142</f>
        <v>192</v>
      </c>
      <c r="AI119" s="350">
        <f>+'[101]VENTAS TOTALES'!$F142</f>
        <v>0</v>
      </c>
      <c r="AJ119" s="350">
        <f>+'[102]VENTAS TOTALES'!$F142</f>
        <v>0</v>
      </c>
    </row>
    <row r="120" spans="1:36" s="10" customFormat="1" ht="12" customHeight="1" thickBot="1" x14ac:dyDescent="0.25">
      <c r="A120" s="455"/>
      <c r="B120" s="349" t="s">
        <v>302</v>
      </c>
      <c r="C120" s="350">
        <f>+'[69]VENTAS TOTALES'!$F143</f>
        <v>505</v>
      </c>
      <c r="D120" s="350">
        <f>+'[70]VENTAS TOTALES'!$F143</f>
        <v>552</v>
      </c>
      <c r="E120" s="350">
        <f>+'[71]VENTAS TOTALES'!$F143</f>
        <v>359</v>
      </c>
      <c r="F120" s="350">
        <f>+'[72]VENTAS TOTALES'!$F143</f>
        <v>342</v>
      </c>
      <c r="G120" s="350">
        <f>+'[73]VENTAS TOTALES'!$F143</f>
        <v>0</v>
      </c>
      <c r="H120" s="350">
        <f>+'[74]VENTAS TOTALES'!$F143</f>
        <v>0</v>
      </c>
      <c r="I120" s="350">
        <f>+'[75]VENTAS TOTALES'!$F143</f>
        <v>555</v>
      </c>
      <c r="J120" s="350">
        <f>+'[76]VENTAS TOTALES'!$F143</f>
        <v>418</v>
      </c>
      <c r="K120" s="350">
        <f>+'[77]VENTAS TOTALES'!$F143</f>
        <v>301</v>
      </c>
      <c r="L120" s="350">
        <f>+'[78]VENTAS TOTALES'!$F143</f>
        <v>427</v>
      </c>
      <c r="M120" s="350">
        <f>+'[79]VENTAS TOTALES'!$F143</f>
        <v>273</v>
      </c>
      <c r="N120" s="350">
        <f>+'[80]VENTAS TOTALES'!$F143</f>
        <v>0</v>
      </c>
      <c r="O120" s="350">
        <f>+'[81]VENTAS TOTALES'!$F143</f>
        <v>0</v>
      </c>
      <c r="P120" s="350">
        <f>+'[82]VENTAS TOTALES'!$F143</f>
        <v>478</v>
      </c>
      <c r="Q120" s="350">
        <f>+'[83]VENTAS TOTALES'!$F143</f>
        <v>599</v>
      </c>
      <c r="R120" s="350">
        <f>+'[84]VENTAS TOTALES'!$F143</f>
        <v>473</v>
      </c>
      <c r="S120" s="350">
        <f>+'[85]VENTAS TOTALES'!$F143</f>
        <v>331</v>
      </c>
      <c r="T120" s="350">
        <f>+'[86]VENTAS TOTALES'!$F143</f>
        <v>353</v>
      </c>
      <c r="U120" s="350">
        <f>+'[87]VENTAS TOTALES'!$F143</f>
        <v>0</v>
      </c>
      <c r="V120" s="350">
        <f>+'[88]VENTAS TOTALES'!$F143</f>
        <v>0</v>
      </c>
      <c r="W120" s="350">
        <f>+'[89]VENTAS TOTALES'!$F143</f>
        <v>510</v>
      </c>
      <c r="X120" s="350">
        <f>+'[90]VENTAS TOTALES'!$F143</f>
        <v>523</v>
      </c>
      <c r="Y120" s="350">
        <f>+'[91]VENTAS TOTALES'!$F143</f>
        <v>366</v>
      </c>
      <c r="Z120" s="350">
        <f>+'[92]VENTAS TOTALES'!$F143</f>
        <v>394</v>
      </c>
      <c r="AA120" s="350">
        <f>+'[93]VENTAS TOTALES'!$F143</f>
        <v>337</v>
      </c>
      <c r="AB120" s="350">
        <f>+'[94]VENTAS TOTALES'!$F143</f>
        <v>0</v>
      </c>
      <c r="AC120" s="350">
        <f>+'[95]VENTAS TOTALES'!$F143</f>
        <v>0</v>
      </c>
      <c r="AD120" s="350">
        <f>+'[96]VENTAS TOTALES'!$F143</f>
        <v>722</v>
      </c>
      <c r="AE120" s="350">
        <f>+'[97]VENTAS TOTALES'!$F143</f>
        <v>556</v>
      </c>
      <c r="AF120" s="350">
        <f>+'[98]VENTAS TOTALES'!$F143</f>
        <v>550</v>
      </c>
      <c r="AG120" s="350">
        <f>+'[99]VENTAS TOTALES'!$F143</f>
        <v>346</v>
      </c>
      <c r="AH120" s="350">
        <f>+'[100]VENTAS TOTALES'!$F143</f>
        <v>384</v>
      </c>
      <c r="AI120" s="350">
        <f>+'[101]VENTAS TOTALES'!$F143</f>
        <v>0</v>
      </c>
      <c r="AJ120" s="350">
        <f>+'[102]VENTAS TOTALES'!$F143</f>
        <v>0</v>
      </c>
    </row>
    <row r="121" spans="1:36" s="10" customFormat="1" ht="12" customHeight="1" thickBot="1" x14ac:dyDescent="0.25">
      <c r="A121" s="455"/>
      <c r="B121" s="349" t="s">
        <v>338</v>
      </c>
      <c r="C121" s="350">
        <f>+'[69]VENTAS TOTALES'!$F144</f>
        <v>310</v>
      </c>
      <c r="D121" s="350">
        <f>+'[70]VENTAS TOTALES'!$F144</f>
        <v>406</v>
      </c>
      <c r="E121" s="350">
        <f>+'[71]VENTAS TOTALES'!$F144</f>
        <v>208</v>
      </c>
      <c r="F121" s="350">
        <f>+'[72]VENTAS TOTALES'!$F144</f>
        <v>236</v>
      </c>
      <c r="G121" s="350">
        <f>+'[73]VENTAS TOTALES'!$F144</f>
        <v>0</v>
      </c>
      <c r="H121" s="350">
        <f>+'[74]VENTAS TOTALES'!$F144</f>
        <v>0</v>
      </c>
      <c r="I121" s="350">
        <f>+'[75]VENTAS TOTALES'!$F144</f>
        <v>517</v>
      </c>
      <c r="J121" s="350">
        <f>+'[76]VENTAS TOTALES'!$F144</f>
        <v>251</v>
      </c>
      <c r="K121" s="350">
        <f>+'[77]VENTAS TOTALES'!$F144</f>
        <v>225</v>
      </c>
      <c r="L121" s="350">
        <f>+'[78]VENTAS TOTALES'!$F144</f>
        <v>282</v>
      </c>
      <c r="M121" s="350">
        <f>+'[79]VENTAS TOTALES'!$F144</f>
        <v>248</v>
      </c>
      <c r="N121" s="350">
        <f>+'[80]VENTAS TOTALES'!$F144</f>
        <v>0</v>
      </c>
      <c r="O121" s="350">
        <f>+'[81]VENTAS TOTALES'!$F144</f>
        <v>0</v>
      </c>
      <c r="P121" s="350">
        <f>+'[82]VENTAS TOTALES'!$F144</f>
        <v>504</v>
      </c>
      <c r="Q121" s="350">
        <f>+'[83]VENTAS TOTALES'!$F144</f>
        <v>334</v>
      </c>
      <c r="R121" s="350">
        <f>+'[84]VENTAS TOTALES'!$F144</f>
        <v>209</v>
      </c>
      <c r="S121" s="350">
        <f>+'[85]VENTAS TOTALES'!$F144</f>
        <v>253</v>
      </c>
      <c r="T121" s="350">
        <f>+'[86]VENTAS TOTALES'!$F144</f>
        <v>166</v>
      </c>
      <c r="U121" s="350">
        <f>+'[87]VENTAS TOTALES'!$F144</f>
        <v>0</v>
      </c>
      <c r="V121" s="350">
        <f>+'[88]VENTAS TOTALES'!$F144</f>
        <v>0</v>
      </c>
      <c r="W121" s="350">
        <f>+'[89]VENTAS TOTALES'!$F144</f>
        <v>407</v>
      </c>
      <c r="X121" s="350">
        <f>+'[90]VENTAS TOTALES'!$F144</f>
        <v>294</v>
      </c>
      <c r="Y121" s="350">
        <f>+'[91]VENTAS TOTALES'!$F144</f>
        <v>236</v>
      </c>
      <c r="Z121" s="350">
        <f>+'[92]VENTAS TOTALES'!$F144</f>
        <v>239</v>
      </c>
      <c r="AA121" s="350">
        <f>+'[93]VENTAS TOTALES'!$F144</f>
        <v>403</v>
      </c>
      <c r="AB121" s="350">
        <f>+'[94]VENTAS TOTALES'!$F144</f>
        <v>0</v>
      </c>
      <c r="AC121" s="350">
        <f>+'[95]VENTAS TOTALES'!$F144</f>
        <v>0</v>
      </c>
      <c r="AD121" s="350">
        <f>+'[96]VENTAS TOTALES'!$F144</f>
        <v>595</v>
      </c>
      <c r="AE121" s="350">
        <f>+'[97]VENTAS TOTALES'!$F144</f>
        <v>341</v>
      </c>
      <c r="AF121" s="350">
        <f>+'[98]VENTAS TOTALES'!$F144</f>
        <v>359</v>
      </c>
      <c r="AG121" s="350">
        <f>+'[99]VENTAS TOTALES'!$F144</f>
        <v>288</v>
      </c>
      <c r="AH121" s="350">
        <f>+'[100]VENTAS TOTALES'!$F144</f>
        <v>335</v>
      </c>
      <c r="AI121" s="350">
        <f>+'[101]VENTAS TOTALES'!$F144</f>
        <v>0</v>
      </c>
      <c r="AJ121" s="350">
        <f>+'[102]VENTAS TOTALES'!$F144</f>
        <v>0</v>
      </c>
    </row>
    <row r="122" spans="1:36" s="10" customFormat="1" ht="12" customHeight="1" thickBot="1" x14ac:dyDescent="0.25">
      <c r="A122" s="455"/>
      <c r="B122" s="349" t="s">
        <v>339</v>
      </c>
      <c r="C122" s="350">
        <f>+'[69]VENTAS TOTALES'!$F145</f>
        <v>80</v>
      </c>
      <c r="D122" s="350">
        <f>+'[70]VENTAS TOTALES'!$F145</f>
        <v>94</v>
      </c>
      <c r="E122" s="350">
        <f>+'[71]VENTAS TOTALES'!$F145</f>
        <v>113</v>
      </c>
      <c r="F122" s="350">
        <f>+'[72]VENTAS TOTALES'!$F145</f>
        <v>93</v>
      </c>
      <c r="G122" s="350">
        <f>+'[73]VENTAS TOTALES'!$F145</f>
        <v>0</v>
      </c>
      <c r="H122" s="350">
        <f>+'[74]VENTAS TOTALES'!$F145</f>
        <v>0</v>
      </c>
      <c r="I122" s="350">
        <f>+'[75]VENTAS TOTALES'!$F145</f>
        <v>179</v>
      </c>
      <c r="J122" s="350">
        <f>+'[76]VENTAS TOTALES'!$F145</f>
        <v>145</v>
      </c>
      <c r="K122" s="350">
        <f>+'[77]VENTAS TOTALES'!$F145</f>
        <v>77</v>
      </c>
      <c r="L122" s="350">
        <f>+'[78]VENTAS TOTALES'!$F145</f>
        <v>118</v>
      </c>
      <c r="M122" s="350">
        <f>+'[79]VENTAS TOTALES'!$F145</f>
        <v>52</v>
      </c>
      <c r="N122" s="350">
        <f>+'[80]VENTAS TOTALES'!$F145</f>
        <v>0</v>
      </c>
      <c r="O122" s="350">
        <f>+'[81]VENTAS TOTALES'!$F145</f>
        <v>0</v>
      </c>
      <c r="P122" s="350">
        <f>+'[82]VENTAS TOTALES'!$F145</f>
        <v>128</v>
      </c>
      <c r="Q122" s="350">
        <f>+'[83]VENTAS TOTALES'!$F145</f>
        <v>104</v>
      </c>
      <c r="R122" s="350">
        <f>+'[84]VENTAS TOTALES'!$F145</f>
        <v>119</v>
      </c>
      <c r="S122" s="350">
        <f>+'[85]VENTAS TOTALES'!$F145</f>
        <v>66</v>
      </c>
      <c r="T122" s="350">
        <f>+'[86]VENTAS TOTALES'!$F145</f>
        <v>92</v>
      </c>
      <c r="U122" s="350">
        <f>+'[87]VENTAS TOTALES'!$F145</f>
        <v>0</v>
      </c>
      <c r="V122" s="350">
        <f>+'[88]VENTAS TOTALES'!$F145</f>
        <v>0</v>
      </c>
      <c r="W122" s="350">
        <f>+'[89]VENTAS TOTALES'!$F145</f>
        <v>148</v>
      </c>
      <c r="X122" s="350">
        <f>+'[90]VENTAS TOTALES'!$F145</f>
        <v>111</v>
      </c>
      <c r="Y122" s="350">
        <f>+'[91]VENTAS TOTALES'!$F145</f>
        <v>0</v>
      </c>
      <c r="Z122" s="350">
        <f>+'[92]VENTAS TOTALES'!$F145</f>
        <v>0</v>
      </c>
      <c r="AA122" s="350">
        <f>+'[93]VENTAS TOTALES'!$F145</f>
        <v>0</v>
      </c>
      <c r="AB122" s="350">
        <f>+'[94]VENTAS TOTALES'!$F145</f>
        <v>0</v>
      </c>
      <c r="AC122" s="350">
        <f>+'[95]VENTAS TOTALES'!$F145</f>
        <v>0</v>
      </c>
      <c r="AD122" s="350">
        <f>+'[96]VENTAS TOTALES'!$F145</f>
        <v>0</v>
      </c>
      <c r="AE122" s="350">
        <f>+'[97]VENTAS TOTALES'!$F145</f>
        <v>0</v>
      </c>
      <c r="AF122" s="350">
        <f>+'[98]VENTAS TOTALES'!$F145</f>
        <v>0</v>
      </c>
      <c r="AG122" s="350">
        <f>+'[99]VENTAS TOTALES'!$F145</f>
        <v>0</v>
      </c>
      <c r="AH122" s="350">
        <f>+'[100]VENTAS TOTALES'!$F145</f>
        <v>0</v>
      </c>
      <c r="AI122" s="350">
        <f>+'[101]VENTAS TOTALES'!$F145</f>
        <v>0</v>
      </c>
      <c r="AJ122" s="350">
        <f>+'[102]VENTAS TOTALES'!$F145</f>
        <v>0</v>
      </c>
    </row>
    <row r="123" spans="1:36" s="10" customFormat="1" ht="12" customHeight="1" thickBot="1" x14ac:dyDescent="0.25">
      <c r="A123" s="455"/>
      <c r="B123" s="349" t="s">
        <v>340</v>
      </c>
      <c r="C123" s="350">
        <f>+'[69]VENTAS TOTALES'!$F146</f>
        <v>229</v>
      </c>
      <c r="D123" s="350">
        <f>+'[70]VENTAS TOTALES'!$F146</f>
        <v>324</v>
      </c>
      <c r="E123" s="350">
        <f>+'[71]VENTAS TOTALES'!$F146</f>
        <v>199</v>
      </c>
      <c r="F123" s="350">
        <f>+'[72]VENTAS TOTALES'!$F146</f>
        <v>82</v>
      </c>
      <c r="G123" s="350">
        <f>+'[73]VENTAS TOTALES'!$F146</f>
        <v>0</v>
      </c>
      <c r="H123" s="350">
        <f>+'[74]VENTAS TOTALES'!$F146</f>
        <v>0</v>
      </c>
      <c r="I123" s="350">
        <f>+'[75]VENTAS TOTALES'!$F146</f>
        <v>173</v>
      </c>
      <c r="J123" s="350">
        <f>+'[76]VENTAS TOTALES'!$F146</f>
        <v>160</v>
      </c>
      <c r="K123" s="350">
        <f>+'[77]VENTAS TOTALES'!$F146</f>
        <v>127</v>
      </c>
      <c r="L123" s="350">
        <f>+'[78]VENTAS TOTALES'!$F146</f>
        <v>94</v>
      </c>
      <c r="M123" s="350">
        <f>+'[79]VENTAS TOTALES'!$F146</f>
        <v>155</v>
      </c>
      <c r="N123" s="350">
        <f>+'[80]VENTAS TOTALES'!$F146</f>
        <v>0</v>
      </c>
      <c r="O123" s="350">
        <f>+'[81]VENTAS TOTALES'!$F146</f>
        <v>0</v>
      </c>
      <c r="P123" s="350">
        <f>+'[82]VENTAS TOTALES'!$F146</f>
        <v>139</v>
      </c>
      <c r="Q123" s="350">
        <f>+'[83]VENTAS TOTALES'!$F146</f>
        <v>168</v>
      </c>
      <c r="R123" s="350">
        <f>+'[84]VENTAS TOTALES'!$F146</f>
        <v>209</v>
      </c>
      <c r="S123" s="350">
        <f>+'[85]VENTAS TOTALES'!$F146</f>
        <v>235</v>
      </c>
      <c r="T123" s="350">
        <f>+'[86]VENTAS TOTALES'!$F146</f>
        <v>125</v>
      </c>
      <c r="U123" s="350">
        <f>+'[87]VENTAS TOTALES'!$F146</f>
        <v>0</v>
      </c>
      <c r="V123" s="350">
        <f>+'[88]VENTAS TOTALES'!$F146</f>
        <v>0</v>
      </c>
      <c r="W123" s="350">
        <f>+'[89]VENTAS TOTALES'!$F146</f>
        <v>171</v>
      </c>
      <c r="X123" s="350">
        <f>+'[90]VENTAS TOTALES'!$F146</f>
        <v>131</v>
      </c>
      <c r="Y123" s="350">
        <f>+'[91]VENTAS TOTALES'!$F146</f>
        <v>86</v>
      </c>
      <c r="Z123" s="350">
        <f>+'[92]VENTAS TOTALES'!$F146</f>
        <v>94</v>
      </c>
      <c r="AA123" s="350">
        <f>+'[93]VENTAS TOTALES'!$F146</f>
        <v>185</v>
      </c>
      <c r="AB123" s="350">
        <f>+'[94]VENTAS TOTALES'!$F146</f>
        <v>0</v>
      </c>
      <c r="AC123" s="350">
        <f>+'[95]VENTAS TOTALES'!$F146</f>
        <v>0</v>
      </c>
      <c r="AD123" s="350">
        <f>+'[96]VENTAS TOTALES'!$F146</f>
        <v>281</v>
      </c>
      <c r="AE123" s="350">
        <f>+'[97]VENTAS TOTALES'!$F146</f>
        <v>300</v>
      </c>
      <c r="AF123" s="350">
        <f>+'[98]VENTAS TOTALES'!$F146</f>
        <v>246</v>
      </c>
      <c r="AG123" s="350">
        <f>+'[99]VENTAS TOTALES'!$F146</f>
        <v>247</v>
      </c>
      <c r="AH123" s="350">
        <f>+'[100]VENTAS TOTALES'!$F146</f>
        <v>167</v>
      </c>
      <c r="AI123" s="350">
        <f>+'[101]VENTAS TOTALES'!$F146</f>
        <v>0</v>
      </c>
      <c r="AJ123" s="350">
        <f>+'[102]VENTAS TOTALES'!$F146</f>
        <v>0</v>
      </c>
    </row>
    <row r="124" spans="1:36" s="10" customFormat="1" ht="12" customHeight="1" thickBot="1" x14ac:dyDescent="0.25">
      <c r="A124" s="455"/>
      <c r="B124" s="349" t="s">
        <v>341</v>
      </c>
      <c r="C124" s="350">
        <f>+'[69]VENTAS TOTALES'!$F147</f>
        <v>361</v>
      </c>
      <c r="D124" s="350">
        <f>+'[70]VENTAS TOTALES'!$F147</f>
        <v>425</v>
      </c>
      <c r="E124" s="350">
        <f>+'[71]VENTAS TOTALES'!$F147</f>
        <v>415</v>
      </c>
      <c r="F124" s="350">
        <f>+'[72]VENTAS TOTALES'!$F147</f>
        <v>277</v>
      </c>
      <c r="G124" s="350">
        <f>+'[73]VENTAS TOTALES'!$F147</f>
        <v>336</v>
      </c>
      <c r="H124" s="350">
        <f>+'[74]VENTAS TOTALES'!$F147</f>
        <v>362</v>
      </c>
      <c r="I124" s="350">
        <f>+'[75]VENTAS TOTALES'!$F147</f>
        <v>417</v>
      </c>
      <c r="J124" s="350">
        <f>+'[76]VENTAS TOTALES'!$F147</f>
        <v>468</v>
      </c>
      <c r="K124" s="350">
        <f>+'[77]VENTAS TOTALES'!$F147</f>
        <v>267</v>
      </c>
      <c r="L124" s="350">
        <f>+'[78]VENTAS TOTALES'!$F147</f>
        <v>315</v>
      </c>
      <c r="M124" s="350">
        <f>+'[79]VENTAS TOTALES'!$F147</f>
        <v>270</v>
      </c>
      <c r="N124" s="350">
        <f>+'[80]VENTAS TOTALES'!$F147</f>
        <v>135</v>
      </c>
      <c r="O124" s="350">
        <f>+'[81]VENTAS TOTALES'!$F147</f>
        <v>413</v>
      </c>
      <c r="P124" s="350">
        <f>+'[82]VENTAS TOTALES'!$F147</f>
        <v>597</v>
      </c>
      <c r="Q124" s="350">
        <f>+'[83]VENTAS TOTALES'!$F147</f>
        <v>441</v>
      </c>
      <c r="R124" s="350">
        <f>+'[84]VENTAS TOTALES'!$F147</f>
        <v>407</v>
      </c>
      <c r="S124" s="350">
        <f>+'[85]VENTAS TOTALES'!$F147</f>
        <v>257</v>
      </c>
      <c r="T124" s="350">
        <f>+'[86]VENTAS TOTALES'!$F147</f>
        <v>340</v>
      </c>
      <c r="U124" s="350">
        <f>+'[87]VENTAS TOTALES'!$F147</f>
        <v>196</v>
      </c>
      <c r="V124" s="350">
        <f>+'[88]VENTAS TOTALES'!$F147</f>
        <v>364</v>
      </c>
      <c r="W124" s="350">
        <f>+'[89]VENTAS TOTALES'!$F147</f>
        <v>272</v>
      </c>
      <c r="X124" s="350">
        <f>+'[90]VENTAS TOTALES'!$F147</f>
        <v>321</v>
      </c>
      <c r="Y124" s="350">
        <f>+'[91]VENTAS TOTALES'!$F147</f>
        <v>420</v>
      </c>
      <c r="Z124" s="350">
        <f>+'[92]VENTAS TOTALES'!$F147</f>
        <v>370</v>
      </c>
      <c r="AA124" s="350">
        <f>+'[93]VENTAS TOTALES'!$F147</f>
        <v>280</v>
      </c>
      <c r="AB124" s="350">
        <f>+'[94]VENTAS TOTALES'!$F147</f>
        <v>422</v>
      </c>
      <c r="AC124" s="350">
        <f>+'[95]VENTAS TOTALES'!$F147</f>
        <v>642</v>
      </c>
      <c r="AD124" s="350">
        <f>+'[96]VENTAS TOTALES'!$F147</f>
        <v>667</v>
      </c>
      <c r="AE124" s="350">
        <f>+'[97]VENTAS TOTALES'!$F147</f>
        <v>555</v>
      </c>
      <c r="AF124" s="350">
        <f>+'[98]VENTAS TOTALES'!$F147</f>
        <v>469</v>
      </c>
      <c r="AG124" s="350">
        <f>+'[99]VENTAS TOTALES'!$F147</f>
        <v>334</v>
      </c>
      <c r="AH124" s="350">
        <f>+'[100]VENTAS TOTALES'!$F147</f>
        <v>349</v>
      </c>
      <c r="AI124" s="350">
        <f>+'[101]VENTAS TOTALES'!$F147</f>
        <v>284</v>
      </c>
      <c r="AJ124" s="350">
        <f>+'[102]VENTAS TOTALES'!$F147</f>
        <v>541</v>
      </c>
    </row>
    <row r="125" spans="1:36" s="10" customFormat="1" ht="12" customHeight="1" thickBot="1" x14ac:dyDescent="0.25">
      <c r="A125" s="455"/>
      <c r="B125" s="349" t="s">
        <v>342</v>
      </c>
      <c r="C125" s="350">
        <f>+'[69]VENTAS TOTALES'!$F148</f>
        <v>876</v>
      </c>
      <c r="D125" s="350">
        <f>+'[70]VENTAS TOTALES'!$F148</f>
        <v>951</v>
      </c>
      <c r="E125" s="350">
        <f>+'[71]VENTAS TOTALES'!$F148</f>
        <v>810</v>
      </c>
      <c r="F125" s="350">
        <f>+'[72]VENTAS TOTALES'!$F148</f>
        <v>508</v>
      </c>
      <c r="G125" s="350">
        <f>+'[73]VENTAS TOTALES'!$F148</f>
        <v>592</v>
      </c>
      <c r="H125" s="350">
        <f>+'[74]VENTAS TOTALES'!$F148</f>
        <v>883</v>
      </c>
      <c r="I125" s="350">
        <f>+'[75]VENTAS TOTALES'!$F148</f>
        <v>1007</v>
      </c>
      <c r="J125" s="350">
        <f>+'[76]VENTAS TOTALES'!$F148</f>
        <v>684</v>
      </c>
      <c r="K125" s="350">
        <f>+'[77]VENTAS TOTALES'!$F148</f>
        <v>520</v>
      </c>
      <c r="L125" s="350">
        <f>+'[78]VENTAS TOTALES'!$F148</f>
        <v>542</v>
      </c>
      <c r="M125" s="350">
        <f>+'[79]VENTAS TOTALES'!$F148</f>
        <v>561</v>
      </c>
      <c r="N125" s="350">
        <f>+'[80]VENTAS TOTALES'!$F148</f>
        <v>553</v>
      </c>
      <c r="O125" s="350">
        <f>+'[81]VENTAS TOTALES'!$F148</f>
        <v>790</v>
      </c>
      <c r="P125" s="350">
        <f>+'[82]VENTAS TOTALES'!$F148</f>
        <v>1048</v>
      </c>
      <c r="Q125" s="350">
        <f>+'[83]VENTAS TOTALES'!$F148</f>
        <v>912</v>
      </c>
      <c r="R125" s="350">
        <f>+'[84]VENTAS TOTALES'!$F148</f>
        <v>822</v>
      </c>
      <c r="S125" s="350">
        <f>+'[85]VENTAS TOTALES'!$F148</f>
        <v>605</v>
      </c>
      <c r="T125" s="350">
        <f>+'[86]VENTAS TOTALES'!$F148</f>
        <v>614</v>
      </c>
      <c r="U125" s="350">
        <f>+'[87]VENTAS TOTALES'!$F148</f>
        <v>599</v>
      </c>
      <c r="V125" s="350">
        <f>+'[88]VENTAS TOTALES'!$F148</f>
        <v>801</v>
      </c>
      <c r="W125" s="350">
        <f>+'[89]VENTAS TOTALES'!$F148</f>
        <v>852</v>
      </c>
      <c r="X125" s="350">
        <f>+'[90]VENTAS TOTALES'!$F148</f>
        <v>615</v>
      </c>
      <c r="Y125" s="350">
        <f>+'[91]VENTAS TOTALES'!$F148</f>
        <v>648</v>
      </c>
      <c r="Z125" s="350">
        <f>+'[92]VENTAS TOTALES'!$F148</f>
        <v>687</v>
      </c>
      <c r="AA125" s="350">
        <f>+'[93]VENTAS TOTALES'!$F148</f>
        <v>782</v>
      </c>
      <c r="AB125" s="350">
        <f>+'[94]VENTAS TOTALES'!$F148</f>
        <v>676</v>
      </c>
      <c r="AC125" s="350">
        <f>+'[95]VENTAS TOTALES'!$F148</f>
        <v>973</v>
      </c>
      <c r="AD125" s="350">
        <f>+'[96]VENTAS TOTALES'!$F148</f>
        <v>979</v>
      </c>
      <c r="AE125" s="350">
        <f>+'[97]VENTAS TOTALES'!$F148</f>
        <v>1001</v>
      </c>
      <c r="AF125" s="350">
        <f>+'[98]VENTAS TOTALES'!$F148</f>
        <v>974</v>
      </c>
      <c r="AG125" s="350">
        <f>+'[99]VENTAS TOTALES'!$F148</f>
        <v>551</v>
      </c>
      <c r="AH125" s="350">
        <f>+'[100]VENTAS TOTALES'!$F148</f>
        <v>835</v>
      </c>
      <c r="AI125" s="350">
        <f>+'[101]VENTAS TOTALES'!$F148</f>
        <v>633</v>
      </c>
      <c r="AJ125" s="350">
        <f>+'[102]VENTAS TOTALES'!$F148</f>
        <v>921</v>
      </c>
    </row>
    <row r="126" spans="1:36" s="10" customFormat="1" ht="12" customHeight="1" thickBot="1" x14ac:dyDescent="0.25">
      <c r="A126" s="455"/>
      <c r="B126" s="349" t="s">
        <v>343</v>
      </c>
      <c r="C126" s="350">
        <f>+'[69]VENTAS TOTALES'!$F149</f>
        <v>365</v>
      </c>
      <c r="D126" s="350">
        <f>+'[70]VENTAS TOTALES'!$F149</f>
        <v>366</v>
      </c>
      <c r="E126" s="350">
        <f>+'[71]VENTAS TOTALES'!$F149</f>
        <v>266</v>
      </c>
      <c r="F126" s="350">
        <f>+'[72]VENTAS TOTALES'!$F149</f>
        <v>117</v>
      </c>
      <c r="G126" s="350">
        <f>+'[73]VENTAS TOTALES'!$F149</f>
        <v>0</v>
      </c>
      <c r="H126" s="350">
        <f>+'[74]VENTAS TOTALES'!$F149</f>
        <v>0</v>
      </c>
      <c r="I126" s="350">
        <f>+'[75]VENTAS TOTALES'!$F149</f>
        <v>340</v>
      </c>
      <c r="J126" s="350">
        <f>+'[76]VENTAS TOTALES'!$F149</f>
        <v>179</v>
      </c>
      <c r="K126" s="350">
        <f>+'[77]VENTAS TOTALES'!$F149</f>
        <v>170</v>
      </c>
      <c r="L126" s="350">
        <f>+'[78]VENTAS TOTALES'!$F149</f>
        <v>141</v>
      </c>
      <c r="M126" s="350">
        <f>+'[79]VENTAS TOTALES'!$F149</f>
        <v>189</v>
      </c>
      <c r="N126" s="350">
        <f>+'[80]VENTAS TOTALES'!$F149</f>
        <v>0</v>
      </c>
      <c r="O126" s="350">
        <f>+'[81]VENTAS TOTALES'!$F149</f>
        <v>0</v>
      </c>
      <c r="P126" s="350">
        <f>+'[82]VENTAS TOTALES'!$F149</f>
        <v>257</v>
      </c>
      <c r="Q126" s="350">
        <f>+'[83]VENTAS TOTALES'!$F149</f>
        <v>318</v>
      </c>
      <c r="R126" s="350">
        <f>+'[84]VENTAS TOTALES'!$F149</f>
        <v>260</v>
      </c>
      <c r="S126" s="350">
        <f>+'[85]VENTAS TOTALES'!$F149</f>
        <v>181</v>
      </c>
      <c r="T126" s="350">
        <f>+'[86]VENTAS TOTALES'!$F149</f>
        <v>126</v>
      </c>
      <c r="U126" s="350">
        <f>+'[87]VENTAS TOTALES'!$F149</f>
        <v>0</v>
      </c>
      <c r="V126" s="350">
        <f>+'[88]VENTAS TOTALES'!$F149</f>
        <v>0</v>
      </c>
      <c r="W126" s="350">
        <f>+'[89]VENTAS TOTALES'!$F149</f>
        <v>295</v>
      </c>
      <c r="X126" s="350">
        <f>+'[90]VENTAS TOTALES'!$F149</f>
        <v>280</v>
      </c>
      <c r="Y126" s="350">
        <f>+'[91]VENTAS TOTALES'!$F149</f>
        <v>199</v>
      </c>
      <c r="Z126" s="350">
        <f>+'[92]VENTAS TOTALES'!$F149</f>
        <v>209</v>
      </c>
      <c r="AA126" s="350">
        <f>+'[93]VENTAS TOTALES'!$F149</f>
        <v>210</v>
      </c>
      <c r="AB126" s="350">
        <f>+'[94]VENTAS TOTALES'!$F149</f>
        <v>0</v>
      </c>
      <c r="AC126" s="350">
        <f>+'[95]VENTAS TOTALES'!$F149</f>
        <v>0</v>
      </c>
      <c r="AD126" s="350">
        <f>+'[96]VENTAS TOTALES'!$F149</f>
        <v>375</v>
      </c>
      <c r="AE126" s="350">
        <f>+'[97]VENTAS TOTALES'!$F149</f>
        <v>491</v>
      </c>
      <c r="AF126" s="350">
        <f>+'[98]VENTAS TOTALES'!$F149</f>
        <v>407</v>
      </c>
      <c r="AG126" s="350">
        <f>+'[99]VENTAS TOTALES'!$F149</f>
        <v>227</v>
      </c>
      <c r="AH126" s="350">
        <f>+'[100]VENTAS TOTALES'!$F149</f>
        <v>241</v>
      </c>
      <c r="AI126" s="350">
        <f>+'[101]VENTAS TOTALES'!$F149</f>
        <v>0</v>
      </c>
      <c r="AJ126" s="350">
        <f>+'[102]VENTAS TOTALES'!$F149</f>
        <v>0</v>
      </c>
    </row>
    <row r="127" spans="1:36" s="10" customFormat="1" ht="12" customHeight="1" thickBot="1" x14ac:dyDescent="0.25">
      <c r="A127" s="456"/>
      <c r="B127" s="373" t="s">
        <v>344</v>
      </c>
      <c r="C127" s="350">
        <f>+'[69]VENTAS TOTALES'!$F150</f>
        <v>554</v>
      </c>
      <c r="D127" s="350">
        <f>+'[70]VENTAS TOTALES'!$F150</f>
        <v>377</v>
      </c>
      <c r="E127" s="350">
        <f>+'[71]VENTAS TOTALES'!$F150</f>
        <v>420</v>
      </c>
      <c r="F127" s="350">
        <f>+'[72]VENTAS TOTALES'!$F150</f>
        <v>245</v>
      </c>
      <c r="G127" s="350">
        <f>+'[73]VENTAS TOTALES'!$F150</f>
        <v>0</v>
      </c>
      <c r="H127" s="350">
        <f>+'[74]VENTAS TOTALES'!$F150</f>
        <v>0</v>
      </c>
      <c r="I127" s="350">
        <f>+'[75]VENTAS TOTALES'!$F150</f>
        <v>330</v>
      </c>
      <c r="J127" s="350">
        <f>+'[76]VENTAS TOTALES'!$F150</f>
        <v>516</v>
      </c>
      <c r="K127" s="350">
        <f>+'[77]VENTAS TOTALES'!$F150</f>
        <v>204</v>
      </c>
      <c r="L127" s="350">
        <f>+'[78]VENTAS TOTALES'!$F150</f>
        <v>237</v>
      </c>
      <c r="M127" s="350">
        <f>+'[79]VENTAS TOTALES'!$F150</f>
        <v>228</v>
      </c>
      <c r="N127" s="350">
        <f>+'[80]VENTAS TOTALES'!$F150</f>
        <v>0</v>
      </c>
      <c r="O127" s="350">
        <f>+'[81]VENTAS TOTALES'!$F150</f>
        <v>0</v>
      </c>
      <c r="P127" s="350">
        <f>+'[82]VENTAS TOTALES'!$F150</f>
        <v>302</v>
      </c>
      <c r="Q127" s="350">
        <f>+'[83]VENTAS TOTALES'!$F150</f>
        <v>622</v>
      </c>
      <c r="R127" s="350">
        <f>+'[84]VENTAS TOTALES'!$F150</f>
        <v>300</v>
      </c>
      <c r="S127" s="350">
        <f>+'[85]VENTAS TOTALES'!$F150</f>
        <v>352</v>
      </c>
      <c r="T127" s="350">
        <f>+'[86]VENTAS TOTALES'!$F150</f>
        <v>194</v>
      </c>
      <c r="U127" s="350">
        <f>+'[87]VENTAS TOTALES'!$F150</f>
        <v>0</v>
      </c>
      <c r="V127" s="350">
        <f>+'[88]VENTAS TOTALES'!$F150</f>
        <v>0</v>
      </c>
      <c r="W127" s="350">
        <f>+'[89]VENTAS TOTALES'!$F150</f>
        <v>404</v>
      </c>
      <c r="X127" s="350">
        <f>+'[90]VENTAS TOTALES'!$F150</f>
        <v>368</v>
      </c>
      <c r="Y127" s="350">
        <f>+'[91]VENTAS TOTALES'!$F150</f>
        <v>220</v>
      </c>
      <c r="Z127" s="350">
        <f>+'[92]VENTAS TOTALES'!$F150</f>
        <v>196</v>
      </c>
      <c r="AA127" s="350">
        <f>+'[93]VENTAS TOTALES'!$F150</f>
        <v>475</v>
      </c>
      <c r="AB127" s="350">
        <f>+'[94]VENTAS TOTALES'!$F150</f>
        <v>0</v>
      </c>
      <c r="AC127" s="350">
        <f>+'[95]VENTAS TOTALES'!$F150</f>
        <v>0</v>
      </c>
      <c r="AD127" s="350">
        <f>+'[96]VENTAS TOTALES'!$F150</f>
        <v>805</v>
      </c>
      <c r="AE127" s="350">
        <f>+'[97]VENTAS TOTALES'!$F150</f>
        <v>628</v>
      </c>
      <c r="AF127" s="350">
        <f>+'[98]VENTAS TOTALES'!$F150</f>
        <v>351</v>
      </c>
      <c r="AG127" s="350">
        <f>+'[99]VENTAS TOTALES'!$F150</f>
        <v>514</v>
      </c>
      <c r="AH127" s="350">
        <f>+'[100]VENTAS TOTALES'!$F150</f>
        <v>373</v>
      </c>
      <c r="AI127" s="350">
        <f>+'[101]VENTAS TOTALES'!$F150</f>
        <v>0</v>
      </c>
      <c r="AJ127" s="350">
        <f>+'[102]VENTAS TOTALES'!$F150</f>
        <v>0</v>
      </c>
    </row>
    <row r="128" spans="1:36" s="10" customFormat="1" ht="12" customHeight="1" thickBot="1" x14ac:dyDescent="0.25">
      <c r="A128" s="451" t="s">
        <v>394</v>
      </c>
      <c r="B128" s="379" t="s">
        <v>395</v>
      </c>
      <c r="C128" s="350">
        <f>+'[69]VENTAS TOTALES'!$F223</f>
        <v>282</v>
      </c>
      <c r="D128" s="350">
        <f>+'[70]VENTAS TOTALES'!$F223</f>
        <v>247</v>
      </c>
      <c r="E128" s="350">
        <f>+'[71]VENTAS TOTALES'!$F223</f>
        <v>275</v>
      </c>
      <c r="F128" s="350">
        <f>+'[72]VENTAS TOTALES'!$F223</f>
        <v>166</v>
      </c>
      <c r="G128" s="350">
        <f>+'[73]VENTAS TOTALES'!$F223</f>
        <v>43</v>
      </c>
      <c r="H128" s="350">
        <f>+'[74]VENTAS TOTALES'!$F223</f>
        <v>0</v>
      </c>
      <c r="I128" s="350">
        <f>+'[75]VENTAS TOTALES'!$F223</f>
        <v>389</v>
      </c>
      <c r="J128" s="350">
        <f>+'[76]VENTAS TOTALES'!$F223</f>
        <v>259</v>
      </c>
      <c r="K128" s="350">
        <f>+'[77]VENTAS TOTALES'!$F223</f>
        <v>393</v>
      </c>
      <c r="L128" s="350">
        <f>+'[78]VENTAS TOTALES'!$F223</f>
        <v>175</v>
      </c>
      <c r="M128" s="350">
        <f>+'[79]VENTAS TOTALES'!$F223</f>
        <v>472</v>
      </c>
      <c r="N128" s="350">
        <f>+'[80]VENTAS TOTALES'!$F223</f>
        <v>164</v>
      </c>
      <c r="O128" s="350">
        <f>+'[81]VENTAS TOTALES'!$F223</f>
        <v>0</v>
      </c>
      <c r="P128" s="350">
        <f>+'[82]VENTAS TOTALES'!$F223</f>
        <v>110</v>
      </c>
      <c r="Q128" s="350">
        <f>+'[83]VENTAS TOTALES'!$F223</f>
        <v>110</v>
      </c>
      <c r="R128" s="350">
        <f>+'[84]VENTAS TOTALES'!$F223</f>
        <v>519</v>
      </c>
      <c r="S128" s="350">
        <f>+'[85]VENTAS TOTALES'!$F223</f>
        <v>405</v>
      </c>
      <c r="T128" s="350">
        <f>+'[86]VENTAS TOTALES'!$F223</f>
        <v>621</v>
      </c>
      <c r="U128" s="350">
        <f>+'[87]VENTAS TOTALES'!$F223</f>
        <v>8</v>
      </c>
      <c r="V128" s="350">
        <f>+'[88]VENTAS TOTALES'!$F223</f>
        <v>0</v>
      </c>
      <c r="W128" s="350">
        <f>+'[89]VENTAS TOTALES'!$F223</f>
        <v>594</v>
      </c>
      <c r="X128" s="350">
        <f>+'[90]VENTAS TOTALES'!$F223</f>
        <v>643</v>
      </c>
      <c r="Y128" s="350">
        <f>+'[91]VENTAS TOTALES'!$F223</f>
        <v>225</v>
      </c>
      <c r="Z128" s="350">
        <f>+'[92]VENTAS TOTALES'!$F223</f>
        <v>984</v>
      </c>
      <c r="AA128" s="350">
        <f>+'[93]VENTAS TOTALES'!$F223</f>
        <v>887</v>
      </c>
      <c r="AB128" s="350">
        <f>+'[94]VENTAS TOTALES'!$F223</f>
        <v>2</v>
      </c>
      <c r="AC128" s="350">
        <f>+'[95]VENTAS TOTALES'!$F223</f>
        <v>0</v>
      </c>
      <c r="AD128" s="350">
        <f>+'[96]VENTAS TOTALES'!$F223</f>
        <v>470</v>
      </c>
      <c r="AE128" s="350">
        <f>+'[97]VENTAS TOTALES'!$F223</f>
        <v>322</v>
      </c>
      <c r="AF128" s="350">
        <f>+'[98]VENTAS TOTALES'!$F223</f>
        <v>578</v>
      </c>
      <c r="AG128" s="350">
        <f>+'[99]VENTAS TOTALES'!$F223</f>
        <v>204</v>
      </c>
      <c r="AH128" s="350">
        <f>+'[100]VENTAS TOTALES'!$F223</f>
        <v>53</v>
      </c>
      <c r="AI128" s="350">
        <f>+'[101]VENTAS TOTALES'!$F223</f>
        <v>37</v>
      </c>
      <c r="AJ128" s="350">
        <f>+'[102]VENTAS TOTALES'!$F223</f>
        <v>0</v>
      </c>
    </row>
    <row r="129" spans="1:36" s="10" customFormat="1" ht="12" customHeight="1" thickBot="1" x14ac:dyDescent="0.25">
      <c r="A129" s="452"/>
      <c r="B129" s="345" t="s">
        <v>396</v>
      </c>
      <c r="C129" s="350">
        <f>+'[69]VENTAS TOTALES'!$F224</f>
        <v>0</v>
      </c>
      <c r="D129" s="350">
        <f>+'[70]VENTAS TOTALES'!$F224</f>
        <v>0</v>
      </c>
      <c r="E129" s="350">
        <f>+'[71]VENTAS TOTALES'!$F224</f>
        <v>0</v>
      </c>
      <c r="F129" s="350">
        <f>+'[72]VENTAS TOTALES'!$F224</f>
        <v>0</v>
      </c>
      <c r="G129" s="350">
        <f>+'[73]VENTAS TOTALES'!$F224</f>
        <v>0</v>
      </c>
      <c r="H129" s="350">
        <f>+'[74]VENTAS TOTALES'!$F224</f>
        <v>0</v>
      </c>
      <c r="I129" s="350">
        <f>+'[75]VENTAS TOTALES'!$F224</f>
        <v>0</v>
      </c>
      <c r="J129" s="350">
        <f>+'[76]VENTAS TOTALES'!$F224</f>
        <v>0</v>
      </c>
      <c r="K129" s="350">
        <f>+'[77]VENTAS TOTALES'!$F224</f>
        <v>0</v>
      </c>
      <c r="L129" s="350">
        <f>+'[78]VENTAS TOTALES'!$F224</f>
        <v>0</v>
      </c>
      <c r="M129" s="350">
        <f>+'[79]VENTAS TOTALES'!$F224</f>
        <v>0</v>
      </c>
      <c r="N129" s="350">
        <f>+'[80]VENTAS TOTALES'!$F224</f>
        <v>0</v>
      </c>
      <c r="O129" s="350">
        <f>+'[81]VENTAS TOTALES'!$F224</f>
        <v>0</v>
      </c>
      <c r="P129" s="350">
        <f>+'[82]VENTAS TOTALES'!$F224</f>
        <v>0</v>
      </c>
      <c r="Q129" s="350">
        <f>+'[83]VENTAS TOTALES'!$F224</f>
        <v>0</v>
      </c>
      <c r="R129" s="350">
        <f>+'[84]VENTAS TOTALES'!$F224</f>
        <v>0</v>
      </c>
      <c r="S129" s="350">
        <f>+'[85]VENTAS TOTALES'!$F224</f>
        <v>0</v>
      </c>
      <c r="T129" s="350">
        <f>+'[86]VENTAS TOTALES'!$F224</f>
        <v>0</v>
      </c>
      <c r="U129" s="350">
        <f>+'[87]VENTAS TOTALES'!$F224</f>
        <v>0</v>
      </c>
      <c r="V129" s="350">
        <f>+'[88]VENTAS TOTALES'!$F224</f>
        <v>0</v>
      </c>
      <c r="W129" s="350">
        <f>+'[89]VENTAS TOTALES'!$F224</f>
        <v>0</v>
      </c>
      <c r="X129" s="350">
        <f>+'[90]VENTAS TOTALES'!$F224</f>
        <v>0</v>
      </c>
      <c r="Y129" s="350">
        <f>+'[91]VENTAS TOTALES'!$F224</f>
        <v>0</v>
      </c>
      <c r="Z129" s="350">
        <f>+'[92]VENTAS TOTALES'!$F224</f>
        <v>0</v>
      </c>
      <c r="AA129" s="350">
        <f>+'[93]VENTAS TOTALES'!$F224</f>
        <v>0</v>
      </c>
      <c r="AB129" s="350">
        <f>+'[94]VENTAS TOTALES'!$F224</f>
        <v>0</v>
      </c>
      <c r="AC129" s="350">
        <f>+'[95]VENTAS TOTALES'!$F224</f>
        <v>0</v>
      </c>
      <c r="AD129" s="350">
        <f>+'[96]VENTAS TOTALES'!$F224</f>
        <v>0</v>
      </c>
      <c r="AE129" s="350">
        <f>+'[97]VENTAS TOTALES'!$F224</f>
        <v>1</v>
      </c>
      <c r="AF129" s="350">
        <f>+'[98]VENTAS TOTALES'!$F224</f>
        <v>3</v>
      </c>
      <c r="AG129" s="350">
        <f>+'[99]VENTAS TOTALES'!$F224</f>
        <v>0</v>
      </c>
      <c r="AH129" s="350">
        <f>+'[100]VENTAS TOTALES'!$F224</f>
        <v>5</v>
      </c>
      <c r="AI129" s="350">
        <f>+'[101]VENTAS TOTALES'!$F224</f>
        <v>0</v>
      </c>
      <c r="AJ129" s="350">
        <f>+'[102]VENTAS TOTALES'!$F224</f>
        <v>0</v>
      </c>
    </row>
    <row r="130" spans="1:36" s="10" customFormat="1" ht="12" customHeight="1" thickBot="1" x14ac:dyDescent="0.25">
      <c r="A130" s="452"/>
      <c r="B130" s="345" t="s">
        <v>397</v>
      </c>
      <c r="C130" s="350">
        <f>+'[69]VENTAS TOTALES'!$F225</f>
        <v>716</v>
      </c>
      <c r="D130" s="350">
        <f>+'[70]VENTAS TOTALES'!$F225</f>
        <v>696</v>
      </c>
      <c r="E130" s="350">
        <f>+'[71]VENTAS TOTALES'!$F225</f>
        <v>441</v>
      </c>
      <c r="F130" s="350">
        <f>+'[72]VENTAS TOTALES'!$F225</f>
        <v>435</v>
      </c>
      <c r="G130" s="350">
        <f>+'[73]VENTAS TOTALES'!$F225</f>
        <v>395</v>
      </c>
      <c r="H130" s="350">
        <f>+'[74]VENTAS TOTALES'!$F225</f>
        <v>0</v>
      </c>
      <c r="I130" s="350">
        <f>+'[75]VENTAS TOTALES'!$F225</f>
        <v>794</v>
      </c>
      <c r="J130" s="350">
        <f>+'[76]VENTAS TOTALES'!$F225</f>
        <v>582</v>
      </c>
      <c r="K130" s="350">
        <f>+'[77]VENTAS TOTALES'!$F225</f>
        <v>618</v>
      </c>
      <c r="L130" s="350">
        <f>+'[78]VENTAS TOTALES'!$F225</f>
        <v>469</v>
      </c>
      <c r="M130" s="350">
        <f>+'[79]VENTAS TOTALES'!$F225</f>
        <v>509</v>
      </c>
      <c r="N130" s="350">
        <f>+'[80]VENTAS TOTALES'!$F225</f>
        <v>464</v>
      </c>
      <c r="O130" s="350">
        <f>+'[81]VENTAS TOTALES'!$F225</f>
        <v>0</v>
      </c>
      <c r="P130" s="350">
        <f>+'[82]VENTAS TOTALES'!$F225</f>
        <v>768</v>
      </c>
      <c r="Q130" s="350">
        <f>+'[83]VENTAS TOTALES'!$F225</f>
        <v>694</v>
      </c>
      <c r="R130" s="350">
        <f>+'[84]VENTAS TOTALES'!$F225</f>
        <v>637</v>
      </c>
      <c r="S130" s="350">
        <f>+'[85]VENTAS TOTALES'!$F225</f>
        <v>608</v>
      </c>
      <c r="T130" s="350">
        <f>+'[86]VENTAS TOTALES'!$F225</f>
        <v>599</v>
      </c>
      <c r="U130" s="350">
        <f>+'[87]VENTAS TOTALES'!$F225</f>
        <v>596</v>
      </c>
      <c r="V130" s="350">
        <f>+'[88]VENTAS TOTALES'!$F225</f>
        <v>0</v>
      </c>
      <c r="W130" s="350">
        <f>+'[89]VENTAS TOTALES'!$F225</f>
        <v>730</v>
      </c>
      <c r="X130" s="350">
        <f>+'[90]VENTAS TOTALES'!$F225</f>
        <v>555</v>
      </c>
      <c r="Y130" s="350">
        <f>+'[91]VENTAS TOTALES'!$F225</f>
        <v>571</v>
      </c>
      <c r="Z130" s="350">
        <f>+'[92]VENTAS TOTALES'!$F225</f>
        <v>614</v>
      </c>
      <c r="AA130" s="350">
        <f>+'[93]VENTAS TOTALES'!$F225</f>
        <v>636</v>
      </c>
      <c r="AB130" s="350">
        <f>+'[94]VENTAS TOTALES'!$F225</f>
        <v>614</v>
      </c>
      <c r="AC130" s="350">
        <f>+'[95]VENTAS TOTALES'!$F225</f>
        <v>0</v>
      </c>
      <c r="AD130" s="350">
        <f>+'[96]VENTAS TOTALES'!$F225</f>
        <v>1246</v>
      </c>
      <c r="AE130" s="350">
        <f>+'[97]VENTAS TOTALES'!$F225</f>
        <v>968</v>
      </c>
      <c r="AF130" s="350">
        <f>+'[98]VENTAS TOTALES'!$F225</f>
        <v>862</v>
      </c>
      <c r="AG130" s="350">
        <f>+'[99]VENTAS TOTALES'!$F225</f>
        <v>695</v>
      </c>
      <c r="AH130" s="350">
        <f>+'[100]VENTAS TOTALES'!$F225</f>
        <v>595</v>
      </c>
      <c r="AI130" s="350">
        <f>+'[101]VENTAS TOTALES'!$F225</f>
        <v>636</v>
      </c>
      <c r="AJ130" s="350">
        <f>+'[102]VENTAS TOTALES'!$F225</f>
        <v>0</v>
      </c>
    </row>
    <row r="131" spans="1:36" s="10" customFormat="1" ht="12" customHeight="1" thickBot="1" x14ac:dyDescent="0.25">
      <c r="A131" s="452"/>
      <c r="B131" s="345" t="s">
        <v>398</v>
      </c>
      <c r="C131" s="350">
        <f>+'[69]VENTAS TOTALES'!$F226</f>
        <v>1288</v>
      </c>
      <c r="D131" s="350">
        <f>+'[70]VENTAS TOTALES'!$F226</f>
        <v>1342</v>
      </c>
      <c r="E131" s="350">
        <f>+'[71]VENTAS TOTALES'!$F226</f>
        <v>1309</v>
      </c>
      <c r="F131" s="350">
        <f>+'[72]VENTAS TOTALES'!$F226</f>
        <v>1306</v>
      </c>
      <c r="G131" s="350">
        <f>+'[73]VENTAS TOTALES'!$F226</f>
        <v>633</v>
      </c>
      <c r="H131" s="350">
        <f>+'[74]VENTAS TOTALES'!$F226</f>
        <v>0</v>
      </c>
      <c r="I131" s="350">
        <f>+'[75]VENTAS TOTALES'!$F226</f>
        <v>1204</v>
      </c>
      <c r="J131" s="350">
        <f>+'[76]VENTAS TOTALES'!$F226</f>
        <v>1357</v>
      </c>
      <c r="K131" s="350">
        <f>+'[77]VENTAS TOTALES'!$F226</f>
        <v>1103</v>
      </c>
      <c r="L131" s="350">
        <f>+'[78]VENTAS TOTALES'!$F226</f>
        <v>1230</v>
      </c>
      <c r="M131" s="350">
        <f>+'[79]VENTAS TOTALES'!$F226</f>
        <v>1122</v>
      </c>
      <c r="N131" s="350">
        <f>+'[80]VENTAS TOTALES'!$F226</f>
        <v>593</v>
      </c>
      <c r="O131" s="350">
        <f>+'[81]VENTAS TOTALES'!$F226</f>
        <v>0</v>
      </c>
      <c r="P131" s="350">
        <f>+'[82]VENTAS TOTALES'!$F226</f>
        <v>1200</v>
      </c>
      <c r="Q131" s="350">
        <f>+'[83]VENTAS TOTALES'!$F226</f>
        <v>1033</v>
      </c>
      <c r="R131" s="350">
        <f>+'[84]VENTAS TOTALES'!$F226</f>
        <v>1064</v>
      </c>
      <c r="S131" s="350">
        <f>+'[85]VENTAS TOTALES'!$F226</f>
        <v>353</v>
      </c>
      <c r="T131" s="350">
        <f>+'[86]VENTAS TOTALES'!$F226</f>
        <v>1146</v>
      </c>
      <c r="U131" s="350">
        <f>+'[87]VENTAS TOTALES'!$F226</f>
        <v>905</v>
      </c>
      <c r="V131" s="350">
        <f>+'[88]VENTAS TOTALES'!$F226</f>
        <v>0</v>
      </c>
      <c r="W131" s="350">
        <f>+'[89]VENTAS TOTALES'!$F226</f>
        <v>1387</v>
      </c>
      <c r="X131" s="350">
        <f>+'[90]VENTAS TOTALES'!$F226</f>
        <v>1269</v>
      </c>
      <c r="Y131" s="350">
        <f>+'[91]VENTAS TOTALES'!$F226</f>
        <v>1358</v>
      </c>
      <c r="Z131" s="350">
        <f>+'[92]VENTAS TOTALES'!$F226</f>
        <v>1184</v>
      </c>
      <c r="AA131" s="350">
        <f>+'[93]VENTAS TOTALES'!$F226</f>
        <v>1281</v>
      </c>
      <c r="AB131" s="350">
        <f>+'[94]VENTAS TOTALES'!$F226</f>
        <v>880</v>
      </c>
      <c r="AC131" s="350">
        <f>+'[95]VENTAS TOTALES'!$F226</f>
        <v>0</v>
      </c>
      <c r="AD131" s="350">
        <f>+'[96]VENTAS TOTALES'!$F226</f>
        <v>1358</v>
      </c>
      <c r="AE131" s="350">
        <f>+'[97]VENTAS TOTALES'!$F226</f>
        <v>206</v>
      </c>
      <c r="AF131" s="350">
        <f>+'[98]VENTAS TOTALES'!$F226</f>
        <v>401</v>
      </c>
      <c r="AG131" s="350">
        <f>+'[99]VENTAS TOTALES'!$F226</f>
        <v>1228</v>
      </c>
      <c r="AH131" s="350">
        <f>+'[100]VENTAS TOTALES'!$F226</f>
        <v>1154</v>
      </c>
      <c r="AI131" s="350">
        <f>+'[101]VENTAS TOTALES'!$F226</f>
        <v>599</v>
      </c>
      <c r="AJ131" s="350">
        <f>+'[102]VENTAS TOTALES'!$F226</f>
        <v>0</v>
      </c>
    </row>
    <row r="132" spans="1:36" s="10" customFormat="1" ht="12" customHeight="1" thickBot="1" x14ac:dyDescent="0.25">
      <c r="A132" s="452"/>
      <c r="B132" s="345" t="s">
        <v>399</v>
      </c>
      <c r="C132" s="350">
        <f>+'[69]VENTAS TOTALES'!$F227</f>
        <v>534</v>
      </c>
      <c r="D132" s="350">
        <f>+'[70]VENTAS TOTALES'!$F227</f>
        <v>750</v>
      </c>
      <c r="E132" s="350">
        <f>+'[71]VENTAS TOTALES'!$F227</f>
        <v>520</v>
      </c>
      <c r="F132" s="350">
        <f>+'[72]VENTAS TOTALES'!$F227</f>
        <v>733</v>
      </c>
      <c r="G132" s="350">
        <f>+'[73]VENTAS TOTALES'!$F227</f>
        <v>696</v>
      </c>
      <c r="H132" s="350">
        <f>+'[74]VENTAS TOTALES'!$F227</f>
        <v>0</v>
      </c>
      <c r="I132" s="350">
        <f>+'[75]VENTAS TOTALES'!$F227</f>
        <v>721</v>
      </c>
      <c r="J132" s="350">
        <f>+'[76]VENTAS TOTALES'!$F227</f>
        <v>629</v>
      </c>
      <c r="K132" s="350">
        <f>+'[77]VENTAS TOTALES'!$F227</f>
        <v>747</v>
      </c>
      <c r="L132" s="350">
        <f>+'[78]VENTAS TOTALES'!$F227</f>
        <v>836</v>
      </c>
      <c r="M132" s="350">
        <f>+'[79]VENTAS TOTALES'!$F227</f>
        <v>726</v>
      </c>
      <c r="N132" s="350">
        <f>+'[80]VENTAS TOTALES'!$F227</f>
        <v>920</v>
      </c>
      <c r="O132" s="350">
        <f>+'[81]VENTAS TOTALES'!$F227</f>
        <v>0</v>
      </c>
      <c r="P132" s="350">
        <f>+'[82]VENTAS TOTALES'!$F227</f>
        <v>607</v>
      </c>
      <c r="Q132" s="350">
        <f>+'[83]VENTAS TOTALES'!$F227</f>
        <v>625</v>
      </c>
      <c r="R132" s="350">
        <f>+'[84]VENTAS TOTALES'!$F227</f>
        <v>1020</v>
      </c>
      <c r="S132" s="350">
        <f>+'[85]VENTAS TOTALES'!$F227</f>
        <v>755</v>
      </c>
      <c r="T132" s="350">
        <f>+'[86]VENTAS TOTALES'!$F227</f>
        <v>1050</v>
      </c>
      <c r="U132" s="350">
        <f>+'[87]VENTAS TOTALES'!$F227</f>
        <v>653</v>
      </c>
      <c r="V132" s="350">
        <f>+'[88]VENTAS TOTALES'!$F227</f>
        <v>0</v>
      </c>
      <c r="W132" s="350">
        <f>+'[89]VENTAS TOTALES'!$F227</f>
        <v>1145</v>
      </c>
      <c r="X132" s="350">
        <f>+'[90]VENTAS TOTALES'!$F227</f>
        <v>1106</v>
      </c>
      <c r="Y132" s="350">
        <f>+'[91]VENTAS TOTALES'!$F227</f>
        <v>1026</v>
      </c>
      <c r="Z132" s="350">
        <f>+'[92]VENTAS TOTALES'!$F227</f>
        <v>1015</v>
      </c>
      <c r="AA132" s="350">
        <f>+'[93]VENTAS TOTALES'!$F227</f>
        <v>1003</v>
      </c>
      <c r="AB132" s="350">
        <f>+'[94]VENTAS TOTALES'!$F227</f>
        <v>739</v>
      </c>
      <c r="AC132" s="350">
        <f>+'[95]VENTAS TOTALES'!$F227</f>
        <v>0</v>
      </c>
      <c r="AD132" s="350">
        <f>+'[96]VENTAS TOTALES'!$F227</f>
        <v>834</v>
      </c>
      <c r="AE132" s="350">
        <f>+'[97]VENTAS TOTALES'!$F227</f>
        <v>962</v>
      </c>
      <c r="AF132" s="350">
        <f>+'[98]VENTAS TOTALES'!$F227</f>
        <v>1067</v>
      </c>
      <c r="AG132" s="350">
        <f>+'[99]VENTAS TOTALES'!$F227</f>
        <v>915</v>
      </c>
      <c r="AH132" s="350">
        <f>+'[100]VENTAS TOTALES'!$F227</f>
        <v>921</v>
      </c>
      <c r="AI132" s="350">
        <f>+'[101]VENTAS TOTALES'!$F227</f>
        <v>458</v>
      </c>
      <c r="AJ132" s="350">
        <f>+'[102]VENTAS TOTALES'!$F227</f>
        <v>0</v>
      </c>
    </row>
    <row r="133" spans="1:36" s="10" customFormat="1" ht="12" customHeight="1" thickBot="1" x14ac:dyDescent="0.25">
      <c r="A133" s="452"/>
      <c r="B133" s="345" t="s">
        <v>400</v>
      </c>
      <c r="C133" s="350">
        <f>+'[69]VENTAS TOTALES'!$F228</f>
        <v>382</v>
      </c>
      <c r="D133" s="350">
        <f>+'[70]VENTAS TOTALES'!$F228</f>
        <v>314</v>
      </c>
      <c r="E133" s="350">
        <f>+'[71]VENTAS TOTALES'!$F228</f>
        <v>221</v>
      </c>
      <c r="F133" s="350">
        <f>+'[72]VENTAS TOTALES'!$F228</f>
        <v>314</v>
      </c>
      <c r="G133" s="350">
        <f>+'[73]VENTAS TOTALES'!$F228</f>
        <v>207</v>
      </c>
      <c r="H133" s="350">
        <f>+'[74]VENTAS TOTALES'!$F228</f>
        <v>0</v>
      </c>
      <c r="I133" s="350">
        <f>+'[75]VENTAS TOTALES'!$F228</f>
        <v>414</v>
      </c>
      <c r="J133" s="350">
        <f>+'[76]VENTAS TOTALES'!$F228</f>
        <v>340</v>
      </c>
      <c r="K133" s="350">
        <f>+'[77]VENTAS TOTALES'!$F228</f>
        <v>459</v>
      </c>
      <c r="L133" s="350">
        <f>+'[78]VENTAS TOTALES'!$F228</f>
        <v>420</v>
      </c>
      <c r="M133" s="350">
        <f>+'[79]VENTAS TOTALES'!$F228</f>
        <v>332</v>
      </c>
      <c r="N133" s="350">
        <f>+'[80]VENTAS TOTALES'!$F228</f>
        <v>224</v>
      </c>
      <c r="O133" s="350">
        <f>+'[81]VENTAS TOTALES'!$F228</f>
        <v>0</v>
      </c>
      <c r="P133" s="350">
        <f>+'[82]VENTAS TOTALES'!$F228</f>
        <v>601</v>
      </c>
      <c r="Q133" s="350">
        <f>+'[83]VENTAS TOTALES'!$F228</f>
        <v>151</v>
      </c>
      <c r="R133" s="350">
        <f>+'[84]VENTAS TOTALES'!$F228</f>
        <v>698</v>
      </c>
      <c r="S133" s="350">
        <f>+'[85]VENTAS TOTALES'!$F228</f>
        <v>287</v>
      </c>
      <c r="T133" s="350">
        <f>+'[86]VENTAS TOTALES'!$F228</f>
        <v>371</v>
      </c>
      <c r="U133" s="350">
        <f>+'[87]VENTAS TOTALES'!$F228</f>
        <v>317</v>
      </c>
      <c r="V133" s="350">
        <f>+'[88]VENTAS TOTALES'!$F228</f>
        <v>0</v>
      </c>
      <c r="W133" s="350">
        <f>+'[89]VENTAS TOTALES'!$F228</f>
        <v>665</v>
      </c>
      <c r="X133" s="350">
        <f>+'[90]VENTAS TOTALES'!$F228</f>
        <v>510</v>
      </c>
      <c r="Y133" s="350">
        <f>+'[91]VENTAS TOTALES'!$F228</f>
        <v>374</v>
      </c>
      <c r="Z133" s="350">
        <f>+'[92]VENTAS TOTALES'!$F228</f>
        <v>424</v>
      </c>
      <c r="AA133" s="350">
        <f>+'[93]VENTAS TOTALES'!$F228</f>
        <v>477</v>
      </c>
      <c r="AB133" s="350">
        <f>+'[94]VENTAS TOTALES'!$F228</f>
        <v>260</v>
      </c>
      <c r="AC133" s="350">
        <f>+'[95]VENTAS TOTALES'!$F228</f>
        <v>0</v>
      </c>
      <c r="AD133" s="350">
        <f>+'[96]VENTAS TOTALES'!$F228</f>
        <v>760</v>
      </c>
      <c r="AE133" s="350">
        <f>+'[97]VENTAS TOTALES'!$F228</f>
        <v>337</v>
      </c>
      <c r="AF133" s="350">
        <f>+'[98]VENTAS TOTALES'!$F228</f>
        <v>394</v>
      </c>
      <c r="AG133" s="350">
        <f>+'[99]VENTAS TOTALES'!$F228</f>
        <v>185</v>
      </c>
      <c r="AH133" s="350">
        <f>+'[100]VENTAS TOTALES'!$F228</f>
        <v>356</v>
      </c>
      <c r="AI133" s="350">
        <f>+'[101]VENTAS TOTALES'!$F228</f>
        <v>251</v>
      </c>
      <c r="AJ133" s="350">
        <f>+'[102]VENTAS TOTALES'!$F228</f>
        <v>0</v>
      </c>
    </row>
    <row r="134" spans="1:36" s="10" customFormat="1" ht="12" customHeight="1" thickBot="1" x14ac:dyDescent="0.25">
      <c r="A134" s="452"/>
      <c r="B134" s="345" t="s">
        <v>401</v>
      </c>
      <c r="C134" s="350">
        <f>+'[69]VENTAS TOTALES'!$F229</f>
        <v>940</v>
      </c>
      <c r="D134" s="350">
        <f>+'[70]VENTAS TOTALES'!$F229</f>
        <v>774</v>
      </c>
      <c r="E134" s="350">
        <f>+'[71]VENTAS TOTALES'!$F229</f>
        <v>610</v>
      </c>
      <c r="F134" s="350">
        <f>+'[72]VENTAS TOTALES'!$F229</f>
        <v>696</v>
      </c>
      <c r="G134" s="350">
        <f>+'[73]VENTAS TOTALES'!$F229</f>
        <v>333</v>
      </c>
      <c r="H134" s="350">
        <f>+'[74]VENTAS TOTALES'!$F229</f>
        <v>0</v>
      </c>
      <c r="I134" s="350">
        <f>+'[75]VENTAS TOTALES'!$F229</f>
        <v>991</v>
      </c>
      <c r="J134" s="350">
        <f>+'[76]VENTAS TOTALES'!$F229</f>
        <v>668</v>
      </c>
      <c r="K134" s="350">
        <f>+'[77]VENTAS TOTALES'!$F229</f>
        <v>949</v>
      </c>
      <c r="L134" s="350">
        <f>+'[78]VENTAS TOTALES'!$F229</f>
        <v>838</v>
      </c>
      <c r="M134" s="350">
        <f>+'[79]VENTAS TOTALES'!$F229</f>
        <v>871</v>
      </c>
      <c r="N134" s="350">
        <f>+'[80]VENTAS TOTALES'!$F229</f>
        <v>623</v>
      </c>
      <c r="O134" s="350">
        <f>+'[81]VENTAS TOTALES'!$F229</f>
        <v>0</v>
      </c>
      <c r="P134" s="350">
        <f>+'[82]VENTAS TOTALES'!$F229</f>
        <v>842</v>
      </c>
      <c r="Q134" s="350">
        <f>+'[83]VENTAS TOTALES'!$F229</f>
        <v>945</v>
      </c>
      <c r="R134" s="350">
        <f>+'[84]VENTAS TOTALES'!$F229</f>
        <v>1030</v>
      </c>
      <c r="S134" s="350">
        <f>+'[85]VENTAS TOTALES'!$F229</f>
        <v>1321</v>
      </c>
      <c r="T134" s="350">
        <f>+'[86]VENTAS TOTALES'!$F229</f>
        <v>1258</v>
      </c>
      <c r="U134" s="350">
        <f>+'[87]VENTAS TOTALES'!$F229</f>
        <v>573</v>
      </c>
      <c r="V134" s="350">
        <f>+'[88]VENTAS TOTALES'!$F229</f>
        <v>0</v>
      </c>
      <c r="W134" s="350">
        <f>+'[89]VENTAS TOTALES'!$F229</f>
        <v>1024</v>
      </c>
      <c r="X134" s="350">
        <f>+'[90]VENTAS TOTALES'!$F229</f>
        <v>670</v>
      </c>
      <c r="Y134" s="350">
        <f>+'[91]VENTAS TOTALES'!$F229</f>
        <v>623</v>
      </c>
      <c r="Z134" s="350">
        <f>+'[92]VENTAS TOTALES'!$F229</f>
        <v>697</v>
      </c>
      <c r="AA134" s="350">
        <f>+'[93]VENTAS TOTALES'!$F229</f>
        <v>604</v>
      </c>
      <c r="AB134" s="350">
        <f>+'[94]VENTAS TOTALES'!$F229</f>
        <v>418</v>
      </c>
      <c r="AC134" s="350">
        <f>+'[95]VENTAS TOTALES'!$F229</f>
        <v>0</v>
      </c>
      <c r="AD134" s="350">
        <f>+'[96]VENTAS TOTALES'!$F229</f>
        <v>1008</v>
      </c>
      <c r="AE134" s="350">
        <f>+'[97]VENTAS TOTALES'!$F229</f>
        <v>683</v>
      </c>
      <c r="AF134" s="350">
        <f>+'[98]VENTAS TOTALES'!$F229</f>
        <v>856</v>
      </c>
      <c r="AG134" s="350">
        <f>+'[99]VENTAS TOTALES'!$F229</f>
        <v>1304</v>
      </c>
      <c r="AH134" s="350">
        <f>+'[100]VENTAS TOTALES'!$F229</f>
        <v>910</v>
      </c>
      <c r="AI134" s="350">
        <f>+'[101]VENTAS TOTALES'!$F229</f>
        <v>623</v>
      </c>
      <c r="AJ134" s="350">
        <f>+'[102]VENTAS TOTALES'!$F229</f>
        <v>0</v>
      </c>
    </row>
    <row r="135" spans="1:36" s="10" customFormat="1" ht="12" customHeight="1" thickBot="1" x14ac:dyDescent="0.25">
      <c r="A135" s="452"/>
      <c r="B135" s="345" t="s">
        <v>402</v>
      </c>
      <c r="C135" s="350">
        <f>+'[69]VENTAS TOTALES'!$F230</f>
        <v>1798</v>
      </c>
      <c r="D135" s="350">
        <f>+'[70]VENTAS TOTALES'!$F230</f>
        <v>2004</v>
      </c>
      <c r="E135" s="350">
        <f>+'[71]VENTAS TOTALES'!$F230</f>
        <v>1827</v>
      </c>
      <c r="F135" s="350">
        <f>+'[72]VENTAS TOTALES'!$F230</f>
        <v>1508</v>
      </c>
      <c r="G135" s="350">
        <f>+'[73]VENTAS TOTALES'!$F230</f>
        <v>1539</v>
      </c>
      <c r="H135" s="350">
        <f>+'[74]VENTAS TOTALES'!$F230</f>
        <v>0</v>
      </c>
      <c r="I135" s="350">
        <f>+'[75]VENTAS TOTALES'!$F230</f>
        <v>1598</v>
      </c>
      <c r="J135" s="350">
        <f>+'[76]VENTAS TOTALES'!$F230</f>
        <v>1774</v>
      </c>
      <c r="K135" s="350">
        <f>+'[77]VENTAS TOTALES'!$F230</f>
        <v>1339</v>
      </c>
      <c r="L135" s="350">
        <f>+'[78]VENTAS TOTALES'!$F230</f>
        <v>1360</v>
      </c>
      <c r="M135" s="350">
        <f>+'[79]VENTAS TOTALES'!$F230</f>
        <v>1209</v>
      </c>
      <c r="N135" s="350">
        <f>+'[80]VENTAS TOTALES'!$F230</f>
        <v>916</v>
      </c>
      <c r="O135" s="350">
        <f>+'[81]VENTAS TOTALES'!$F230</f>
        <v>0</v>
      </c>
      <c r="P135" s="350">
        <f>+'[82]VENTAS TOTALES'!$F230</f>
        <v>1607</v>
      </c>
      <c r="Q135" s="350">
        <f>+'[83]VENTAS TOTALES'!$F230</f>
        <v>1638</v>
      </c>
      <c r="R135" s="350">
        <f>+'[84]VENTAS TOTALES'!$F230</f>
        <v>1408</v>
      </c>
      <c r="S135" s="350">
        <f>+'[85]VENTAS TOTALES'!$F230</f>
        <v>1080</v>
      </c>
      <c r="T135" s="350">
        <f>+'[86]VENTAS TOTALES'!$F230</f>
        <v>1301</v>
      </c>
      <c r="U135" s="350">
        <f>+'[87]VENTAS TOTALES'!$F230</f>
        <v>1274</v>
      </c>
      <c r="V135" s="350">
        <f>+'[88]VENTAS TOTALES'!$F230</f>
        <v>0</v>
      </c>
      <c r="W135" s="350">
        <f>+'[89]VENTAS TOTALES'!$F230</f>
        <v>2005</v>
      </c>
      <c r="X135" s="350">
        <f>+'[90]VENTAS TOTALES'!$F230</f>
        <v>1565</v>
      </c>
      <c r="Y135" s="350">
        <f>+'[91]VENTAS TOTALES'!$F230</f>
        <v>1812</v>
      </c>
      <c r="Z135" s="350">
        <f>+'[92]VENTAS TOTALES'!$F230</f>
        <v>1766</v>
      </c>
      <c r="AA135" s="350">
        <f>+'[93]VENTAS TOTALES'!$F230</f>
        <v>1810</v>
      </c>
      <c r="AB135" s="350">
        <f>+'[94]VENTAS TOTALES'!$F230</f>
        <v>1954</v>
      </c>
      <c r="AC135" s="350">
        <f>+'[95]VENTAS TOTALES'!$F230</f>
        <v>0</v>
      </c>
      <c r="AD135" s="350">
        <f>+'[96]VENTAS TOTALES'!$F230</f>
        <v>2255</v>
      </c>
      <c r="AE135" s="350">
        <f>+'[97]VENTAS TOTALES'!$F230</f>
        <v>1554</v>
      </c>
      <c r="AF135" s="350">
        <f>+'[98]VENTAS TOTALES'!$F230</f>
        <v>1980</v>
      </c>
      <c r="AG135" s="350">
        <f>+'[99]VENTAS TOTALES'!$F230</f>
        <v>2051</v>
      </c>
      <c r="AH135" s="350">
        <f>+'[100]VENTAS TOTALES'!$F230</f>
        <v>457</v>
      </c>
      <c r="AI135" s="350">
        <f>+'[101]VENTAS TOTALES'!$F230</f>
        <v>707</v>
      </c>
      <c r="AJ135" s="350">
        <f>+'[102]VENTAS TOTALES'!$F230</f>
        <v>0</v>
      </c>
    </row>
    <row r="136" spans="1:36" s="10" customFormat="1" ht="12" customHeight="1" thickBot="1" x14ac:dyDescent="0.25">
      <c r="A136" s="452"/>
      <c r="B136" s="345" t="s">
        <v>403</v>
      </c>
      <c r="C136" s="350">
        <f>+'[69]VENTAS TOTALES'!$F231</f>
        <v>0</v>
      </c>
      <c r="D136" s="350">
        <f>+'[70]VENTAS TOTALES'!$F231</f>
        <v>0</v>
      </c>
      <c r="E136" s="350">
        <f>+'[71]VENTAS TOTALES'!$F231</f>
        <v>0</v>
      </c>
      <c r="F136" s="350">
        <f>+'[72]VENTAS TOTALES'!$F231</f>
        <v>0</v>
      </c>
      <c r="G136" s="350">
        <f>+'[73]VENTAS TOTALES'!$F231</f>
        <v>0</v>
      </c>
      <c r="H136" s="350">
        <f>+'[74]VENTAS TOTALES'!$F231</f>
        <v>0</v>
      </c>
      <c r="I136" s="350">
        <f>+'[75]VENTAS TOTALES'!$F231</f>
        <v>0</v>
      </c>
      <c r="J136" s="350">
        <f>+'[76]VENTAS TOTALES'!$F231</f>
        <v>0</v>
      </c>
      <c r="K136" s="350">
        <f>+'[77]VENTAS TOTALES'!$F231</f>
        <v>26</v>
      </c>
      <c r="L136" s="350">
        <f>+'[78]VENTAS TOTALES'!$F231</f>
        <v>2</v>
      </c>
      <c r="M136" s="350">
        <f>+'[79]VENTAS TOTALES'!$F231</f>
        <v>1</v>
      </c>
      <c r="N136" s="350">
        <f>+'[80]VENTAS TOTALES'!$F231</f>
        <v>0</v>
      </c>
      <c r="O136" s="350">
        <f>+'[81]VENTAS TOTALES'!$F231</f>
        <v>0</v>
      </c>
      <c r="P136" s="350">
        <f>+'[82]VENTAS TOTALES'!$F231</f>
        <v>37</v>
      </c>
      <c r="Q136" s="350">
        <f>+'[83]VENTAS TOTALES'!$F231</f>
        <v>47</v>
      </c>
      <c r="R136" s="350">
        <f>+'[84]VENTAS TOTALES'!$F231</f>
        <v>0</v>
      </c>
      <c r="S136" s="350">
        <f>+'[85]VENTAS TOTALES'!$F231</f>
        <v>0</v>
      </c>
      <c r="T136" s="350">
        <f>+'[86]VENTAS TOTALES'!$F231</f>
        <v>0</v>
      </c>
      <c r="U136" s="350">
        <f>+'[87]VENTAS TOTALES'!$F231</f>
        <v>0</v>
      </c>
      <c r="V136" s="350">
        <f>+'[88]VENTAS TOTALES'!$F231</f>
        <v>0</v>
      </c>
      <c r="W136" s="350">
        <f>+'[89]VENTAS TOTALES'!$F231</f>
        <v>0</v>
      </c>
      <c r="X136" s="350">
        <f>+'[90]VENTAS TOTALES'!$F231</f>
        <v>0</v>
      </c>
      <c r="Y136" s="350">
        <f>+'[91]VENTAS TOTALES'!$F231</f>
        <v>2</v>
      </c>
      <c r="Z136" s="350">
        <f>+'[92]VENTAS TOTALES'!$F231</f>
        <v>0</v>
      </c>
      <c r="AA136" s="350">
        <f>+'[93]VENTAS TOTALES'!$F231</f>
        <v>136</v>
      </c>
      <c r="AB136" s="350">
        <f>+'[94]VENTAS TOTALES'!$F231</f>
        <v>19</v>
      </c>
      <c r="AC136" s="350">
        <f>+'[95]VENTAS TOTALES'!$F231</f>
        <v>0</v>
      </c>
      <c r="AD136" s="350">
        <f>+'[96]VENTAS TOTALES'!$F231</f>
        <v>326</v>
      </c>
      <c r="AE136" s="350">
        <f>+'[97]VENTAS TOTALES'!$F231</f>
        <v>150</v>
      </c>
      <c r="AF136" s="350">
        <f>+'[98]VENTAS TOTALES'!$F231</f>
        <v>119</v>
      </c>
      <c r="AG136" s="350">
        <f>+'[99]VENTAS TOTALES'!$F231</f>
        <v>163</v>
      </c>
      <c r="AH136" s="350">
        <f>+'[100]VENTAS TOTALES'!$F231</f>
        <v>154</v>
      </c>
      <c r="AI136" s="350">
        <f>+'[101]VENTAS TOTALES'!$F231</f>
        <v>99</v>
      </c>
      <c r="AJ136" s="350">
        <f>+'[102]VENTAS TOTALES'!$F231</f>
        <v>0</v>
      </c>
    </row>
    <row r="137" spans="1:36" s="10" customFormat="1" ht="12" customHeight="1" thickBot="1" x14ac:dyDescent="0.25">
      <c r="A137" s="452"/>
      <c r="B137" s="345" t="s">
        <v>404</v>
      </c>
      <c r="C137" s="350">
        <f>+'[69]VENTAS TOTALES'!$F232</f>
        <v>4</v>
      </c>
      <c r="D137" s="350">
        <f>+'[70]VENTAS TOTALES'!$F232</f>
        <v>0</v>
      </c>
      <c r="E137" s="350">
        <f>+'[71]VENTAS TOTALES'!$F232</f>
        <v>0</v>
      </c>
      <c r="F137" s="350">
        <f>+'[72]VENTAS TOTALES'!$F232</f>
        <v>0</v>
      </c>
      <c r="G137" s="350">
        <f>+'[73]VENTAS TOTALES'!$F232</f>
        <v>0</v>
      </c>
      <c r="H137" s="350">
        <f>+'[74]VENTAS TOTALES'!$F232</f>
        <v>0</v>
      </c>
      <c r="I137" s="350">
        <f>+'[75]VENTAS TOTALES'!$F232</f>
        <v>1</v>
      </c>
      <c r="J137" s="350">
        <f>+'[76]VENTAS TOTALES'!$F232</f>
        <v>0</v>
      </c>
      <c r="K137" s="350">
        <f>+'[77]VENTAS TOTALES'!$F232</f>
        <v>0</v>
      </c>
      <c r="L137" s="350">
        <f>+'[78]VENTAS TOTALES'!$F232</f>
        <v>0</v>
      </c>
      <c r="M137" s="350">
        <f>+'[79]VENTAS TOTALES'!$F232</f>
        <v>0</v>
      </c>
      <c r="N137" s="350">
        <f>+'[80]VENTAS TOTALES'!$F232</f>
        <v>0</v>
      </c>
      <c r="O137" s="350">
        <f>+'[81]VENTAS TOTALES'!$F232</f>
        <v>0</v>
      </c>
      <c r="P137" s="350">
        <f>+'[82]VENTAS TOTALES'!$F232</f>
        <v>1</v>
      </c>
      <c r="Q137" s="350">
        <f>+'[83]VENTAS TOTALES'!$F232</f>
        <v>0</v>
      </c>
      <c r="R137" s="350">
        <f>+'[84]VENTAS TOTALES'!$F232</f>
        <v>0</v>
      </c>
      <c r="S137" s="350">
        <f>+'[85]VENTAS TOTALES'!$F232</f>
        <v>0</v>
      </c>
      <c r="T137" s="350">
        <f>+'[86]VENTAS TOTALES'!$F232</f>
        <v>0</v>
      </c>
      <c r="U137" s="350">
        <f>+'[87]VENTAS TOTALES'!$F232</f>
        <v>2</v>
      </c>
      <c r="V137" s="350">
        <f>+'[88]VENTAS TOTALES'!$F232</f>
        <v>0</v>
      </c>
      <c r="W137" s="350">
        <f>+'[89]VENTAS TOTALES'!$F232</f>
        <v>0</v>
      </c>
      <c r="X137" s="350">
        <f>+'[90]VENTAS TOTALES'!$F232</f>
        <v>3</v>
      </c>
      <c r="Y137" s="350">
        <f>+'[91]VENTAS TOTALES'!$F232</f>
        <v>0</v>
      </c>
      <c r="Z137" s="350">
        <f>+'[92]VENTAS TOTALES'!$F232</f>
        <v>0</v>
      </c>
      <c r="AA137" s="350">
        <f>+'[93]VENTAS TOTALES'!$F232</f>
        <v>0</v>
      </c>
      <c r="AB137" s="350">
        <f>+'[94]VENTAS TOTALES'!$F232</f>
        <v>0</v>
      </c>
      <c r="AC137" s="350">
        <f>+'[95]VENTAS TOTALES'!$F232</f>
        <v>0</v>
      </c>
      <c r="AD137" s="350">
        <f>+'[96]VENTAS TOTALES'!$F232</f>
        <v>0</v>
      </c>
      <c r="AE137" s="350">
        <f>+'[97]VENTAS TOTALES'!$F232</f>
        <v>7</v>
      </c>
      <c r="AF137" s="350">
        <f>+'[98]VENTAS TOTALES'!$F232</f>
        <v>0</v>
      </c>
      <c r="AG137" s="350">
        <f>+'[99]VENTAS TOTALES'!$F232</f>
        <v>0</v>
      </c>
      <c r="AH137" s="350">
        <f>+'[100]VENTAS TOTALES'!$F232</f>
        <v>0</v>
      </c>
      <c r="AI137" s="350">
        <f>+'[101]VENTAS TOTALES'!$F232</f>
        <v>0</v>
      </c>
      <c r="AJ137" s="350">
        <f>+'[102]VENTAS TOTALES'!$F232</f>
        <v>0</v>
      </c>
    </row>
    <row r="138" spans="1:36" s="10" customFormat="1" ht="12" customHeight="1" thickBot="1" x14ac:dyDescent="0.25">
      <c r="A138" s="452"/>
      <c r="B138" s="345" t="s">
        <v>405</v>
      </c>
      <c r="C138" s="350">
        <f>+'[69]VENTAS TOTALES'!$F233</f>
        <v>1216</v>
      </c>
      <c r="D138" s="350">
        <f>+'[70]VENTAS TOTALES'!$F233</f>
        <v>1161</v>
      </c>
      <c r="E138" s="350">
        <f>+'[71]VENTAS TOTALES'!$F233</f>
        <v>1156</v>
      </c>
      <c r="F138" s="350">
        <f>+'[72]VENTAS TOTALES'!$F233</f>
        <v>1328</v>
      </c>
      <c r="G138" s="350">
        <f>+'[73]VENTAS TOTALES'!$F233</f>
        <v>872</v>
      </c>
      <c r="H138" s="350">
        <f>+'[74]VENTAS TOTALES'!$F233</f>
        <v>0</v>
      </c>
      <c r="I138" s="350">
        <f>+'[75]VENTAS TOTALES'!$F233</f>
        <v>1551</v>
      </c>
      <c r="J138" s="350">
        <f>+'[76]VENTAS TOTALES'!$F233</f>
        <v>1154</v>
      </c>
      <c r="K138" s="350">
        <f>+'[77]VENTAS TOTALES'!$F233</f>
        <v>1110</v>
      </c>
      <c r="L138" s="350">
        <f>+'[78]VENTAS TOTALES'!$F233</f>
        <v>1058</v>
      </c>
      <c r="M138" s="350">
        <f>+'[79]VENTAS TOTALES'!$F233</f>
        <v>1146</v>
      </c>
      <c r="N138" s="350">
        <f>+'[80]VENTAS TOTALES'!$F233</f>
        <v>804</v>
      </c>
      <c r="O138" s="350">
        <f>+'[81]VENTAS TOTALES'!$F233</f>
        <v>0</v>
      </c>
      <c r="P138" s="350">
        <f>+'[82]VENTAS TOTALES'!$F233</f>
        <v>1184</v>
      </c>
      <c r="Q138" s="350">
        <f>+'[83]VENTAS TOTALES'!$F233</f>
        <v>1526</v>
      </c>
      <c r="R138" s="350">
        <f>+'[84]VENTAS TOTALES'!$F233</f>
        <v>671</v>
      </c>
      <c r="S138" s="350">
        <f>+'[85]VENTAS TOTALES'!$F233</f>
        <v>1013</v>
      </c>
      <c r="T138" s="350">
        <f>+'[86]VENTAS TOTALES'!$F233</f>
        <v>1143</v>
      </c>
      <c r="U138" s="350">
        <f>+'[87]VENTAS TOTALES'!$F233</f>
        <v>832</v>
      </c>
      <c r="V138" s="350">
        <f>+'[88]VENTAS TOTALES'!$F233</f>
        <v>0</v>
      </c>
      <c r="W138" s="350">
        <f>+'[89]VENTAS TOTALES'!$F233</f>
        <v>1479</v>
      </c>
      <c r="X138" s="350">
        <f>+'[90]VENTAS TOTALES'!$F233</f>
        <v>1316</v>
      </c>
      <c r="Y138" s="350">
        <f>+'[91]VENTAS TOTALES'!$F233</f>
        <v>1064</v>
      </c>
      <c r="Z138" s="350">
        <f>+'[92]VENTAS TOTALES'!$F233</f>
        <v>563</v>
      </c>
      <c r="AA138" s="350">
        <f>+'[93]VENTAS TOTALES'!$F233</f>
        <v>560</v>
      </c>
      <c r="AB138" s="350">
        <f>+'[94]VENTAS TOTALES'!$F233</f>
        <v>471</v>
      </c>
      <c r="AC138" s="350">
        <f>+'[95]VENTAS TOTALES'!$F233</f>
        <v>0</v>
      </c>
      <c r="AD138" s="350">
        <f>+'[96]VENTAS TOTALES'!$F233</f>
        <v>2119</v>
      </c>
      <c r="AE138" s="350">
        <f>+'[97]VENTAS TOTALES'!$F233</f>
        <v>1665</v>
      </c>
      <c r="AF138" s="350">
        <f>+'[98]VENTAS TOTALES'!$F233</f>
        <v>902</v>
      </c>
      <c r="AG138" s="350">
        <f>+'[99]VENTAS TOTALES'!$F233</f>
        <v>784</v>
      </c>
      <c r="AH138" s="350">
        <f>+'[100]VENTAS TOTALES'!$F233</f>
        <v>825</v>
      </c>
      <c r="AI138" s="350">
        <f>+'[101]VENTAS TOTALES'!$F233</f>
        <v>719</v>
      </c>
      <c r="AJ138" s="350">
        <f>+'[102]VENTAS TOTALES'!$F233</f>
        <v>0</v>
      </c>
    </row>
    <row r="139" spans="1:36" s="10" customFormat="1" ht="12" customHeight="1" thickBot="1" x14ac:dyDescent="0.25">
      <c r="A139" s="452"/>
      <c r="B139" s="345" t="s">
        <v>406</v>
      </c>
      <c r="C139" s="350">
        <f>+'[69]VENTAS TOTALES'!$F234</f>
        <v>1353</v>
      </c>
      <c r="D139" s="350">
        <f>+'[70]VENTAS TOTALES'!$F234</f>
        <v>1435</v>
      </c>
      <c r="E139" s="350">
        <f>+'[71]VENTAS TOTALES'!$F234</f>
        <v>1374</v>
      </c>
      <c r="F139" s="350">
        <f>+'[72]VENTAS TOTALES'!$F234</f>
        <v>1242</v>
      </c>
      <c r="G139" s="350">
        <f>+'[73]VENTAS TOTALES'!$F234</f>
        <v>1141</v>
      </c>
      <c r="H139" s="350">
        <f>+'[74]VENTAS TOTALES'!$F234</f>
        <v>0</v>
      </c>
      <c r="I139" s="350">
        <f>+'[75]VENTAS TOTALES'!$F234</f>
        <v>273</v>
      </c>
      <c r="J139" s="350">
        <f>+'[76]VENTAS TOTALES'!$F234</f>
        <v>1386</v>
      </c>
      <c r="K139" s="350">
        <f>+'[77]VENTAS TOTALES'!$F234</f>
        <v>1391</v>
      </c>
      <c r="L139" s="350">
        <f>+'[78]VENTAS TOTALES'!$F234</f>
        <v>1434</v>
      </c>
      <c r="M139" s="350">
        <f>+'[79]VENTAS TOTALES'!$F234</f>
        <v>1185</v>
      </c>
      <c r="N139" s="350">
        <f>+'[80]VENTAS TOTALES'!$F234</f>
        <v>1057</v>
      </c>
      <c r="O139" s="350">
        <f>+'[81]VENTAS TOTALES'!$F234</f>
        <v>0</v>
      </c>
      <c r="P139" s="350">
        <f>+'[82]VENTAS TOTALES'!$F234</f>
        <v>1675</v>
      </c>
      <c r="Q139" s="350">
        <f>+'[83]VENTAS TOTALES'!$F234</f>
        <v>930</v>
      </c>
      <c r="R139" s="350">
        <f>+'[84]VENTAS TOTALES'!$F234</f>
        <v>1417</v>
      </c>
      <c r="S139" s="350">
        <f>+'[85]VENTAS TOTALES'!$F234</f>
        <v>1201</v>
      </c>
      <c r="T139" s="350">
        <f>+'[86]VENTAS TOTALES'!$F234</f>
        <v>1423</v>
      </c>
      <c r="U139" s="350">
        <f>+'[87]VENTAS TOTALES'!$F234</f>
        <v>1383</v>
      </c>
      <c r="V139" s="350">
        <f>+'[88]VENTAS TOTALES'!$F234</f>
        <v>0</v>
      </c>
      <c r="W139" s="350">
        <f>+'[89]VENTAS TOTALES'!$F234</f>
        <v>1490</v>
      </c>
      <c r="X139" s="350">
        <f>+'[90]VENTAS TOTALES'!$F234</f>
        <v>1268</v>
      </c>
      <c r="Y139" s="350">
        <f>+'[91]VENTAS TOTALES'!$F234</f>
        <v>1391</v>
      </c>
      <c r="Z139" s="350">
        <f>+'[92]VENTAS TOTALES'!$F234</f>
        <v>717</v>
      </c>
      <c r="AA139" s="350">
        <f>+'[93]VENTAS TOTALES'!$F234</f>
        <v>573</v>
      </c>
      <c r="AB139" s="350">
        <f>+'[94]VENTAS TOTALES'!$F234</f>
        <v>821</v>
      </c>
      <c r="AC139" s="350">
        <f>+'[95]VENTAS TOTALES'!$F234</f>
        <v>0</v>
      </c>
      <c r="AD139" s="350">
        <f>+'[96]VENTAS TOTALES'!$F234</f>
        <v>1352</v>
      </c>
      <c r="AE139" s="350">
        <f>+'[97]VENTAS TOTALES'!$F234</f>
        <v>1492</v>
      </c>
      <c r="AF139" s="350">
        <f>+'[98]VENTAS TOTALES'!$F234</f>
        <v>865</v>
      </c>
      <c r="AG139" s="350">
        <f>+'[99]VENTAS TOTALES'!$F234</f>
        <v>1671</v>
      </c>
      <c r="AH139" s="350">
        <f>+'[100]VENTAS TOTALES'!$F234</f>
        <v>1394</v>
      </c>
      <c r="AI139" s="350">
        <f>+'[101]VENTAS TOTALES'!$F234</f>
        <v>556</v>
      </c>
      <c r="AJ139" s="350">
        <f>+'[102]VENTAS TOTALES'!$F234</f>
        <v>0</v>
      </c>
    </row>
    <row r="140" spans="1:36" s="10" customFormat="1" ht="12" customHeight="1" thickBot="1" x14ac:dyDescent="0.25">
      <c r="A140" s="452"/>
      <c r="B140" s="345" t="s">
        <v>407</v>
      </c>
      <c r="C140" s="350">
        <f>+'[69]VENTAS TOTALES'!$F235</f>
        <v>10</v>
      </c>
      <c r="D140" s="350">
        <f>+'[70]VENTAS TOTALES'!$F235</f>
        <v>2</v>
      </c>
      <c r="E140" s="350">
        <f>+'[71]VENTAS TOTALES'!$F235</f>
        <v>0</v>
      </c>
      <c r="F140" s="350">
        <f>+'[72]VENTAS TOTALES'!$F235</f>
        <v>30</v>
      </c>
      <c r="G140" s="350">
        <f>+'[73]VENTAS TOTALES'!$F235</f>
        <v>0</v>
      </c>
      <c r="H140" s="350">
        <f>+'[74]VENTAS TOTALES'!$F235</f>
        <v>0</v>
      </c>
      <c r="I140" s="350">
        <f>+'[75]VENTAS TOTALES'!$F235</f>
        <v>17</v>
      </c>
      <c r="J140" s="350">
        <f>+'[76]VENTAS TOTALES'!$F235</f>
        <v>0</v>
      </c>
      <c r="K140" s="350">
        <f>+'[77]VENTAS TOTALES'!$F235</f>
        <v>10</v>
      </c>
      <c r="L140" s="350">
        <f>+'[78]VENTAS TOTALES'!$F235</f>
        <v>0</v>
      </c>
      <c r="M140" s="350">
        <f>+'[79]VENTAS TOTALES'!$F235</f>
        <v>10</v>
      </c>
      <c r="N140" s="350">
        <f>+'[80]VENTAS TOTALES'!$F235</f>
        <v>0</v>
      </c>
      <c r="O140" s="350">
        <f>+'[81]VENTAS TOTALES'!$F235</f>
        <v>0</v>
      </c>
      <c r="P140" s="350">
        <f>+'[82]VENTAS TOTALES'!$F235</f>
        <v>12</v>
      </c>
      <c r="Q140" s="350">
        <f>+'[83]VENTAS TOTALES'!$F235</f>
        <v>0</v>
      </c>
      <c r="R140" s="350">
        <f>+'[84]VENTAS TOTALES'!$F235</f>
        <v>4</v>
      </c>
      <c r="S140" s="350">
        <f>+'[85]VENTAS TOTALES'!$F235</f>
        <v>10</v>
      </c>
      <c r="T140" s="350">
        <f>+'[86]VENTAS TOTALES'!$F235</f>
        <v>0</v>
      </c>
      <c r="U140" s="350">
        <f>+'[87]VENTAS TOTALES'!$F235</f>
        <v>0</v>
      </c>
      <c r="V140" s="350">
        <f>+'[88]VENTAS TOTALES'!$F235</f>
        <v>0</v>
      </c>
      <c r="W140" s="350">
        <f>+'[89]VENTAS TOTALES'!$F235</f>
        <v>0</v>
      </c>
      <c r="X140" s="350">
        <f>+'[90]VENTAS TOTALES'!$F235</f>
        <v>15</v>
      </c>
      <c r="Y140" s="350">
        <f>+'[91]VENTAS TOTALES'!$F235</f>
        <v>0</v>
      </c>
      <c r="Z140" s="350">
        <f>+'[92]VENTAS TOTALES'!$F235</f>
        <v>5</v>
      </c>
      <c r="AA140" s="350">
        <f>+'[93]VENTAS TOTALES'!$F235</f>
        <v>13</v>
      </c>
      <c r="AB140" s="350">
        <f>+'[94]VENTAS TOTALES'!$F235</f>
        <v>0</v>
      </c>
      <c r="AC140" s="350">
        <f>+'[95]VENTAS TOTALES'!$F235</f>
        <v>0</v>
      </c>
      <c r="AD140" s="350">
        <f>+'[96]VENTAS TOTALES'!$F235</f>
        <v>15</v>
      </c>
      <c r="AE140" s="350">
        <f>+'[97]VENTAS TOTALES'!$F235</f>
        <v>10</v>
      </c>
      <c r="AF140" s="350">
        <f>+'[98]VENTAS TOTALES'!$F235</f>
        <v>0</v>
      </c>
      <c r="AG140" s="350">
        <f>+'[99]VENTAS TOTALES'!$F235</f>
        <v>1</v>
      </c>
      <c r="AH140" s="350">
        <f>+'[100]VENTAS TOTALES'!$F235</f>
        <v>0</v>
      </c>
      <c r="AI140" s="350">
        <f>+'[101]VENTAS TOTALES'!$F235</f>
        <v>0</v>
      </c>
      <c r="AJ140" s="350">
        <f>+'[102]VENTAS TOTALES'!$F235</f>
        <v>0</v>
      </c>
    </row>
    <row r="141" spans="1:36" s="10" customFormat="1" ht="12" customHeight="1" thickBot="1" x14ac:dyDescent="0.25">
      <c r="A141" s="452"/>
      <c r="B141" s="345" t="s">
        <v>408</v>
      </c>
      <c r="C141" s="350">
        <f>+'[69]VENTAS TOTALES'!$F236</f>
        <v>0</v>
      </c>
      <c r="D141" s="350">
        <f>+'[70]VENTAS TOTALES'!$F236</f>
        <v>0</v>
      </c>
      <c r="E141" s="350">
        <f>+'[71]VENTAS TOTALES'!$F236</f>
        <v>0</v>
      </c>
      <c r="F141" s="350">
        <f>+'[72]VENTAS TOTALES'!$F236</f>
        <v>0</v>
      </c>
      <c r="G141" s="350">
        <f>+'[73]VENTAS TOTALES'!$F236</f>
        <v>0</v>
      </c>
      <c r="H141" s="350">
        <f>+'[74]VENTAS TOTALES'!$F236</f>
        <v>0</v>
      </c>
      <c r="I141" s="350">
        <f>+'[75]VENTAS TOTALES'!$F236</f>
        <v>14</v>
      </c>
      <c r="J141" s="350">
        <f>+'[76]VENTAS TOTALES'!$F236</f>
        <v>0</v>
      </c>
      <c r="K141" s="350">
        <f>+'[77]VENTAS TOTALES'!$F236</f>
        <v>0</v>
      </c>
      <c r="L141" s="350">
        <f>+'[78]VENTAS TOTALES'!$F236</f>
        <v>0</v>
      </c>
      <c r="M141" s="350">
        <f>+'[79]VENTAS TOTALES'!$F236</f>
        <v>2</v>
      </c>
      <c r="N141" s="350">
        <f>+'[80]VENTAS TOTALES'!$F236</f>
        <v>10</v>
      </c>
      <c r="O141" s="350">
        <f>+'[81]VENTAS TOTALES'!$F236</f>
        <v>0</v>
      </c>
      <c r="P141" s="350">
        <f>+'[82]VENTAS TOTALES'!$F236</f>
        <v>0</v>
      </c>
      <c r="Q141" s="350">
        <f>+'[83]VENTAS TOTALES'!$F236</f>
        <v>4</v>
      </c>
      <c r="R141" s="350">
        <f>+'[84]VENTAS TOTALES'!$F236</f>
        <v>0</v>
      </c>
      <c r="S141" s="350">
        <f>+'[85]VENTAS TOTALES'!$F236</f>
        <v>0</v>
      </c>
      <c r="T141" s="350">
        <f>+'[86]VENTAS TOTALES'!$F236</f>
        <v>1</v>
      </c>
      <c r="U141" s="350">
        <f>+'[87]VENTAS TOTALES'!$F236</f>
        <v>0</v>
      </c>
      <c r="V141" s="350">
        <f>+'[88]VENTAS TOTALES'!$F236</f>
        <v>0</v>
      </c>
      <c r="W141" s="350">
        <f>+'[89]VENTAS TOTALES'!$F236</f>
        <v>0</v>
      </c>
      <c r="X141" s="350">
        <f>+'[90]VENTAS TOTALES'!$F236</f>
        <v>0</v>
      </c>
      <c r="Y141" s="350">
        <f>+'[91]VENTAS TOTALES'!$F236</f>
        <v>0</v>
      </c>
      <c r="Z141" s="350">
        <f>+'[92]VENTAS TOTALES'!$F236</f>
        <v>0</v>
      </c>
      <c r="AA141" s="350">
        <f>+'[93]VENTAS TOTALES'!$F236</f>
        <v>0</v>
      </c>
      <c r="AB141" s="350">
        <f>+'[94]VENTAS TOTALES'!$F236</f>
        <v>0</v>
      </c>
      <c r="AC141" s="350">
        <f>+'[95]VENTAS TOTALES'!$F236</f>
        <v>0</v>
      </c>
      <c r="AD141" s="350">
        <f>+'[96]VENTAS TOTALES'!$F236</f>
        <v>8</v>
      </c>
      <c r="AE141" s="350">
        <f>+'[97]VENTAS TOTALES'!$F236</f>
        <v>0</v>
      </c>
      <c r="AF141" s="350">
        <f>+'[98]VENTAS TOTALES'!$F236</f>
        <v>6</v>
      </c>
      <c r="AG141" s="350">
        <f>+'[99]VENTAS TOTALES'!$F236</f>
        <v>0</v>
      </c>
      <c r="AH141" s="350">
        <f>+'[100]VENTAS TOTALES'!$F236</f>
        <v>28</v>
      </c>
      <c r="AI141" s="350">
        <f>+'[101]VENTAS TOTALES'!$F236</f>
        <v>0</v>
      </c>
      <c r="AJ141" s="350">
        <f>+'[102]VENTAS TOTALES'!$F236</f>
        <v>0</v>
      </c>
    </row>
    <row r="142" spans="1:36" s="10" customFormat="1" ht="12" customHeight="1" thickBot="1" x14ac:dyDescent="0.25">
      <c r="A142" s="452"/>
      <c r="B142" s="345" t="s">
        <v>409</v>
      </c>
      <c r="C142" s="350">
        <f>+'[69]VENTAS TOTALES'!$F237</f>
        <v>259</v>
      </c>
      <c r="D142" s="350">
        <f>+'[70]VENTAS TOTALES'!$F237</f>
        <v>532</v>
      </c>
      <c r="E142" s="350">
        <f>+'[71]VENTAS TOTALES'!$F237</f>
        <v>95</v>
      </c>
      <c r="F142" s="350">
        <f>+'[72]VENTAS TOTALES'!$F237</f>
        <v>17</v>
      </c>
      <c r="G142" s="350">
        <f>+'[73]VENTAS TOTALES'!$F237</f>
        <v>995</v>
      </c>
      <c r="H142" s="350">
        <f>+'[74]VENTAS TOTALES'!$F237</f>
        <v>0</v>
      </c>
      <c r="I142" s="350">
        <f>+'[75]VENTAS TOTALES'!$F237</f>
        <v>15</v>
      </c>
      <c r="J142" s="350">
        <f>+'[76]VENTAS TOTALES'!$F237</f>
        <v>11</v>
      </c>
      <c r="K142" s="350">
        <f>+'[77]VENTAS TOTALES'!$F237</f>
        <v>53</v>
      </c>
      <c r="L142" s="350">
        <f>+'[78]VENTAS TOTALES'!$F237</f>
        <v>87</v>
      </c>
      <c r="M142" s="350">
        <f>+'[79]VENTAS TOTALES'!$F237</f>
        <v>233</v>
      </c>
      <c r="N142" s="350">
        <f>+'[80]VENTAS TOTALES'!$F237</f>
        <v>847</v>
      </c>
      <c r="O142" s="350">
        <f>+'[81]VENTAS TOTALES'!$F237</f>
        <v>0</v>
      </c>
      <c r="P142" s="350">
        <f>+'[82]VENTAS TOTALES'!$F237</f>
        <v>40</v>
      </c>
      <c r="Q142" s="350">
        <f>+'[83]VENTAS TOTALES'!$F237</f>
        <v>23</v>
      </c>
      <c r="R142" s="350">
        <f>+'[84]VENTAS TOTALES'!$F237</f>
        <v>33</v>
      </c>
      <c r="S142" s="350">
        <f>+'[85]VENTAS TOTALES'!$F237</f>
        <v>259</v>
      </c>
      <c r="T142" s="350">
        <f>+'[86]VENTAS TOTALES'!$F237</f>
        <v>50</v>
      </c>
      <c r="U142" s="350">
        <f>+'[87]VENTAS TOTALES'!$F237</f>
        <v>405</v>
      </c>
      <c r="V142" s="350">
        <f>+'[88]VENTAS TOTALES'!$F237</f>
        <v>0</v>
      </c>
      <c r="W142" s="350">
        <f>+'[89]VENTAS TOTALES'!$F237</f>
        <v>27</v>
      </c>
      <c r="X142" s="350">
        <f>+'[90]VENTAS TOTALES'!$F237</f>
        <v>2</v>
      </c>
      <c r="Y142" s="350">
        <f>+'[91]VENTAS TOTALES'!$F237</f>
        <v>20</v>
      </c>
      <c r="Z142" s="350">
        <f>+'[92]VENTAS TOTALES'!$F237</f>
        <v>464</v>
      </c>
      <c r="AA142" s="350">
        <f>+'[93]VENTAS TOTALES'!$F237</f>
        <v>276</v>
      </c>
      <c r="AB142" s="350">
        <f>+'[94]VENTAS TOTALES'!$F237</f>
        <v>624</v>
      </c>
      <c r="AC142" s="350">
        <f>+'[95]VENTAS TOTALES'!$F237</f>
        <v>0</v>
      </c>
      <c r="AD142" s="350">
        <f>+'[96]VENTAS TOTALES'!$F237</f>
        <v>134</v>
      </c>
      <c r="AE142" s="350">
        <f>+'[97]VENTAS TOTALES'!$F237</f>
        <v>131</v>
      </c>
      <c r="AF142" s="350">
        <f>+'[98]VENTAS TOTALES'!$F237</f>
        <v>285</v>
      </c>
      <c r="AG142" s="350">
        <f>+'[99]VENTAS TOTALES'!$F237</f>
        <v>300</v>
      </c>
      <c r="AH142" s="350">
        <f>+'[100]VENTAS TOTALES'!$F237</f>
        <v>355</v>
      </c>
      <c r="AI142" s="350">
        <f>+'[101]VENTAS TOTALES'!$F237</f>
        <v>772</v>
      </c>
      <c r="AJ142" s="350">
        <f>+'[102]VENTAS TOTALES'!$F237</f>
        <v>0</v>
      </c>
    </row>
    <row r="143" spans="1:36" s="10" customFormat="1" ht="12" customHeight="1" thickBot="1" x14ac:dyDescent="0.25">
      <c r="A143" s="452"/>
      <c r="B143" s="345" t="s">
        <v>427</v>
      </c>
      <c r="C143" s="350">
        <f>+'[69]VENTAS TOTALES'!$F238</f>
        <v>816</v>
      </c>
      <c r="D143" s="350">
        <f>+'[70]VENTAS TOTALES'!$F238</f>
        <v>756</v>
      </c>
      <c r="E143" s="350">
        <f>+'[71]VENTAS TOTALES'!$F238</f>
        <v>513</v>
      </c>
      <c r="F143" s="350">
        <f>+'[72]VENTAS TOTALES'!$F238</f>
        <v>637</v>
      </c>
      <c r="G143" s="350">
        <f>+'[73]VENTAS TOTALES'!$F238</f>
        <v>209</v>
      </c>
      <c r="H143" s="350">
        <f>+'[74]VENTAS TOTALES'!$F238</f>
        <v>0</v>
      </c>
      <c r="I143" s="350">
        <f>+'[75]VENTAS TOTALES'!$F238</f>
        <v>1198</v>
      </c>
      <c r="J143" s="350">
        <f>+'[76]VENTAS TOTALES'!$F238</f>
        <v>958</v>
      </c>
      <c r="K143" s="350">
        <f>+'[77]VENTAS TOTALES'!$F238</f>
        <v>546</v>
      </c>
      <c r="L143" s="350">
        <f>+'[78]VENTAS TOTALES'!$F238</f>
        <v>565</v>
      </c>
      <c r="M143" s="350">
        <f>+'[79]VENTAS TOTALES'!$F238</f>
        <v>262</v>
      </c>
      <c r="N143" s="350">
        <f>+'[80]VENTAS TOTALES'!$F238</f>
        <v>276</v>
      </c>
      <c r="O143" s="350">
        <f>+'[81]VENTAS TOTALES'!$F238</f>
        <v>0</v>
      </c>
      <c r="P143" s="350">
        <f>+'[82]VENTAS TOTALES'!$F238</f>
        <v>768</v>
      </c>
      <c r="Q143" s="350">
        <f>+'[83]VENTAS TOTALES'!$F238</f>
        <v>581</v>
      </c>
      <c r="R143" s="350">
        <f>+'[84]VENTAS TOTALES'!$F238</f>
        <v>645</v>
      </c>
      <c r="S143" s="350">
        <f>+'[85]VENTAS TOTALES'!$F238</f>
        <v>570</v>
      </c>
      <c r="T143" s="350">
        <f>+'[86]VENTAS TOTALES'!$F238</f>
        <v>728</v>
      </c>
      <c r="U143" s="350">
        <f>+'[87]VENTAS TOTALES'!$F238</f>
        <v>485</v>
      </c>
      <c r="V143" s="350">
        <f>+'[88]VENTAS TOTALES'!$F238</f>
        <v>0</v>
      </c>
      <c r="W143" s="350">
        <f>+'[89]VENTAS TOTALES'!$F238</f>
        <v>835</v>
      </c>
      <c r="X143" s="350">
        <f>+'[90]VENTAS TOTALES'!$F238</f>
        <v>856</v>
      </c>
      <c r="Y143" s="350">
        <f>+'[91]VENTAS TOTALES'!$F238</f>
        <v>875</v>
      </c>
      <c r="Z143" s="350">
        <f>+'[92]VENTAS TOTALES'!$F238</f>
        <v>783</v>
      </c>
      <c r="AA143" s="350">
        <f>+'[93]VENTAS TOTALES'!$F238</f>
        <v>539</v>
      </c>
      <c r="AB143" s="350">
        <f>+'[94]VENTAS TOTALES'!$F238</f>
        <v>636</v>
      </c>
      <c r="AC143" s="350">
        <f>+'[95]VENTAS TOTALES'!$F238</f>
        <v>0</v>
      </c>
      <c r="AD143" s="350">
        <f>+'[96]VENTAS TOTALES'!$F238</f>
        <v>963</v>
      </c>
      <c r="AE143" s="350">
        <f>+'[97]VENTAS TOTALES'!$F238</f>
        <v>852</v>
      </c>
      <c r="AF143" s="350">
        <f>+'[98]VENTAS TOTALES'!$F238</f>
        <v>594</v>
      </c>
      <c r="AG143" s="350">
        <f>+'[99]VENTAS TOTALES'!$F238</f>
        <v>812</v>
      </c>
      <c r="AH143" s="350">
        <f>+'[100]VENTAS TOTALES'!$F238</f>
        <v>905</v>
      </c>
      <c r="AI143" s="350">
        <f>+'[101]VENTAS TOTALES'!$F238</f>
        <v>634</v>
      </c>
      <c r="AJ143" s="350">
        <f>+'[102]VENTAS TOTALES'!$F238</f>
        <v>0</v>
      </c>
    </row>
    <row r="144" spans="1:36" s="10" customFormat="1" ht="12" customHeight="1" thickBot="1" x14ac:dyDescent="0.25">
      <c r="A144" s="452"/>
      <c r="B144" s="345" t="s">
        <v>428</v>
      </c>
      <c r="C144" s="350">
        <f>+'[69]VENTAS TOTALES'!$F239</f>
        <v>386</v>
      </c>
      <c r="D144" s="350">
        <f>+'[70]VENTAS TOTALES'!$F239</f>
        <v>269</v>
      </c>
      <c r="E144" s="350">
        <f>+'[71]VENTAS TOTALES'!$F239</f>
        <v>179</v>
      </c>
      <c r="F144" s="350">
        <f>+'[72]VENTAS TOTALES'!$F239</f>
        <v>328</v>
      </c>
      <c r="G144" s="350">
        <f>+'[73]VENTAS TOTALES'!$F239</f>
        <v>149</v>
      </c>
      <c r="H144" s="350">
        <f>+'[74]VENTAS TOTALES'!$F239</f>
        <v>0</v>
      </c>
      <c r="I144" s="350">
        <f>+'[75]VENTAS TOTALES'!$F239</f>
        <v>306</v>
      </c>
      <c r="J144" s="350">
        <f>+'[76]VENTAS TOTALES'!$F239</f>
        <v>472</v>
      </c>
      <c r="K144" s="350">
        <f>+'[77]VENTAS TOTALES'!$F239</f>
        <v>249</v>
      </c>
      <c r="L144" s="350">
        <f>+'[78]VENTAS TOTALES'!$F239</f>
        <v>215</v>
      </c>
      <c r="M144" s="350">
        <f>+'[79]VENTAS TOTALES'!$F239</f>
        <v>211</v>
      </c>
      <c r="N144" s="350">
        <f>+'[80]VENTAS TOTALES'!$F239</f>
        <v>76</v>
      </c>
      <c r="O144" s="350">
        <f>+'[81]VENTAS TOTALES'!$F239</f>
        <v>0</v>
      </c>
      <c r="P144" s="350">
        <f>+'[82]VENTAS TOTALES'!$F239</f>
        <v>225</v>
      </c>
      <c r="Q144" s="350">
        <f>+'[83]VENTAS TOTALES'!$F239</f>
        <v>215</v>
      </c>
      <c r="R144" s="350">
        <f>+'[84]VENTAS TOTALES'!$F239</f>
        <v>119</v>
      </c>
      <c r="S144" s="350">
        <f>+'[85]VENTAS TOTALES'!$F239</f>
        <v>208</v>
      </c>
      <c r="T144" s="350">
        <f>+'[86]VENTAS TOTALES'!$F239</f>
        <v>399</v>
      </c>
      <c r="U144" s="350">
        <f>+'[87]VENTAS TOTALES'!$F239</f>
        <v>170</v>
      </c>
      <c r="V144" s="350">
        <f>+'[88]VENTAS TOTALES'!$F239</f>
        <v>0</v>
      </c>
      <c r="W144" s="350">
        <f>+'[89]VENTAS TOTALES'!$F239</f>
        <v>305</v>
      </c>
      <c r="X144" s="350">
        <f>+'[90]VENTAS TOTALES'!$F239</f>
        <v>273</v>
      </c>
      <c r="Y144" s="350">
        <f>+'[91]VENTAS TOTALES'!$F239</f>
        <v>358</v>
      </c>
      <c r="Z144" s="350">
        <f>+'[92]VENTAS TOTALES'!$F239</f>
        <v>381</v>
      </c>
      <c r="AA144" s="350">
        <f>+'[93]VENTAS TOTALES'!$F239</f>
        <v>158</v>
      </c>
      <c r="AB144" s="350">
        <f>+'[94]VENTAS TOTALES'!$F239</f>
        <v>138</v>
      </c>
      <c r="AC144" s="350">
        <f>+'[95]VENTAS TOTALES'!$F239</f>
        <v>0</v>
      </c>
      <c r="AD144" s="350">
        <f>+'[96]VENTAS TOTALES'!$F239</f>
        <v>427</v>
      </c>
      <c r="AE144" s="350">
        <f>+'[97]VENTAS TOTALES'!$F239</f>
        <v>479</v>
      </c>
      <c r="AF144" s="350">
        <f>+'[98]VENTAS TOTALES'!$F239</f>
        <v>112</v>
      </c>
      <c r="AG144" s="350">
        <f>+'[99]VENTAS TOTALES'!$F239</f>
        <v>218</v>
      </c>
      <c r="AH144" s="350">
        <f>+'[100]VENTAS TOTALES'!$F239</f>
        <v>178</v>
      </c>
      <c r="AI144" s="350">
        <f>+'[101]VENTAS TOTALES'!$F239</f>
        <v>208</v>
      </c>
      <c r="AJ144" s="350">
        <f>+'[102]VENTAS TOTALES'!$F239</f>
        <v>0</v>
      </c>
    </row>
    <row r="145" spans="1:36" s="10" customFormat="1" ht="12" customHeight="1" thickBot="1" x14ac:dyDescent="0.25">
      <c r="A145" s="452"/>
      <c r="B145" s="345" t="s">
        <v>429</v>
      </c>
      <c r="C145" s="350">
        <f>+'[69]VENTAS TOTALES'!$F240</f>
        <v>783</v>
      </c>
      <c r="D145" s="350">
        <f>+'[70]VENTAS TOTALES'!$F240</f>
        <v>727</v>
      </c>
      <c r="E145" s="350">
        <f>+'[71]VENTAS TOTALES'!$F240</f>
        <v>703</v>
      </c>
      <c r="F145" s="350">
        <f>+'[72]VENTAS TOTALES'!$F240</f>
        <v>914</v>
      </c>
      <c r="G145" s="350">
        <f>+'[73]VENTAS TOTALES'!$F240</f>
        <v>792</v>
      </c>
      <c r="H145" s="350">
        <f>+'[74]VENTAS TOTALES'!$F240</f>
        <v>0</v>
      </c>
      <c r="I145" s="350">
        <f>+'[75]VENTAS TOTALES'!$F240</f>
        <v>844</v>
      </c>
      <c r="J145" s="350">
        <f>+'[76]VENTAS TOTALES'!$F240</f>
        <v>907</v>
      </c>
      <c r="K145" s="350">
        <f>+'[77]VENTAS TOTALES'!$F240</f>
        <v>832</v>
      </c>
      <c r="L145" s="350">
        <f>+'[78]VENTAS TOTALES'!$F240</f>
        <v>920</v>
      </c>
      <c r="M145" s="350">
        <f>+'[79]VENTAS TOTALES'!$F240</f>
        <v>937</v>
      </c>
      <c r="N145" s="350">
        <f>+'[80]VENTAS TOTALES'!$F240</f>
        <v>842</v>
      </c>
      <c r="O145" s="350">
        <f>+'[81]VENTAS TOTALES'!$F240</f>
        <v>0</v>
      </c>
      <c r="P145" s="350">
        <f>+'[82]VENTAS TOTALES'!$F240</f>
        <v>1022</v>
      </c>
      <c r="Q145" s="350">
        <f>+'[83]VENTAS TOTALES'!$F240</f>
        <v>760</v>
      </c>
      <c r="R145" s="350">
        <f>+'[84]VENTAS TOTALES'!$F240</f>
        <v>853</v>
      </c>
      <c r="S145" s="350">
        <f>+'[85]VENTAS TOTALES'!$F240</f>
        <v>863</v>
      </c>
      <c r="T145" s="350">
        <f>+'[86]VENTAS TOTALES'!$F240</f>
        <v>977</v>
      </c>
      <c r="U145" s="350">
        <f>+'[87]VENTAS TOTALES'!$F240</f>
        <v>872</v>
      </c>
      <c r="V145" s="350">
        <f>+'[88]VENTAS TOTALES'!$F240</f>
        <v>0</v>
      </c>
      <c r="W145" s="350">
        <f>+'[89]VENTAS TOTALES'!$F240</f>
        <v>1042</v>
      </c>
      <c r="X145" s="350">
        <f>+'[90]VENTAS TOTALES'!$F240</f>
        <v>771</v>
      </c>
      <c r="Y145" s="350">
        <f>+'[91]VENTAS TOTALES'!$F240</f>
        <v>705</v>
      </c>
      <c r="Z145" s="350">
        <f>+'[92]VENTAS TOTALES'!$F240</f>
        <v>852</v>
      </c>
      <c r="AA145" s="350">
        <f>+'[93]VENTAS TOTALES'!$F240</f>
        <v>878</v>
      </c>
      <c r="AB145" s="350">
        <f>+'[94]VENTAS TOTALES'!$F240</f>
        <v>815</v>
      </c>
      <c r="AC145" s="350">
        <f>+'[95]VENTAS TOTALES'!$F240</f>
        <v>0</v>
      </c>
      <c r="AD145" s="350">
        <f>+'[96]VENTAS TOTALES'!$F240</f>
        <v>1083</v>
      </c>
      <c r="AE145" s="350">
        <f>+'[97]VENTAS TOTALES'!$F240</f>
        <v>1018</v>
      </c>
      <c r="AF145" s="350">
        <f>+'[98]VENTAS TOTALES'!$F240</f>
        <v>919</v>
      </c>
      <c r="AG145" s="350">
        <f>+'[99]VENTAS TOTALES'!$F240</f>
        <v>1042</v>
      </c>
      <c r="AH145" s="350">
        <f>+'[100]VENTAS TOTALES'!$F240</f>
        <v>935</v>
      </c>
      <c r="AI145" s="350">
        <f>+'[101]VENTAS TOTALES'!$F240</f>
        <v>927</v>
      </c>
      <c r="AJ145" s="350">
        <f>+'[102]VENTAS TOTALES'!$F240</f>
        <v>0</v>
      </c>
    </row>
    <row r="146" spans="1:36" s="10" customFormat="1" ht="12" customHeight="1" thickBot="1" x14ac:dyDescent="0.25">
      <c r="A146" s="452"/>
      <c r="B146" s="345" t="s">
        <v>438</v>
      </c>
      <c r="C146" s="350">
        <f>+'[69]VENTAS TOTALES'!$F241</f>
        <v>789</v>
      </c>
      <c r="D146" s="350">
        <f>+'[70]VENTAS TOTALES'!$F241</f>
        <v>844</v>
      </c>
      <c r="E146" s="350">
        <f>+'[71]VENTAS TOTALES'!$F241</f>
        <v>548</v>
      </c>
      <c r="F146" s="350">
        <f>+'[72]VENTAS TOTALES'!$F241</f>
        <v>808</v>
      </c>
      <c r="G146" s="350">
        <f>+'[73]VENTAS TOTALES'!$F241</f>
        <v>483</v>
      </c>
      <c r="H146" s="350">
        <f>+'[74]VENTAS TOTALES'!$F241</f>
        <v>0</v>
      </c>
      <c r="I146" s="350">
        <f>+'[75]VENTAS TOTALES'!$F241</f>
        <v>1039</v>
      </c>
      <c r="J146" s="350">
        <f>+'[76]VENTAS TOTALES'!$F241</f>
        <v>814</v>
      </c>
      <c r="K146" s="350">
        <f>+'[77]VENTAS TOTALES'!$F241</f>
        <v>656</v>
      </c>
      <c r="L146" s="350">
        <f>+'[78]VENTAS TOTALES'!$F241</f>
        <v>912</v>
      </c>
      <c r="M146" s="350">
        <f>+'[79]VENTAS TOTALES'!$F241</f>
        <v>710</v>
      </c>
      <c r="N146" s="350">
        <f>+'[80]VENTAS TOTALES'!$F241</f>
        <v>490</v>
      </c>
      <c r="O146" s="350">
        <f>+'[81]VENTAS TOTALES'!$F241</f>
        <v>0</v>
      </c>
      <c r="P146" s="350">
        <f>+'[82]VENTAS TOTALES'!$F241</f>
        <v>1060</v>
      </c>
      <c r="Q146" s="350">
        <f>+'[83]VENTAS TOTALES'!$F241</f>
        <v>973</v>
      </c>
      <c r="R146" s="350">
        <f>+'[84]VENTAS TOTALES'!$F241</f>
        <v>695</v>
      </c>
      <c r="S146" s="350">
        <f>+'[85]VENTAS TOTALES'!$F241</f>
        <v>579</v>
      </c>
      <c r="T146" s="350">
        <f>+'[86]VENTAS TOTALES'!$F241</f>
        <v>727</v>
      </c>
      <c r="U146" s="350">
        <f>+'[87]VENTAS TOTALES'!$F241</f>
        <v>533</v>
      </c>
      <c r="V146" s="350">
        <f>+'[88]VENTAS TOTALES'!$F241</f>
        <v>0</v>
      </c>
      <c r="W146" s="350">
        <f>+'[89]VENTAS TOTALES'!$F241</f>
        <v>837</v>
      </c>
      <c r="X146" s="350">
        <f>+'[90]VENTAS TOTALES'!$F241</f>
        <v>832</v>
      </c>
      <c r="Y146" s="350">
        <f>+'[91]VENTAS TOTALES'!$F241</f>
        <v>458</v>
      </c>
      <c r="Z146" s="350">
        <f>+'[92]VENTAS TOTALES'!$F241</f>
        <v>723</v>
      </c>
      <c r="AA146" s="350">
        <f>+'[93]VENTAS TOTALES'!$F241</f>
        <v>753</v>
      </c>
      <c r="AB146" s="350">
        <f>+'[94]VENTAS TOTALES'!$F241</f>
        <v>522</v>
      </c>
      <c r="AC146" s="350">
        <f>+'[95]VENTAS TOTALES'!$F241</f>
        <v>0</v>
      </c>
      <c r="AD146" s="350">
        <f>+'[96]VENTAS TOTALES'!$F241</f>
        <v>716</v>
      </c>
      <c r="AE146" s="350">
        <f>+'[97]VENTAS TOTALES'!$F241</f>
        <v>456</v>
      </c>
      <c r="AF146" s="350">
        <f>+'[98]VENTAS TOTALES'!$F241</f>
        <v>253</v>
      </c>
      <c r="AG146" s="350">
        <f>+'[99]VENTAS TOTALES'!$F241</f>
        <v>569</v>
      </c>
      <c r="AH146" s="350">
        <f>+'[100]VENTAS TOTALES'!$F241</f>
        <v>662</v>
      </c>
      <c r="AI146" s="350">
        <f>+'[101]VENTAS TOTALES'!$F241</f>
        <v>386</v>
      </c>
      <c r="AJ146" s="350">
        <f>+'[102]VENTAS TOTALES'!$F241</f>
        <v>0</v>
      </c>
    </row>
    <row r="147" spans="1:36" s="10" customFormat="1" ht="12" customHeight="1" thickBot="1" x14ac:dyDescent="0.25">
      <c r="A147" s="452"/>
      <c r="B147" s="345" t="s">
        <v>439</v>
      </c>
      <c r="C147" s="350">
        <f>+'[69]VENTAS TOTALES'!$F242</f>
        <v>1190</v>
      </c>
      <c r="D147" s="350">
        <f>+'[70]VENTAS TOTALES'!$F242</f>
        <v>781</v>
      </c>
      <c r="E147" s="350">
        <f>+'[71]VENTAS TOTALES'!$F242</f>
        <v>750</v>
      </c>
      <c r="F147" s="350">
        <f>+'[72]VENTAS TOTALES'!$F242</f>
        <v>759</v>
      </c>
      <c r="G147" s="350">
        <f>+'[73]VENTAS TOTALES'!$F242</f>
        <v>424</v>
      </c>
      <c r="H147" s="350">
        <f>+'[74]VENTAS TOTALES'!$F242</f>
        <v>0</v>
      </c>
      <c r="I147" s="350">
        <f>+'[75]VENTAS TOTALES'!$F242</f>
        <v>1278</v>
      </c>
      <c r="J147" s="350">
        <f>+'[76]VENTAS TOTALES'!$F242</f>
        <v>1038</v>
      </c>
      <c r="K147" s="350">
        <f>+'[77]VENTAS TOTALES'!$F242</f>
        <v>967</v>
      </c>
      <c r="L147" s="350">
        <f>+'[78]VENTAS TOTALES'!$F242</f>
        <v>887</v>
      </c>
      <c r="M147" s="350">
        <f>+'[79]VENTAS TOTALES'!$F242</f>
        <v>799</v>
      </c>
      <c r="N147" s="350">
        <f>+'[80]VENTAS TOTALES'!$F242</f>
        <v>499</v>
      </c>
      <c r="O147" s="350">
        <f>+'[81]VENTAS TOTALES'!$F242</f>
        <v>0</v>
      </c>
      <c r="P147" s="350">
        <f>+'[82]VENTAS TOTALES'!$F242</f>
        <v>1173</v>
      </c>
      <c r="Q147" s="350">
        <f>+'[83]VENTAS TOTALES'!$F242</f>
        <v>875</v>
      </c>
      <c r="R147" s="350">
        <f>+'[84]VENTAS TOTALES'!$F242</f>
        <v>1123</v>
      </c>
      <c r="S147" s="350">
        <f>+'[85]VENTAS TOTALES'!$F242</f>
        <v>883</v>
      </c>
      <c r="T147" s="350">
        <f>+'[86]VENTAS TOTALES'!$F242</f>
        <v>1009</v>
      </c>
      <c r="U147" s="350">
        <f>+'[87]VENTAS TOTALES'!$F242</f>
        <v>445</v>
      </c>
      <c r="V147" s="350">
        <f>+'[88]VENTAS TOTALES'!$F242</f>
        <v>0</v>
      </c>
      <c r="W147" s="350">
        <f>+'[89]VENTAS TOTALES'!$F242</f>
        <v>1214</v>
      </c>
      <c r="X147" s="350">
        <f>+'[90]VENTAS TOTALES'!$F242</f>
        <v>1042</v>
      </c>
      <c r="Y147" s="350">
        <f>+'[91]VENTAS TOTALES'!$F242</f>
        <v>1178</v>
      </c>
      <c r="Z147" s="350">
        <f>+'[92]VENTAS TOTALES'!$F242</f>
        <v>1174</v>
      </c>
      <c r="AA147" s="350">
        <f>+'[93]VENTAS TOTALES'!$F242</f>
        <v>968</v>
      </c>
      <c r="AB147" s="350">
        <f>+'[94]VENTAS TOTALES'!$F242</f>
        <v>638</v>
      </c>
      <c r="AC147" s="350">
        <f>+'[95]VENTAS TOTALES'!$F242</f>
        <v>0</v>
      </c>
      <c r="AD147" s="350">
        <f>+'[96]VENTAS TOTALES'!$F242</f>
        <v>1353</v>
      </c>
      <c r="AE147" s="350">
        <f>+'[97]VENTAS TOTALES'!$F242</f>
        <v>1232</v>
      </c>
      <c r="AF147" s="350">
        <f>+'[98]VENTAS TOTALES'!$F242</f>
        <v>1095</v>
      </c>
      <c r="AG147" s="350">
        <f>+'[99]VENTAS TOTALES'!$F242</f>
        <v>995</v>
      </c>
      <c r="AH147" s="350">
        <f>+'[100]VENTAS TOTALES'!$F242</f>
        <v>1057</v>
      </c>
      <c r="AI147" s="350">
        <f>+'[101]VENTAS TOTALES'!$F242</f>
        <v>579</v>
      </c>
      <c r="AJ147" s="350">
        <f>+'[102]VENTAS TOTALES'!$F242</f>
        <v>0</v>
      </c>
    </row>
    <row r="148" spans="1:36" s="10" customFormat="1" ht="12" customHeight="1" thickBot="1" x14ac:dyDescent="0.25">
      <c r="A148" s="452"/>
      <c r="B148" s="345" t="s">
        <v>440</v>
      </c>
      <c r="C148" s="350">
        <f>+'[69]VENTAS TOTALES'!$F243</f>
        <v>976</v>
      </c>
      <c r="D148" s="350">
        <f>+'[70]VENTAS TOTALES'!$F243</f>
        <v>819</v>
      </c>
      <c r="E148" s="350">
        <f>+'[71]VENTAS TOTALES'!$F243</f>
        <v>702</v>
      </c>
      <c r="F148" s="350">
        <f>+'[72]VENTAS TOTALES'!$F243</f>
        <v>880</v>
      </c>
      <c r="G148" s="350">
        <f>+'[73]VENTAS TOTALES'!$F243</f>
        <v>253</v>
      </c>
      <c r="H148" s="350">
        <f>+'[74]VENTAS TOTALES'!$F243</f>
        <v>0</v>
      </c>
      <c r="I148" s="350">
        <f>+'[75]VENTAS TOTALES'!$F243</f>
        <v>354</v>
      </c>
      <c r="J148" s="350">
        <f>+'[76]VENTAS TOTALES'!$F243</f>
        <v>834</v>
      </c>
      <c r="K148" s="350">
        <f>+'[77]VENTAS TOTALES'!$F243</f>
        <v>679</v>
      </c>
      <c r="L148" s="350">
        <f>+'[78]VENTAS TOTALES'!$F243</f>
        <v>756</v>
      </c>
      <c r="M148" s="350">
        <f>+'[79]VENTAS TOTALES'!$F243</f>
        <v>836</v>
      </c>
      <c r="N148" s="350">
        <f>+'[80]VENTAS TOTALES'!$F243</f>
        <v>277</v>
      </c>
      <c r="O148" s="350">
        <f>+'[81]VENTAS TOTALES'!$F243</f>
        <v>0</v>
      </c>
      <c r="P148" s="350">
        <f>+'[82]VENTAS TOTALES'!$F243</f>
        <v>938</v>
      </c>
      <c r="Q148" s="350">
        <f>+'[83]VENTAS TOTALES'!$F243</f>
        <v>863</v>
      </c>
      <c r="R148" s="350">
        <f>+'[84]VENTAS TOTALES'!$F243</f>
        <v>788</v>
      </c>
      <c r="S148" s="350">
        <f>+'[85]VENTAS TOTALES'!$F243</f>
        <v>545</v>
      </c>
      <c r="T148" s="350">
        <f>+'[86]VENTAS TOTALES'!$F243</f>
        <v>1054</v>
      </c>
      <c r="U148" s="350">
        <f>+'[87]VENTAS TOTALES'!$F243</f>
        <v>295</v>
      </c>
      <c r="V148" s="350">
        <f>+'[88]VENTAS TOTALES'!$F243</f>
        <v>0</v>
      </c>
      <c r="W148" s="350">
        <f>+'[89]VENTAS TOTALES'!$F243</f>
        <v>1011</v>
      </c>
      <c r="X148" s="350">
        <f>+'[90]VENTAS TOTALES'!$F243</f>
        <v>943</v>
      </c>
      <c r="Y148" s="350">
        <f>+'[91]VENTAS TOTALES'!$F243</f>
        <v>826</v>
      </c>
      <c r="Z148" s="350">
        <f>+'[92]VENTAS TOTALES'!$F243</f>
        <v>1057</v>
      </c>
      <c r="AA148" s="350">
        <f>+'[93]VENTAS TOTALES'!$F243</f>
        <v>148</v>
      </c>
      <c r="AB148" s="350">
        <f>+'[94]VENTAS TOTALES'!$F243</f>
        <v>295</v>
      </c>
      <c r="AC148" s="350">
        <f>+'[95]VENTAS TOTALES'!$F243</f>
        <v>0</v>
      </c>
      <c r="AD148" s="350">
        <f>+'[96]VENTAS TOTALES'!$F243</f>
        <v>953</v>
      </c>
      <c r="AE148" s="350">
        <f>+'[97]VENTAS TOTALES'!$F243</f>
        <v>778</v>
      </c>
      <c r="AF148" s="350">
        <f>+'[98]VENTAS TOTALES'!$F243</f>
        <v>626</v>
      </c>
      <c r="AG148" s="350">
        <f>+'[99]VENTAS TOTALES'!$F243</f>
        <v>814</v>
      </c>
      <c r="AH148" s="350">
        <f>+'[100]VENTAS TOTALES'!$F243</f>
        <v>972</v>
      </c>
      <c r="AI148" s="350">
        <f>+'[101]VENTAS TOTALES'!$F243</f>
        <v>326</v>
      </c>
      <c r="AJ148" s="350">
        <f>+'[102]VENTAS TOTALES'!$F243</f>
        <v>0</v>
      </c>
    </row>
    <row r="149" spans="1:36" s="10" customFormat="1" ht="12" customHeight="1" thickBot="1" x14ac:dyDescent="0.25">
      <c r="A149" s="452"/>
      <c r="B149" s="345" t="s">
        <v>441</v>
      </c>
      <c r="C149" s="350">
        <f>+'[69]VENTAS TOTALES'!$F244</f>
        <v>339</v>
      </c>
      <c r="D149" s="350">
        <f>+'[70]VENTAS TOTALES'!$F244</f>
        <v>587</v>
      </c>
      <c r="E149" s="350">
        <f>+'[71]VENTAS TOTALES'!$F244</f>
        <v>425</v>
      </c>
      <c r="F149" s="350">
        <f>+'[72]VENTAS TOTALES'!$F244</f>
        <v>662</v>
      </c>
      <c r="G149" s="350">
        <f>+'[73]VENTAS TOTALES'!$F244</f>
        <v>410</v>
      </c>
      <c r="H149" s="350">
        <f>+'[74]VENTAS TOTALES'!$F244</f>
        <v>0</v>
      </c>
      <c r="I149" s="350">
        <f>+'[75]VENTAS TOTALES'!$F244</f>
        <v>341</v>
      </c>
      <c r="J149" s="350">
        <f>+'[76]VENTAS TOTALES'!$F244</f>
        <v>673</v>
      </c>
      <c r="K149" s="350">
        <f>+'[77]VENTAS TOTALES'!$F244</f>
        <v>595</v>
      </c>
      <c r="L149" s="350">
        <f>+'[78]VENTAS TOTALES'!$F244</f>
        <v>696</v>
      </c>
      <c r="M149" s="350">
        <f>+'[79]VENTAS TOTALES'!$F244</f>
        <v>540</v>
      </c>
      <c r="N149" s="350">
        <f>+'[80]VENTAS TOTALES'!$F244</f>
        <v>509</v>
      </c>
      <c r="O149" s="350">
        <f>+'[81]VENTAS TOTALES'!$F244</f>
        <v>0</v>
      </c>
      <c r="P149" s="350">
        <f>+'[82]VENTAS TOTALES'!$F244</f>
        <v>508</v>
      </c>
      <c r="Q149" s="350">
        <f>+'[83]VENTAS TOTALES'!$F244</f>
        <v>450</v>
      </c>
      <c r="R149" s="350">
        <f>+'[84]VENTAS TOTALES'!$F244</f>
        <v>541</v>
      </c>
      <c r="S149" s="350">
        <f>+'[85]VENTAS TOTALES'!$F244</f>
        <v>420</v>
      </c>
      <c r="T149" s="350">
        <f>+'[86]VENTAS TOTALES'!$F244</f>
        <v>497</v>
      </c>
      <c r="U149" s="350">
        <f>+'[87]VENTAS TOTALES'!$F244</f>
        <v>353</v>
      </c>
      <c r="V149" s="350">
        <f>+'[88]VENTAS TOTALES'!$F244</f>
        <v>0</v>
      </c>
      <c r="W149" s="350">
        <f>+'[89]VENTAS TOTALES'!$F244</f>
        <v>540</v>
      </c>
      <c r="X149" s="350">
        <f>+'[90]VENTAS TOTALES'!$F244</f>
        <v>638</v>
      </c>
      <c r="Y149" s="350">
        <f>+'[91]VENTAS TOTALES'!$F244</f>
        <v>570</v>
      </c>
      <c r="Z149" s="350">
        <f>+'[92]VENTAS TOTALES'!$F244</f>
        <v>628</v>
      </c>
      <c r="AA149" s="350">
        <f>+'[93]VENTAS TOTALES'!$F244</f>
        <v>719</v>
      </c>
      <c r="AB149" s="350">
        <f>+'[94]VENTAS TOTALES'!$F244</f>
        <v>280</v>
      </c>
      <c r="AC149" s="350">
        <f>+'[95]VENTAS TOTALES'!$F244</f>
        <v>0</v>
      </c>
      <c r="AD149" s="350">
        <f>+'[96]VENTAS TOTALES'!$F244</f>
        <v>673</v>
      </c>
      <c r="AE149" s="350">
        <f>+'[97]VENTAS TOTALES'!$F244</f>
        <v>707</v>
      </c>
      <c r="AF149" s="350">
        <f>+'[98]VENTAS TOTALES'!$F244</f>
        <v>705</v>
      </c>
      <c r="AG149" s="350">
        <f>+'[99]VENTAS TOTALES'!$F244</f>
        <v>590</v>
      </c>
      <c r="AH149" s="350">
        <f>+'[100]VENTAS TOTALES'!$F244</f>
        <v>507</v>
      </c>
      <c r="AI149" s="350">
        <f>+'[101]VENTAS TOTALES'!$F244</f>
        <v>352</v>
      </c>
      <c r="AJ149" s="350">
        <f>+'[102]VENTAS TOTALES'!$F244</f>
        <v>0</v>
      </c>
    </row>
    <row r="150" spans="1:36" s="10" customFormat="1" ht="12" customHeight="1" thickBot="1" x14ac:dyDescent="0.25">
      <c r="A150" s="452"/>
      <c r="B150" s="345" t="s">
        <v>442</v>
      </c>
      <c r="C150" s="350">
        <f>+'[69]VENTAS TOTALES'!$F245</f>
        <v>1052</v>
      </c>
      <c r="D150" s="350">
        <f>+'[70]VENTAS TOTALES'!$F245</f>
        <v>454</v>
      </c>
      <c r="E150" s="350">
        <f>+'[71]VENTAS TOTALES'!$F245</f>
        <v>413</v>
      </c>
      <c r="F150" s="350">
        <f>+'[72]VENTAS TOTALES'!$F245</f>
        <v>315</v>
      </c>
      <c r="G150" s="350">
        <f>+'[73]VENTAS TOTALES'!$F245</f>
        <v>581</v>
      </c>
      <c r="H150" s="350">
        <f>+'[74]VENTAS TOTALES'!$F245</f>
        <v>0</v>
      </c>
      <c r="I150" s="350">
        <f>+'[75]VENTAS TOTALES'!$F245</f>
        <v>435</v>
      </c>
      <c r="J150" s="350">
        <f>+'[76]VENTAS TOTALES'!$F245</f>
        <v>372</v>
      </c>
      <c r="K150" s="350">
        <f>+'[77]VENTAS TOTALES'!$F245</f>
        <v>341</v>
      </c>
      <c r="L150" s="350">
        <f>+'[78]VENTAS TOTALES'!$F245</f>
        <v>219</v>
      </c>
      <c r="M150" s="350">
        <f>+'[79]VENTAS TOTALES'!$F245</f>
        <v>406</v>
      </c>
      <c r="N150" s="350">
        <f>+'[80]VENTAS TOTALES'!$F245</f>
        <v>267</v>
      </c>
      <c r="O150" s="350">
        <f>+'[81]VENTAS TOTALES'!$F245</f>
        <v>0</v>
      </c>
      <c r="P150" s="350">
        <f>+'[82]VENTAS TOTALES'!$F245</f>
        <v>516</v>
      </c>
      <c r="Q150" s="350">
        <f>+'[83]VENTAS TOTALES'!$F245</f>
        <v>399</v>
      </c>
      <c r="R150" s="350">
        <f>+'[84]VENTAS TOTALES'!$F245</f>
        <v>171</v>
      </c>
      <c r="S150" s="350">
        <f>+'[85]VENTAS TOTALES'!$F245</f>
        <v>426</v>
      </c>
      <c r="T150" s="350">
        <f>+'[86]VENTAS TOTALES'!$F245</f>
        <v>586</v>
      </c>
      <c r="U150" s="350">
        <f>+'[87]VENTAS TOTALES'!$F245</f>
        <v>444</v>
      </c>
      <c r="V150" s="350">
        <f>+'[88]VENTAS TOTALES'!$F245</f>
        <v>0</v>
      </c>
      <c r="W150" s="350">
        <f>+'[89]VENTAS TOTALES'!$F245</f>
        <v>213</v>
      </c>
      <c r="X150" s="350">
        <f>+'[90]VENTAS TOTALES'!$F245</f>
        <v>574</v>
      </c>
      <c r="Y150" s="350">
        <f>+'[91]VENTAS TOTALES'!$F245</f>
        <v>519</v>
      </c>
      <c r="Z150" s="350">
        <f>+'[92]VENTAS TOTALES'!$F245</f>
        <v>529</v>
      </c>
      <c r="AA150" s="350">
        <f>+'[93]VENTAS TOTALES'!$F245</f>
        <v>497</v>
      </c>
      <c r="AB150" s="350">
        <f>+'[94]VENTAS TOTALES'!$F245</f>
        <v>290</v>
      </c>
      <c r="AC150" s="350">
        <f>+'[95]VENTAS TOTALES'!$F245</f>
        <v>0</v>
      </c>
      <c r="AD150" s="350">
        <f>+'[96]VENTAS TOTALES'!$F245</f>
        <v>498</v>
      </c>
      <c r="AE150" s="350">
        <f>+'[97]VENTAS TOTALES'!$F245</f>
        <v>503</v>
      </c>
      <c r="AF150" s="350">
        <f>+'[98]VENTAS TOTALES'!$F245</f>
        <v>390</v>
      </c>
      <c r="AG150" s="350">
        <f>+'[99]VENTAS TOTALES'!$F245</f>
        <v>407</v>
      </c>
      <c r="AH150" s="350">
        <f>+'[100]VENTAS TOTALES'!$F245</f>
        <v>388</v>
      </c>
      <c r="AI150" s="350">
        <f>+'[101]VENTAS TOTALES'!$F245</f>
        <v>368</v>
      </c>
      <c r="AJ150" s="350">
        <f>+'[102]VENTAS TOTALES'!$F245</f>
        <v>0</v>
      </c>
    </row>
    <row r="151" spans="1:36" s="10" customFormat="1" ht="12" customHeight="1" thickBot="1" x14ac:dyDescent="0.25">
      <c r="A151" s="452"/>
      <c r="B151" s="345" t="s">
        <v>443</v>
      </c>
      <c r="C151" s="350">
        <f>+'[69]VENTAS TOTALES'!$F246</f>
        <v>1129</v>
      </c>
      <c r="D151" s="350">
        <f>+'[70]VENTAS TOTALES'!$F246</f>
        <v>1023</v>
      </c>
      <c r="E151" s="350">
        <f>+'[71]VENTAS TOTALES'!$F246</f>
        <v>881</v>
      </c>
      <c r="F151" s="350">
        <f>+'[72]VENTAS TOTALES'!$F246</f>
        <v>752</v>
      </c>
      <c r="G151" s="350">
        <f>+'[73]VENTAS TOTALES'!$F246</f>
        <v>619</v>
      </c>
      <c r="H151" s="350">
        <f>+'[74]VENTAS TOTALES'!$F246</f>
        <v>0</v>
      </c>
      <c r="I151" s="350">
        <f>+'[75]VENTAS TOTALES'!$F246</f>
        <v>1173</v>
      </c>
      <c r="J151" s="350">
        <f>+'[76]VENTAS TOTALES'!$F246</f>
        <v>796</v>
      </c>
      <c r="K151" s="350">
        <f>+'[77]VENTAS TOTALES'!$F246</f>
        <v>1031</v>
      </c>
      <c r="L151" s="350">
        <f>+'[78]VENTAS TOTALES'!$F246</f>
        <v>171</v>
      </c>
      <c r="M151" s="350">
        <f>+'[79]VENTAS TOTALES'!$F246</f>
        <v>546</v>
      </c>
      <c r="N151" s="350">
        <f>+'[80]VENTAS TOTALES'!$F246</f>
        <v>447</v>
      </c>
      <c r="O151" s="350">
        <f>+'[81]VENTAS TOTALES'!$F246</f>
        <v>0</v>
      </c>
      <c r="P151" s="350">
        <f>+'[82]VENTAS TOTALES'!$F246</f>
        <v>1164</v>
      </c>
      <c r="Q151" s="350">
        <f>+'[83]VENTAS TOTALES'!$F246</f>
        <v>856</v>
      </c>
      <c r="R151" s="350">
        <f>+'[84]VENTAS TOTALES'!$F246</f>
        <v>955</v>
      </c>
      <c r="S151" s="350">
        <f>+'[85]VENTAS TOTALES'!$F246</f>
        <v>674</v>
      </c>
      <c r="T151" s="350">
        <f>+'[86]VENTAS TOTALES'!$F246</f>
        <v>907</v>
      </c>
      <c r="U151" s="350">
        <f>+'[87]VENTAS TOTALES'!$F246</f>
        <v>498</v>
      </c>
      <c r="V151" s="350">
        <f>+'[88]VENTAS TOTALES'!$F246</f>
        <v>0</v>
      </c>
      <c r="W151" s="350">
        <f>+'[89]VENTAS TOTALES'!$F246</f>
        <v>1163</v>
      </c>
      <c r="X151" s="350">
        <f>+'[90]VENTAS TOTALES'!$F246</f>
        <v>795</v>
      </c>
      <c r="Y151" s="350">
        <f>+'[91]VENTAS TOTALES'!$F246</f>
        <v>975</v>
      </c>
      <c r="Z151" s="350">
        <f>+'[92]VENTAS TOTALES'!$F246</f>
        <v>1005</v>
      </c>
      <c r="AA151" s="350">
        <f>+'[93]VENTAS TOTALES'!$F246</f>
        <v>793</v>
      </c>
      <c r="AB151" s="350">
        <f>+'[94]VENTAS TOTALES'!$F246</f>
        <v>269</v>
      </c>
      <c r="AC151" s="350">
        <f>+'[95]VENTAS TOTALES'!$F246</f>
        <v>0</v>
      </c>
      <c r="AD151" s="350">
        <f>+'[96]VENTAS TOTALES'!$F246</f>
        <v>1387</v>
      </c>
      <c r="AE151" s="350">
        <f>+'[97]VENTAS TOTALES'!$F246</f>
        <v>1375</v>
      </c>
      <c r="AF151" s="350">
        <f>+'[98]VENTAS TOTALES'!$F246</f>
        <v>1188</v>
      </c>
      <c r="AG151" s="350">
        <f>+'[99]VENTAS TOTALES'!$F246</f>
        <v>1034</v>
      </c>
      <c r="AH151" s="350">
        <f>+'[100]VENTAS TOTALES'!$F246</f>
        <v>605</v>
      </c>
      <c r="AI151" s="350">
        <f>+'[101]VENTAS TOTALES'!$F246</f>
        <v>15</v>
      </c>
      <c r="AJ151" s="350">
        <f>+'[102]VENTAS TOTALES'!$F246</f>
        <v>0</v>
      </c>
    </row>
    <row r="152" spans="1:36" s="10" customFormat="1" ht="12" customHeight="1" thickBot="1" x14ac:dyDescent="0.25">
      <c r="A152" s="452"/>
      <c r="B152" s="345" t="s">
        <v>444</v>
      </c>
      <c r="C152" s="350">
        <f>+'[69]VENTAS TOTALES'!$F247</f>
        <v>470</v>
      </c>
      <c r="D152" s="350">
        <f>+'[70]VENTAS TOTALES'!$F247</f>
        <v>1275</v>
      </c>
      <c r="E152" s="350">
        <f>+'[71]VENTAS TOTALES'!$F247</f>
        <v>1321</v>
      </c>
      <c r="F152" s="350">
        <f>+'[72]VENTAS TOTALES'!$F247</f>
        <v>1198</v>
      </c>
      <c r="G152" s="350">
        <f>+'[73]VENTAS TOTALES'!$F247</f>
        <v>1210</v>
      </c>
      <c r="H152" s="350">
        <f>+'[74]VENTAS TOTALES'!$F247</f>
        <v>0</v>
      </c>
      <c r="I152" s="350">
        <f>+'[75]VENTAS TOTALES'!$F247</f>
        <v>1352</v>
      </c>
      <c r="J152" s="350">
        <f>+'[76]VENTAS TOTALES'!$F247</f>
        <v>866</v>
      </c>
      <c r="K152" s="350">
        <f>+'[77]VENTAS TOTALES'!$F247</f>
        <v>1252</v>
      </c>
      <c r="L152" s="350">
        <f>+'[78]VENTAS TOTALES'!$F247</f>
        <v>1234</v>
      </c>
      <c r="M152" s="350">
        <f>+'[79]VENTAS TOTALES'!$F247</f>
        <v>1062</v>
      </c>
      <c r="N152" s="350">
        <f>+'[80]VENTAS TOTALES'!$F247</f>
        <v>1006</v>
      </c>
      <c r="O152" s="350">
        <f>+'[81]VENTAS TOTALES'!$F247</f>
        <v>0</v>
      </c>
      <c r="P152" s="350">
        <f>+'[82]VENTAS TOTALES'!$F247</f>
        <v>1302</v>
      </c>
      <c r="Q152" s="350">
        <f>+'[83]VENTAS TOTALES'!$F247</f>
        <v>1144</v>
      </c>
      <c r="R152" s="350">
        <f>+'[84]VENTAS TOTALES'!$F247</f>
        <v>1310</v>
      </c>
      <c r="S152" s="350">
        <f>+'[85]VENTAS TOTALES'!$F247</f>
        <v>1024</v>
      </c>
      <c r="T152" s="350">
        <f>+'[86]VENTAS TOTALES'!$F247</f>
        <v>1270</v>
      </c>
      <c r="U152" s="350">
        <f>+'[87]VENTAS TOTALES'!$F247</f>
        <v>1326</v>
      </c>
      <c r="V152" s="350">
        <f>+'[88]VENTAS TOTALES'!$F247</f>
        <v>0</v>
      </c>
      <c r="W152" s="350">
        <f>+'[89]VENTAS TOTALES'!$F247</f>
        <v>1015</v>
      </c>
      <c r="X152" s="350">
        <f>+'[90]VENTAS TOTALES'!$F247</f>
        <v>1103</v>
      </c>
      <c r="Y152" s="350">
        <f>+'[91]VENTAS TOTALES'!$F247</f>
        <v>1204</v>
      </c>
      <c r="Z152" s="350">
        <f>+'[92]VENTAS TOTALES'!$F247</f>
        <v>1358</v>
      </c>
      <c r="AA152" s="350">
        <f>+'[93]VENTAS TOTALES'!$F247</f>
        <v>1085</v>
      </c>
      <c r="AB152" s="350">
        <f>+'[94]VENTAS TOTALES'!$F247</f>
        <v>842</v>
      </c>
      <c r="AC152" s="350">
        <f>+'[95]VENTAS TOTALES'!$F247</f>
        <v>0</v>
      </c>
      <c r="AD152" s="350">
        <f>+'[96]VENTAS TOTALES'!$F247</f>
        <v>993</v>
      </c>
      <c r="AE152" s="350">
        <f>+'[97]VENTAS TOTALES'!$F247</f>
        <v>1362</v>
      </c>
      <c r="AF152" s="350">
        <f>+'[98]VENTAS TOTALES'!$F247</f>
        <v>1120</v>
      </c>
      <c r="AG152" s="350">
        <f>+'[99]VENTAS TOTALES'!$F247</f>
        <v>1218</v>
      </c>
      <c r="AH152" s="350">
        <f>+'[100]VENTAS TOTALES'!$F247</f>
        <v>1224</v>
      </c>
      <c r="AI152" s="350">
        <f>+'[101]VENTAS TOTALES'!$F247</f>
        <v>1086</v>
      </c>
      <c r="AJ152" s="350">
        <f>+'[102]VENTAS TOTALES'!$F247</f>
        <v>0</v>
      </c>
    </row>
    <row r="153" spans="1:36" s="10" customFormat="1" ht="12" customHeight="1" thickBot="1" x14ac:dyDescent="0.25">
      <c r="A153" s="452"/>
      <c r="B153" s="345" t="s">
        <v>446</v>
      </c>
      <c r="C153" s="350">
        <f>+'[69]VENTAS TOTALES'!$F248</f>
        <v>113</v>
      </c>
      <c r="D153" s="350">
        <f>+'[70]VENTAS TOTALES'!$F248</f>
        <v>160</v>
      </c>
      <c r="E153" s="350">
        <f>+'[71]VENTAS TOTALES'!$F248</f>
        <v>201</v>
      </c>
      <c r="F153" s="350">
        <f>+'[72]VENTAS TOTALES'!$F248</f>
        <v>156</v>
      </c>
      <c r="G153" s="350">
        <f>+'[73]VENTAS TOTALES'!$F248</f>
        <v>191</v>
      </c>
      <c r="H153" s="350">
        <f>+'[74]VENTAS TOTALES'!$F248</f>
        <v>0</v>
      </c>
      <c r="I153" s="350">
        <f>+'[75]VENTAS TOTALES'!$F248</f>
        <v>287</v>
      </c>
      <c r="J153" s="350">
        <f>+'[76]VENTAS TOTALES'!$F248</f>
        <v>392</v>
      </c>
      <c r="K153" s="350">
        <f>+'[77]VENTAS TOTALES'!$F248</f>
        <v>262</v>
      </c>
      <c r="L153" s="350">
        <f>+'[78]VENTAS TOTALES'!$F248</f>
        <v>236</v>
      </c>
      <c r="M153" s="350">
        <f>+'[79]VENTAS TOTALES'!$F248</f>
        <v>227</v>
      </c>
      <c r="N153" s="350">
        <f>+'[80]VENTAS TOTALES'!$F248</f>
        <v>72</v>
      </c>
      <c r="O153" s="350">
        <f>+'[81]VENTAS TOTALES'!$F248</f>
        <v>0</v>
      </c>
      <c r="P153" s="350">
        <f>+'[82]VENTAS TOTALES'!$F248</f>
        <v>208</v>
      </c>
      <c r="Q153" s="350">
        <f>+'[83]VENTAS TOTALES'!$F248</f>
        <v>173</v>
      </c>
      <c r="R153" s="350">
        <f>+'[84]VENTAS TOTALES'!$F248</f>
        <v>206</v>
      </c>
      <c r="S153" s="350">
        <f>+'[85]VENTAS TOTALES'!$F248</f>
        <v>227</v>
      </c>
      <c r="T153" s="350">
        <f>+'[86]VENTAS TOTALES'!$F248</f>
        <v>285</v>
      </c>
      <c r="U153" s="350">
        <f>+'[87]VENTAS TOTALES'!$F248</f>
        <v>103</v>
      </c>
      <c r="V153" s="350">
        <f>+'[88]VENTAS TOTALES'!$F248</f>
        <v>0</v>
      </c>
      <c r="W153" s="350">
        <f>+'[89]VENTAS TOTALES'!$F248</f>
        <v>207</v>
      </c>
      <c r="X153" s="350">
        <f>+'[90]VENTAS TOTALES'!$F248</f>
        <v>337</v>
      </c>
      <c r="Y153" s="350">
        <f>+'[91]VENTAS TOTALES'!$F248</f>
        <v>302</v>
      </c>
      <c r="Z153" s="350">
        <f>+'[92]VENTAS TOTALES'!$F248</f>
        <v>310</v>
      </c>
      <c r="AA153" s="350">
        <f>+'[93]VENTAS TOTALES'!$F248</f>
        <v>327</v>
      </c>
      <c r="AB153" s="350">
        <f>+'[94]VENTAS TOTALES'!$F248</f>
        <v>127</v>
      </c>
      <c r="AC153" s="350">
        <f>+'[95]VENTAS TOTALES'!$F248</f>
        <v>0</v>
      </c>
      <c r="AD153" s="350">
        <f>+'[96]VENTAS TOTALES'!$F248</f>
        <v>412</v>
      </c>
      <c r="AE153" s="350">
        <f>+'[97]VENTAS TOTALES'!$F248</f>
        <v>481</v>
      </c>
      <c r="AF153" s="350">
        <f>+'[98]VENTAS TOTALES'!$F248</f>
        <v>531</v>
      </c>
      <c r="AG153" s="350">
        <f>+'[99]VENTAS TOTALES'!$F248</f>
        <v>342</v>
      </c>
      <c r="AH153" s="350">
        <f>+'[100]VENTAS TOTALES'!$F248</f>
        <v>463</v>
      </c>
      <c r="AI153" s="350">
        <f>+'[101]VENTAS TOTALES'!$F248</f>
        <v>125</v>
      </c>
      <c r="AJ153" s="350">
        <f>+'[102]VENTAS TOTALES'!$F248</f>
        <v>0</v>
      </c>
    </row>
    <row r="154" spans="1:36" s="10" customFormat="1" ht="12" customHeight="1" thickBot="1" x14ac:dyDescent="0.25">
      <c r="A154" s="452"/>
      <c r="B154" s="345" t="s">
        <v>447</v>
      </c>
      <c r="C154" s="350">
        <f>+'[69]VENTAS TOTALES'!$F249</f>
        <v>130</v>
      </c>
      <c r="D154" s="350">
        <f>+'[70]VENTAS TOTALES'!$F249</f>
        <v>189</v>
      </c>
      <c r="E154" s="350">
        <f>+'[71]VENTAS TOTALES'!$F249</f>
        <v>135</v>
      </c>
      <c r="F154" s="350">
        <f>+'[72]VENTAS TOTALES'!$F249</f>
        <v>128</v>
      </c>
      <c r="G154" s="350">
        <f>+'[73]VENTAS TOTALES'!$F249</f>
        <v>162</v>
      </c>
      <c r="H154" s="350">
        <f>+'[74]VENTAS TOTALES'!$F249</f>
        <v>0</v>
      </c>
      <c r="I154" s="350">
        <f>+'[75]VENTAS TOTALES'!$F249</f>
        <v>188</v>
      </c>
      <c r="J154" s="350">
        <f>+'[76]VENTAS TOTALES'!$F249</f>
        <v>171</v>
      </c>
      <c r="K154" s="350">
        <f>+'[77]VENTAS TOTALES'!$F249</f>
        <v>209</v>
      </c>
      <c r="L154" s="350">
        <f>+'[78]VENTAS TOTALES'!$F249</f>
        <v>196</v>
      </c>
      <c r="M154" s="350">
        <f>+'[79]VENTAS TOTALES'!$F249</f>
        <v>190</v>
      </c>
      <c r="N154" s="350">
        <f>+'[80]VENTAS TOTALES'!$F249</f>
        <v>76</v>
      </c>
      <c r="O154" s="350">
        <f>+'[81]VENTAS TOTALES'!$F249</f>
        <v>0</v>
      </c>
      <c r="P154" s="350">
        <f>+'[82]VENTAS TOTALES'!$F249</f>
        <v>147</v>
      </c>
      <c r="Q154" s="350">
        <f>+'[83]VENTAS TOTALES'!$F249</f>
        <v>169</v>
      </c>
      <c r="R154" s="350">
        <f>+'[84]VENTAS TOTALES'!$F249</f>
        <v>193</v>
      </c>
      <c r="S154" s="350">
        <f>+'[85]VENTAS TOTALES'!$F249</f>
        <v>205</v>
      </c>
      <c r="T154" s="350">
        <f>+'[86]VENTAS TOTALES'!$F249</f>
        <v>115</v>
      </c>
      <c r="U154" s="350">
        <f>+'[87]VENTAS TOTALES'!$F249</f>
        <v>269</v>
      </c>
      <c r="V154" s="350">
        <f>+'[88]VENTAS TOTALES'!$F249</f>
        <v>0</v>
      </c>
      <c r="W154" s="350">
        <f>+'[89]VENTAS TOTALES'!$F249</f>
        <v>73</v>
      </c>
      <c r="X154" s="350">
        <f>+'[90]VENTAS TOTALES'!$F249</f>
        <v>133</v>
      </c>
      <c r="Y154" s="350">
        <f>+'[91]VENTAS TOTALES'!$F249</f>
        <v>79</v>
      </c>
      <c r="Z154" s="350">
        <f>+'[92]VENTAS TOTALES'!$F249</f>
        <v>159</v>
      </c>
      <c r="AA154" s="350">
        <f>+'[93]VENTAS TOTALES'!$F249</f>
        <v>139</v>
      </c>
      <c r="AB154" s="350">
        <f>+'[94]VENTAS TOTALES'!$F249</f>
        <v>113</v>
      </c>
      <c r="AC154" s="350">
        <f>+'[95]VENTAS TOTALES'!$F249</f>
        <v>0</v>
      </c>
      <c r="AD154" s="350">
        <f>+'[96]VENTAS TOTALES'!$F249</f>
        <v>294</v>
      </c>
      <c r="AE154" s="350">
        <f>+'[97]VENTAS TOTALES'!$F249</f>
        <v>127</v>
      </c>
      <c r="AF154" s="350">
        <f>+'[98]VENTAS TOTALES'!$F249</f>
        <v>104</v>
      </c>
      <c r="AG154" s="350">
        <f>+'[99]VENTAS TOTALES'!$F249</f>
        <v>287</v>
      </c>
      <c r="AH154" s="350">
        <f>+'[100]VENTAS TOTALES'!$F249</f>
        <v>187</v>
      </c>
      <c r="AI154" s="350">
        <f>+'[101]VENTAS TOTALES'!$F249</f>
        <v>174</v>
      </c>
      <c r="AJ154" s="350">
        <f>+'[102]VENTAS TOTALES'!$F249</f>
        <v>0</v>
      </c>
    </row>
    <row r="155" spans="1:36" s="10" customFormat="1" ht="12" customHeight="1" thickBot="1" x14ac:dyDescent="0.25">
      <c r="A155" s="452"/>
      <c r="B155" s="345" t="s">
        <v>448</v>
      </c>
      <c r="C155" s="350">
        <f>+'[69]VENTAS TOTALES'!$F250</f>
        <v>182</v>
      </c>
      <c r="D155" s="350">
        <f>+'[70]VENTAS TOTALES'!$F250</f>
        <v>182</v>
      </c>
      <c r="E155" s="350">
        <f>+'[71]VENTAS TOTALES'!$F250</f>
        <v>77</v>
      </c>
      <c r="F155" s="350">
        <f>+'[72]VENTAS TOTALES'!$F250</f>
        <v>117</v>
      </c>
      <c r="G155" s="350">
        <f>+'[73]VENTAS TOTALES'!$F250</f>
        <v>26</v>
      </c>
      <c r="H155" s="350">
        <f>+'[74]VENTAS TOTALES'!$F250</f>
        <v>0</v>
      </c>
      <c r="I155" s="350">
        <f>+'[75]VENTAS TOTALES'!$F250</f>
        <v>165</v>
      </c>
      <c r="J155" s="350">
        <f>+'[76]VENTAS TOTALES'!$F250</f>
        <v>190</v>
      </c>
      <c r="K155" s="350">
        <f>+'[77]VENTAS TOTALES'!$F250</f>
        <v>187</v>
      </c>
      <c r="L155" s="350">
        <f>+'[78]VENTAS TOTALES'!$F250</f>
        <v>209</v>
      </c>
      <c r="M155" s="350">
        <f>+'[79]VENTAS TOTALES'!$F250</f>
        <v>198</v>
      </c>
      <c r="N155" s="350">
        <f>+'[80]VENTAS TOTALES'!$F250</f>
        <v>16</v>
      </c>
      <c r="O155" s="350">
        <f>+'[81]VENTAS TOTALES'!$F250</f>
        <v>0</v>
      </c>
      <c r="P155" s="350">
        <f>+'[82]VENTAS TOTALES'!$F250</f>
        <v>227</v>
      </c>
      <c r="Q155" s="350">
        <f>+'[83]VENTAS TOTALES'!$F250</f>
        <v>71</v>
      </c>
      <c r="R155" s="350">
        <f>+'[84]VENTAS TOTALES'!$F250</f>
        <v>78</v>
      </c>
      <c r="S155" s="350">
        <f>+'[85]VENTAS TOTALES'!$F250</f>
        <v>278</v>
      </c>
      <c r="T155" s="350">
        <f>+'[86]VENTAS TOTALES'!$F250</f>
        <v>124</v>
      </c>
      <c r="U155" s="350">
        <f>+'[87]VENTAS TOTALES'!$F250</f>
        <v>12</v>
      </c>
      <c r="V155" s="350">
        <f>+'[88]VENTAS TOTALES'!$F250</f>
        <v>0</v>
      </c>
      <c r="W155" s="350">
        <f>+'[89]VENTAS TOTALES'!$F250</f>
        <v>43</v>
      </c>
      <c r="X155" s="350">
        <f>+'[90]VENTAS TOTALES'!$F250</f>
        <v>213</v>
      </c>
      <c r="Y155" s="350">
        <f>+'[91]VENTAS TOTALES'!$F250</f>
        <v>51</v>
      </c>
      <c r="Z155" s="350">
        <f>+'[92]VENTAS TOTALES'!$F250</f>
        <v>115</v>
      </c>
      <c r="AA155" s="350">
        <f>+'[93]VENTAS TOTALES'!$F250</f>
        <v>91</v>
      </c>
      <c r="AB155" s="350">
        <f>+'[94]VENTAS TOTALES'!$F250</f>
        <v>3</v>
      </c>
      <c r="AC155" s="350">
        <f>+'[95]VENTAS TOTALES'!$F250</f>
        <v>0</v>
      </c>
      <c r="AD155" s="350">
        <f>+'[96]VENTAS TOTALES'!$F250</f>
        <v>186</v>
      </c>
      <c r="AE155" s="350">
        <f>+'[97]VENTAS TOTALES'!$F250</f>
        <v>139</v>
      </c>
      <c r="AF155" s="350">
        <f>+'[98]VENTAS TOTALES'!$F250</f>
        <v>218</v>
      </c>
      <c r="AG155" s="350">
        <f>+'[99]VENTAS TOTALES'!$F250</f>
        <v>81</v>
      </c>
      <c r="AH155" s="350">
        <f>+'[100]VENTAS TOTALES'!$F250</f>
        <v>157</v>
      </c>
      <c r="AI155" s="350">
        <f>+'[101]VENTAS TOTALES'!$F250</f>
        <v>68</v>
      </c>
      <c r="AJ155" s="350">
        <f>+'[102]VENTAS TOTALES'!$F250</f>
        <v>0</v>
      </c>
    </row>
    <row r="156" spans="1:36" s="10" customFormat="1" ht="12" customHeight="1" thickBot="1" x14ac:dyDescent="0.25">
      <c r="A156" s="452"/>
      <c r="B156" s="345" t="s">
        <v>449</v>
      </c>
      <c r="C156" s="350">
        <f>+'[69]VENTAS TOTALES'!$F251</f>
        <v>175</v>
      </c>
      <c r="D156" s="350">
        <f>+'[70]VENTAS TOTALES'!$F251</f>
        <v>143</v>
      </c>
      <c r="E156" s="350">
        <f>+'[71]VENTAS TOTALES'!$F251</f>
        <v>204</v>
      </c>
      <c r="F156" s="350">
        <f>+'[72]VENTAS TOTALES'!$F251</f>
        <v>74</v>
      </c>
      <c r="G156" s="350">
        <f>+'[73]VENTAS TOTALES'!$F251</f>
        <v>369</v>
      </c>
      <c r="H156" s="350">
        <f>+'[74]VENTAS TOTALES'!$F251</f>
        <v>0</v>
      </c>
      <c r="I156" s="350">
        <f>+'[75]VENTAS TOTALES'!$F251</f>
        <v>573</v>
      </c>
      <c r="J156" s="350">
        <f>+'[76]VENTAS TOTALES'!$F251</f>
        <v>451</v>
      </c>
      <c r="K156" s="350">
        <f>+'[77]VENTAS TOTALES'!$F251</f>
        <v>505</v>
      </c>
      <c r="L156" s="350">
        <f>+'[78]VENTAS TOTALES'!$F251</f>
        <v>341</v>
      </c>
      <c r="M156" s="350">
        <f>+'[79]VENTAS TOTALES'!$F251</f>
        <v>129</v>
      </c>
      <c r="N156" s="350">
        <f>+'[80]VENTAS TOTALES'!$F251</f>
        <v>5</v>
      </c>
      <c r="O156" s="350">
        <f>+'[81]VENTAS TOTALES'!$F251</f>
        <v>0</v>
      </c>
      <c r="P156" s="350">
        <f>+'[82]VENTAS TOTALES'!$F251</f>
        <v>293</v>
      </c>
      <c r="Q156" s="350">
        <f>+'[83]VENTAS TOTALES'!$F251</f>
        <v>431</v>
      </c>
      <c r="R156" s="350">
        <f>+'[84]VENTAS TOTALES'!$F251</f>
        <v>344</v>
      </c>
      <c r="S156" s="350">
        <f>+'[85]VENTAS TOTALES'!$F251</f>
        <v>602</v>
      </c>
      <c r="T156" s="350">
        <f>+'[86]VENTAS TOTALES'!$F251</f>
        <v>252</v>
      </c>
      <c r="U156" s="350">
        <f>+'[87]VENTAS TOTALES'!$F251</f>
        <v>586</v>
      </c>
      <c r="V156" s="350">
        <f>+'[88]VENTAS TOTALES'!$F251</f>
        <v>0</v>
      </c>
      <c r="W156" s="350">
        <f>+'[89]VENTAS TOTALES'!$F251</f>
        <v>930</v>
      </c>
      <c r="X156" s="350">
        <f>+'[90]VENTAS TOTALES'!$F251</f>
        <v>405</v>
      </c>
      <c r="Y156" s="350">
        <f>+'[91]VENTAS TOTALES'!$F251</f>
        <v>267</v>
      </c>
      <c r="Z156" s="350">
        <f>+'[92]VENTAS TOTALES'!$F251</f>
        <v>242</v>
      </c>
      <c r="AA156" s="350">
        <f>+'[93]VENTAS TOTALES'!$F251</f>
        <v>109</v>
      </c>
      <c r="AB156" s="350">
        <f>+'[94]VENTAS TOTALES'!$F251</f>
        <v>269</v>
      </c>
      <c r="AC156" s="350">
        <f>+'[95]VENTAS TOTALES'!$F251</f>
        <v>0</v>
      </c>
      <c r="AD156" s="350">
        <f>+'[96]VENTAS TOTALES'!$F251</f>
        <v>365</v>
      </c>
      <c r="AE156" s="350">
        <f>+'[97]VENTAS TOTALES'!$F251</f>
        <v>360</v>
      </c>
      <c r="AF156" s="350">
        <f>+'[98]VENTAS TOTALES'!$F251</f>
        <v>90</v>
      </c>
      <c r="AG156" s="350">
        <f>+'[99]VENTAS TOTALES'!$F251</f>
        <v>252</v>
      </c>
      <c r="AH156" s="350">
        <f>+'[100]VENTAS TOTALES'!$F251</f>
        <v>294</v>
      </c>
      <c r="AI156" s="350">
        <f>+'[101]VENTAS TOTALES'!$F251</f>
        <v>54</v>
      </c>
      <c r="AJ156" s="350">
        <f>+'[102]VENTAS TOTALES'!$F251</f>
        <v>0</v>
      </c>
    </row>
    <row r="157" spans="1:36" s="10" customFormat="1" ht="12" customHeight="1" thickBot="1" x14ac:dyDescent="0.25">
      <c r="A157" s="452"/>
      <c r="B157" s="345" t="s">
        <v>445</v>
      </c>
      <c r="C157" s="350">
        <f>+'[69]VENTAS TOTALES'!$F252</f>
        <v>159</v>
      </c>
      <c r="D157" s="350">
        <f>+'[70]VENTAS TOTALES'!$F252</f>
        <v>179</v>
      </c>
      <c r="E157" s="350">
        <f>+'[71]VENTAS TOTALES'!$F252</f>
        <v>124</v>
      </c>
      <c r="F157" s="350">
        <f>+'[72]VENTAS TOTALES'!$F252</f>
        <v>163</v>
      </c>
      <c r="G157" s="350">
        <f>+'[73]VENTAS TOTALES'!$F252</f>
        <v>188</v>
      </c>
      <c r="H157" s="350">
        <f>+'[74]VENTAS TOTALES'!$F252</f>
        <v>0</v>
      </c>
      <c r="I157" s="350">
        <f>+'[75]VENTAS TOTALES'!$F252</f>
        <v>163</v>
      </c>
      <c r="J157" s="350">
        <f>+'[76]VENTAS TOTALES'!$F252</f>
        <v>142</v>
      </c>
      <c r="K157" s="350">
        <f>+'[77]VENTAS TOTALES'!$F252</f>
        <v>127</v>
      </c>
      <c r="L157" s="350">
        <f>+'[78]VENTAS TOTALES'!$F252</f>
        <v>152</v>
      </c>
      <c r="M157" s="350">
        <f>+'[79]VENTAS TOTALES'!$F252</f>
        <v>0</v>
      </c>
      <c r="N157" s="350">
        <f>+'[80]VENTAS TOTALES'!$F252</f>
        <v>102</v>
      </c>
      <c r="O157" s="350">
        <f>+'[81]VENTAS TOTALES'!$F252</f>
        <v>0</v>
      </c>
      <c r="P157" s="350">
        <f>+'[82]VENTAS TOTALES'!$F252</f>
        <v>194</v>
      </c>
      <c r="Q157" s="350">
        <f>+'[83]VENTAS TOTALES'!$F252</f>
        <v>107</v>
      </c>
      <c r="R157" s="350">
        <f>+'[84]VENTAS TOTALES'!$F252</f>
        <v>276</v>
      </c>
      <c r="S157" s="350">
        <f>+'[85]VENTAS TOTALES'!$F252</f>
        <v>47</v>
      </c>
      <c r="T157" s="350">
        <f>+'[86]VENTAS TOTALES'!$F252</f>
        <v>284</v>
      </c>
      <c r="U157" s="350">
        <f>+'[87]VENTAS TOTALES'!$F252</f>
        <v>171</v>
      </c>
      <c r="V157" s="350">
        <f>+'[88]VENTAS TOTALES'!$F252</f>
        <v>0</v>
      </c>
      <c r="W157" s="350">
        <f>+'[89]VENTAS TOTALES'!$F252</f>
        <v>267</v>
      </c>
      <c r="X157" s="350">
        <f>+'[90]VENTAS TOTALES'!$F252</f>
        <v>133</v>
      </c>
      <c r="Y157" s="350">
        <f>+'[91]VENTAS TOTALES'!$F252</f>
        <v>178</v>
      </c>
      <c r="Z157" s="350">
        <f>+'[92]VENTAS TOTALES'!$F252</f>
        <v>245</v>
      </c>
      <c r="AA157" s="350">
        <f>+'[93]VENTAS TOTALES'!$F252</f>
        <v>236</v>
      </c>
      <c r="AB157" s="350">
        <f>+'[94]VENTAS TOTALES'!$F252</f>
        <v>104</v>
      </c>
      <c r="AC157" s="350">
        <f>+'[95]VENTAS TOTALES'!$F252</f>
        <v>0</v>
      </c>
      <c r="AD157" s="350">
        <f>+'[96]VENTAS TOTALES'!$F252</f>
        <v>249</v>
      </c>
      <c r="AE157" s="350">
        <f>+'[97]VENTAS TOTALES'!$F252</f>
        <v>340</v>
      </c>
      <c r="AF157" s="350">
        <f>+'[98]VENTAS TOTALES'!$F252</f>
        <v>278</v>
      </c>
      <c r="AG157" s="350">
        <f>+'[99]VENTAS TOTALES'!$F252</f>
        <v>209</v>
      </c>
      <c r="AH157" s="350">
        <f>+'[100]VENTAS TOTALES'!$F252</f>
        <v>220</v>
      </c>
      <c r="AI157" s="350">
        <f>+'[101]VENTAS TOTALES'!$F252</f>
        <v>169</v>
      </c>
      <c r="AJ157" s="350">
        <f>+'[102]VENTAS TOTALES'!$F252</f>
        <v>0</v>
      </c>
    </row>
    <row r="158" spans="1:36" s="10" customFormat="1" ht="12" customHeight="1" thickBot="1" x14ac:dyDescent="0.25">
      <c r="A158" s="452"/>
      <c r="B158" s="345" t="s">
        <v>450</v>
      </c>
      <c r="C158" s="350">
        <f>+'[69]VENTAS TOTALES'!$F253</f>
        <v>107</v>
      </c>
      <c r="D158" s="350">
        <f>+'[70]VENTAS TOTALES'!$F253</f>
        <v>65</v>
      </c>
      <c r="E158" s="350">
        <f>+'[71]VENTAS TOTALES'!$F253</f>
        <v>17</v>
      </c>
      <c r="F158" s="350">
        <f>+'[72]VENTAS TOTALES'!$F253</f>
        <v>28</v>
      </c>
      <c r="G158" s="350">
        <f>+'[73]VENTAS TOTALES'!$F253</f>
        <v>20</v>
      </c>
      <c r="H158" s="350">
        <f>+'[74]VENTAS TOTALES'!$F253</f>
        <v>0</v>
      </c>
      <c r="I158" s="350">
        <f>+'[75]VENTAS TOTALES'!$F253</f>
        <v>24</v>
      </c>
      <c r="J158" s="350">
        <f>+'[76]VENTAS TOTALES'!$F253</f>
        <v>29</v>
      </c>
      <c r="K158" s="350">
        <f>+'[77]VENTAS TOTALES'!$F253</f>
        <v>26</v>
      </c>
      <c r="L158" s="350">
        <f>+'[78]VENTAS TOTALES'!$F253</f>
        <v>33</v>
      </c>
      <c r="M158" s="350">
        <f>+'[79]VENTAS TOTALES'!$F253</f>
        <v>40</v>
      </c>
      <c r="N158" s="350">
        <f>+'[80]VENTAS TOTALES'!$F253</f>
        <v>18</v>
      </c>
      <c r="O158" s="350">
        <f>+'[81]VENTAS TOTALES'!$F253</f>
        <v>0</v>
      </c>
      <c r="P158" s="350">
        <f>+'[82]VENTAS TOTALES'!$F253</f>
        <v>94</v>
      </c>
      <c r="Q158" s="350">
        <f>+'[83]VENTAS TOTALES'!$F253</f>
        <v>60</v>
      </c>
      <c r="R158" s="350">
        <f>+'[84]VENTAS TOTALES'!$F253</f>
        <v>40</v>
      </c>
      <c r="S158" s="350">
        <f>+'[85]VENTAS TOTALES'!$F253</f>
        <v>25</v>
      </c>
      <c r="T158" s="350">
        <f>+'[86]VENTAS TOTALES'!$F253</f>
        <v>66</v>
      </c>
      <c r="U158" s="350">
        <f>+'[87]VENTAS TOTALES'!$F253</f>
        <v>39</v>
      </c>
      <c r="V158" s="350">
        <f>+'[88]VENTAS TOTALES'!$F253</f>
        <v>0</v>
      </c>
      <c r="W158" s="350">
        <f>+'[89]VENTAS TOTALES'!$F253</f>
        <v>215</v>
      </c>
      <c r="X158" s="350">
        <f>+'[90]VENTAS TOTALES'!$F253</f>
        <v>104</v>
      </c>
      <c r="Y158" s="350">
        <f>+'[91]VENTAS TOTALES'!$F253</f>
        <v>108</v>
      </c>
      <c r="Z158" s="350">
        <f>+'[92]VENTAS TOTALES'!$F253</f>
        <v>160</v>
      </c>
      <c r="AA158" s="350">
        <f>+'[93]VENTAS TOTALES'!$F253</f>
        <v>107</v>
      </c>
      <c r="AB158" s="350">
        <f>+'[94]VENTAS TOTALES'!$F253</f>
        <v>35</v>
      </c>
      <c r="AC158" s="350">
        <f>+'[95]VENTAS TOTALES'!$F253</f>
        <v>0</v>
      </c>
      <c r="AD158" s="350">
        <f>+'[96]VENTAS TOTALES'!$F253</f>
        <v>140</v>
      </c>
      <c r="AE158" s="350">
        <f>+'[97]VENTAS TOTALES'!$F253</f>
        <v>93</v>
      </c>
      <c r="AF158" s="350">
        <f>+'[98]VENTAS TOTALES'!$F253</f>
        <v>141</v>
      </c>
      <c r="AG158" s="350">
        <f>+'[99]VENTAS TOTALES'!$F253</f>
        <v>175</v>
      </c>
      <c r="AH158" s="350">
        <f>+'[100]VENTAS TOTALES'!$F253</f>
        <v>103</v>
      </c>
      <c r="AI158" s="350">
        <f>+'[101]VENTAS TOTALES'!$F253</f>
        <v>77</v>
      </c>
      <c r="AJ158" s="350">
        <f>+'[102]VENTAS TOTALES'!$F253</f>
        <v>0</v>
      </c>
    </row>
    <row r="159" spans="1:36" s="10" customFormat="1" ht="12" customHeight="1" thickBot="1" x14ac:dyDescent="0.25">
      <c r="A159" s="452"/>
      <c r="B159" s="345" t="s">
        <v>451</v>
      </c>
      <c r="C159" s="350">
        <f>+'[69]VENTAS TOTALES'!$F254</f>
        <v>720</v>
      </c>
      <c r="D159" s="350">
        <f>+'[70]VENTAS TOTALES'!$F254</f>
        <v>721</v>
      </c>
      <c r="E159" s="350">
        <f>+'[71]VENTAS TOTALES'!$F254</f>
        <v>367</v>
      </c>
      <c r="F159" s="350">
        <f>+'[72]VENTAS TOTALES'!$F254</f>
        <v>475</v>
      </c>
      <c r="G159" s="350">
        <f>+'[73]VENTAS TOTALES'!$F254</f>
        <v>225</v>
      </c>
      <c r="H159" s="350">
        <f>+'[74]VENTAS TOTALES'!$F254</f>
        <v>0</v>
      </c>
      <c r="I159" s="350">
        <f>+'[75]VENTAS TOTALES'!$F254</f>
        <v>826</v>
      </c>
      <c r="J159" s="350">
        <f>+'[76]VENTAS TOTALES'!$F254</f>
        <v>629</v>
      </c>
      <c r="K159" s="350">
        <f>+'[77]VENTAS TOTALES'!$F254</f>
        <v>735</v>
      </c>
      <c r="L159" s="350">
        <f>+'[78]VENTAS TOTALES'!$F254</f>
        <v>491</v>
      </c>
      <c r="M159" s="350">
        <f>+'[79]VENTAS TOTALES'!$F254</f>
        <v>518</v>
      </c>
      <c r="N159" s="350">
        <f>+'[80]VENTAS TOTALES'!$F254</f>
        <v>243</v>
      </c>
      <c r="O159" s="350">
        <f>+'[81]VENTAS TOTALES'!$F254</f>
        <v>0</v>
      </c>
      <c r="P159" s="350">
        <f>+'[82]VENTAS TOTALES'!$F254</f>
        <v>828</v>
      </c>
      <c r="Q159" s="350">
        <f>+'[83]VENTAS TOTALES'!$F254</f>
        <v>775</v>
      </c>
      <c r="R159" s="350">
        <f>+'[84]VENTAS TOTALES'!$F254</f>
        <v>657</v>
      </c>
      <c r="S159" s="350">
        <f>+'[85]VENTAS TOTALES'!$F254</f>
        <v>529</v>
      </c>
      <c r="T159" s="350">
        <f>+'[86]VENTAS TOTALES'!$F254</f>
        <v>573</v>
      </c>
      <c r="U159" s="350">
        <f>+'[87]VENTAS TOTALES'!$F254</f>
        <v>133</v>
      </c>
      <c r="V159" s="350">
        <f>+'[88]VENTAS TOTALES'!$F254</f>
        <v>0</v>
      </c>
      <c r="W159" s="350">
        <f>+'[89]VENTAS TOTALES'!$F254</f>
        <v>962</v>
      </c>
      <c r="X159" s="350">
        <f>+'[90]VENTAS TOTALES'!$F254</f>
        <v>495</v>
      </c>
      <c r="Y159" s="350">
        <f>+'[91]VENTAS TOTALES'!$F254</f>
        <v>525</v>
      </c>
      <c r="Z159" s="350">
        <f>+'[92]VENTAS TOTALES'!$F254</f>
        <v>529</v>
      </c>
      <c r="AA159" s="350">
        <f>+'[93]VENTAS TOTALES'!$F254</f>
        <v>291</v>
      </c>
      <c r="AB159" s="350">
        <f>+'[94]VENTAS TOTALES'!$F254</f>
        <v>322</v>
      </c>
      <c r="AC159" s="350">
        <f>+'[95]VENTAS TOTALES'!$F254</f>
        <v>0</v>
      </c>
      <c r="AD159" s="350">
        <f>+'[96]VENTAS TOTALES'!$F254</f>
        <v>836</v>
      </c>
      <c r="AE159" s="350">
        <f>+'[97]VENTAS TOTALES'!$F254</f>
        <v>1006</v>
      </c>
      <c r="AF159" s="350">
        <f>+'[98]VENTAS TOTALES'!$F254</f>
        <v>1005</v>
      </c>
      <c r="AG159" s="350">
        <f>+'[99]VENTAS TOTALES'!$F254</f>
        <v>633</v>
      </c>
      <c r="AH159" s="350">
        <f>+'[100]VENTAS TOTALES'!$F254</f>
        <v>713</v>
      </c>
      <c r="AI159" s="350">
        <f>+'[101]VENTAS TOTALES'!$F254</f>
        <v>326</v>
      </c>
      <c r="AJ159" s="350">
        <f>+'[102]VENTAS TOTALES'!$F254</f>
        <v>0</v>
      </c>
    </row>
    <row r="160" spans="1:36" s="10" customFormat="1" ht="12" customHeight="1" thickBot="1" x14ac:dyDescent="0.25">
      <c r="A160" s="452"/>
      <c r="B160" s="345" t="s">
        <v>452</v>
      </c>
      <c r="C160" s="350">
        <f>+'[69]VENTAS TOTALES'!$F255</f>
        <v>540</v>
      </c>
      <c r="D160" s="350">
        <f>+'[70]VENTAS TOTALES'!$F255</f>
        <v>431</v>
      </c>
      <c r="E160" s="350">
        <f>+'[71]VENTAS TOTALES'!$F255</f>
        <v>273</v>
      </c>
      <c r="F160" s="350">
        <f>+'[72]VENTAS TOTALES'!$F255</f>
        <v>343</v>
      </c>
      <c r="G160" s="350">
        <f>+'[73]VENTAS TOTALES'!$F255</f>
        <v>107</v>
      </c>
      <c r="H160" s="350">
        <f>+'[74]VENTAS TOTALES'!$F255</f>
        <v>0</v>
      </c>
      <c r="I160" s="350">
        <f>+'[75]VENTAS TOTALES'!$F255</f>
        <v>265</v>
      </c>
      <c r="J160" s="350">
        <f>+'[76]VENTAS TOTALES'!$F255</f>
        <v>360</v>
      </c>
      <c r="K160" s="350">
        <f>+'[77]VENTAS TOTALES'!$F255</f>
        <v>345</v>
      </c>
      <c r="L160" s="350">
        <f>+'[78]VENTAS TOTALES'!$F255</f>
        <v>236</v>
      </c>
      <c r="M160" s="350">
        <f>+'[79]VENTAS TOTALES'!$F255</f>
        <v>299</v>
      </c>
      <c r="N160" s="350">
        <f>+'[80]VENTAS TOTALES'!$F255</f>
        <v>17</v>
      </c>
      <c r="O160" s="350">
        <f>+'[81]VENTAS TOTALES'!$F255</f>
        <v>0</v>
      </c>
      <c r="P160" s="350">
        <f>+'[82]VENTAS TOTALES'!$F255</f>
        <v>399</v>
      </c>
      <c r="Q160" s="350">
        <f>+'[83]VENTAS TOTALES'!$F255</f>
        <v>390</v>
      </c>
      <c r="R160" s="350">
        <f>+'[84]VENTAS TOTALES'!$F255</f>
        <v>197</v>
      </c>
      <c r="S160" s="350">
        <f>+'[85]VENTAS TOTALES'!$F255</f>
        <v>218</v>
      </c>
      <c r="T160" s="350">
        <f>+'[86]VENTAS TOTALES'!$F255</f>
        <v>383</v>
      </c>
      <c r="U160" s="350">
        <f>+'[87]VENTAS TOTALES'!$F255</f>
        <v>97</v>
      </c>
      <c r="V160" s="350">
        <f>+'[88]VENTAS TOTALES'!$F255</f>
        <v>0</v>
      </c>
      <c r="W160" s="350">
        <f>+'[89]VENTAS TOTALES'!$F255</f>
        <v>409</v>
      </c>
      <c r="X160" s="350">
        <f>+'[90]VENTAS TOTALES'!$F255</f>
        <v>292</v>
      </c>
      <c r="Y160" s="350">
        <f>+'[91]VENTAS TOTALES'!$F255</f>
        <v>330</v>
      </c>
      <c r="Z160" s="350">
        <f>+'[92]VENTAS TOTALES'!$F255</f>
        <v>502</v>
      </c>
      <c r="AA160" s="350">
        <f>+'[93]VENTAS TOTALES'!$F255</f>
        <v>315</v>
      </c>
      <c r="AB160" s="350">
        <f>+'[94]VENTAS TOTALES'!$F255</f>
        <v>46</v>
      </c>
      <c r="AC160" s="350">
        <f>+'[95]VENTAS TOTALES'!$F255</f>
        <v>0</v>
      </c>
      <c r="AD160" s="350">
        <f>+'[96]VENTAS TOTALES'!$F255</f>
        <v>433</v>
      </c>
      <c r="AE160" s="350">
        <f>+'[97]VENTAS TOTALES'!$F255</f>
        <v>553</v>
      </c>
      <c r="AF160" s="350">
        <f>+'[98]VENTAS TOTALES'!$F255</f>
        <v>538</v>
      </c>
      <c r="AG160" s="350">
        <f>+'[99]VENTAS TOTALES'!$F255</f>
        <v>419</v>
      </c>
      <c r="AH160" s="350">
        <f>+'[100]VENTAS TOTALES'!$F255</f>
        <v>382</v>
      </c>
      <c r="AI160" s="350">
        <f>+'[101]VENTAS TOTALES'!$F255</f>
        <v>52</v>
      </c>
      <c r="AJ160" s="350">
        <f>+'[102]VENTAS TOTALES'!$F255</f>
        <v>0</v>
      </c>
    </row>
    <row r="161" spans="1:36" s="10" customFormat="1" ht="12" customHeight="1" thickBot="1" x14ac:dyDescent="0.25">
      <c r="A161" s="452"/>
      <c r="B161" s="345" t="s">
        <v>453</v>
      </c>
      <c r="C161" s="350">
        <f>+'[69]VENTAS TOTALES'!$F256</f>
        <v>531</v>
      </c>
      <c r="D161" s="350">
        <f>+'[70]VENTAS TOTALES'!$F256</f>
        <v>373</v>
      </c>
      <c r="E161" s="350">
        <f>+'[71]VENTAS TOTALES'!$F256</f>
        <v>479</v>
      </c>
      <c r="F161" s="350">
        <f>+'[72]VENTAS TOTALES'!$F256</f>
        <v>447</v>
      </c>
      <c r="G161" s="350">
        <f>+'[73]VENTAS TOTALES'!$F256</f>
        <v>323</v>
      </c>
      <c r="H161" s="350">
        <f>+'[74]VENTAS TOTALES'!$F256</f>
        <v>0</v>
      </c>
      <c r="I161" s="350">
        <f>+'[75]VENTAS TOTALES'!$F256</f>
        <v>421</v>
      </c>
      <c r="J161" s="350">
        <f>+'[76]VENTAS TOTALES'!$F256</f>
        <v>146</v>
      </c>
      <c r="K161" s="350">
        <f>+'[77]VENTAS TOTALES'!$F256</f>
        <v>207</v>
      </c>
      <c r="L161" s="350">
        <f>+'[78]VENTAS TOTALES'!$F256</f>
        <v>183</v>
      </c>
      <c r="M161" s="350">
        <f>+'[79]VENTAS TOTALES'!$F256</f>
        <v>249</v>
      </c>
      <c r="N161" s="350">
        <f>+'[80]VENTAS TOTALES'!$F256</f>
        <v>136</v>
      </c>
      <c r="O161" s="350">
        <f>+'[81]VENTAS TOTALES'!$F256</f>
        <v>0</v>
      </c>
      <c r="P161" s="350">
        <f>+'[82]VENTAS TOTALES'!$F256</f>
        <v>389</v>
      </c>
      <c r="Q161" s="350">
        <f>+'[83]VENTAS TOTALES'!$F256</f>
        <v>600</v>
      </c>
      <c r="R161" s="350">
        <f>+'[84]VENTAS TOTALES'!$F256</f>
        <v>511</v>
      </c>
      <c r="S161" s="350">
        <f>+'[85]VENTAS TOTALES'!$F256</f>
        <v>13</v>
      </c>
      <c r="T161" s="350">
        <f>+'[86]VENTAS TOTALES'!$F256</f>
        <v>527</v>
      </c>
      <c r="U161" s="350">
        <f>+'[87]VENTAS TOTALES'!$F256</f>
        <v>424</v>
      </c>
      <c r="V161" s="350">
        <f>+'[88]VENTAS TOTALES'!$F256</f>
        <v>0</v>
      </c>
      <c r="W161" s="350">
        <f>+'[89]VENTAS TOTALES'!$F256</f>
        <v>298</v>
      </c>
      <c r="X161" s="350">
        <f>+'[90]VENTAS TOTALES'!$F256</f>
        <v>622</v>
      </c>
      <c r="Y161" s="350">
        <f>+'[91]VENTAS TOTALES'!$F256</f>
        <v>562</v>
      </c>
      <c r="Z161" s="350">
        <f>+'[92]VENTAS TOTALES'!$F256</f>
        <v>694</v>
      </c>
      <c r="AA161" s="350">
        <f>+'[93]VENTAS TOTALES'!$F256</f>
        <v>389</v>
      </c>
      <c r="AB161" s="350">
        <f>+'[94]VENTAS TOTALES'!$F256</f>
        <v>321</v>
      </c>
      <c r="AC161" s="350">
        <f>+'[95]VENTAS TOTALES'!$F256</f>
        <v>0</v>
      </c>
      <c r="AD161" s="350">
        <f>+'[96]VENTAS TOTALES'!$F256</f>
        <v>312</v>
      </c>
      <c r="AE161" s="350">
        <f>+'[97]VENTAS TOTALES'!$F256</f>
        <v>343</v>
      </c>
      <c r="AF161" s="350">
        <f>+'[98]VENTAS TOTALES'!$F256</f>
        <v>626</v>
      </c>
      <c r="AG161" s="350">
        <f>+'[99]VENTAS TOTALES'!$F256</f>
        <v>426</v>
      </c>
      <c r="AH161" s="350">
        <f>+'[100]VENTAS TOTALES'!$F256</f>
        <v>432</v>
      </c>
      <c r="AI161" s="350">
        <f>+'[101]VENTAS TOTALES'!$F256</f>
        <v>167</v>
      </c>
      <c r="AJ161" s="350">
        <f>+'[102]VENTAS TOTALES'!$F256</f>
        <v>0</v>
      </c>
    </row>
    <row r="162" spans="1:36" s="10" customFormat="1" ht="12" customHeight="1" thickBot="1" x14ac:dyDescent="0.25">
      <c r="A162" s="453"/>
      <c r="B162" s="47" t="s">
        <v>454</v>
      </c>
      <c r="C162" s="350">
        <f>+'[69]VENTAS TOTALES'!$F257</f>
        <v>470</v>
      </c>
      <c r="D162" s="350">
        <f>+'[70]VENTAS TOTALES'!$F257</f>
        <v>922</v>
      </c>
      <c r="E162" s="350">
        <f>+'[71]VENTAS TOTALES'!$F257</f>
        <v>551</v>
      </c>
      <c r="F162" s="350">
        <f>+'[72]VENTAS TOTALES'!$F257</f>
        <v>216</v>
      </c>
      <c r="G162" s="350">
        <f>+'[73]VENTAS TOTALES'!$F257</f>
        <v>250</v>
      </c>
      <c r="H162" s="350">
        <f>+'[74]VENTAS TOTALES'!$F257</f>
        <v>0</v>
      </c>
      <c r="I162" s="350">
        <f>+'[75]VENTAS TOTALES'!$F257</f>
        <v>740</v>
      </c>
      <c r="J162" s="350">
        <f>+'[76]VENTAS TOTALES'!$F257</f>
        <v>445</v>
      </c>
      <c r="K162" s="350">
        <f>+'[77]VENTAS TOTALES'!$F257</f>
        <v>691</v>
      </c>
      <c r="L162" s="350">
        <f>+'[78]VENTAS TOTALES'!$F257</f>
        <v>955</v>
      </c>
      <c r="M162" s="350">
        <f>+'[79]VENTAS TOTALES'!$F257</f>
        <v>565</v>
      </c>
      <c r="N162" s="350">
        <f>+'[80]VENTAS TOTALES'!$F257</f>
        <v>0</v>
      </c>
      <c r="O162" s="350">
        <f>+'[81]VENTAS TOTALES'!$F257</f>
        <v>0</v>
      </c>
      <c r="P162" s="350">
        <f>+'[82]VENTAS TOTALES'!$F257</f>
        <v>0</v>
      </c>
      <c r="Q162" s="350">
        <f>+'[83]VENTAS TOTALES'!$F257</f>
        <v>386</v>
      </c>
      <c r="R162" s="350">
        <f>+'[84]VENTAS TOTALES'!$F257</f>
        <v>482</v>
      </c>
      <c r="S162" s="350">
        <f>+'[85]VENTAS TOTALES'!$F257</f>
        <v>403</v>
      </c>
      <c r="T162" s="350">
        <f>+'[86]VENTAS TOTALES'!$F257</f>
        <v>619</v>
      </c>
      <c r="U162" s="350">
        <f>+'[87]VENTAS TOTALES'!$F257</f>
        <v>475</v>
      </c>
      <c r="V162" s="350">
        <f>+'[88]VENTAS TOTALES'!$F257</f>
        <v>0</v>
      </c>
      <c r="W162" s="350">
        <f>+'[89]VENTAS TOTALES'!$F257</f>
        <v>813</v>
      </c>
      <c r="X162" s="350">
        <f>+'[90]VENTAS TOTALES'!$F257</f>
        <v>471</v>
      </c>
      <c r="Y162" s="350">
        <f>+'[91]VENTAS TOTALES'!$F257</f>
        <v>398</v>
      </c>
      <c r="Z162" s="350">
        <f>+'[92]VENTAS TOTALES'!$F257</f>
        <v>687</v>
      </c>
      <c r="AA162" s="350">
        <f>+'[93]VENTAS TOTALES'!$F257</f>
        <v>665</v>
      </c>
      <c r="AB162" s="350">
        <f>+'[94]VENTAS TOTALES'!$F257</f>
        <v>570</v>
      </c>
      <c r="AC162" s="350">
        <f>+'[95]VENTAS TOTALES'!$F257</f>
        <v>0</v>
      </c>
      <c r="AD162" s="350">
        <f>+'[96]VENTAS TOTALES'!$F257</f>
        <v>1060</v>
      </c>
      <c r="AE162" s="350">
        <f>+'[97]VENTAS TOTALES'!$F257</f>
        <v>1042</v>
      </c>
      <c r="AF162" s="350">
        <f>+'[98]VENTAS TOTALES'!$F257</f>
        <v>495</v>
      </c>
      <c r="AG162" s="350">
        <f>+'[99]VENTAS TOTALES'!$F257</f>
        <v>242</v>
      </c>
      <c r="AH162" s="350">
        <f>+'[100]VENTAS TOTALES'!$F257</f>
        <v>815</v>
      </c>
      <c r="AI162" s="350">
        <f>+'[101]VENTAS TOTALES'!$F257</f>
        <v>553</v>
      </c>
      <c r="AJ162" s="350">
        <f>+'[102]VENTAS TOTALES'!$F257</f>
        <v>0</v>
      </c>
    </row>
    <row r="163" spans="1:36" s="10" customFormat="1" ht="12.75" customHeight="1" x14ac:dyDescent="0.2">
      <c r="A163" s="447" t="s">
        <v>345</v>
      </c>
      <c r="B163" s="279" t="s">
        <v>163</v>
      </c>
      <c r="C163" s="290">
        <f>SUM('[137]VENTAS TOTALES'!$D$11:$D$13)</f>
        <v>9449</v>
      </c>
      <c r="D163" s="290">
        <f>SUM('[138]VENTAS TOTALES'!$D$11:$D$13)</f>
        <v>8441</v>
      </c>
      <c r="E163" s="290">
        <f>SUM('[139]VENTAS TOTALES'!$D$11:$D$13)</f>
        <v>6813</v>
      </c>
      <c r="F163" s="290">
        <f>SUM('[140]VENTAS TOTALES'!$D$11:$D$13)</f>
        <v>6904</v>
      </c>
      <c r="G163" s="290">
        <f>SUM('[141]VENTAS TOTALES'!$D$11:$D$13)</f>
        <v>5318</v>
      </c>
      <c r="H163" s="290">
        <f>SUM('[142]VENTAS TOTALES'!$D$11:$D$13)</f>
        <v>3311</v>
      </c>
      <c r="I163" s="290">
        <f>SUM('[143]VENTAS TOTALES'!$D$11:$D$13)</f>
        <v>10527</v>
      </c>
      <c r="J163" s="290">
        <f>SUM('[144]VENTAS TOTALES'!$D$11:$D$13)</f>
        <v>7904</v>
      </c>
      <c r="K163" s="290">
        <f>SUM('[145]VENTAS TOTALES'!$D$11:$D$13)</f>
        <v>7445</v>
      </c>
      <c r="L163" s="290">
        <f>SUM('[146]VENTAS TOTALES'!$D$11:$D$13)</f>
        <v>7372</v>
      </c>
      <c r="M163" s="290">
        <f>SUM('[147]VENTAS TOTALES'!$D$11:$D$13)</f>
        <v>6896</v>
      </c>
      <c r="N163" s="290">
        <f>SUM('[148]VENTAS TOTALES'!$D$11:$D$13)</f>
        <v>5363</v>
      </c>
      <c r="O163" s="290">
        <f>SUM('[149]VENTAS TOTALES'!$D$11:$D$13)</f>
        <v>2988</v>
      </c>
      <c r="P163" s="290">
        <f>SUM('[150]VENTAS TOTALES'!$D$11:$D$13)</f>
        <v>7892</v>
      </c>
      <c r="Q163" s="290">
        <f>SUM('[151]VENTAS TOTALES'!$D$11:$D$13)</f>
        <v>1215</v>
      </c>
      <c r="R163" s="290">
        <f>SUM('[152]VENTAS TOTALES'!$D$11:$D$13)</f>
        <v>5505</v>
      </c>
      <c r="S163" s="290">
        <f>SUM('[153]VENTAS TOTALES'!$D$11:$D$13)</f>
        <v>5392</v>
      </c>
      <c r="T163" s="290">
        <f>SUM('[154]VENTAS TOTALES'!$D$11:$D$13)</f>
        <v>7302</v>
      </c>
      <c r="U163" s="290">
        <f>SUM('[155]VENTAS TOTALES'!$D$11:$D$13)</f>
        <v>5406</v>
      </c>
      <c r="V163" s="290">
        <f>SUM('[156]VENTAS TOTALES'!$D$11:$D$13)</f>
        <v>2840</v>
      </c>
      <c r="W163" s="290">
        <f>SUM('[157]VENTAS TOTALES'!$D$11:$D$13)</f>
        <v>9833</v>
      </c>
      <c r="X163" s="290">
        <f>SUM('[158]VENTAS TOTALES'!$D$11:$D$13)</f>
        <v>7989</v>
      </c>
      <c r="Y163" s="290">
        <f>SUM('[159]VENTAS TOTALES'!$D$11:$D$13)</f>
        <v>7547</v>
      </c>
      <c r="Z163" s="290">
        <f>SUM('[160]VENTAS TOTALES'!$D$11:$D$13)</f>
        <v>7458</v>
      </c>
      <c r="AA163" s="290">
        <f>SUM('[161]VENTAS TOTALES'!$D$11:$D$13)</f>
        <v>7244</v>
      </c>
      <c r="AB163" s="290">
        <f>SUM('[162]VENTAS TOTALES'!$D$11:$D$13)</f>
        <v>6214</v>
      </c>
      <c r="AC163" s="290">
        <f>SUM('[163]VENTAS TOTALES'!$D$11:$D$13)</f>
        <v>3133</v>
      </c>
      <c r="AD163" s="290">
        <f>SUM('[164]VENTAS TOTALES'!$D$11:$D$13)</f>
        <v>10940</v>
      </c>
      <c r="AE163" s="290">
        <f>SUM('[165]VENTAS TOTALES'!$D$11:$D$13)</f>
        <v>9613</v>
      </c>
      <c r="AF163" s="290">
        <f>SUM('[166]VENTAS TOTALES'!$D$11:$D$13)</f>
        <v>9358</v>
      </c>
      <c r="AG163" s="290">
        <f>SUM('[167]VENTAS TOTALES'!$D$11:$D$13)</f>
        <v>8578</v>
      </c>
      <c r="AH163" s="290">
        <f>SUM('[168]VENTAS TOTALES'!$D$11:$D$13)</f>
        <v>7861</v>
      </c>
      <c r="AI163" s="290">
        <f>SUM('[169]VENTAS TOTALES'!$D$11:$D$13)</f>
        <v>6211</v>
      </c>
      <c r="AJ163" s="290">
        <f>SUM('[170]VENTAS TOTALES'!$D$11:$D$13)</f>
        <v>3250</v>
      </c>
    </row>
    <row r="164" spans="1:36" s="10" customFormat="1" x14ac:dyDescent="0.2">
      <c r="A164" s="447"/>
      <c r="B164" s="280" t="s">
        <v>196</v>
      </c>
      <c r="C164" s="286">
        <f>+'[137]VENTAS TOTALES'!$D14</f>
        <v>43251</v>
      </c>
      <c r="D164" s="286">
        <f>+'[138]VENTAS TOTALES'!$D14</f>
        <v>40128</v>
      </c>
      <c r="E164" s="286">
        <f>+'[139]VENTAS TOTALES'!$D14</f>
        <v>32112</v>
      </c>
      <c r="F164" s="286">
        <f>+'[140]VENTAS TOTALES'!$D14</f>
        <v>34147</v>
      </c>
      <c r="G164" s="286">
        <f>+'[141]VENTAS TOTALES'!$D14</f>
        <v>26861</v>
      </c>
      <c r="H164" s="286">
        <f>+'[142]VENTAS TOTALES'!$D14</f>
        <v>14122</v>
      </c>
      <c r="I164" s="286">
        <f>+'[143]VENTAS TOTALES'!$D14</f>
        <v>49182</v>
      </c>
      <c r="J164" s="286">
        <f>+'[144]VENTAS TOTALES'!$D14</f>
        <v>37699</v>
      </c>
      <c r="K164" s="286">
        <f>+'[145]VENTAS TOTALES'!$D14</f>
        <v>35606</v>
      </c>
      <c r="L164" s="286">
        <f>+'[146]VENTAS TOTALES'!$D14</f>
        <v>33979</v>
      </c>
      <c r="M164" s="286">
        <f>+'[147]VENTAS TOTALES'!$D14</f>
        <v>33224</v>
      </c>
      <c r="N164" s="286">
        <f>+'[148]VENTAS TOTALES'!$D14</f>
        <v>26819</v>
      </c>
      <c r="O164" s="286">
        <f>+'[149]VENTAS TOTALES'!$D14</f>
        <v>13217</v>
      </c>
      <c r="P164" s="286">
        <f>+'[150]VENTAS TOTALES'!$D14</f>
        <v>37957</v>
      </c>
      <c r="Q164" s="286">
        <f>+'[151]VENTAS TOTALES'!$D14</f>
        <v>5088</v>
      </c>
      <c r="R164" s="286">
        <f>+'[152]VENTAS TOTALES'!$D14</f>
        <v>19733</v>
      </c>
      <c r="S164" s="286">
        <f>+'[153]VENTAS TOTALES'!$D14</f>
        <v>21466</v>
      </c>
      <c r="T164" s="286">
        <f>+'[154]VENTAS TOTALES'!$D14</f>
        <v>34080</v>
      </c>
      <c r="U164" s="286">
        <f>+'[155]VENTAS TOTALES'!$D14</f>
        <v>26789</v>
      </c>
      <c r="V164" s="286">
        <f>+'[156]VENTAS TOTALES'!$D14</f>
        <v>13164</v>
      </c>
      <c r="W164" s="286">
        <f>+'[157]VENTAS TOTALES'!$D14</f>
        <v>47797</v>
      </c>
      <c r="X164" s="286">
        <f>+'[158]VENTAS TOTALES'!$D14</f>
        <v>36553</v>
      </c>
      <c r="Y164" s="286">
        <f>+'[159]VENTAS TOTALES'!$D14</f>
        <v>34450</v>
      </c>
      <c r="Z164" s="286">
        <f>+'[160]VENTAS TOTALES'!$D14</f>
        <v>33193</v>
      </c>
      <c r="AA164" s="286">
        <f>+'[161]VENTAS TOTALES'!$D14</f>
        <v>34535</v>
      </c>
      <c r="AB164" s="286">
        <f>+'[162]VENTAS TOTALES'!$D14</f>
        <v>26970</v>
      </c>
      <c r="AC164" s="286">
        <f>+'[163]VENTAS TOTALES'!$D14</f>
        <v>13536</v>
      </c>
      <c r="AD164" s="286">
        <f>+'[164]VENTAS TOTALES'!$D14</f>
        <v>52316</v>
      </c>
      <c r="AE164" s="286">
        <f>+'[165]VENTAS TOTALES'!$D14</f>
        <v>46158</v>
      </c>
      <c r="AF164" s="286">
        <f>+'[166]VENTAS TOTALES'!$D14</f>
        <v>44029</v>
      </c>
      <c r="AG164" s="286">
        <f>+'[167]VENTAS TOTALES'!$D14</f>
        <v>38981</v>
      </c>
      <c r="AH164" s="286">
        <f>+'[168]VENTAS TOTALES'!$D14</f>
        <v>36482</v>
      </c>
      <c r="AI164" s="286">
        <f>+'[169]VENTAS TOTALES'!$D14</f>
        <v>28500</v>
      </c>
      <c r="AJ164" s="286">
        <f>+'[170]VENTAS TOTALES'!$D14</f>
        <v>14452</v>
      </c>
    </row>
    <row r="165" spans="1:36" s="10" customFormat="1" ht="13.5" thickBot="1" x14ac:dyDescent="0.25">
      <c r="A165" s="447"/>
      <c r="B165" s="291" t="s">
        <v>191</v>
      </c>
      <c r="C165" s="292">
        <f>+'[137]VENTAS TOTALES'!$D15</f>
        <v>23486</v>
      </c>
      <c r="D165" s="292">
        <f>+'[138]VENTAS TOTALES'!$D15</f>
        <v>22606</v>
      </c>
      <c r="E165" s="292">
        <f>+'[139]VENTAS TOTALES'!$D15</f>
        <v>19329</v>
      </c>
      <c r="F165" s="292">
        <f>+'[140]VENTAS TOTALES'!$D15</f>
        <v>19354</v>
      </c>
      <c r="G165" s="292">
        <f>+'[141]VENTAS TOTALES'!$D15</f>
        <v>15164</v>
      </c>
      <c r="H165" s="292">
        <f>+'[142]VENTAS TOTALES'!$D15</f>
        <v>6792</v>
      </c>
      <c r="I165" s="292">
        <f>+'[143]VENTAS TOTALES'!$D15</f>
        <v>27193</v>
      </c>
      <c r="J165" s="292">
        <f>+'[144]VENTAS TOTALES'!$D15</f>
        <v>21202</v>
      </c>
      <c r="K165" s="292">
        <f>+'[145]VENTAS TOTALES'!$D15</f>
        <v>19403</v>
      </c>
      <c r="L165" s="292">
        <f>+'[146]VENTAS TOTALES'!$D15</f>
        <v>20181</v>
      </c>
      <c r="M165" s="292">
        <f>+'[147]VENTAS TOTALES'!$D15</f>
        <v>19572</v>
      </c>
      <c r="N165" s="292">
        <f>+'[148]VENTAS TOTALES'!$D15</f>
        <v>15325</v>
      </c>
      <c r="O165" s="292">
        <f>+'[149]VENTAS TOTALES'!$D15</f>
        <v>6855</v>
      </c>
      <c r="P165" s="292">
        <f>+'[150]VENTAS TOTALES'!$D15</f>
        <v>23753</v>
      </c>
      <c r="Q165" s="292">
        <f>+'[151]VENTAS TOTALES'!$D15</f>
        <v>26732</v>
      </c>
      <c r="R165" s="292">
        <f>+'[152]VENTAS TOTALES'!$D15</f>
        <v>25546</v>
      </c>
      <c r="S165" s="292">
        <f>+'[153]VENTAS TOTALES'!$D15</f>
        <v>26281</v>
      </c>
      <c r="T165" s="292">
        <f>+'[154]VENTAS TOTALES'!$D15</f>
        <v>20198</v>
      </c>
      <c r="U165" s="292">
        <f>+'[155]VENTAS TOTALES'!$D15</f>
        <v>15635</v>
      </c>
      <c r="V165" s="292">
        <f>+'[156]VENTAS TOTALES'!$D15</f>
        <v>6638</v>
      </c>
      <c r="W165" s="292">
        <f>+'[157]VENTAS TOTALES'!$D15</f>
        <v>27837</v>
      </c>
      <c r="X165" s="292">
        <f>+'[158]VENTAS TOTALES'!$D15</f>
        <v>21832</v>
      </c>
      <c r="Y165" s="292">
        <f>+'[159]VENTAS TOTALES'!$D15</f>
        <v>20083</v>
      </c>
      <c r="Z165" s="292">
        <f>+'[160]VENTAS TOTALES'!$D15</f>
        <v>19660</v>
      </c>
      <c r="AA165" s="292">
        <f>+'[161]VENTAS TOTALES'!$D15</f>
        <v>19304</v>
      </c>
      <c r="AB165" s="292">
        <f>+'[162]VENTAS TOTALES'!$D15</f>
        <v>16026</v>
      </c>
      <c r="AC165" s="292">
        <f>+'[163]VENTAS TOTALES'!$D15</f>
        <v>6675</v>
      </c>
      <c r="AD165" s="292">
        <f>+'[164]VENTAS TOTALES'!$D15</f>
        <v>28388</v>
      </c>
      <c r="AE165" s="292">
        <f>+'[165]VENTAS TOTALES'!$D15</f>
        <v>24309</v>
      </c>
      <c r="AF165" s="292">
        <f>+'[166]VENTAS TOTALES'!$D15</f>
        <v>23422</v>
      </c>
      <c r="AG165" s="292">
        <f>+'[167]VENTAS TOTALES'!$D15</f>
        <v>21560</v>
      </c>
      <c r="AH165" s="292">
        <f>+'[168]VENTAS TOTALES'!$D15</f>
        <v>19696</v>
      </c>
      <c r="AI165" s="292">
        <f>+'[169]VENTAS TOTALES'!$D15</f>
        <v>16629</v>
      </c>
      <c r="AJ165" s="292">
        <f>+'[170]VENTAS TOTALES'!$D15</f>
        <v>6873</v>
      </c>
    </row>
    <row r="166" spans="1:36" s="10" customFormat="1" x14ac:dyDescent="0.2">
      <c r="A166" s="447"/>
      <c r="B166" s="324" t="s">
        <v>194</v>
      </c>
      <c r="C166" s="267">
        <f>+'[137]VENTAS TOTALES'!$D16</f>
        <v>5383</v>
      </c>
      <c r="D166" s="267">
        <f>+'[138]VENTAS TOTALES'!$D16</f>
        <v>5223</v>
      </c>
      <c r="E166" s="267">
        <f>+'[139]VENTAS TOTALES'!$D16</f>
        <v>4269</v>
      </c>
      <c r="F166" s="267">
        <f>+'[140]VENTAS TOTALES'!$D16</f>
        <v>4490</v>
      </c>
      <c r="G166" s="267">
        <f>+'[141]VENTAS TOTALES'!$D16</f>
        <v>3729</v>
      </c>
      <c r="H166" s="267">
        <f>+'[142]VENTAS TOTALES'!$D16</f>
        <v>1831</v>
      </c>
      <c r="I166" s="267">
        <f>+'[143]VENTAS TOTALES'!$D16</f>
        <v>5787</v>
      </c>
      <c r="J166" s="267">
        <f>+'[144]VENTAS TOTALES'!$D16</f>
        <v>4980</v>
      </c>
      <c r="K166" s="267">
        <f>+'[145]VENTAS TOTALES'!$D16</f>
        <v>4513</v>
      </c>
      <c r="L166" s="267">
        <f>+'[146]VENTAS TOTALES'!$D16</f>
        <v>4560</v>
      </c>
      <c r="M166" s="267">
        <f>+'[147]VENTAS TOTALES'!$D16</f>
        <v>4306</v>
      </c>
      <c r="N166" s="267">
        <f>+'[148]VENTAS TOTALES'!$D16</f>
        <v>3640</v>
      </c>
      <c r="O166" s="267">
        <f>+'[149]VENTAS TOTALES'!$D16</f>
        <v>1801</v>
      </c>
      <c r="P166" s="267">
        <f>+'[150]VENTAS TOTALES'!$D16</f>
        <v>4859</v>
      </c>
      <c r="Q166" s="267">
        <f>+'[151]VENTAS TOTALES'!$D16</f>
        <v>239</v>
      </c>
      <c r="R166" s="267">
        <f>+'[152]VENTAS TOTALES'!$D16</f>
        <v>2717</v>
      </c>
      <c r="S166" s="267">
        <f>+'[153]VENTAS TOTALES'!$D16</f>
        <v>3679</v>
      </c>
      <c r="T166" s="267">
        <f>+'[154]VENTAS TOTALES'!$D16</f>
        <v>4802</v>
      </c>
      <c r="U166" s="267">
        <f>+'[155]VENTAS TOTALES'!$D16</f>
        <v>3502</v>
      </c>
      <c r="V166" s="267">
        <f>+'[156]VENTAS TOTALES'!$D16</f>
        <v>1765</v>
      </c>
      <c r="W166" s="267">
        <f>+'[157]VENTAS TOTALES'!$D16</f>
        <v>6052</v>
      </c>
      <c r="X166" s="267">
        <f>+'[158]VENTAS TOTALES'!$D16</f>
        <v>4785</v>
      </c>
      <c r="Y166" s="267">
        <f>+'[159]VENTAS TOTALES'!$D16</f>
        <v>4485</v>
      </c>
      <c r="Z166" s="267">
        <f>+'[160]VENTAS TOTALES'!$D16</f>
        <v>4366</v>
      </c>
      <c r="AA166" s="267">
        <f>+'[161]VENTAS TOTALES'!$D16</f>
        <v>4369</v>
      </c>
      <c r="AB166" s="267">
        <f>+'[162]VENTAS TOTALES'!$D16</f>
        <v>3792</v>
      </c>
      <c r="AC166" s="267">
        <f>+'[163]VENTAS TOTALES'!$D16</f>
        <v>1902</v>
      </c>
      <c r="AD166" s="267">
        <f>+'[164]VENTAS TOTALES'!$D16</f>
        <v>6348</v>
      </c>
      <c r="AE166" s="267">
        <f>+'[165]VENTAS TOTALES'!$D16</f>
        <v>5640</v>
      </c>
      <c r="AF166" s="267">
        <f>+'[166]VENTAS TOTALES'!$D16</f>
        <v>5228</v>
      </c>
      <c r="AG166" s="267">
        <f>+'[167]VENTAS TOTALES'!$D16</f>
        <v>4893</v>
      </c>
      <c r="AH166" s="267">
        <f>+'[168]VENTAS TOTALES'!$D16</f>
        <v>4708</v>
      </c>
      <c r="AI166" s="267">
        <f>+'[169]VENTAS TOTALES'!$D16</f>
        <v>3853</v>
      </c>
      <c r="AJ166" s="267">
        <f>+'[170]VENTAS TOTALES'!$D16</f>
        <v>1839</v>
      </c>
    </row>
    <row r="167" spans="1:36" s="10" customFormat="1" x14ac:dyDescent="0.2">
      <c r="A167" s="447"/>
      <c r="B167" s="325" t="s">
        <v>195</v>
      </c>
      <c r="C167" s="252">
        <f>+'[137]VENTAS TOTALES'!$D17</f>
        <v>4547</v>
      </c>
      <c r="D167" s="252">
        <f>+'[138]VENTAS TOTALES'!$D17</f>
        <v>4505</v>
      </c>
      <c r="E167" s="252">
        <f>+'[139]VENTAS TOTALES'!$D17</f>
        <v>3744</v>
      </c>
      <c r="F167" s="252">
        <f>+'[140]VENTAS TOTALES'!$D17</f>
        <v>3658</v>
      </c>
      <c r="G167" s="252">
        <f>+'[141]VENTAS TOTALES'!$D17</f>
        <v>3293</v>
      </c>
      <c r="H167" s="252">
        <f>+'[142]VENTAS TOTALES'!$D17</f>
        <v>1717</v>
      </c>
      <c r="I167" s="252">
        <f>+'[143]VENTAS TOTALES'!$D17</f>
        <v>5353</v>
      </c>
      <c r="J167" s="252">
        <f>+'[144]VENTAS TOTALES'!$D17</f>
        <v>3992</v>
      </c>
      <c r="K167" s="252">
        <f>+'[145]VENTAS TOTALES'!$D17</f>
        <v>3700</v>
      </c>
      <c r="L167" s="252">
        <f>+'[146]VENTAS TOTALES'!$D17</f>
        <v>3750</v>
      </c>
      <c r="M167" s="252">
        <f>+'[147]VENTAS TOTALES'!$D17</f>
        <v>3690</v>
      </c>
      <c r="N167" s="252">
        <f>+'[148]VENTAS TOTALES'!$D17</f>
        <v>2984</v>
      </c>
      <c r="O167" s="252">
        <f>+'[149]VENTAS TOTALES'!$D17</f>
        <v>1454</v>
      </c>
      <c r="P167" s="252">
        <f>+'[150]VENTAS TOTALES'!$D17</f>
        <v>3588</v>
      </c>
      <c r="Q167" s="252">
        <f>+'[151]VENTAS TOTALES'!$D17</f>
        <v>280</v>
      </c>
      <c r="R167" s="252">
        <f>+'[152]VENTAS TOTALES'!$D17</f>
        <v>1506</v>
      </c>
      <c r="S167" s="252">
        <f>+'[153]VENTAS TOTALES'!$D17</f>
        <v>1767</v>
      </c>
      <c r="T167" s="252">
        <f>+'[154]VENTAS TOTALES'!$D17</f>
        <v>3152</v>
      </c>
      <c r="U167" s="252">
        <f>+'[155]VENTAS TOTALES'!$D17</f>
        <v>3032</v>
      </c>
      <c r="V167" s="252">
        <f>+'[156]VENTAS TOTALES'!$D17</f>
        <v>1593</v>
      </c>
      <c r="W167" s="252">
        <f>+'[157]VENTAS TOTALES'!$D17</f>
        <v>4486</v>
      </c>
      <c r="X167" s="252">
        <f>+'[158]VENTAS TOTALES'!$D17</f>
        <v>4034</v>
      </c>
      <c r="Y167" s="252">
        <f>+'[159]VENTAS TOTALES'!$D17</f>
        <v>3678</v>
      </c>
      <c r="Z167" s="252">
        <f>+'[160]VENTAS TOTALES'!$D17</f>
        <v>3485</v>
      </c>
      <c r="AA167" s="252">
        <f>+'[161]VENTAS TOTALES'!$D17</f>
        <v>3520</v>
      </c>
      <c r="AB167" s="252">
        <f>+'[162]VENTAS TOTALES'!$D17</f>
        <v>3150</v>
      </c>
      <c r="AC167" s="252">
        <f>+'[163]VENTAS TOTALES'!$D17</f>
        <v>1679</v>
      </c>
      <c r="AD167" s="252">
        <f>+'[164]VENTAS TOTALES'!$D17</f>
        <v>5118</v>
      </c>
      <c r="AE167" s="252">
        <f>+'[165]VENTAS TOTALES'!$D17</f>
        <v>4674</v>
      </c>
      <c r="AF167" s="252">
        <f>+'[166]VENTAS TOTALES'!$D17</f>
        <v>4530</v>
      </c>
      <c r="AG167" s="252">
        <f>+'[167]VENTAS TOTALES'!$D17</f>
        <v>4093</v>
      </c>
      <c r="AH167" s="252">
        <f>+'[168]VENTAS TOTALES'!$D17</f>
        <v>3776</v>
      </c>
      <c r="AI167" s="252">
        <f>+'[169]VENTAS TOTALES'!$D17</f>
        <v>3171</v>
      </c>
      <c r="AJ167" s="252">
        <f>+'[170]VENTAS TOTALES'!$D17</f>
        <v>1635</v>
      </c>
    </row>
    <row r="168" spans="1:36" s="10" customFormat="1" x14ac:dyDescent="0.2">
      <c r="A168" s="447"/>
      <c r="B168" s="325" t="s">
        <v>192</v>
      </c>
      <c r="C168" s="252">
        <f>+'[137]VENTAS TOTALES'!$D18</f>
        <v>9845</v>
      </c>
      <c r="D168" s="252">
        <f>+'[138]VENTAS TOTALES'!$D18</f>
        <v>9348</v>
      </c>
      <c r="E168" s="252">
        <f>+'[139]VENTAS TOTALES'!$D18</f>
        <v>6817</v>
      </c>
      <c r="F168" s="252">
        <f>+'[140]VENTAS TOTALES'!$D18</f>
        <v>7047</v>
      </c>
      <c r="G168" s="252">
        <f>+'[141]VENTAS TOTALES'!$D18</f>
        <v>5863</v>
      </c>
      <c r="H168" s="252">
        <f>+'[142]VENTAS TOTALES'!$D18</f>
        <v>3742</v>
      </c>
      <c r="I168" s="252">
        <f>+'[143]VENTAS TOTALES'!$D18</f>
        <v>10661</v>
      </c>
      <c r="J168" s="252">
        <f>+'[144]VENTAS TOTALES'!$D18</f>
        <v>8256</v>
      </c>
      <c r="K168" s="252">
        <f>+'[145]VENTAS TOTALES'!$D18</f>
        <v>7531</v>
      </c>
      <c r="L168" s="252">
        <f>+'[146]VENTAS TOTALES'!$D18</f>
        <v>7553</v>
      </c>
      <c r="M168" s="252">
        <f>+'[147]VENTAS TOTALES'!$D18</f>
        <v>6957</v>
      </c>
      <c r="N168" s="252">
        <f>+'[148]VENTAS TOTALES'!$D18</f>
        <v>5796</v>
      </c>
      <c r="O168" s="252">
        <f>+'[149]VENTAS TOTALES'!$D18</f>
        <v>3534</v>
      </c>
      <c r="P168" s="252">
        <f>+'[150]VENTAS TOTALES'!$D18</f>
        <v>7644</v>
      </c>
      <c r="Q168" s="252">
        <f>+'[151]VENTAS TOTALES'!$D18</f>
        <v>0</v>
      </c>
      <c r="R168" s="252">
        <f>+'[152]VENTAS TOTALES'!$D18</f>
        <v>0</v>
      </c>
      <c r="S168" s="252">
        <f>+'[153]VENTAS TOTALES'!$D18</f>
        <v>0</v>
      </c>
      <c r="T168" s="252">
        <f>+'[154]VENTAS TOTALES'!$D18</f>
        <v>7202</v>
      </c>
      <c r="U168" s="252">
        <f>+'[155]VENTAS TOTALES'!$D18</f>
        <v>5899</v>
      </c>
      <c r="V168" s="252">
        <f>+'[156]VENTAS TOTALES'!$D18</f>
        <v>3893</v>
      </c>
      <c r="W168" s="252">
        <f>+'[157]VENTAS TOTALES'!$D18</f>
        <v>9820</v>
      </c>
      <c r="X168" s="252">
        <f>+'[158]VENTAS TOTALES'!$D18</f>
        <v>7956</v>
      </c>
      <c r="Y168" s="252">
        <f>+'[159]VENTAS TOTALES'!$D18</f>
        <v>7399</v>
      </c>
      <c r="Z168" s="252">
        <f>+'[160]VENTAS TOTALES'!$D18</f>
        <v>6994</v>
      </c>
      <c r="AA168" s="252">
        <f>+'[161]VENTAS TOTALES'!$D18</f>
        <v>6996</v>
      </c>
      <c r="AB168" s="252">
        <f>+'[162]VENTAS TOTALES'!$D18</f>
        <v>6024</v>
      </c>
      <c r="AC168" s="252">
        <f>+'[163]VENTAS TOTALES'!$D18</f>
        <v>4237</v>
      </c>
      <c r="AD168" s="252">
        <f>+'[164]VENTAS TOTALES'!$D18</f>
        <v>11333</v>
      </c>
      <c r="AE168" s="252">
        <f>+'[165]VENTAS TOTALES'!$D18</f>
        <v>10171</v>
      </c>
      <c r="AF168" s="252">
        <f>+'[166]VENTAS TOTALES'!$D18</f>
        <v>9751</v>
      </c>
      <c r="AG168" s="252">
        <f>+'[167]VENTAS TOTALES'!$D18</f>
        <v>7898</v>
      </c>
      <c r="AH168" s="252">
        <f>+'[168]VENTAS TOTALES'!$D18</f>
        <v>7596</v>
      </c>
      <c r="AI168" s="252">
        <f>+'[169]VENTAS TOTALES'!$D18</f>
        <v>6053</v>
      </c>
      <c r="AJ168" s="252">
        <f>+'[170]VENTAS TOTALES'!$D18</f>
        <v>4175</v>
      </c>
    </row>
    <row r="169" spans="1:36" s="10" customFormat="1" x14ac:dyDescent="0.2">
      <c r="A169" s="447"/>
      <c r="B169" s="325" t="s">
        <v>193</v>
      </c>
      <c r="C169" s="252">
        <f>+'[137]VENTAS TOTALES'!$D19</f>
        <v>5243</v>
      </c>
      <c r="D169" s="252">
        <f>+'[138]VENTAS TOTALES'!$D19</f>
        <v>4805</v>
      </c>
      <c r="E169" s="252">
        <f>+'[139]VENTAS TOTALES'!$D19</f>
        <v>3898</v>
      </c>
      <c r="F169" s="252">
        <f>+'[140]VENTAS TOTALES'!$D19</f>
        <v>3684</v>
      </c>
      <c r="G169" s="252">
        <f>+'[141]VENTAS TOTALES'!$D19</f>
        <v>3034</v>
      </c>
      <c r="H169" s="252">
        <f>+'[142]VENTAS TOTALES'!$D19</f>
        <v>1633</v>
      </c>
      <c r="I169" s="252">
        <f>+'[143]VENTAS TOTALES'!$D19</f>
        <v>5239</v>
      </c>
      <c r="J169" s="252">
        <f>+'[144]VENTAS TOTALES'!$D19</f>
        <v>4408</v>
      </c>
      <c r="K169" s="252">
        <f>+'[145]VENTAS TOTALES'!$D19</f>
        <v>4487</v>
      </c>
      <c r="L169" s="252">
        <f>+'[146]VENTAS TOTALES'!$D19</f>
        <v>4177</v>
      </c>
      <c r="M169" s="252">
        <f>+'[147]VENTAS TOTALES'!$D19</f>
        <v>3601</v>
      </c>
      <c r="N169" s="252">
        <f>+'[148]VENTAS TOTALES'!$D19</f>
        <v>2938</v>
      </c>
      <c r="O169" s="252">
        <f>+'[149]VENTAS TOTALES'!$D19</f>
        <v>1484</v>
      </c>
      <c r="P169" s="252">
        <f>+'[150]VENTAS TOTALES'!$D19</f>
        <v>3833</v>
      </c>
      <c r="Q169" s="252">
        <f>+'[151]VENTAS TOTALES'!$D19</f>
        <v>0</v>
      </c>
      <c r="R169" s="252">
        <f>+'[152]VENTAS TOTALES'!$D19</f>
        <v>0</v>
      </c>
      <c r="S169" s="252">
        <f>+'[153]VENTAS TOTALES'!$D19</f>
        <v>0</v>
      </c>
      <c r="T169" s="252">
        <f>+'[154]VENTAS TOTALES'!$D19</f>
        <v>3735</v>
      </c>
      <c r="U169" s="252">
        <f>+'[155]VENTAS TOTALES'!$D19</f>
        <v>3003</v>
      </c>
      <c r="V169" s="252">
        <f>+'[156]VENTAS TOTALES'!$D19</f>
        <v>1760</v>
      </c>
      <c r="W169" s="252">
        <f>+'[157]VENTAS TOTALES'!$D19</f>
        <v>5048</v>
      </c>
      <c r="X169" s="252">
        <f>+'[158]VENTAS TOTALES'!$D19</f>
        <v>4215</v>
      </c>
      <c r="Y169" s="252">
        <f>+'[159]VENTAS TOTALES'!$D19</f>
        <v>4029</v>
      </c>
      <c r="Z169" s="252">
        <f>+'[160]VENTAS TOTALES'!$D19</f>
        <v>4218</v>
      </c>
      <c r="AA169" s="252">
        <f>+'[161]VENTAS TOTALES'!$D19</f>
        <v>3785</v>
      </c>
      <c r="AB169" s="252">
        <f>+'[162]VENTAS TOTALES'!$D19</f>
        <v>2939</v>
      </c>
      <c r="AC169" s="252">
        <f>+'[163]VENTAS TOTALES'!$D19</f>
        <v>1800</v>
      </c>
      <c r="AD169" s="252">
        <f>+'[164]VENTAS TOTALES'!$D19</f>
        <v>6204</v>
      </c>
      <c r="AE169" s="252">
        <f>+'[165]VENTAS TOTALES'!$D19</f>
        <v>5548</v>
      </c>
      <c r="AF169" s="252">
        <f>+'[166]VENTAS TOTALES'!$D19</f>
        <v>5360</v>
      </c>
      <c r="AG169" s="252">
        <f>+'[167]VENTAS TOTALES'!$D19</f>
        <v>4614</v>
      </c>
      <c r="AH169" s="252">
        <f>+'[168]VENTAS TOTALES'!$D19</f>
        <v>4195</v>
      </c>
      <c r="AI169" s="252">
        <f>+'[169]VENTAS TOTALES'!$D19</f>
        <v>3313</v>
      </c>
      <c r="AJ169" s="252">
        <f>+'[170]VENTAS TOTALES'!$D19</f>
        <v>1822</v>
      </c>
    </row>
    <row r="170" spans="1:36" s="10" customFormat="1" x14ac:dyDescent="0.2">
      <c r="A170" s="447"/>
      <c r="B170" s="325" t="s">
        <v>156</v>
      </c>
      <c r="C170" s="252">
        <f>+'[137]VENTAS TOTALES'!$D20</f>
        <v>2772</v>
      </c>
      <c r="D170" s="252">
        <f>+'[138]VENTAS TOTALES'!$D20</f>
        <v>2803</v>
      </c>
      <c r="E170" s="252">
        <f>+'[139]VENTAS TOTALES'!$D20</f>
        <v>2358</v>
      </c>
      <c r="F170" s="252">
        <f>+'[140]VENTAS TOTALES'!$D20</f>
        <v>2210</v>
      </c>
      <c r="G170" s="252">
        <f>+'[141]VENTAS TOTALES'!$D20</f>
        <v>1687</v>
      </c>
      <c r="H170" s="252">
        <f>+'[142]VENTAS TOTALES'!$D20</f>
        <v>617</v>
      </c>
      <c r="I170" s="252">
        <f>+'[143]VENTAS TOTALES'!$D20</f>
        <v>3112</v>
      </c>
      <c r="J170" s="252">
        <f>+'[144]VENTAS TOTALES'!$D20</f>
        <v>2544</v>
      </c>
      <c r="K170" s="252">
        <f>+'[145]VENTAS TOTALES'!$D20</f>
        <v>2606</v>
      </c>
      <c r="L170" s="252">
        <f>+'[146]VENTAS TOTALES'!$D20</f>
        <v>2535</v>
      </c>
      <c r="M170" s="252">
        <f>+'[147]VENTAS TOTALES'!$D20</f>
        <v>2286</v>
      </c>
      <c r="N170" s="252">
        <f>+'[148]VENTAS TOTALES'!$D20</f>
        <v>1571</v>
      </c>
      <c r="O170" s="252">
        <f>+'[149]VENTAS TOTALES'!$D20</f>
        <v>716</v>
      </c>
      <c r="P170" s="252">
        <f>+'[150]VENTAS TOTALES'!$D20</f>
        <v>2717</v>
      </c>
      <c r="Q170" s="252">
        <f>+'[151]VENTAS TOTALES'!$D20</f>
        <v>8303</v>
      </c>
      <c r="R170" s="252">
        <f>+'[152]VENTAS TOTALES'!$D20</f>
        <v>9585</v>
      </c>
      <c r="S170" s="252">
        <f>+'[153]VENTAS TOTALES'!$D20</f>
        <v>9049</v>
      </c>
      <c r="T170" s="252">
        <f>+'[154]VENTAS TOTALES'!$D20</f>
        <v>2299</v>
      </c>
      <c r="U170" s="252">
        <f>+'[155]VENTAS TOTALES'!$D20</f>
        <v>1749</v>
      </c>
      <c r="V170" s="252">
        <f>+'[156]VENTAS TOTALES'!$D20</f>
        <v>699</v>
      </c>
      <c r="W170" s="252">
        <f>+'[157]VENTAS TOTALES'!$D20</f>
        <v>3139</v>
      </c>
      <c r="X170" s="252">
        <f>+'[158]VENTAS TOTALES'!$D20</f>
        <v>2635</v>
      </c>
      <c r="Y170" s="252">
        <f>+'[159]VENTAS TOTALES'!$D20</f>
        <v>2537</v>
      </c>
      <c r="Z170" s="252">
        <f>+'[160]VENTAS TOTALES'!$D20</f>
        <v>2310</v>
      </c>
      <c r="AA170" s="252">
        <f>+'[161]VENTAS TOTALES'!$D20</f>
        <v>2336</v>
      </c>
      <c r="AB170" s="252">
        <f>+'[162]VENTAS TOTALES'!$D20</f>
        <v>1661</v>
      </c>
      <c r="AC170" s="252">
        <f>+'[163]VENTAS TOTALES'!$D20</f>
        <v>830</v>
      </c>
      <c r="AD170" s="252">
        <f>+'[164]VENTAS TOTALES'!$D20</f>
        <v>3305</v>
      </c>
      <c r="AE170" s="252">
        <f>+'[165]VENTAS TOTALES'!$D20</f>
        <v>3160</v>
      </c>
      <c r="AF170" s="252">
        <f>+'[166]VENTAS TOTALES'!$D20</f>
        <v>2534</v>
      </c>
      <c r="AG170" s="252">
        <f>+'[167]VENTAS TOTALES'!$D20</f>
        <v>2611</v>
      </c>
      <c r="AH170" s="252">
        <f>+'[168]VENTAS TOTALES'!$D20</f>
        <v>2367</v>
      </c>
      <c r="AI170" s="252">
        <f>+'[169]VENTAS TOTALES'!$D20</f>
        <v>1810</v>
      </c>
      <c r="AJ170" s="252">
        <f>+'[170]VENTAS TOTALES'!$D20</f>
        <v>706</v>
      </c>
    </row>
    <row r="171" spans="1:36" s="10" customFormat="1" x14ac:dyDescent="0.2">
      <c r="A171" s="447"/>
      <c r="B171" s="325" t="s">
        <v>157</v>
      </c>
      <c r="C171" s="252">
        <f>+'[137]VENTAS TOTALES'!$D21</f>
        <v>11579</v>
      </c>
      <c r="D171" s="252">
        <f>+'[138]VENTAS TOTALES'!$D21</f>
        <v>11525</v>
      </c>
      <c r="E171" s="252">
        <f>+'[139]VENTAS TOTALES'!$D21</f>
        <v>8757</v>
      </c>
      <c r="F171" s="252">
        <f>+'[140]VENTAS TOTALES'!$D21</f>
        <v>8532</v>
      </c>
      <c r="G171" s="252">
        <f>+'[141]VENTAS TOTALES'!$D21</f>
        <v>5708</v>
      </c>
      <c r="H171" s="252">
        <f>+'[142]VENTAS TOTALES'!$D21</f>
        <v>3242</v>
      </c>
      <c r="I171" s="252">
        <f>+'[143]VENTAS TOTALES'!$D21</f>
        <v>13416</v>
      </c>
      <c r="J171" s="252">
        <f>+'[144]VENTAS TOTALES'!$D21</f>
        <v>10317</v>
      </c>
      <c r="K171" s="252">
        <f>+'[145]VENTAS TOTALES'!$D21</f>
        <v>10153</v>
      </c>
      <c r="L171" s="252">
        <f>+'[146]VENTAS TOTALES'!$D21</f>
        <v>9447</v>
      </c>
      <c r="M171" s="252">
        <f>+'[147]VENTAS TOTALES'!$D21</f>
        <v>8831</v>
      </c>
      <c r="N171" s="252">
        <f>+'[148]VENTAS TOTALES'!$D21</f>
        <v>6164</v>
      </c>
      <c r="O171" s="252">
        <f>+'[149]VENTAS TOTALES'!$D21</f>
        <v>2949</v>
      </c>
      <c r="P171" s="252">
        <f>+'[150]VENTAS TOTALES'!$D21</f>
        <v>13600</v>
      </c>
      <c r="Q171" s="252">
        <f>+'[151]VENTAS TOTALES'!$D21</f>
        <v>18395</v>
      </c>
      <c r="R171" s="252">
        <f>+'[152]VENTAS TOTALES'!$D21</f>
        <v>15154</v>
      </c>
      <c r="S171" s="252">
        <f>+'[153]VENTAS TOTALES'!$D21</f>
        <v>13486</v>
      </c>
      <c r="T171" s="252">
        <f>+'[154]VENTAS TOTALES'!$D21</f>
        <v>9013</v>
      </c>
      <c r="U171" s="252">
        <f>+'[155]VENTAS TOTALES'!$D21</f>
        <v>6249</v>
      </c>
      <c r="V171" s="252">
        <f>+'[156]VENTAS TOTALES'!$D21</f>
        <v>3152</v>
      </c>
      <c r="W171" s="252">
        <f>+'[157]VENTAS TOTALES'!$D21</f>
        <v>13852</v>
      </c>
      <c r="X171" s="252">
        <f>+'[158]VENTAS TOTALES'!$D21</f>
        <v>10433</v>
      </c>
      <c r="Y171" s="252">
        <f>+'[159]VENTAS TOTALES'!$D21</f>
        <v>9995</v>
      </c>
      <c r="Z171" s="252">
        <f>+'[160]VENTAS TOTALES'!$D21</f>
        <v>9496</v>
      </c>
      <c r="AA171" s="252">
        <f>+'[161]VENTAS TOTALES'!$D21</f>
        <v>9245</v>
      </c>
      <c r="AB171" s="252">
        <f>+'[162]VENTAS TOTALES'!$D21</f>
        <v>6186</v>
      </c>
      <c r="AC171" s="252">
        <f>+'[163]VENTAS TOTALES'!$D21</f>
        <v>3425</v>
      </c>
      <c r="AD171" s="252">
        <f>+'[164]VENTAS TOTALES'!$D21</f>
        <v>15017</v>
      </c>
      <c r="AE171" s="252">
        <f>+'[165]VENTAS TOTALES'!$D21</f>
        <v>12380</v>
      </c>
      <c r="AF171" s="252">
        <f>+'[166]VENTAS TOTALES'!$D21</f>
        <v>11271</v>
      </c>
      <c r="AG171" s="252">
        <f>+'[167]VENTAS TOTALES'!$D21</f>
        <v>10176</v>
      </c>
      <c r="AH171" s="252">
        <f>+'[168]VENTAS TOTALES'!$D21</f>
        <v>9584</v>
      </c>
      <c r="AI171" s="252">
        <f>+'[169]VENTAS TOTALES'!$D21</f>
        <v>6550</v>
      </c>
      <c r="AJ171" s="252">
        <f>+'[170]VENTAS TOTALES'!$D21</f>
        <v>3424</v>
      </c>
    </row>
    <row r="172" spans="1:36" s="10" customFormat="1" x14ac:dyDescent="0.2">
      <c r="A172" s="447"/>
      <c r="B172" s="325" t="s">
        <v>158</v>
      </c>
      <c r="C172" s="252">
        <f>+'[137]VENTAS TOTALES'!$D22</f>
        <v>3337</v>
      </c>
      <c r="D172" s="252">
        <f>+'[138]VENTAS TOTALES'!$D22</f>
        <v>3205</v>
      </c>
      <c r="E172" s="252">
        <f>+'[139]VENTAS TOTALES'!$D22</f>
        <v>2689</v>
      </c>
      <c r="F172" s="252">
        <f>+'[140]VENTAS TOTALES'!$D22</f>
        <v>2394</v>
      </c>
      <c r="G172" s="252">
        <f>+'[141]VENTAS TOTALES'!$D22</f>
        <v>1790</v>
      </c>
      <c r="H172" s="252">
        <f>+'[142]VENTAS TOTALES'!$D22</f>
        <v>577</v>
      </c>
      <c r="I172" s="252">
        <f>+'[143]VENTAS TOTALES'!$D22</f>
        <v>3971</v>
      </c>
      <c r="J172" s="252">
        <f>+'[144]VENTAS TOTALES'!$D22</f>
        <v>2923</v>
      </c>
      <c r="K172" s="252">
        <f>+'[145]VENTAS TOTALES'!$D22</f>
        <v>2531</v>
      </c>
      <c r="L172" s="252">
        <f>+'[146]VENTAS TOTALES'!$D22</f>
        <v>2621</v>
      </c>
      <c r="M172" s="252">
        <f>+'[147]VENTAS TOTALES'!$D22</f>
        <v>2674</v>
      </c>
      <c r="N172" s="252">
        <f>+'[148]VENTAS TOTALES'!$D22</f>
        <v>1658</v>
      </c>
      <c r="O172" s="252">
        <f>+'[149]VENTAS TOTALES'!$D22</f>
        <v>581</v>
      </c>
      <c r="P172" s="252">
        <f>+'[150]VENTAS TOTALES'!$D22</f>
        <v>3726</v>
      </c>
      <c r="Q172" s="252">
        <f>+'[151]VENTAS TOTALES'!$D22</f>
        <v>2983</v>
      </c>
      <c r="R172" s="252">
        <f>+'[152]VENTAS TOTALES'!$D22</f>
        <v>2883</v>
      </c>
      <c r="S172" s="252">
        <f>+'[153]VENTAS TOTALES'!$D22</f>
        <v>2828</v>
      </c>
      <c r="T172" s="252">
        <f>+'[154]VENTAS TOTALES'!$D22</f>
        <v>2584</v>
      </c>
      <c r="U172" s="252">
        <f>+'[155]VENTAS TOTALES'!$D22</f>
        <v>1684</v>
      </c>
      <c r="V172" s="252">
        <f>+'[156]VENTAS TOTALES'!$D22</f>
        <v>560</v>
      </c>
      <c r="W172" s="252">
        <f>+'[157]VENTAS TOTALES'!$D22</f>
        <v>4055</v>
      </c>
      <c r="X172" s="252">
        <f>+'[158]VENTAS TOTALES'!$D22</f>
        <v>2999</v>
      </c>
      <c r="Y172" s="252">
        <f>+'[159]VENTAS TOTALES'!$D22</f>
        <v>2998</v>
      </c>
      <c r="Z172" s="252">
        <f>+'[160]VENTAS TOTALES'!$D22</f>
        <v>2701</v>
      </c>
      <c r="AA172" s="252">
        <f>+'[161]VENTAS TOTALES'!$D22</f>
        <v>2476</v>
      </c>
      <c r="AB172" s="252">
        <f>+'[162]VENTAS TOTALES'!$D22</f>
        <v>1558</v>
      </c>
      <c r="AC172" s="252">
        <f>+'[163]VENTAS TOTALES'!$D22</f>
        <v>540</v>
      </c>
      <c r="AD172" s="252">
        <f>+'[164]VENTAS TOTALES'!$D22</f>
        <v>4404</v>
      </c>
      <c r="AE172" s="252">
        <f>+'[165]VENTAS TOTALES'!$D22</f>
        <v>3558</v>
      </c>
      <c r="AF172" s="252">
        <f>+'[166]VENTAS TOTALES'!$D22</f>
        <v>2867</v>
      </c>
      <c r="AG172" s="252">
        <f>+'[167]VENTAS TOTALES'!$D22</f>
        <v>2799</v>
      </c>
      <c r="AH172" s="252">
        <f>+'[168]VENTAS TOTALES'!$D22</f>
        <v>2841</v>
      </c>
      <c r="AI172" s="252">
        <f>+'[169]VENTAS TOTALES'!$D22</f>
        <v>1722</v>
      </c>
      <c r="AJ172" s="252">
        <f>+'[170]VENTAS TOTALES'!$D22</f>
        <v>618</v>
      </c>
    </row>
    <row r="173" spans="1:36" s="10" customFormat="1" x14ac:dyDescent="0.2">
      <c r="A173" s="447"/>
      <c r="B173" s="325" t="s">
        <v>159</v>
      </c>
      <c r="C173" s="252">
        <f>+'[137]VENTAS TOTALES'!$D23</f>
        <v>4498</v>
      </c>
      <c r="D173" s="252">
        <f>+'[138]VENTAS TOTALES'!$D23</f>
        <v>4348</v>
      </c>
      <c r="E173" s="252">
        <f>+'[139]VENTAS TOTALES'!$D23</f>
        <v>3769</v>
      </c>
      <c r="F173" s="252">
        <f>+'[140]VENTAS TOTALES'!$D23</f>
        <v>3661</v>
      </c>
      <c r="G173" s="252">
        <f>+'[141]VENTAS TOTALES'!$D23</f>
        <v>2726</v>
      </c>
      <c r="H173" s="252">
        <f>+'[142]VENTAS TOTALES'!$D23</f>
        <v>1250</v>
      </c>
      <c r="I173" s="252">
        <f>+'[143]VENTAS TOTALES'!$D23</f>
        <v>5249</v>
      </c>
      <c r="J173" s="252">
        <f>+'[144]VENTAS TOTALES'!$D23</f>
        <v>4344</v>
      </c>
      <c r="K173" s="252">
        <f>+'[145]VENTAS TOTALES'!$D23</f>
        <v>3906</v>
      </c>
      <c r="L173" s="252">
        <f>+'[146]VENTAS TOTALES'!$D23</f>
        <v>3980</v>
      </c>
      <c r="M173" s="252">
        <f>+'[147]VENTAS TOTALES'!$D23</f>
        <v>3672</v>
      </c>
      <c r="N173" s="252">
        <f>+'[148]VENTAS TOTALES'!$D23</f>
        <v>2566</v>
      </c>
      <c r="O173" s="252">
        <f>+'[149]VENTAS TOTALES'!$D23</f>
        <v>1245</v>
      </c>
      <c r="P173" s="252">
        <f>+'[150]VENTAS TOTALES'!$D23</f>
        <v>5242</v>
      </c>
      <c r="Q173" s="252">
        <f>+'[151]VENTAS TOTALES'!$D23</f>
        <v>3863</v>
      </c>
      <c r="R173" s="252">
        <f>+'[152]VENTAS TOTALES'!$D23</f>
        <v>3971</v>
      </c>
      <c r="S173" s="252">
        <f>+'[153]VENTAS TOTALES'!$D23</f>
        <v>3990</v>
      </c>
      <c r="T173" s="252">
        <f>+'[154]VENTAS TOTALES'!$D23</f>
        <v>3983</v>
      </c>
      <c r="U173" s="252">
        <f>+'[155]VENTAS TOTALES'!$D23</f>
        <v>2639</v>
      </c>
      <c r="V173" s="252">
        <f>+'[156]VENTAS TOTALES'!$D23</f>
        <v>1187</v>
      </c>
      <c r="W173" s="252">
        <f>+'[157]VENTAS TOTALES'!$D23</f>
        <v>4978</v>
      </c>
      <c r="X173" s="252">
        <f>+'[158]VENTAS TOTALES'!$D23</f>
        <v>4386</v>
      </c>
      <c r="Y173" s="252">
        <f>+'[159]VENTAS TOTALES'!$D23</f>
        <v>3950</v>
      </c>
      <c r="Z173" s="252">
        <f>+'[160]VENTAS TOTALES'!$D23</f>
        <v>3697</v>
      </c>
      <c r="AA173" s="252">
        <f>+'[161]VENTAS TOTALES'!$D23</f>
        <v>3959</v>
      </c>
      <c r="AB173" s="252">
        <f>+'[162]VENTAS TOTALES'!$D23</f>
        <v>2891</v>
      </c>
      <c r="AC173" s="252">
        <f>+'[163]VENTAS TOTALES'!$D23</f>
        <v>1318</v>
      </c>
      <c r="AD173" s="252">
        <f>+'[164]VENTAS TOTALES'!$D23</f>
        <v>5759</v>
      </c>
      <c r="AE173" s="252">
        <f>+'[165]VENTAS TOTALES'!$D23</f>
        <v>4706</v>
      </c>
      <c r="AF173" s="252">
        <f>+'[166]VENTAS TOTALES'!$D23</f>
        <v>4566</v>
      </c>
      <c r="AG173" s="252">
        <f>+'[167]VENTAS TOTALES'!$D23</f>
        <v>4239</v>
      </c>
      <c r="AH173" s="252">
        <f>+'[168]VENTAS TOTALES'!$D23</f>
        <v>4050</v>
      </c>
      <c r="AI173" s="252">
        <f>+'[169]VENTAS TOTALES'!$D23</f>
        <v>2993</v>
      </c>
      <c r="AJ173" s="252">
        <f>+'[170]VENTAS TOTALES'!$D23</f>
        <v>1359</v>
      </c>
    </row>
    <row r="174" spans="1:36" s="10" customFormat="1" x14ac:dyDescent="0.2">
      <c r="A174" s="447"/>
      <c r="B174" s="325" t="s">
        <v>160</v>
      </c>
      <c r="C174" s="252">
        <f>+'[137]VENTAS TOTALES'!$D24</f>
        <v>8594</v>
      </c>
      <c r="D174" s="252">
        <f>+'[138]VENTAS TOTALES'!$D24</f>
        <v>7750</v>
      </c>
      <c r="E174" s="252">
        <f>+'[139]VENTAS TOTALES'!$D24</f>
        <v>6357</v>
      </c>
      <c r="F174" s="252">
        <f>+'[140]VENTAS TOTALES'!$D24</f>
        <v>6274</v>
      </c>
      <c r="G174" s="252">
        <f>+'[141]VENTAS TOTALES'!$D24</f>
        <v>4723</v>
      </c>
      <c r="H174" s="252">
        <f>+'[142]VENTAS TOTALES'!$D24</f>
        <v>1953</v>
      </c>
      <c r="I174" s="252">
        <f>+'[143]VENTAS TOTALES'!$D24</f>
        <v>9204</v>
      </c>
      <c r="J174" s="252">
        <f>+'[144]VENTAS TOTALES'!$D24</f>
        <v>7352</v>
      </c>
      <c r="K174" s="252">
        <f>+'[145]VENTAS TOTALES'!$D24</f>
        <v>6623</v>
      </c>
      <c r="L174" s="252">
        <f>+'[146]VENTAS TOTALES'!$D24</f>
        <v>6686</v>
      </c>
      <c r="M174" s="252">
        <f>+'[147]VENTAS TOTALES'!$D24</f>
        <v>6656</v>
      </c>
      <c r="N174" s="252">
        <f>+'[148]VENTAS TOTALES'!$D24</f>
        <v>4444</v>
      </c>
      <c r="O174" s="252">
        <f>+'[149]VENTAS TOTALES'!$D24</f>
        <v>1866</v>
      </c>
      <c r="P174" s="252">
        <f>+'[150]VENTAS TOTALES'!$D24</f>
        <v>9446</v>
      </c>
      <c r="Q174" s="252">
        <f>+'[151]VENTAS TOTALES'!$D24</f>
        <v>7287</v>
      </c>
      <c r="R174" s="252">
        <f>+'[152]VENTAS TOTALES'!$D24</f>
        <v>7582</v>
      </c>
      <c r="S174" s="252">
        <f>+'[153]VENTAS TOTALES'!$D24</f>
        <v>7238</v>
      </c>
      <c r="T174" s="252">
        <f>+'[154]VENTAS TOTALES'!$D24</f>
        <v>6636</v>
      </c>
      <c r="U174" s="252">
        <f>+'[155]VENTAS TOTALES'!$D24</f>
        <v>4616</v>
      </c>
      <c r="V174" s="252">
        <f>+'[156]VENTAS TOTALES'!$D24</f>
        <v>2047</v>
      </c>
      <c r="W174" s="252">
        <f>+'[157]VENTAS TOTALES'!$D24</f>
        <v>9174</v>
      </c>
      <c r="X174" s="252">
        <f>+'[158]VENTAS TOTALES'!$D24</f>
        <v>7501</v>
      </c>
      <c r="Y174" s="252">
        <f>+'[159]VENTAS TOTALES'!$D24</f>
        <v>7125</v>
      </c>
      <c r="Z174" s="252">
        <f>+'[160]VENTAS TOTALES'!$D24</f>
        <v>6825</v>
      </c>
      <c r="AA174" s="252">
        <f>+'[161]VENTAS TOTALES'!$D24</f>
        <v>6569</v>
      </c>
      <c r="AB174" s="252">
        <f>+'[162]VENTAS TOTALES'!$D24</f>
        <v>4926</v>
      </c>
      <c r="AC174" s="252">
        <f>+'[163]VENTAS TOTALES'!$D24</f>
        <v>1886</v>
      </c>
      <c r="AD174" s="252">
        <f>+'[164]VENTAS TOTALES'!$D24</f>
        <v>9958</v>
      </c>
      <c r="AE174" s="252">
        <f>+'[165]VENTAS TOTALES'!$D24</f>
        <v>8526</v>
      </c>
      <c r="AF174" s="252">
        <f>+'[166]VENTAS TOTALES'!$D24</f>
        <v>7665</v>
      </c>
      <c r="AG174" s="252">
        <f>+'[167]VENTAS TOTALES'!$D24</f>
        <v>6833</v>
      </c>
      <c r="AH174" s="252">
        <f>+'[168]VENTAS TOTALES'!$D24</f>
        <v>6665</v>
      </c>
      <c r="AI174" s="252">
        <f>+'[169]VENTAS TOTALES'!$D24</f>
        <v>5016</v>
      </c>
      <c r="AJ174" s="252">
        <f>+'[170]VENTAS TOTALES'!$D24</f>
        <v>1952</v>
      </c>
    </row>
    <row r="175" spans="1:36" s="10" customFormat="1" x14ac:dyDescent="0.2">
      <c r="A175" s="447"/>
      <c r="B175" s="325" t="s">
        <v>161</v>
      </c>
      <c r="C175" s="252">
        <f>+'[137]VENTAS TOTALES'!$D25</f>
        <v>7542</v>
      </c>
      <c r="D175" s="252">
        <f>+'[138]VENTAS TOTALES'!$D25</f>
        <v>6895</v>
      </c>
      <c r="E175" s="252">
        <f>+'[139]VENTAS TOTALES'!$D25</f>
        <v>5838</v>
      </c>
      <c r="F175" s="252">
        <f>+'[140]VENTAS TOTALES'!$D25</f>
        <v>5833</v>
      </c>
      <c r="G175" s="252">
        <f>+'[141]VENTAS TOTALES'!$D25</f>
        <v>4246</v>
      </c>
      <c r="H175" s="252">
        <f>+'[142]VENTAS TOTALES'!$D25</f>
        <v>1779</v>
      </c>
      <c r="I175" s="252">
        <f>+'[143]VENTAS TOTALES'!$D25</f>
        <v>7077</v>
      </c>
      <c r="J175" s="252">
        <f>+'[144]VENTAS TOTALES'!$D25</f>
        <v>6179</v>
      </c>
      <c r="K175" s="252">
        <f>+'[145]VENTAS TOTALES'!$D25</f>
        <v>5958</v>
      </c>
      <c r="L175" s="252">
        <f>+'[146]VENTAS TOTALES'!$D25</f>
        <v>5869</v>
      </c>
      <c r="M175" s="252">
        <f>+'[147]VENTAS TOTALES'!$D25</f>
        <v>5823</v>
      </c>
      <c r="N175" s="252">
        <f>+'[148]VENTAS TOTALES'!$D25</f>
        <v>3865</v>
      </c>
      <c r="O175" s="252">
        <f>+'[149]VENTAS TOTALES'!$D25</f>
        <v>1559</v>
      </c>
      <c r="P175" s="252">
        <f>+'[150]VENTAS TOTALES'!$D25</f>
        <v>7076</v>
      </c>
      <c r="Q175" s="252">
        <f>+'[151]VENTAS TOTALES'!$D25</f>
        <v>5577</v>
      </c>
      <c r="R175" s="252">
        <f>+'[152]VENTAS TOTALES'!$D25</f>
        <v>6165</v>
      </c>
      <c r="S175" s="252">
        <f>+'[153]VENTAS TOTALES'!$D25</f>
        <v>6072</v>
      </c>
      <c r="T175" s="252">
        <f>+'[154]VENTAS TOTALES'!$D25</f>
        <v>5959</v>
      </c>
      <c r="U175" s="252">
        <f>+'[155]VENTAS TOTALES'!$D25</f>
        <v>4167</v>
      </c>
      <c r="V175" s="252">
        <f>+'[156]VENTAS TOTALES'!$D25</f>
        <v>1481</v>
      </c>
      <c r="W175" s="252">
        <f>+'[157]VENTAS TOTALES'!$D25</f>
        <v>7385</v>
      </c>
      <c r="X175" s="252">
        <f>+'[158]VENTAS TOTALES'!$D25</f>
        <v>6246</v>
      </c>
      <c r="Y175" s="252">
        <f>+'[159]VENTAS TOTALES'!$D25</f>
        <v>6062</v>
      </c>
      <c r="Z175" s="252">
        <f>+'[160]VENTAS TOTALES'!$D25</f>
        <v>5924</v>
      </c>
      <c r="AA175" s="252">
        <f>+'[161]VENTAS TOTALES'!$D25</f>
        <v>5870</v>
      </c>
      <c r="AB175" s="252">
        <f>+'[162]VENTAS TOTALES'!$D25</f>
        <v>4164</v>
      </c>
      <c r="AC175" s="252">
        <f>+'[163]VENTAS TOTALES'!$D25</f>
        <v>1630</v>
      </c>
      <c r="AD175" s="252">
        <f>+'[164]VENTAS TOTALES'!$D25</f>
        <v>7759</v>
      </c>
      <c r="AE175" s="252">
        <f>+'[165]VENTAS TOTALES'!$D25</f>
        <v>7424</v>
      </c>
      <c r="AF175" s="252">
        <f>+'[166]VENTAS TOTALES'!$D25</f>
        <v>7193</v>
      </c>
      <c r="AG175" s="252">
        <f>+'[167]VENTAS TOTALES'!$D25</f>
        <v>6434</v>
      </c>
      <c r="AH175" s="252">
        <f>+'[168]VENTAS TOTALES'!$D25</f>
        <v>6506</v>
      </c>
      <c r="AI175" s="252">
        <f>+'[169]VENTAS TOTALES'!$D25</f>
        <v>4304</v>
      </c>
      <c r="AJ175" s="252">
        <f>+'[170]VENTAS TOTALES'!$D25</f>
        <v>1510</v>
      </c>
    </row>
    <row r="176" spans="1:36" s="10" customFormat="1" x14ac:dyDescent="0.2">
      <c r="A176" s="447"/>
      <c r="B176" s="325" t="s">
        <v>162</v>
      </c>
      <c r="C176" s="252">
        <f>+'[137]VENTAS TOTALES'!$D26</f>
        <v>6686</v>
      </c>
      <c r="D176" s="252">
        <f>+'[138]VENTAS TOTALES'!$D26</f>
        <v>6736</v>
      </c>
      <c r="E176" s="252">
        <f>+'[139]VENTAS TOTALES'!$D26</f>
        <v>5669</v>
      </c>
      <c r="F176" s="252">
        <f>+'[140]VENTAS TOTALES'!$D26</f>
        <v>5751</v>
      </c>
      <c r="G176" s="252">
        <f>+'[141]VENTAS TOTALES'!$D26</f>
        <v>4373</v>
      </c>
      <c r="H176" s="252">
        <f>+'[142]VENTAS TOTALES'!$D26</f>
        <v>1899</v>
      </c>
      <c r="I176" s="252">
        <f>+'[143]VENTAS TOTALES'!$D26</f>
        <v>6492</v>
      </c>
      <c r="J176" s="252">
        <f>+'[144]VENTAS TOTALES'!$D26</f>
        <v>6026</v>
      </c>
      <c r="K176" s="252">
        <f>+'[145]VENTAS TOTALES'!$D26</f>
        <v>6030</v>
      </c>
      <c r="L176" s="252">
        <f>+'[146]VENTAS TOTALES'!$D26</f>
        <v>5904</v>
      </c>
      <c r="M176" s="252">
        <f>+'[147]VENTAS TOTALES'!$D26</f>
        <v>5749</v>
      </c>
      <c r="N176" s="252">
        <f>+'[148]VENTAS TOTALES'!$D26</f>
        <v>3796</v>
      </c>
      <c r="O176" s="252">
        <f>+'[149]VENTAS TOTALES'!$D26</f>
        <v>1981</v>
      </c>
      <c r="P176" s="252">
        <f>+'[150]VENTAS TOTALES'!$D26</f>
        <v>6246</v>
      </c>
      <c r="Q176" s="252">
        <f>+'[151]VENTAS TOTALES'!$D26</f>
        <v>4651</v>
      </c>
      <c r="R176" s="252">
        <f>+'[152]VENTAS TOTALES'!$D26</f>
        <v>5060</v>
      </c>
      <c r="S176" s="252">
        <f>+'[153]VENTAS TOTALES'!$D26</f>
        <v>5278</v>
      </c>
      <c r="T176" s="252">
        <f>+'[154]VENTAS TOTALES'!$D26</f>
        <v>5768</v>
      </c>
      <c r="U176" s="252">
        <f>+'[155]VENTAS TOTALES'!$D26</f>
        <v>4008</v>
      </c>
      <c r="V176" s="252">
        <f>+'[156]VENTAS TOTALES'!$D26</f>
        <v>1811</v>
      </c>
      <c r="W176" s="252">
        <f>+'[157]VENTAS TOTALES'!$D26</f>
        <v>6800</v>
      </c>
      <c r="X176" s="252">
        <f>+'[158]VENTAS TOTALES'!$D26</f>
        <v>6094</v>
      </c>
      <c r="Y176" s="252">
        <f>+'[159]VENTAS TOTALES'!$D26</f>
        <v>5869</v>
      </c>
      <c r="Z176" s="252">
        <f>+'[160]VENTAS TOTALES'!$D26</f>
        <v>5834</v>
      </c>
      <c r="AA176" s="252">
        <f>+'[161]VENTAS TOTALES'!$D26</f>
        <v>5967</v>
      </c>
      <c r="AB176" s="252">
        <f>+'[162]VENTAS TOTALES'!$D26</f>
        <v>4219</v>
      </c>
      <c r="AC176" s="252">
        <f>+'[163]VENTAS TOTALES'!$D26</f>
        <v>1751</v>
      </c>
      <c r="AD176" s="252">
        <f>+'[164]VENTAS TOTALES'!$D26</f>
        <v>7154</v>
      </c>
      <c r="AE176" s="252">
        <f>+'[165]VENTAS TOTALES'!$D26</f>
        <v>7079</v>
      </c>
      <c r="AF176" s="252">
        <f>+'[166]VENTAS TOTALES'!$D26</f>
        <v>6790</v>
      </c>
      <c r="AG176" s="252">
        <f>+'[167]VENTAS TOTALES'!$D26</f>
        <v>6303</v>
      </c>
      <c r="AH176" s="252">
        <f>+'[168]VENTAS TOTALES'!$D26</f>
        <v>6117</v>
      </c>
      <c r="AI176" s="252">
        <f>+'[169]VENTAS TOTALES'!$D26</f>
        <v>4494</v>
      </c>
      <c r="AJ176" s="252">
        <f>+'[170]VENTAS TOTALES'!$D26</f>
        <v>1851</v>
      </c>
    </row>
    <row r="177" spans="1:36" s="10" customFormat="1" x14ac:dyDescent="0.2">
      <c r="A177" s="447"/>
      <c r="B177" s="325" t="s">
        <v>217</v>
      </c>
      <c r="C177" s="252">
        <f>+'[137]VENTAS TOTALES'!$D27</f>
        <v>2404</v>
      </c>
      <c r="D177" s="252">
        <f>+'[138]VENTAS TOTALES'!$D27</f>
        <v>2130</v>
      </c>
      <c r="E177" s="252">
        <f>+'[139]VENTAS TOTALES'!$D27</f>
        <v>1646</v>
      </c>
      <c r="F177" s="252">
        <f>+'[140]VENTAS TOTALES'!$D27</f>
        <v>1704</v>
      </c>
      <c r="G177" s="252">
        <f>+'[141]VENTAS TOTALES'!$D27</f>
        <v>1083</v>
      </c>
      <c r="H177" s="252">
        <f>+'[142]VENTAS TOTALES'!$D27</f>
        <v>343</v>
      </c>
      <c r="I177" s="252">
        <f>+'[143]VENTAS TOTALES'!$D27</f>
        <v>1934</v>
      </c>
      <c r="J177" s="252">
        <f>+'[144]VENTAS TOTALES'!$D27</f>
        <v>1865</v>
      </c>
      <c r="K177" s="252">
        <f>+'[145]VENTAS TOTALES'!$D27</f>
        <v>1916</v>
      </c>
      <c r="L177" s="252">
        <f>+'[146]VENTAS TOTALES'!$D27</f>
        <v>1855</v>
      </c>
      <c r="M177" s="252">
        <f>+'[147]VENTAS TOTALES'!$D27</f>
        <v>1673</v>
      </c>
      <c r="N177" s="252">
        <f>+'[148]VENTAS TOTALES'!$D27</f>
        <v>892</v>
      </c>
      <c r="O177" s="252">
        <f>+'[149]VENTAS TOTALES'!$D27</f>
        <v>317</v>
      </c>
      <c r="P177" s="252">
        <f>+'[150]VENTAS TOTALES'!$D27</f>
        <v>2067</v>
      </c>
      <c r="Q177" s="252">
        <f>+'[151]VENTAS TOTALES'!$D27</f>
        <v>2160</v>
      </c>
      <c r="R177" s="252">
        <f>+'[152]VENTAS TOTALES'!$D27</f>
        <v>1977</v>
      </c>
      <c r="S177" s="252">
        <f>+'[153]VENTAS TOTALES'!$D27</f>
        <v>2015</v>
      </c>
      <c r="T177" s="252">
        <f>+'[154]VENTAS TOTALES'!$D27</f>
        <v>1683</v>
      </c>
      <c r="U177" s="252">
        <f>+'[155]VENTAS TOTALES'!$D27</f>
        <v>877</v>
      </c>
      <c r="V177" s="252">
        <f>+'[156]VENTAS TOTALES'!$D27</f>
        <v>352</v>
      </c>
      <c r="W177" s="252">
        <f>+'[157]VENTAS TOTALES'!$D27</f>
        <v>1920</v>
      </c>
      <c r="X177" s="252">
        <f>+'[158]VENTAS TOTALES'!$D27</f>
        <v>1627</v>
      </c>
      <c r="Y177" s="252">
        <f>+'[159]VENTAS TOTALES'!$D27</f>
        <v>1679</v>
      </c>
      <c r="Z177" s="252">
        <f>+'[160]VENTAS TOTALES'!$D27</f>
        <v>1502</v>
      </c>
      <c r="AA177" s="252">
        <f>+'[161]VENTAS TOTALES'!$D27</f>
        <v>1630</v>
      </c>
      <c r="AB177" s="252">
        <f>+'[162]VENTAS TOTALES'!$D27</f>
        <v>968</v>
      </c>
      <c r="AC177" s="252">
        <f>+'[163]VENTAS TOTALES'!$D27</f>
        <v>337</v>
      </c>
      <c r="AD177" s="252">
        <f>+'[164]VENTAS TOTALES'!$D27</f>
        <v>2451</v>
      </c>
      <c r="AE177" s="252">
        <f>+'[165]VENTAS TOTALES'!$D27</f>
        <v>2451</v>
      </c>
      <c r="AF177" s="252">
        <f>+'[166]VENTAS TOTALES'!$D27</f>
        <v>2059</v>
      </c>
      <c r="AG177" s="252">
        <f>+'[167]VENTAS TOTALES'!$D27</f>
        <v>1663</v>
      </c>
      <c r="AH177" s="252">
        <f>+'[168]VENTAS TOTALES'!$D27</f>
        <v>1555</v>
      </c>
      <c r="AI177" s="252">
        <f>+'[169]VENTAS TOTALES'!$D27</f>
        <v>1059</v>
      </c>
      <c r="AJ177" s="252">
        <f>+'[170]VENTAS TOTALES'!$D27</f>
        <v>384</v>
      </c>
    </row>
    <row r="178" spans="1:36" s="10" customFormat="1" x14ac:dyDescent="0.2">
      <c r="A178" s="447"/>
      <c r="B178" s="325" t="s">
        <v>218</v>
      </c>
      <c r="C178" s="252">
        <f>+'[137]VENTAS TOTALES'!$D28</f>
        <v>4485</v>
      </c>
      <c r="D178" s="252">
        <f>+'[138]VENTAS TOTALES'!$D28</f>
        <v>4573</v>
      </c>
      <c r="E178" s="252">
        <f>+'[139]VENTAS TOTALES'!$D28</f>
        <v>3527</v>
      </c>
      <c r="F178" s="252">
        <f>+'[140]VENTAS TOTALES'!$D28</f>
        <v>3411</v>
      </c>
      <c r="G178" s="252">
        <f>+'[141]VENTAS TOTALES'!$D28</f>
        <v>2688</v>
      </c>
      <c r="H178" s="252">
        <f>+'[142]VENTAS TOTALES'!$D28</f>
        <v>775</v>
      </c>
      <c r="I178" s="252">
        <f>+'[143]VENTAS TOTALES'!$D28</f>
        <v>4012</v>
      </c>
      <c r="J178" s="252">
        <f>+'[144]VENTAS TOTALES'!$D28</f>
        <v>3673</v>
      </c>
      <c r="K178" s="252">
        <f>+'[145]VENTAS TOTALES'!$D28</f>
        <v>3655</v>
      </c>
      <c r="L178" s="252">
        <f>+'[146]VENTAS TOTALES'!$D28</f>
        <v>3638</v>
      </c>
      <c r="M178" s="252">
        <f>+'[147]VENTAS TOTALES'!$D28</f>
        <v>3476</v>
      </c>
      <c r="N178" s="252">
        <f>+'[148]VENTAS TOTALES'!$D28</f>
        <v>2598</v>
      </c>
      <c r="O178" s="252">
        <f>+'[149]VENTAS TOTALES'!$D28</f>
        <v>877</v>
      </c>
      <c r="P178" s="252">
        <f>+'[150]VENTAS TOTALES'!$D28</f>
        <v>4164</v>
      </c>
      <c r="Q178" s="252">
        <f>+'[151]VENTAS TOTALES'!$D28</f>
        <v>4535</v>
      </c>
      <c r="R178" s="252">
        <f>+'[152]VENTAS TOTALES'!$D28</f>
        <v>4683</v>
      </c>
      <c r="S178" s="252">
        <f>+'[153]VENTAS TOTALES'!$D28</f>
        <v>4250</v>
      </c>
      <c r="T178" s="252">
        <f>+'[154]VENTAS TOTALES'!$D28</f>
        <v>3909</v>
      </c>
      <c r="U178" s="252">
        <f>+'[155]VENTAS TOTALES'!$D28</f>
        <v>2816</v>
      </c>
      <c r="V178" s="252">
        <f>+'[156]VENTAS TOTALES'!$D28</f>
        <v>741</v>
      </c>
      <c r="W178" s="252">
        <f>+'[157]VENTAS TOTALES'!$D28</f>
        <v>4257</v>
      </c>
      <c r="X178" s="252">
        <f>+'[158]VENTAS TOTALES'!$D28</f>
        <v>3925</v>
      </c>
      <c r="Y178" s="252">
        <f>+'[159]VENTAS TOTALES'!$D28</f>
        <v>3825</v>
      </c>
      <c r="Z178" s="252">
        <f>+'[160]VENTAS TOTALES'!$D28</f>
        <v>3629</v>
      </c>
      <c r="AA178" s="252">
        <f>+'[161]VENTAS TOTALES'!$D28</f>
        <v>3385</v>
      </c>
      <c r="AB178" s="252">
        <f>+'[162]VENTAS TOTALES'!$D28</f>
        <v>2865</v>
      </c>
      <c r="AC178" s="252">
        <f>+'[163]VENTAS TOTALES'!$D28</f>
        <v>815</v>
      </c>
      <c r="AD178" s="252">
        <f>+'[164]VENTAS TOTALES'!$D28</f>
        <v>5053</v>
      </c>
      <c r="AE178" s="252">
        <f>+'[165]VENTAS TOTALES'!$D28</f>
        <v>5198</v>
      </c>
      <c r="AF178" s="252">
        <f>+'[166]VENTAS TOTALES'!$D28</f>
        <v>4951</v>
      </c>
      <c r="AG178" s="252">
        <f>+'[167]VENTAS TOTALES'!$D28</f>
        <v>4358</v>
      </c>
      <c r="AH178" s="252">
        <f>+'[168]VENTAS TOTALES'!$D28</f>
        <v>3973</v>
      </c>
      <c r="AI178" s="252">
        <f>+'[169]VENTAS TOTALES'!$D28</f>
        <v>2820</v>
      </c>
      <c r="AJ178" s="252">
        <f>+'[170]VENTAS TOTALES'!$D28</f>
        <v>768</v>
      </c>
    </row>
    <row r="179" spans="1:36" s="10" customFormat="1" x14ac:dyDescent="0.2">
      <c r="A179" s="447"/>
      <c r="B179" s="325" t="s">
        <v>219</v>
      </c>
      <c r="C179" s="252">
        <f>+'[137]VENTAS TOTALES'!$D29</f>
        <v>3310</v>
      </c>
      <c r="D179" s="252">
        <f>+'[138]VENTAS TOTALES'!$D29</f>
        <v>3150</v>
      </c>
      <c r="E179" s="252">
        <f>+'[139]VENTAS TOTALES'!$D29</f>
        <v>2567</v>
      </c>
      <c r="F179" s="252">
        <f>+'[140]VENTAS TOTALES'!$D29</f>
        <v>2569</v>
      </c>
      <c r="G179" s="252">
        <f>+'[141]VENTAS TOTALES'!$D29</f>
        <v>2193</v>
      </c>
      <c r="H179" s="252">
        <f>+'[142]VENTAS TOTALES'!$D29</f>
        <v>777</v>
      </c>
      <c r="I179" s="252">
        <f>+'[143]VENTAS TOTALES'!$D29</f>
        <v>3263</v>
      </c>
      <c r="J179" s="252">
        <f>+'[144]VENTAS TOTALES'!$D29</f>
        <v>3032</v>
      </c>
      <c r="K179" s="252">
        <f>+'[145]VENTAS TOTALES'!$D29</f>
        <v>2631</v>
      </c>
      <c r="L179" s="252">
        <f>+'[146]VENTAS TOTALES'!$D29</f>
        <v>2754</v>
      </c>
      <c r="M179" s="252">
        <f>+'[147]VENTAS TOTALES'!$D29</f>
        <v>2642</v>
      </c>
      <c r="N179" s="252">
        <f>+'[148]VENTAS TOTALES'!$D29</f>
        <v>2085</v>
      </c>
      <c r="O179" s="252">
        <f>+'[149]VENTAS TOTALES'!$D29</f>
        <v>863</v>
      </c>
      <c r="P179" s="252">
        <f>+'[150]VENTAS TOTALES'!$D29</f>
        <v>3230</v>
      </c>
      <c r="Q179" s="252">
        <f>+'[151]VENTAS TOTALES'!$D29</f>
        <v>5189</v>
      </c>
      <c r="R179" s="252">
        <f>+'[152]VENTAS TOTALES'!$D29</f>
        <v>5799</v>
      </c>
      <c r="S179" s="252">
        <f>+'[153]VENTAS TOTALES'!$D29</f>
        <v>5557</v>
      </c>
      <c r="T179" s="252">
        <f>+'[154]VENTAS TOTALES'!$D29</f>
        <v>5080</v>
      </c>
      <c r="U179" s="252">
        <f>+'[155]VENTAS TOTALES'!$D29</f>
        <v>4323</v>
      </c>
      <c r="V179" s="252">
        <f>+'[156]VENTAS TOTALES'!$D29</f>
        <v>1699</v>
      </c>
      <c r="W179" s="252">
        <f>+'[157]VENTAS TOTALES'!$D29</f>
        <v>6388</v>
      </c>
      <c r="X179" s="252">
        <f>+'[158]VENTAS TOTALES'!$D29</f>
        <v>5288</v>
      </c>
      <c r="Y179" s="252">
        <f>+'[159]VENTAS TOTALES'!$D29</f>
        <v>5127</v>
      </c>
      <c r="Z179" s="252">
        <f>+'[160]VENTAS TOTALES'!$D29</f>
        <v>5012</v>
      </c>
      <c r="AA179" s="252">
        <f>+'[161]VENTAS TOTALES'!$D29</f>
        <v>4666</v>
      </c>
      <c r="AB179" s="252">
        <f>+'[162]VENTAS TOTALES'!$D29</f>
        <v>4383</v>
      </c>
      <c r="AC179" s="252">
        <f>+'[163]VENTAS TOTALES'!$D29</f>
        <v>1668</v>
      </c>
      <c r="AD179" s="252">
        <f>+'[164]VENTAS TOTALES'!$D29</f>
        <v>6265</v>
      </c>
      <c r="AE179" s="252">
        <f>+'[165]VENTAS TOTALES'!$D29</f>
        <v>6152</v>
      </c>
      <c r="AF179" s="252">
        <f>+'[166]VENTAS TOTALES'!$D29</f>
        <v>6056</v>
      </c>
      <c r="AG179" s="252">
        <f>+'[167]VENTAS TOTALES'!$D29</f>
        <v>5555</v>
      </c>
      <c r="AH179" s="252">
        <f>+'[168]VENTAS TOTALES'!$D29</f>
        <v>5161</v>
      </c>
      <c r="AI179" s="252">
        <f>+'[169]VENTAS TOTALES'!$D29</f>
        <v>4506</v>
      </c>
      <c r="AJ179" s="252">
        <f>+'[170]VENTAS TOTALES'!$D29</f>
        <v>1765</v>
      </c>
    </row>
    <row r="180" spans="1:36" s="10" customFormat="1" x14ac:dyDescent="0.2">
      <c r="A180" s="447"/>
      <c r="B180" s="325" t="s">
        <v>220</v>
      </c>
      <c r="C180" s="252">
        <f>+'[137]VENTAS TOTALES'!$D30</f>
        <v>4050</v>
      </c>
      <c r="D180" s="252">
        <f>+'[138]VENTAS TOTALES'!$D30</f>
        <v>3793</v>
      </c>
      <c r="E180" s="252">
        <f>+'[139]VENTAS TOTALES'!$D30</f>
        <v>3195</v>
      </c>
      <c r="F180" s="252">
        <f>+'[140]VENTAS TOTALES'!$D30</f>
        <v>3124</v>
      </c>
      <c r="G180" s="252">
        <f>+'[141]VENTAS TOTALES'!$D30</f>
        <v>2599</v>
      </c>
      <c r="H180" s="252">
        <f>+'[142]VENTAS TOTALES'!$D30</f>
        <v>1015</v>
      </c>
      <c r="I180" s="252">
        <f>+'[143]VENTAS TOTALES'!$D30</f>
        <v>3673</v>
      </c>
      <c r="J180" s="252">
        <f>+'[144]VENTAS TOTALES'!$D30</f>
        <v>3326</v>
      </c>
      <c r="K180" s="252">
        <f>+'[145]VENTAS TOTALES'!$D30</f>
        <v>3274</v>
      </c>
      <c r="L180" s="252">
        <f>+'[146]VENTAS TOTALES'!$D30</f>
        <v>2969</v>
      </c>
      <c r="M180" s="252">
        <f>+'[147]VENTAS TOTALES'!$D30</f>
        <v>2910</v>
      </c>
      <c r="N180" s="252">
        <f>+'[148]VENTAS TOTALES'!$D30</f>
        <v>2671</v>
      </c>
      <c r="O180" s="252">
        <f>+'[149]VENTAS TOTALES'!$D30</f>
        <v>1052</v>
      </c>
      <c r="P180" s="252">
        <f>+'[150]VENTAS TOTALES'!$D30</f>
        <v>3797</v>
      </c>
      <c r="Q180" s="252">
        <f>+'[151]VENTAS TOTALES'!$D30</f>
        <v>655</v>
      </c>
      <c r="R180" s="252">
        <f>+'[152]VENTAS TOTALES'!$D30</f>
        <v>0</v>
      </c>
      <c r="S180" s="252">
        <f>+'[153]VENTAS TOTALES'!$D30</f>
        <v>0</v>
      </c>
      <c r="T180" s="252">
        <f>+'[154]VENTAS TOTALES'!$D30</f>
        <v>0</v>
      </c>
      <c r="U180" s="252">
        <f>+'[155]VENTAS TOTALES'!$D30</f>
        <v>0</v>
      </c>
      <c r="V180" s="252">
        <f>+'[156]VENTAS TOTALES'!$D30</f>
        <v>0</v>
      </c>
      <c r="W180" s="252">
        <f>+'[157]VENTAS TOTALES'!$D30</f>
        <v>0</v>
      </c>
      <c r="X180" s="252">
        <f>+'[158]VENTAS TOTALES'!$D30</f>
        <v>0</v>
      </c>
      <c r="Y180" s="252">
        <f>+'[159]VENTAS TOTALES'!$D30</f>
        <v>0</v>
      </c>
      <c r="Z180" s="252">
        <f>+'[160]VENTAS TOTALES'!$D30</f>
        <v>0</v>
      </c>
      <c r="AA180" s="252">
        <f>+'[161]VENTAS TOTALES'!$D30</f>
        <v>0</v>
      </c>
      <c r="AB180" s="252">
        <f>+'[162]VENTAS TOTALES'!$D30</f>
        <v>0</v>
      </c>
      <c r="AC180" s="252">
        <f>+'[163]VENTAS TOTALES'!$D30</f>
        <v>0</v>
      </c>
      <c r="AD180" s="252">
        <f>+'[164]VENTAS TOTALES'!$D30</f>
        <v>0</v>
      </c>
      <c r="AE180" s="252">
        <f>+'[165]VENTAS TOTALES'!$D30</f>
        <v>0</v>
      </c>
      <c r="AF180" s="252">
        <f>+'[166]VENTAS TOTALES'!$D30</f>
        <v>0</v>
      </c>
      <c r="AG180" s="252">
        <f>+'[167]VENTAS TOTALES'!$D30</f>
        <v>0</v>
      </c>
      <c r="AH180" s="252">
        <f>+'[168]VENTAS TOTALES'!$D30</f>
        <v>0</v>
      </c>
      <c r="AI180" s="252">
        <f>+'[169]VENTAS TOTALES'!$D30</f>
        <v>0</v>
      </c>
      <c r="AJ180" s="252">
        <f>+'[170]VENTAS TOTALES'!$D30</f>
        <v>0</v>
      </c>
    </row>
    <row r="181" spans="1:36" s="10" customFormat="1" x14ac:dyDescent="0.2">
      <c r="A181" s="447"/>
      <c r="B181" s="325" t="s">
        <v>221</v>
      </c>
      <c r="C181" s="252">
        <f>+'[137]VENTAS TOTALES'!$D31</f>
        <v>6720</v>
      </c>
      <c r="D181" s="252">
        <f>+'[138]VENTAS TOTALES'!$D31</f>
        <v>6431</v>
      </c>
      <c r="E181" s="252">
        <f>+'[139]VENTAS TOTALES'!$D31</f>
        <v>5227</v>
      </c>
      <c r="F181" s="252">
        <f>+'[140]VENTAS TOTALES'!$D31</f>
        <v>5160</v>
      </c>
      <c r="G181" s="252">
        <f>+'[141]VENTAS TOTALES'!$D31</f>
        <v>4058</v>
      </c>
      <c r="H181" s="252">
        <f>+'[142]VENTAS TOTALES'!$D31</f>
        <v>1167</v>
      </c>
      <c r="I181" s="252">
        <f>+'[143]VENTAS TOTALES'!$D31</f>
        <v>6339</v>
      </c>
      <c r="J181" s="252">
        <f>+'[144]VENTAS TOTALES'!$D31</f>
        <v>5955</v>
      </c>
      <c r="K181" s="252">
        <f>+'[145]VENTAS TOTALES'!$D31</f>
        <v>5471</v>
      </c>
      <c r="L181" s="252">
        <f>+'[146]VENTAS TOTALES'!$D31</f>
        <v>5572</v>
      </c>
      <c r="M181" s="252">
        <f>+'[147]VENTAS TOTALES'!$D31</f>
        <v>5061</v>
      </c>
      <c r="N181" s="252">
        <f>+'[148]VENTAS TOTALES'!$D31</f>
        <v>3727</v>
      </c>
      <c r="O181" s="252">
        <f>+'[149]VENTAS TOTALES'!$D31</f>
        <v>1250</v>
      </c>
      <c r="P181" s="252">
        <f>+'[150]VENTAS TOTALES'!$D31</f>
        <v>6377</v>
      </c>
      <c r="Q181" s="252">
        <f>+'[151]VENTAS TOTALES'!$D31</f>
        <v>6243</v>
      </c>
      <c r="R181" s="252">
        <f>+'[152]VENTAS TOTALES'!$D31</f>
        <v>6044</v>
      </c>
      <c r="S181" s="252">
        <f>+'[153]VENTAS TOTALES'!$D31</f>
        <v>5723</v>
      </c>
      <c r="T181" s="252">
        <f>+'[154]VENTAS TOTALES'!$D31</f>
        <v>5645</v>
      </c>
      <c r="U181" s="252">
        <f>+'[155]VENTAS TOTALES'!$D31</f>
        <v>4097</v>
      </c>
      <c r="V181" s="252">
        <f>+'[156]VENTAS TOTALES'!$D31</f>
        <v>1288</v>
      </c>
      <c r="W181" s="252">
        <f>+'[157]VENTAS TOTALES'!$D31</f>
        <v>6829</v>
      </c>
      <c r="X181" s="252">
        <f>+'[158]VENTAS TOTALES'!$D31</f>
        <v>6264</v>
      </c>
      <c r="Y181" s="252">
        <f>+'[159]VENTAS TOTALES'!$D31</f>
        <v>5962</v>
      </c>
      <c r="Z181" s="252">
        <f>+'[160]VENTAS TOTALES'!$D31</f>
        <v>5700</v>
      </c>
      <c r="AA181" s="252">
        <f>+'[161]VENTAS TOTALES'!$D31</f>
        <v>5603</v>
      </c>
      <c r="AB181" s="252">
        <f>+'[162]VENTAS TOTALES'!$D31</f>
        <v>4132</v>
      </c>
      <c r="AC181" s="252">
        <f>+'[163]VENTAS TOTALES'!$D31</f>
        <v>1362</v>
      </c>
      <c r="AD181" s="252">
        <f>+'[164]VENTAS TOTALES'!$D31</f>
        <v>7320</v>
      </c>
      <c r="AE181" s="252">
        <f>+'[165]VENTAS TOTALES'!$D31</f>
        <v>7224</v>
      </c>
      <c r="AF181" s="252">
        <f>+'[166]VENTAS TOTALES'!$D31</f>
        <v>6604</v>
      </c>
      <c r="AG181" s="252">
        <f>+'[167]VENTAS TOTALES'!$D31</f>
        <v>6035</v>
      </c>
      <c r="AH181" s="252">
        <f>+'[168]VENTAS TOTALES'!$D31</f>
        <v>5505</v>
      </c>
      <c r="AI181" s="252">
        <f>+'[169]VENTAS TOTALES'!$D31</f>
        <v>4127</v>
      </c>
      <c r="AJ181" s="252">
        <f>+'[170]VENTAS TOTALES'!$D31</f>
        <v>1365</v>
      </c>
    </row>
    <row r="182" spans="1:36" s="10" customFormat="1" x14ac:dyDescent="0.2">
      <c r="A182" s="447"/>
      <c r="B182" s="325" t="s">
        <v>222</v>
      </c>
      <c r="C182" s="252">
        <f>+'[137]VENTAS TOTALES'!$D32</f>
        <v>3538</v>
      </c>
      <c r="D182" s="252">
        <f>+'[138]VENTAS TOTALES'!$D32</f>
        <v>3347</v>
      </c>
      <c r="E182" s="252">
        <f>+'[139]VENTAS TOTALES'!$D32</f>
        <v>3440</v>
      </c>
      <c r="F182" s="252">
        <f>+'[140]VENTAS TOTALES'!$D32</f>
        <v>2938</v>
      </c>
      <c r="G182" s="252">
        <f>+'[141]VENTAS TOTALES'!$D32</f>
        <v>2386</v>
      </c>
      <c r="H182" s="252">
        <f>+'[142]VENTAS TOTALES'!$D32</f>
        <v>1072</v>
      </c>
      <c r="I182" s="252">
        <f>+'[143]VENTAS TOTALES'!$D32</f>
        <v>3460</v>
      </c>
      <c r="J182" s="252">
        <f>+'[144]VENTAS TOTALES'!$D32</f>
        <v>3107</v>
      </c>
      <c r="K182" s="252">
        <f>+'[145]VENTAS TOTALES'!$D32</f>
        <v>3101</v>
      </c>
      <c r="L182" s="252">
        <f>+'[146]VENTAS TOTALES'!$D32</f>
        <v>4005</v>
      </c>
      <c r="M182" s="252">
        <f>+'[147]VENTAS TOTALES'!$D32</f>
        <v>4029</v>
      </c>
      <c r="N182" s="252">
        <f>+'[148]VENTAS TOTALES'!$D32</f>
        <v>3093</v>
      </c>
      <c r="O182" s="252">
        <f>+'[149]VENTAS TOTALES'!$D32</f>
        <v>1749</v>
      </c>
      <c r="P182" s="252">
        <f>+'[150]VENTAS TOTALES'!$D32</f>
        <v>3916</v>
      </c>
      <c r="Q182" s="252">
        <f>+'[151]VENTAS TOTALES'!$D32</f>
        <v>3324</v>
      </c>
      <c r="R182" s="252">
        <f>+'[152]VENTAS TOTALES'!$D32</f>
        <v>3256</v>
      </c>
      <c r="S182" s="252">
        <f>+'[153]VENTAS TOTALES'!$D32</f>
        <v>3094</v>
      </c>
      <c r="T182" s="252">
        <f>+'[154]VENTAS TOTALES'!$D32</f>
        <v>3295</v>
      </c>
      <c r="U182" s="252">
        <f>+'[155]VENTAS TOTALES'!$D32</f>
        <v>2348</v>
      </c>
      <c r="V182" s="252">
        <f>+'[156]VENTAS TOTALES'!$D32</f>
        <v>993</v>
      </c>
      <c r="W182" s="252">
        <f>+'[157]VENTAS TOTALES'!$D32</f>
        <v>3762</v>
      </c>
      <c r="X182" s="252">
        <f>+'[158]VENTAS TOTALES'!$D32</f>
        <v>3220</v>
      </c>
      <c r="Y182" s="252">
        <f>+'[159]VENTAS TOTALES'!$D32</f>
        <v>3102</v>
      </c>
      <c r="Z182" s="252">
        <f>+'[160]VENTAS TOTALES'!$D32</f>
        <v>3212</v>
      </c>
      <c r="AA182" s="252">
        <f>+'[161]VENTAS TOTALES'!$D32</f>
        <v>2892</v>
      </c>
      <c r="AB182" s="252">
        <f>+'[162]VENTAS TOTALES'!$D32</f>
        <v>2361</v>
      </c>
      <c r="AC182" s="252">
        <f>+'[163]VENTAS TOTALES'!$D32</f>
        <v>1670</v>
      </c>
      <c r="AD182" s="252">
        <f>+'[164]VENTAS TOTALES'!$D32</f>
        <v>3940</v>
      </c>
      <c r="AE182" s="252">
        <f>+'[165]VENTAS TOTALES'!$D32</f>
        <v>3906</v>
      </c>
      <c r="AF182" s="252">
        <f>+'[166]VENTAS TOTALES'!$D32</f>
        <v>3449</v>
      </c>
      <c r="AG182" s="252">
        <f>+'[167]VENTAS TOTALES'!$D32</f>
        <v>3412</v>
      </c>
      <c r="AH182" s="252">
        <f>+'[168]VENTAS TOTALES'!$D32</f>
        <v>3014</v>
      </c>
      <c r="AI182" s="252">
        <f>+'[169]VENTAS TOTALES'!$D32</f>
        <v>2972</v>
      </c>
      <c r="AJ182" s="252">
        <f>+'[170]VENTAS TOTALES'!$D32</f>
        <v>981</v>
      </c>
    </row>
    <row r="183" spans="1:36" s="10" customFormat="1" x14ac:dyDescent="0.2">
      <c r="A183" s="447"/>
      <c r="B183" s="325" t="s">
        <v>223</v>
      </c>
      <c r="C183" s="252">
        <f>+'[137]VENTAS TOTALES'!$D33</f>
        <v>7597</v>
      </c>
      <c r="D183" s="252">
        <f>+'[138]VENTAS TOTALES'!$D33</f>
        <v>7034</v>
      </c>
      <c r="E183" s="252">
        <f>+'[139]VENTAS TOTALES'!$D33</f>
        <v>5990</v>
      </c>
      <c r="F183" s="252">
        <f>+'[140]VENTAS TOTALES'!$D33</f>
        <v>6253</v>
      </c>
      <c r="G183" s="252">
        <f>+'[141]VENTAS TOTALES'!$D33</f>
        <v>4985</v>
      </c>
      <c r="H183" s="252">
        <f>+'[142]VENTAS TOTALES'!$D33</f>
        <v>3070</v>
      </c>
      <c r="I183" s="252">
        <f>+'[143]VENTAS TOTALES'!$D33</f>
        <v>7080</v>
      </c>
      <c r="J183" s="252">
        <f>+'[144]VENTAS TOTALES'!$D33</f>
        <v>6669</v>
      </c>
      <c r="K183" s="252">
        <f>+'[145]VENTAS TOTALES'!$D33</f>
        <v>6111</v>
      </c>
      <c r="L183" s="252">
        <f>+'[146]VENTAS TOTALES'!$D33</f>
        <v>6481</v>
      </c>
      <c r="M183" s="252">
        <f>+'[147]VENTAS TOTALES'!$D33</f>
        <v>6205</v>
      </c>
      <c r="N183" s="252">
        <f>+'[148]VENTAS TOTALES'!$D33</f>
        <v>5893</v>
      </c>
      <c r="O183" s="252">
        <f>+'[149]VENTAS TOTALES'!$D33</f>
        <v>2602</v>
      </c>
      <c r="P183" s="252">
        <f>+'[150]VENTAS TOTALES'!$D33</f>
        <v>7520</v>
      </c>
      <c r="Q183" s="252">
        <f>+'[151]VENTAS TOTALES'!$D33</f>
        <v>7032</v>
      </c>
      <c r="R183" s="252">
        <f>+'[152]VENTAS TOTALES'!$D33</f>
        <v>6371</v>
      </c>
      <c r="S183" s="252">
        <f>+'[153]VENTAS TOTALES'!$D33</f>
        <v>6584</v>
      </c>
      <c r="T183" s="252">
        <f>+'[154]VENTAS TOTALES'!$D33</f>
        <v>6092</v>
      </c>
      <c r="U183" s="252">
        <f>+'[155]VENTAS TOTALES'!$D33</f>
        <v>5890</v>
      </c>
      <c r="V183" s="252">
        <f>+'[156]VENTAS TOTALES'!$D33</f>
        <v>2235</v>
      </c>
      <c r="W183" s="252">
        <f>+'[157]VENTAS TOTALES'!$D33</f>
        <v>7391</v>
      </c>
      <c r="X183" s="252">
        <f>+'[158]VENTAS TOTALES'!$D33</f>
        <v>6675</v>
      </c>
      <c r="Y183" s="252">
        <f>+'[159]VENTAS TOTALES'!$D33</f>
        <v>6174</v>
      </c>
      <c r="Z183" s="252">
        <f>+'[160]VENTAS TOTALES'!$D33</f>
        <v>5847</v>
      </c>
      <c r="AA183" s="252">
        <f>+'[161]VENTAS TOTALES'!$D33</f>
        <v>6319</v>
      </c>
      <c r="AB183" s="252">
        <f>+'[162]VENTAS TOTALES'!$D33</f>
        <v>5430</v>
      </c>
      <c r="AC183" s="252">
        <f>+'[163]VENTAS TOTALES'!$D33</f>
        <v>4120</v>
      </c>
      <c r="AD183" s="252">
        <f>+'[164]VENTAS TOTALES'!$D33</f>
        <v>8288</v>
      </c>
      <c r="AE183" s="252">
        <f>+'[165]VENTAS TOTALES'!$D33</f>
        <v>7801</v>
      </c>
      <c r="AF183" s="252">
        <f>+'[166]VENTAS TOTALES'!$D33</f>
        <v>6917</v>
      </c>
      <c r="AG183" s="252">
        <f>+'[167]VENTAS TOTALES'!$D33</f>
        <v>6684</v>
      </c>
      <c r="AH183" s="252">
        <f>+'[168]VENTAS TOTALES'!$D33</f>
        <v>6401</v>
      </c>
      <c r="AI183" s="252">
        <f>+'[169]VENTAS TOTALES'!$D33</f>
        <v>6101</v>
      </c>
      <c r="AJ183" s="252">
        <f>+'[170]VENTAS TOTALES'!$D33</f>
        <v>2903</v>
      </c>
    </row>
    <row r="184" spans="1:36" s="10" customFormat="1" x14ac:dyDescent="0.2">
      <c r="A184" s="447"/>
      <c r="B184" s="325" t="s">
        <v>224</v>
      </c>
      <c r="C184" s="252">
        <f>+'[137]VENTAS TOTALES'!$D34</f>
        <v>2821</v>
      </c>
      <c r="D184" s="252">
        <f>+'[138]VENTAS TOTALES'!$D34</f>
        <v>2484</v>
      </c>
      <c r="E184" s="252">
        <f>+'[139]VENTAS TOTALES'!$D34</f>
        <v>2085</v>
      </c>
      <c r="F184" s="252">
        <f>+'[140]VENTAS TOTALES'!$D34</f>
        <v>2030</v>
      </c>
      <c r="G184" s="252">
        <f>+'[141]VENTAS TOTALES'!$D34</f>
        <v>1254</v>
      </c>
      <c r="H184" s="252">
        <f>+'[142]VENTAS TOTALES'!$D34</f>
        <v>445</v>
      </c>
      <c r="I184" s="252">
        <f>+'[143]VENTAS TOTALES'!$D34</f>
        <v>2565</v>
      </c>
      <c r="J184" s="252">
        <f>+'[144]VENTAS TOTALES'!$D34</f>
        <v>2388</v>
      </c>
      <c r="K184" s="252">
        <f>+'[145]VENTAS TOTALES'!$D34</f>
        <v>2282</v>
      </c>
      <c r="L184" s="252">
        <f>+'[146]VENTAS TOTALES'!$D34</f>
        <v>2183</v>
      </c>
      <c r="M184" s="252">
        <f>+'[147]VENTAS TOTALES'!$D34</f>
        <v>2049</v>
      </c>
      <c r="N184" s="252">
        <f>+'[148]VENTAS TOTALES'!$D34</f>
        <v>1459</v>
      </c>
      <c r="O184" s="252">
        <f>+'[149]VENTAS TOTALES'!$D34</f>
        <v>359</v>
      </c>
      <c r="P184" s="252">
        <f>+'[150]VENTAS TOTALES'!$D34</f>
        <v>2823</v>
      </c>
      <c r="Q184" s="252">
        <f>+'[151]VENTAS TOTALES'!$D34</f>
        <v>2613</v>
      </c>
      <c r="R184" s="252">
        <f>+'[152]VENTAS TOTALES'!$D34</f>
        <v>2478</v>
      </c>
      <c r="S184" s="252">
        <f>+'[153]VENTAS TOTALES'!$D34</f>
        <v>2427</v>
      </c>
      <c r="T184" s="252">
        <f>+'[154]VENTAS TOTALES'!$D34</f>
        <v>2126</v>
      </c>
      <c r="U184" s="252">
        <f>+'[155]VENTAS TOTALES'!$D34</f>
        <v>1395</v>
      </c>
      <c r="V184" s="252">
        <f>+'[156]VENTAS TOTALES'!$D34</f>
        <v>422</v>
      </c>
      <c r="W184" s="252">
        <f>+'[157]VENTAS TOTALES'!$D34</f>
        <v>2484</v>
      </c>
      <c r="X184" s="252">
        <f>+'[158]VENTAS TOTALES'!$D34</f>
        <v>2538</v>
      </c>
      <c r="Y184" s="252">
        <f>+'[159]VENTAS TOTALES'!$D34</f>
        <v>2252</v>
      </c>
      <c r="Z184" s="252">
        <f>+'[160]VENTAS TOTALES'!$D34</f>
        <v>2221</v>
      </c>
      <c r="AA184" s="252">
        <f>+'[161]VENTAS TOTALES'!$D34</f>
        <v>2251</v>
      </c>
      <c r="AB184" s="252">
        <f>+'[162]VENTAS TOTALES'!$D34</f>
        <v>1340</v>
      </c>
      <c r="AC184" s="252">
        <f>+'[163]VENTAS TOTALES'!$D34</f>
        <v>540</v>
      </c>
      <c r="AD184" s="252">
        <f>+'[164]VENTAS TOTALES'!$D34</f>
        <v>3055</v>
      </c>
      <c r="AE184" s="252">
        <f>+'[165]VENTAS TOTALES'!$D34</f>
        <v>2885</v>
      </c>
      <c r="AF184" s="252">
        <f>+'[166]VENTAS TOTALES'!$D34</f>
        <v>2620</v>
      </c>
      <c r="AG184" s="252">
        <f>+'[167]VENTAS TOTALES'!$D34</f>
        <v>2482</v>
      </c>
      <c r="AH184" s="252">
        <f>+'[168]VENTAS TOTALES'!$D34</f>
        <v>2375</v>
      </c>
      <c r="AI184" s="252">
        <f>+'[169]VENTAS TOTALES'!$D34</f>
        <v>1711</v>
      </c>
      <c r="AJ184" s="252">
        <f>+'[170]VENTAS TOTALES'!$D34</f>
        <v>452</v>
      </c>
    </row>
    <row r="185" spans="1:36" s="10" customFormat="1" x14ac:dyDescent="0.2">
      <c r="A185" s="447"/>
      <c r="B185" s="325" t="s">
        <v>225</v>
      </c>
      <c r="C185" s="252">
        <f>+'[137]VENTAS TOTALES'!$D35</f>
        <v>6902</v>
      </c>
      <c r="D185" s="252">
        <f>+'[138]VENTAS TOTALES'!$D35</f>
        <v>6795</v>
      </c>
      <c r="E185" s="252">
        <f>+'[139]VENTAS TOTALES'!$D35</f>
        <v>5925</v>
      </c>
      <c r="F185" s="252">
        <f>+'[140]VENTAS TOTALES'!$D35</f>
        <v>6137</v>
      </c>
      <c r="G185" s="252">
        <f>+'[141]VENTAS TOTALES'!$D35</f>
        <v>3033</v>
      </c>
      <c r="H185" s="252">
        <f>+'[142]VENTAS TOTALES'!$D35</f>
        <v>755</v>
      </c>
      <c r="I185" s="252">
        <f>+'[143]VENTAS TOTALES'!$D35</f>
        <v>9046</v>
      </c>
      <c r="J185" s="252">
        <f>+'[144]VENTAS TOTALES'!$D35</f>
        <v>8579</v>
      </c>
      <c r="K185" s="252">
        <f>+'[145]VENTAS TOTALES'!$D35</f>
        <v>7969</v>
      </c>
      <c r="L185" s="252">
        <f>+'[146]VENTAS TOTALES'!$D35</f>
        <v>7763</v>
      </c>
      <c r="M185" s="252">
        <f>+'[147]VENTAS TOTALES'!$D35</f>
        <v>7648</v>
      </c>
      <c r="N185" s="252">
        <f>+'[148]VENTAS TOTALES'!$D35</f>
        <v>3398</v>
      </c>
      <c r="O185" s="252">
        <f>+'[149]VENTAS TOTALES'!$D35</f>
        <v>891</v>
      </c>
      <c r="P185" s="252">
        <f>+'[150]VENTAS TOTALES'!$D35</f>
        <v>9660</v>
      </c>
      <c r="Q185" s="252">
        <f>+'[151]VENTAS TOTALES'!$D35</f>
        <v>8751</v>
      </c>
      <c r="R185" s="252">
        <f>+'[152]VENTAS TOTALES'!$D35</f>
        <v>8574</v>
      </c>
      <c r="S185" s="252">
        <f>+'[153]VENTAS TOTALES'!$D35</f>
        <v>8285</v>
      </c>
      <c r="T185" s="252">
        <f>+'[154]VENTAS TOTALES'!$D35</f>
        <v>7739</v>
      </c>
      <c r="U185" s="252">
        <f>+'[155]VENTAS TOTALES'!$D35</f>
        <v>3799</v>
      </c>
      <c r="V185" s="252">
        <f>+'[156]VENTAS TOTALES'!$D35</f>
        <v>778</v>
      </c>
      <c r="W185" s="252">
        <f>+'[157]VENTAS TOTALES'!$D35</f>
        <v>9525</v>
      </c>
      <c r="X185" s="252">
        <f>+'[158]VENTAS TOTALES'!$D35</f>
        <v>8503</v>
      </c>
      <c r="Y185" s="252">
        <f>+'[159]VENTAS TOTALES'!$D35</f>
        <v>8126</v>
      </c>
      <c r="Z185" s="252">
        <f>+'[160]VENTAS TOTALES'!$D35</f>
        <v>7953</v>
      </c>
      <c r="AA185" s="252">
        <f>+'[161]VENTAS TOTALES'!$D35</f>
        <v>8016</v>
      </c>
      <c r="AB185" s="252">
        <f>+'[162]VENTAS TOTALES'!$D35</f>
        <v>4047</v>
      </c>
      <c r="AC185" s="252">
        <f>+'[163]VENTAS TOTALES'!$D35</f>
        <v>973</v>
      </c>
      <c r="AD185" s="252">
        <f>+'[164]VENTAS TOTALES'!$D35</f>
        <v>10600</v>
      </c>
      <c r="AE185" s="252">
        <f>+'[165]VENTAS TOTALES'!$D35</f>
        <v>9342</v>
      </c>
      <c r="AF185" s="252">
        <f>+'[166]VENTAS TOTALES'!$D35</f>
        <v>8707</v>
      </c>
      <c r="AG185" s="252">
        <f>+'[167]VENTAS TOTALES'!$D35</f>
        <v>8554</v>
      </c>
      <c r="AH185" s="252">
        <f>+'[168]VENTAS TOTALES'!$D35</f>
        <v>8584</v>
      </c>
      <c r="AI185" s="252">
        <f>+'[169]VENTAS TOTALES'!$D35</f>
        <v>4286</v>
      </c>
      <c r="AJ185" s="252">
        <f>+'[170]VENTAS TOTALES'!$D35</f>
        <v>855</v>
      </c>
    </row>
    <row r="186" spans="1:36" s="10" customFormat="1" x14ac:dyDescent="0.2">
      <c r="A186" s="447"/>
      <c r="B186" s="325" t="s">
        <v>226</v>
      </c>
      <c r="C186" s="252">
        <f>+'[137]VENTAS TOTALES'!$D36</f>
        <v>5298</v>
      </c>
      <c r="D186" s="252">
        <f>+'[138]VENTAS TOTALES'!$D36</f>
        <v>5017</v>
      </c>
      <c r="E186" s="252">
        <f>+'[139]VENTAS TOTALES'!$D36</f>
        <v>4099</v>
      </c>
      <c r="F186" s="252">
        <f>+'[140]VENTAS TOTALES'!$D36</f>
        <v>4111</v>
      </c>
      <c r="G186" s="252">
        <f>+'[141]VENTAS TOTALES'!$D36</f>
        <v>2867</v>
      </c>
      <c r="H186" s="252">
        <f>+'[142]VENTAS TOTALES'!$D36</f>
        <v>1385</v>
      </c>
      <c r="I186" s="252">
        <f>+'[143]VENTAS TOTALES'!$D36</f>
        <v>5190</v>
      </c>
      <c r="J186" s="252">
        <f>+'[144]VENTAS TOTALES'!$D36</f>
        <v>4756</v>
      </c>
      <c r="K186" s="252">
        <f>+'[145]VENTAS TOTALES'!$D36</f>
        <v>4309</v>
      </c>
      <c r="L186" s="252">
        <f>+'[146]VENTAS TOTALES'!$D36</f>
        <v>4530</v>
      </c>
      <c r="M186" s="252">
        <f>+'[147]VENTAS TOTALES'!$D36</f>
        <v>4473</v>
      </c>
      <c r="N186" s="252">
        <f>+'[148]VENTAS TOTALES'!$D36</f>
        <v>3005</v>
      </c>
      <c r="O186" s="252">
        <f>+'[149]VENTAS TOTALES'!$D36</f>
        <v>1197</v>
      </c>
      <c r="P186" s="252">
        <f>+'[150]VENTAS TOTALES'!$D36</f>
        <v>7074</v>
      </c>
      <c r="Q186" s="252">
        <f>+'[151]VENTAS TOTALES'!$D36</f>
        <v>5087</v>
      </c>
      <c r="R186" s="252">
        <f>+'[152]VENTAS TOTALES'!$D36</f>
        <v>5195</v>
      </c>
      <c r="S186" s="252">
        <f>+'[153]VENTAS TOTALES'!$D36</f>
        <v>4813</v>
      </c>
      <c r="T186" s="252">
        <f>+'[154]VENTAS TOTALES'!$D36</f>
        <v>4590</v>
      </c>
      <c r="U186" s="252">
        <f>+'[155]VENTAS TOTALES'!$D36</f>
        <v>3088</v>
      </c>
      <c r="V186" s="252">
        <f>+'[156]VENTAS TOTALES'!$D36</f>
        <v>1312</v>
      </c>
      <c r="W186" s="252">
        <f>+'[157]VENTAS TOTALES'!$D36</f>
        <v>5187</v>
      </c>
      <c r="X186" s="252">
        <f>+'[158]VENTAS TOTALES'!$D36</f>
        <v>5010</v>
      </c>
      <c r="Y186" s="252">
        <f>+'[159]VENTAS TOTALES'!$D36</f>
        <v>4491</v>
      </c>
      <c r="Z186" s="252">
        <f>+'[160]VENTAS TOTALES'!$D36</f>
        <v>4542</v>
      </c>
      <c r="AA186" s="252">
        <f>+'[161]VENTAS TOTALES'!$D36</f>
        <v>4416</v>
      </c>
      <c r="AB186" s="252">
        <f>+'[162]VENTAS TOTALES'!$D36</f>
        <v>3052</v>
      </c>
      <c r="AC186" s="252">
        <f>+'[163]VENTAS TOTALES'!$D36</f>
        <v>1552</v>
      </c>
      <c r="AD186" s="252">
        <f>+'[164]VENTAS TOTALES'!$D36</f>
        <v>5664</v>
      </c>
      <c r="AE186" s="252">
        <f>+'[165]VENTAS TOTALES'!$D36</f>
        <v>5286</v>
      </c>
      <c r="AF186" s="252">
        <f>+'[166]VENTAS TOTALES'!$D36</f>
        <v>4982</v>
      </c>
      <c r="AG186" s="252">
        <f>+'[167]VENTAS TOTALES'!$D36</f>
        <v>4703</v>
      </c>
      <c r="AH186" s="252">
        <f>+'[168]VENTAS TOTALES'!$D36</f>
        <v>4266</v>
      </c>
      <c r="AI186" s="252">
        <f>+'[169]VENTAS TOTALES'!$D36</f>
        <v>3146</v>
      </c>
      <c r="AJ186" s="252">
        <f>+'[170]VENTAS TOTALES'!$D36</f>
        <v>1270</v>
      </c>
    </row>
    <row r="187" spans="1:36" s="10" customFormat="1" x14ac:dyDescent="0.2">
      <c r="A187" s="447"/>
      <c r="B187" s="325" t="s">
        <v>227</v>
      </c>
      <c r="C187" s="252">
        <f>+'[137]VENTAS TOTALES'!$D37</f>
        <v>7837</v>
      </c>
      <c r="D187" s="252">
        <f>+'[138]VENTAS TOTALES'!$D37</f>
        <v>7718</v>
      </c>
      <c r="E187" s="252">
        <f>+'[139]VENTAS TOTALES'!$D37</f>
        <v>6561</v>
      </c>
      <c r="F187" s="252">
        <f>+'[140]VENTAS TOTALES'!$D37</f>
        <v>6073</v>
      </c>
      <c r="G187" s="252">
        <f>+'[141]VENTAS TOTALES'!$D37</f>
        <v>3503</v>
      </c>
      <c r="H187" s="252">
        <f>+'[142]VENTAS TOTALES'!$D37</f>
        <v>2556</v>
      </c>
      <c r="I187" s="252">
        <f>+'[143]VENTAS TOTALES'!$D37</f>
        <v>6818</v>
      </c>
      <c r="J187" s="252">
        <f>+'[144]VENTAS TOTALES'!$D37</f>
        <v>6356</v>
      </c>
      <c r="K187" s="252">
        <f>+'[145]VENTAS TOTALES'!$D37</f>
        <v>6072</v>
      </c>
      <c r="L187" s="252">
        <f>+'[146]VENTAS TOTALES'!$D37</f>
        <v>5858</v>
      </c>
      <c r="M187" s="252">
        <f>+'[147]VENTAS TOTALES'!$D37</f>
        <v>6111</v>
      </c>
      <c r="N187" s="252">
        <f>+'[148]VENTAS TOTALES'!$D37</f>
        <v>3637</v>
      </c>
      <c r="O187" s="252">
        <f>+'[149]VENTAS TOTALES'!$D37</f>
        <v>2435</v>
      </c>
      <c r="P187" s="252">
        <f>+'[150]VENTAS TOTALES'!$D37</f>
        <v>7709</v>
      </c>
      <c r="Q187" s="252">
        <f>+'[151]VENTAS TOTALES'!$D37</f>
        <v>6889</v>
      </c>
      <c r="R187" s="252">
        <f>+'[152]VENTAS TOTALES'!$D37</f>
        <v>7029</v>
      </c>
      <c r="S187" s="252">
        <f>+'[153]VENTAS TOTALES'!$D37</f>
        <v>6756</v>
      </c>
      <c r="T187" s="252">
        <f>+'[154]VENTAS TOTALES'!$D37</f>
        <v>6347</v>
      </c>
      <c r="U187" s="252">
        <f>+'[155]VENTAS TOTALES'!$D37</f>
        <v>3724</v>
      </c>
      <c r="V187" s="252">
        <f>+'[156]VENTAS TOTALES'!$D37</f>
        <v>2593</v>
      </c>
      <c r="W187" s="252">
        <f>+'[157]VENTAS TOTALES'!$D37</f>
        <v>6683</v>
      </c>
      <c r="X187" s="252">
        <f>+'[158]VENTAS TOTALES'!$D37</f>
        <v>6372</v>
      </c>
      <c r="Y187" s="252">
        <f>+'[159]VENTAS TOTALES'!$D37</f>
        <v>6244</v>
      </c>
      <c r="Z187" s="252">
        <f>+'[160]VENTAS TOTALES'!$D37</f>
        <v>6269</v>
      </c>
      <c r="AA187" s="252">
        <f>+'[161]VENTAS TOTALES'!$D37</f>
        <v>6536</v>
      </c>
      <c r="AB187" s="252">
        <f>+'[162]VENTAS TOTALES'!$D37</f>
        <v>4011</v>
      </c>
      <c r="AC187" s="252">
        <f>+'[163]VENTAS TOTALES'!$D37</f>
        <v>2609</v>
      </c>
      <c r="AD187" s="252">
        <f>+'[164]VENTAS TOTALES'!$D37</f>
        <v>7247</v>
      </c>
      <c r="AE187" s="252">
        <f>+'[165]VENTAS TOTALES'!$D37</f>
        <v>7383</v>
      </c>
      <c r="AF187" s="252">
        <f>+'[166]VENTAS TOTALES'!$D37</f>
        <v>7525</v>
      </c>
      <c r="AG187" s="252">
        <f>+'[167]VENTAS TOTALES'!$D37</f>
        <v>6372</v>
      </c>
      <c r="AH187" s="252">
        <f>+'[168]VENTAS TOTALES'!$D37</f>
        <v>6361</v>
      </c>
      <c r="AI187" s="252">
        <f>+'[169]VENTAS TOTALES'!$D37</f>
        <v>4211</v>
      </c>
      <c r="AJ187" s="252">
        <f>+'[170]VENTAS TOTALES'!$D37</f>
        <v>2543</v>
      </c>
    </row>
    <row r="188" spans="1:36" s="10" customFormat="1" x14ac:dyDescent="0.2">
      <c r="A188" s="447"/>
      <c r="B188" s="325" t="s">
        <v>228</v>
      </c>
      <c r="C188" s="252">
        <f>+'[137]VENTAS TOTALES'!$D38</f>
        <v>2172</v>
      </c>
      <c r="D188" s="252">
        <f>+'[138]VENTAS TOTALES'!$D38</f>
        <v>2132</v>
      </c>
      <c r="E188" s="252">
        <f>+'[139]VENTAS TOTALES'!$D38</f>
        <v>1585</v>
      </c>
      <c r="F188" s="252">
        <f>+'[140]VENTAS TOTALES'!$D38</f>
        <v>1983</v>
      </c>
      <c r="G188" s="252">
        <f>+'[141]VENTAS TOTALES'!$D38</f>
        <v>1264</v>
      </c>
      <c r="H188" s="252">
        <f>+'[142]VENTAS TOTALES'!$D38</f>
        <v>565</v>
      </c>
      <c r="I188" s="252">
        <f>+'[143]VENTAS TOTALES'!$D38</f>
        <v>2311</v>
      </c>
      <c r="J188" s="252">
        <f>+'[144]VENTAS TOTALES'!$D38</f>
        <v>1853</v>
      </c>
      <c r="K188" s="252">
        <f>+'[145]VENTAS TOTALES'!$D38</f>
        <v>1841</v>
      </c>
      <c r="L188" s="252">
        <f>+'[146]VENTAS TOTALES'!$D38</f>
        <v>1787</v>
      </c>
      <c r="M188" s="252">
        <f>+'[147]VENTAS TOTALES'!$D38</f>
        <v>1732</v>
      </c>
      <c r="N188" s="252">
        <f>+'[148]VENTAS TOTALES'!$D38</f>
        <v>1169</v>
      </c>
      <c r="O188" s="252">
        <f>+'[149]VENTAS TOTALES'!$D38</f>
        <v>608</v>
      </c>
      <c r="P188" s="252">
        <f>+'[150]VENTAS TOTALES'!$D38</f>
        <v>2283</v>
      </c>
      <c r="Q188" s="252">
        <f>+'[151]VENTAS TOTALES'!$D38</f>
        <v>2065</v>
      </c>
      <c r="R188" s="252">
        <f>+'[152]VENTAS TOTALES'!$D38</f>
        <v>2066</v>
      </c>
      <c r="S188" s="252">
        <f>+'[153]VENTAS TOTALES'!$D38</f>
        <v>2066</v>
      </c>
      <c r="T188" s="252">
        <f>+'[154]VENTAS TOTALES'!$D38</f>
        <v>1773</v>
      </c>
      <c r="U188" s="252">
        <f>+'[155]VENTAS TOTALES'!$D38</f>
        <v>1332</v>
      </c>
      <c r="V188" s="252">
        <f>+'[156]VENTAS TOTALES'!$D38</f>
        <v>654</v>
      </c>
      <c r="W188" s="252">
        <f>+'[157]VENTAS TOTALES'!$D38</f>
        <v>2169</v>
      </c>
      <c r="X188" s="252">
        <f>+'[158]VENTAS TOTALES'!$D38</f>
        <v>1924</v>
      </c>
      <c r="Y188" s="252">
        <f>+'[159]VENTAS TOTALES'!$D38</f>
        <v>1937</v>
      </c>
      <c r="Z188" s="252">
        <f>+'[160]VENTAS TOTALES'!$D38</f>
        <v>1772</v>
      </c>
      <c r="AA188" s="252">
        <f>+'[161]VENTAS TOTALES'!$D38</f>
        <v>1807</v>
      </c>
      <c r="AB188" s="252">
        <f>+'[162]VENTAS TOTALES'!$D38</f>
        <v>1456</v>
      </c>
      <c r="AC188" s="252">
        <f>+'[163]VENTAS TOTALES'!$D38</f>
        <v>730</v>
      </c>
      <c r="AD188" s="252">
        <f>+'[164]VENTAS TOTALES'!$D38</f>
        <v>2231</v>
      </c>
      <c r="AE188" s="252">
        <f>+'[165]VENTAS TOTALES'!$D38</f>
        <v>2378</v>
      </c>
      <c r="AF188" s="252">
        <f>+'[166]VENTAS TOTALES'!$D38</f>
        <v>2244</v>
      </c>
      <c r="AG188" s="252">
        <f>+'[167]VENTAS TOTALES'!$D38</f>
        <v>2232</v>
      </c>
      <c r="AH188" s="252">
        <f>+'[168]VENTAS TOTALES'!$D38</f>
        <v>1941</v>
      </c>
      <c r="AI188" s="252">
        <f>+'[169]VENTAS TOTALES'!$D38</f>
        <v>1475</v>
      </c>
      <c r="AJ188" s="252">
        <f>+'[170]VENTAS TOTALES'!$D38</f>
        <v>699</v>
      </c>
    </row>
    <row r="189" spans="1:36" s="10" customFormat="1" ht="13.5" thickBot="1" x14ac:dyDescent="0.25">
      <c r="A189" s="447"/>
      <c r="B189" s="326" t="s">
        <v>229</v>
      </c>
      <c r="C189" s="269">
        <f>+'[137]VENTAS TOTALES'!$D39</f>
        <v>5884</v>
      </c>
      <c r="D189" s="269">
        <f>+'[138]VENTAS TOTALES'!$D39</f>
        <v>5564</v>
      </c>
      <c r="E189" s="269">
        <f>+'[139]VENTAS TOTALES'!$D39</f>
        <v>4478</v>
      </c>
      <c r="F189" s="269">
        <f>+'[140]VENTAS TOTALES'!$D39</f>
        <v>4734</v>
      </c>
      <c r="G189" s="269">
        <f>+'[141]VENTAS TOTALES'!$D39</f>
        <v>2557</v>
      </c>
      <c r="H189" s="269">
        <f>+'[142]VENTAS TOTALES'!$D39</f>
        <v>683</v>
      </c>
      <c r="I189" s="269">
        <f>+'[143]VENTAS TOTALES'!$D39</f>
        <v>5266</v>
      </c>
      <c r="J189" s="269">
        <f>+'[144]VENTAS TOTALES'!$D39</f>
        <v>5128</v>
      </c>
      <c r="K189" s="269">
        <f>+'[145]VENTAS TOTALES'!$D39</f>
        <v>4950</v>
      </c>
      <c r="L189" s="269">
        <f>+'[146]VENTAS TOTALES'!$D39</f>
        <v>4816</v>
      </c>
      <c r="M189" s="269">
        <f>+'[147]VENTAS TOTALES'!$D39</f>
        <v>4741</v>
      </c>
      <c r="N189" s="269">
        <f>+'[148]VENTAS TOTALES'!$D39</f>
        <v>2365</v>
      </c>
      <c r="O189" s="269">
        <f>+'[149]VENTAS TOTALES'!$D39</f>
        <v>703</v>
      </c>
      <c r="P189" s="269">
        <f>+'[150]VENTAS TOTALES'!$D39</f>
        <v>5901</v>
      </c>
      <c r="Q189" s="269">
        <f>+'[151]VENTAS TOTALES'!$D39</f>
        <v>5641</v>
      </c>
      <c r="R189" s="269">
        <f>+'[152]VENTAS TOTALES'!$D39</f>
        <v>5392</v>
      </c>
      <c r="S189" s="269">
        <f>+'[153]VENTAS TOTALES'!$D39</f>
        <v>5143</v>
      </c>
      <c r="T189" s="269">
        <f>+'[154]VENTAS TOTALES'!$D39</f>
        <v>4751</v>
      </c>
      <c r="U189" s="269">
        <f>+'[155]VENTAS TOTALES'!$D39</f>
        <v>2464</v>
      </c>
      <c r="V189" s="269">
        <f>+'[156]VENTAS TOTALES'!$D39</f>
        <v>677</v>
      </c>
      <c r="W189" s="269">
        <f>+'[157]VENTAS TOTALES'!$D39</f>
        <v>5194</v>
      </c>
      <c r="X189" s="269">
        <f>+'[158]VENTAS TOTALES'!$D39</f>
        <v>4855</v>
      </c>
      <c r="Y189" s="269">
        <f>+'[159]VENTAS TOTALES'!$D39</f>
        <v>5143</v>
      </c>
      <c r="Z189" s="269">
        <f>+'[160]VENTAS TOTALES'!$D39</f>
        <v>5058</v>
      </c>
      <c r="AA189" s="269">
        <f>+'[161]VENTAS TOTALES'!$D39</f>
        <v>4899</v>
      </c>
      <c r="AB189" s="269">
        <f>+'[162]VENTAS TOTALES'!$D39</f>
        <v>2285</v>
      </c>
      <c r="AC189" s="269">
        <f>+'[163]VENTAS TOTALES'!$D39</f>
        <v>839</v>
      </c>
      <c r="AD189" s="269">
        <f>+'[164]VENTAS TOTALES'!$D39</f>
        <v>6095</v>
      </c>
      <c r="AE189" s="269">
        <f>+'[165]VENTAS TOTALES'!$D39</f>
        <v>6032</v>
      </c>
      <c r="AF189" s="269">
        <f>+'[166]VENTAS TOTALES'!$D39</f>
        <v>5386</v>
      </c>
      <c r="AG189" s="269">
        <f>+'[167]VENTAS TOTALES'!$D39</f>
        <v>5067</v>
      </c>
      <c r="AH189" s="269">
        <f>+'[168]VENTAS TOTALES'!$D39</f>
        <v>4734</v>
      </c>
      <c r="AI189" s="269">
        <f>+'[169]VENTAS TOTALES'!$D39</f>
        <v>2325</v>
      </c>
      <c r="AJ189" s="269">
        <f>+'[170]VENTAS TOTALES'!$D39</f>
        <v>777</v>
      </c>
    </row>
    <row r="190" spans="1:36" s="10" customFormat="1" x14ac:dyDescent="0.2">
      <c r="A190" s="447"/>
      <c r="B190" s="293" t="s">
        <v>230</v>
      </c>
      <c r="C190" s="288">
        <f>+'[137]VENTAS TOTALES'!$D40</f>
        <v>7468</v>
      </c>
      <c r="D190" s="288">
        <f>+'[138]VENTAS TOTALES'!$D40</f>
        <v>7534</v>
      </c>
      <c r="E190" s="288">
        <f>+'[139]VENTAS TOTALES'!$D40</f>
        <v>6357</v>
      </c>
      <c r="F190" s="288">
        <f>+'[140]VENTAS TOTALES'!$D40</f>
        <v>6443</v>
      </c>
      <c r="G190" s="288">
        <f>+'[141]VENTAS TOTALES'!$D40</f>
        <v>5171</v>
      </c>
      <c r="H190" s="288">
        <f>+'[142]VENTAS TOTALES'!$D40</f>
        <v>1654</v>
      </c>
      <c r="I190" s="288">
        <f>+'[143]VENTAS TOTALES'!$D40</f>
        <v>7724</v>
      </c>
      <c r="J190" s="288">
        <f>+'[144]VENTAS TOTALES'!$D40</f>
        <v>6674</v>
      </c>
      <c r="K190" s="288">
        <f>+'[145]VENTAS TOTALES'!$D40</f>
        <v>6404</v>
      </c>
      <c r="L190" s="288">
        <f>+'[146]VENTAS TOTALES'!$D40</f>
        <v>6454</v>
      </c>
      <c r="M190" s="288">
        <f>+'[147]VENTAS TOTALES'!$D40</f>
        <v>6396</v>
      </c>
      <c r="N190" s="288">
        <f>+'[148]VENTAS TOTALES'!$D40</f>
        <v>5070</v>
      </c>
      <c r="O190" s="288">
        <f>+'[149]VENTAS TOTALES'!$D40</f>
        <v>1494</v>
      </c>
      <c r="P190" s="288">
        <f>+'[150]VENTAS TOTALES'!$D40</f>
        <v>8036</v>
      </c>
      <c r="Q190" s="288">
        <f>+'[151]VENTAS TOTALES'!$D40</f>
        <v>7493</v>
      </c>
      <c r="R190" s="288">
        <f>+'[152]VENTAS TOTALES'!$D40</f>
        <v>7502</v>
      </c>
      <c r="S190" s="288">
        <f>+'[153]VENTAS TOTALES'!$D40</f>
        <v>7313</v>
      </c>
      <c r="T190" s="288">
        <f>+'[154]VENTAS TOTALES'!$D40</f>
        <v>6826</v>
      </c>
      <c r="U190" s="288">
        <f>+'[155]VENTAS TOTALES'!$D40</f>
        <v>5493</v>
      </c>
      <c r="V190" s="288">
        <f>+'[156]VENTAS TOTALES'!$D40</f>
        <v>1509</v>
      </c>
      <c r="W190" s="288">
        <f>+'[157]VENTAS TOTALES'!$D40</f>
        <v>7669</v>
      </c>
      <c r="X190" s="288">
        <f>+'[158]VENTAS TOTALES'!$D40</f>
        <v>6605</v>
      </c>
      <c r="Y190" s="288">
        <f>+'[159]VENTAS TOTALES'!$D40</f>
        <v>6474</v>
      </c>
      <c r="Z190" s="288">
        <f>+'[160]VENTAS TOTALES'!$D40</f>
        <v>6574</v>
      </c>
      <c r="AA190" s="288">
        <f>+'[161]VENTAS TOTALES'!$D40</f>
        <v>6171</v>
      </c>
      <c r="AB190" s="288">
        <f>+'[162]VENTAS TOTALES'!$D40</f>
        <v>5158</v>
      </c>
      <c r="AC190" s="288">
        <f>+'[163]VENTAS TOTALES'!$D40</f>
        <v>1568</v>
      </c>
      <c r="AD190" s="288">
        <f>+'[164]VENTAS TOTALES'!$D40</f>
        <v>8344</v>
      </c>
      <c r="AE190" s="288">
        <f>+'[165]VENTAS TOTALES'!$D40</f>
        <v>7816</v>
      </c>
      <c r="AF190" s="288">
        <f>+'[166]VENTAS TOTALES'!$D40</f>
        <v>7468</v>
      </c>
      <c r="AG190" s="288">
        <f>+'[167]VENTAS TOTALES'!$D40</f>
        <v>7072</v>
      </c>
      <c r="AH190" s="288">
        <f>+'[168]VENTAS TOTALES'!$D40</f>
        <v>7029</v>
      </c>
      <c r="AI190" s="288">
        <f>+'[169]VENTAS TOTALES'!$D40</f>
        <v>5283</v>
      </c>
      <c r="AJ190" s="288">
        <f>+'[170]VENTAS TOTALES'!$D40</f>
        <v>1478</v>
      </c>
    </row>
    <row r="191" spans="1:36" s="10" customFormat="1" ht="13.5" thickBot="1" x14ac:dyDescent="0.25">
      <c r="A191" s="447"/>
      <c r="B191" s="327" t="s">
        <v>231</v>
      </c>
      <c r="C191" s="328">
        <f>+'[137]VENTAS TOTALES'!$D41</f>
        <v>2979</v>
      </c>
      <c r="D191" s="328">
        <f>+'[138]VENTAS TOTALES'!$D41</f>
        <v>2496</v>
      </c>
      <c r="E191" s="328">
        <f>+'[139]VENTAS TOTALES'!$D41</f>
        <v>2230</v>
      </c>
      <c r="F191" s="328">
        <f>+'[140]VENTAS TOTALES'!$D41</f>
        <v>2225</v>
      </c>
      <c r="G191" s="328">
        <f>+'[141]VENTAS TOTALES'!$D41</f>
        <v>1240</v>
      </c>
      <c r="H191" s="328">
        <f>+'[142]VENTAS TOTALES'!$D41</f>
        <v>280</v>
      </c>
      <c r="I191" s="328">
        <f>+'[143]VENTAS TOTALES'!$D41</f>
        <v>2604</v>
      </c>
      <c r="J191" s="328">
        <f>+'[144]VENTAS TOTALES'!$D41</f>
        <v>2314</v>
      </c>
      <c r="K191" s="328">
        <f>+'[145]VENTAS TOTALES'!$D41</f>
        <v>2266</v>
      </c>
      <c r="L191" s="328">
        <f>+'[146]VENTAS TOTALES'!$D41</f>
        <v>2338</v>
      </c>
      <c r="M191" s="328">
        <f>+'[147]VENTAS TOTALES'!$D41</f>
        <v>2158</v>
      </c>
      <c r="N191" s="328">
        <f>+'[148]VENTAS TOTALES'!$D41</f>
        <v>1203</v>
      </c>
      <c r="O191" s="328">
        <f>+'[149]VENTAS TOTALES'!$D41</f>
        <v>332</v>
      </c>
      <c r="P191" s="328">
        <f>+'[150]VENTAS TOTALES'!$D41</f>
        <v>2781</v>
      </c>
      <c r="Q191" s="328">
        <f>+'[151]VENTAS TOTALES'!$D41</f>
        <v>2421</v>
      </c>
      <c r="R191" s="328">
        <f>+'[152]VENTAS TOTALES'!$D41</f>
        <v>2529</v>
      </c>
      <c r="S191" s="328">
        <f>+'[153]VENTAS TOTALES'!$D41</f>
        <v>2509</v>
      </c>
      <c r="T191" s="328">
        <f>+'[154]VENTAS TOTALES'!$D41</f>
        <v>2304</v>
      </c>
      <c r="U191" s="328">
        <f>+'[155]VENTAS TOTALES'!$D41</f>
        <v>1435</v>
      </c>
      <c r="V191" s="328">
        <f>+'[156]VENTAS TOTALES'!$D41</f>
        <v>358</v>
      </c>
      <c r="W191" s="328">
        <f>+'[157]VENTAS TOTALES'!$D41</f>
        <v>2793</v>
      </c>
      <c r="X191" s="328">
        <f>+'[158]VENTAS TOTALES'!$D41</f>
        <v>2339</v>
      </c>
      <c r="Y191" s="328">
        <f>+'[159]VENTAS TOTALES'!$D41</f>
        <v>2223</v>
      </c>
      <c r="Z191" s="328">
        <f>+'[160]VENTAS TOTALES'!$D41</f>
        <v>2286</v>
      </c>
      <c r="AA191" s="328">
        <f>+'[161]VENTAS TOTALES'!$D41</f>
        <v>2108</v>
      </c>
      <c r="AB191" s="328">
        <f>+'[162]VENTAS TOTALES'!$D41</f>
        <v>1433</v>
      </c>
      <c r="AC191" s="328">
        <f>+'[163]VENTAS TOTALES'!$D41</f>
        <v>314</v>
      </c>
      <c r="AD191" s="328">
        <f>+'[164]VENTAS TOTALES'!$D41</f>
        <v>3281</v>
      </c>
      <c r="AE191" s="328">
        <f>+'[165]VENTAS TOTALES'!$D41</f>
        <v>3123</v>
      </c>
      <c r="AF191" s="328">
        <f>+'[166]VENTAS TOTALES'!$D41</f>
        <v>2862</v>
      </c>
      <c r="AG191" s="328">
        <f>+'[167]VENTAS TOTALES'!$D41</f>
        <v>2452</v>
      </c>
      <c r="AH191" s="328">
        <f>+'[168]VENTAS TOTALES'!$D41</f>
        <v>2270</v>
      </c>
      <c r="AI191" s="328">
        <f>+'[169]VENTAS TOTALES'!$D41</f>
        <v>1527</v>
      </c>
      <c r="AJ191" s="328">
        <f>+'[170]VENTAS TOTALES'!$D41</f>
        <v>320</v>
      </c>
    </row>
    <row r="192" spans="1:36" s="10" customFormat="1" x14ac:dyDescent="0.2">
      <c r="A192" s="447"/>
      <c r="B192" s="329" t="s">
        <v>235</v>
      </c>
      <c r="C192" s="267">
        <f>+'[137]VENTAS TOTALES'!$D42</f>
        <v>2061</v>
      </c>
      <c r="D192" s="267">
        <f>+'[138]VENTAS TOTALES'!$D42</f>
        <v>2151</v>
      </c>
      <c r="E192" s="267">
        <f>+'[139]VENTAS TOTALES'!$D42</f>
        <v>1594</v>
      </c>
      <c r="F192" s="267">
        <f>+'[140]VENTAS TOTALES'!$D42</f>
        <v>1716</v>
      </c>
      <c r="G192" s="267">
        <f>+'[141]VENTAS TOTALES'!$D42</f>
        <v>1249</v>
      </c>
      <c r="H192" s="267">
        <f>+'[142]VENTAS TOTALES'!$D42</f>
        <v>526</v>
      </c>
      <c r="I192" s="267">
        <f>+'[143]VENTAS TOTALES'!$D42</f>
        <v>2117</v>
      </c>
      <c r="J192" s="267">
        <f>+'[144]VENTAS TOTALES'!$D42</f>
        <v>1802</v>
      </c>
      <c r="K192" s="267">
        <f>+'[145]VENTAS TOTALES'!$D42</f>
        <v>1826</v>
      </c>
      <c r="L192" s="267">
        <f>+'[146]VENTAS TOTALES'!$D42</f>
        <v>1877</v>
      </c>
      <c r="M192" s="267">
        <f>+'[147]VENTAS TOTALES'!$D42</f>
        <v>1671</v>
      </c>
      <c r="N192" s="267">
        <f>+'[148]VENTAS TOTALES'!$D42</f>
        <v>1219</v>
      </c>
      <c r="O192" s="267">
        <f>+'[149]VENTAS TOTALES'!$D42</f>
        <v>429</v>
      </c>
      <c r="P192" s="267">
        <f>+'[150]VENTAS TOTALES'!$D42</f>
        <v>2088</v>
      </c>
      <c r="Q192" s="267">
        <f>+'[151]VENTAS TOTALES'!$D42</f>
        <v>2039</v>
      </c>
      <c r="R192" s="267">
        <f>+'[152]VENTAS TOTALES'!$D42</f>
        <v>1953</v>
      </c>
      <c r="S192" s="267">
        <f>+'[153]VENTAS TOTALES'!$D42</f>
        <v>1917</v>
      </c>
      <c r="T192" s="267">
        <f>+'[154]VENTAS TOTALES'!$D42</f>
        <v>1708</v>
      </c>
      <c r="U192" s="267">
        <f>+'[155]VENTAS TOTALES'!$D42</f>
        <v>1313</v>
      </c>
      <c r="V192" s="267">
        <f>+'[156]VENTAS TOTALES'!$D42</f>
        <v>486</v>
      </c>
      <c r="W192" s="267">
        <f>+'[157]VENTAS TOTALES'!$D42</f>
        <v>1982</v>
      </c>
      <c r="X192" s="267">
        <f>+'[158]VENTAS TOTALES'!$D42</f>
        <v>1868</v>
      </c>
      <c r="Y192" s="267">
        <f>+'[159]VENTAS TOTALES'!$D42</f>
        <v>1823</v>
      </c>
      <c r="Z192" s="267">
        <f>+'[160]VENTAS TOTALES'!$D42</f>
        <v>1589</v>
      </c>
      <c r="AA192" s="267">
        <f>+'[161]VENTAS TOTALES'!$D42</f>
        <v>1678</v>
      </c>
      <c r="AB192" s="267">
        <f>+'[162]VENTAS TOTALES'!$D42</f>
        <v>1229</v>
      </c>
      <c r="AC192" s="267">
        <f>+'[163]VENTAS TOTALES'!$D42</f>
        <v>488</v>
      </c>
      <c r="AD192" s="267">
        <f>+'[164]VENTAS TOTALES'!$D42</f>
        <v>2062</v>
      </c>
      <c r="AE192" s="267">
        <f>+'[165]VENTAS TOTALES'!$D42</f>
        <v>2154</v>
      </c>
      <c r="AF192" s="267">
        <f>+'[166]VENTAS TOTALES'!$D42</f>
        <v>2258</v>
      </c>
      <c r="AG192" s="267">
        <f>+'[167]VENTAS TOTALES'!$D42</f>
        <v>1888</v>
      </c>
      <c r="AH192" s="267">
        <f>+'[168]VENTAS TOTALES'!$D42</f>
        <v>1814</v>
      </c>
      <c r="AI192" s="267">
        <f>+'[169]VENTAS TOTALES'!$D42</f>
        <v>1445</v>
      </c>
      <c r="AJ192" s="267">
        <f>+'[170]VENTAS TOTALES'!$D42</f>
        <v>487</v>
      </c>
    </row>
    <row r="193" spans="1:36" s="10" customFormat="1" x14ac:dyDescent="0.2">
      <c r="A193" s="447"/>
      <c r="B193" s="330" t="s">
        <v>236</v>
      </c>
      <c r="C193" s="252">
        <f>+'[137]VENTAS TOTALES'!$D43</f>
        <v>5838</v>
      </c>
      <c r="D193" s="252">
        <f>+'[138]VENTAS TOTALES'!$D43</f>
        <v>5678</v>
      </c>
      <c r="E193" s="252">
        <f>+'[139]VENTAS TOTALES'!$D43</f>
        <v>4709</v>
      </c>
      <c r="F193" s="252">
        <f>+'[140]VENTAS TOTALES'!$D43</f>
        <v>4943</v>
      </c>
      <c r="G193" s="252">
        <f>+'[141]VENTAS TOTALES'!$D43</f>
        <v>4022</v>
      </c>
      <c r="H193" s="252">
        <f>+'[142]VENTAS TOTALES'!$D43</f>
        <v>1850</v>
      </c>
      <c r="I193" s="252">
        <f>+'[143]VENTAS TOTALES'!$D43</f>
        <v>6066</v>
      </c>
      <c r="J193" s="252">
        <f>+'[144]VENTAS TOTALES'!$D43</f>
        <v>5287</v>
      </c>
      <c r="K193" s="252">
        <f>+'[145]VENTAS TOTALES'!$D43</f>
        <v>5120</v>
      </c>
      <c r="L193" s="252">
        <f>+'[146]VENTAS TOTALES'!$D43</f>
        <v>5079</v>
      </c>
      <c r="M193" s="252">
        <f>+'[147]VENTAS TOTALES'!$D43</f>
        <v>4979</v>
      </c>
      <c r="N193" s="252">
        <f>+'[148]VENTAS TOTALES'!$D43</f>
        <v>4134</v>
      </c>
      <c r="O193" s="252">
        <f>+'[149]VENTAS TOTALES'!$D43</f>
        <v>1868</v>
      </c>
      <c r="P193" s="252">
        <f>+'[150]VENTAS TOTALES'!$D43</f>
        <v>6205</v>
      </c>
      <c r="Q193" s="252">
        <f>+'[151]VENTAS TOTALES'!$D43</f>
        <v>5723</v>
      </c>
      <c r="R193" s="252">
        <f>+'[152]VENTAS TOTALES'!$D43</f>
        <v>6124</v>
      </c>
      <c r="S193" s="252">
        <f>+'[153]VENTAS TOTALES'!$D43</f>
        <v>5230</v>
      </c>
      <c r="T193" s="252">
        <f>+'[154]VENTAS TOTALES'!$D43</f>
        <v>4951</v>
      </c>
      <c r="U193" s="252">
        <f>+'[155]VENTAS TOTALES'!$D43</f>
        <v>4264</v>
      </c>
      <c r="V193" s="252">
        <f>+'[156]VENTAS TOTALES'!$D43</f>
        <v>1911</v>
      </c>
      <c r="W193" s="252">
        <f>+'[157]VENTAS TOTALES'!$D43</f>
        <v>6344</v>
      </c>
      <c r="X193" s="252">
        <f>+'[158]VENTAS TOTALES'!$D43</f>
        <v>5148</v>
      </c>
      <c r="Y193" s="252">
        <f>+'[159]VENTAS TOTALES'!$D43</f>
        <v>5044</v>
      </c>
      <c r="Z193" s="252">
        <f>+'[160]VENTAS TOTALES'!$D43</f>
        <v>4869</v>
      </c>
      <c r="AA193" s="252">
        <f>+'[161]VENTAS TOTALES'!$D43</f>
        <v>4932</v>
      </c>
      <c r="AB193" s="252">
        <f>+'[162]VENTAS TOTALES'!$D43</f>
        <v>4162</v>
      </c>
      <c r="AC193" s="252">
        <f>+'[163]VENTAS TOTALES'!$D43</f>
        <v>1939</v>
      </c>
      <c r="AD193" s="252">
        <f>+'[164]VENTAS TOTALES'!$D43</f>
        <v>6682</v>
      </c>
      <c r="AE193" s="252">
        <f>+'[165]VENTAS TOTALES'!$D43</f>
        <v>6159</v>
      </c>
      <c r="AF193" s="252">
        <f>+'[166]VENTAS TOTALES'!$D43</f>
        <v>5951</v>
      </c>
      <c r="AG193" s="252">
        <f>+'[167]VENTAS TOTALES'!$D43</f>
        <v>5165</v>
      </c>
      <c r="AH193" s="252">
        <f>+'[168]VENTAS TOTALES'!$D43</f>
        <v>5144</v>
      </c>
      <c r="AI193" s="252">
        <f>+'[169]VENTAS TOTALES'!$D43</f>
        <v>4273</v>
      </c>
      <c r="AJ193" s="252">
        <f>+'[170]VENTAS TOTALES'!$D43</f>
        <v>1790</v>
      </c>
    </row>
    <row r="194" spans="1:36" s="10" customFormat="1" x14ac:dyDescent="0.2">
      <c r="A194" s="447"/>
      <c r="B194" s="325" t="s">
        <v>234</v>
      </c>
      <c r="C194" s="252">
        <f>+'[137]VENTAS TOTALES'!$D44</f>
        <v>6078</v>
      </c>
      <c r="D194" s="252">
        <f>+'[138]VENTAS TOTALES'!$D44</f>
        <v>5697</v>
      </c>
      <c r="E194" s="252">
        <f>+'[139]VENTAS TOTALES'!$D44</f>
        <v>4722</v>
      </c>
      <c r="F194" s="252">
        <f>+'[140]VENTAS TOTALES'!$D44</f>
        <v>4969</v>
      </c>
      <c r="G194" s="252">
        <f>+'[141]VENTAS TOTALES'!$D44</f>
        <v>4052</v>
      </c>
      <c r="H194" s="252">
        <f>+'[142]VENTAS TOTALES'!$D44</f>
        <v>2304</v>
      </c>
      <c r="I194" s="252">
        <f>+'[143]VENTAS TOTALES'!$D44</f>
        <v>6254</v>
      </c>
      <c r="J194" s="252">
        <f>+'[144]VENTAS TOTALES'!$D44</f>
        <v>5408</v>
      </c>
      <c r="K194" s="252">
        <f>+'[145]VENTAS TOTALES'!$D44</f>
        <v>5106</v>
      </c>
      <c r="L194" s="252">
        <f>+'[146]VENTAS TOTALES'!$D44</f>
        <v>5204</v>
      </c>
      <c r="M194" s="252">
        <f>+'[147]VENTAS TOTALES'!$D44</f>
        <v>4952</v>
      </c>
      <c r="N194" s="252">
        <f>+'[148]VENTAS TOTALES'!$D44</f>
        <v>4264</v>
      </c>
      <c r="O194" s="252">
        <f>+'[149]VENTAS TOTALES'!$D44</f>
        <v>2027</v>
      </c>
      <c r="P194" s="252">
        <f>+'[150]VENTAS TOTALES'!$D44</f>
        <v>6211</v>
      </c>
      <c r="Q194" s="252">
        <f>+'[151]VENTAS TOTALES'!$D44</f>
        <v>5441</v>
      </c>
      <c r="R194" s="252">
        <f>+'[152]VENTAS TOTALES'!$D44</f>
        <v>5400</v>
      </c>
      <c r="S194" s="252">
        <f>+'[153]VENTAS TOTALES'!$D44</f>
        <v>5054</v>
      </c>
      <c r="T194" s="252">
        <f>+'[154]VENTAS TOTALES'!$D44</f>
        <v>5009</v>
      </c>
      <c r="U194" s="252">
        <f>+'[155]VENTAS TOTALES'!$D44</f>
        <v>4212</v>
      </c>
      <c r="V194" s="252">
        <f>+'[156]VENTAS TOTALES'!$D44</f>
        <v>2224</v>
      </c>
      <c r="W194" s="252">
        <f>+'[157]VENTAS TOTALES'!$D44</f>
        <v>6386</v>
      </c>
      <c r="X194" s="252">
        <f>+'[158]VENTAS TOTALES'!$D44</f>
        <v>5194</v>
      </c>
      <c r="Y194" s="252">
        <f>+'[159]VENTAS TOTALES'!$D44</f>
        <v>5195</v>
      </c>
      <c r="Z194" s="252">
        <f>+'[160]VENTAS TOTALES'!$D44</f>
        <v>4893</v>
      </c>
      <c r="AA194" s="252">
        <f>+'[161]VENTAS TOTALES'!$D44</f>
        <v>5050</v>
      </c>
      <c r="AB194" s="252">
        <f>+'[162]VENTAS TOTALES'!$D44</f>
        <v>4327</v>
      </c>
      <c r="AC194" s="252">
        <f>+'[163]VENTAS TOTALES'!$D44</f>
        <v>2309</v>
      </c>
      <c r="AD194" s="252">
        <f>+'[164]VENTAS TOTALES'!$D44</f>
        <v>6505</v>
      </c>
      <c r="AE194" s="252">
        <f>+'[165]VENTAS TOTALES'!$D44</f>
        <v>6357</v>
      </c>
      <c r="AF194" s="252">
        <f>+'[166]VENTAS TOTALES'!$D44</f>
        <v>5679</v>
      </c>
      <c r="AG194" s="252">
        <f>+'[167]VENTAS TOTALES'!$D44</f>
        <v>5537</v>
      </c>
      <c r="AH194" s="252">
        <f>+'[168]VENTAS TOTALES'!$D44</f>
        <v>4939</v>
      </c>
      <c r="AI194" s="252">
        <f>+'[169]VENTAS TOTALES'!$D44</f>
        <v>4553</v>
      </c>
      <c r="AJ194" s="252">
        <f>+'[170]VENTAS TOTALES'!$D44</f>
        <v>2189</v>
      </c>
    </row>
    <row r="195" spans="1:36" s="10" customFormat="1" x14ac:dyDescent="0.2">
      <c r="A195" s="447"/>
      <c r="B195" s="325" t="s">
        <v>238</v>
      </c>
      <c r="C195" s="252">
        <f>+'[137]VENTAS TOTALES'!$D45</f>
        <v>6794</v>
      </c>
      <c r="D195" s="252">
        <f>+'[138]VENTAS TOTALES'!$D45</f>
        <v>6416</v>
      </c>
      <c r="E195" s="252">
        <f>+'[139]VENTAS TOTALES'!$D45</f>
        <v>5406</v>
      </c>
      <c r="F195" s="252">
        <f>+'[140]VENTAS TOTALES'!$D45</f>
        <v>5359</v>
      </c>
      <c r="G195" s="252">
        <f>+'[141]VENTAS TOTALES'!$D45</f>
        <v>4140</v>
      </c>
      <c r="H195" s="252">
        <f>+'[142]VENTAS TOTALES'!$D45</f>
        <v>2026</v>
      </c>
      <c r="I195" s="252">
        <f>+'[143]VENTAS TOTALES'!$D45</f>
        <v>7161</v>
      </c>
      <c r="J195" s="252">
        <f>+'[144]VENTAS TOTALES'!$D45</f>
        <v>6127</v>
      </c>
      <c r="K195" s="252">
        <f>+'[145]VENTAS TOTALES'!$D45</f>
        <v>5491</v>
      </c>
      <c r="L195" s="252">
        <f>+'[146]VENTAS TOTALES'!$D45</f>
        <v>5464</v>
      </c>
      <c r="M195" s="252">
        <f>+'[147]VENTAS TOTALES'!$D45</f>
        <v>5192</v>
      </c>
      <c r="N195" s="252">
        <f>+'[148]VENTAS TOTALES'!$D45</f>
        <v>4124</v>
      </c>
      <c r="O195" s="252">
        <f>+'[149]VENTAS TOTALES'!$D45</f>
        <v>1791</v>
      </c>
      <c r="P195" s="252">
        <f>+'[150]VENTAS TOTALES'!$D45</f>
        <v>6754</v>
      </c>
      <c r="Q195" s="252">
        <f>+'[151]VENTAS TOTALES'!$D45</f>
        <v>6616</v>
      </c>
      <c r="R195" s="252">
        <f>+'[152]VENTAS TOTALES'!$D45</f>
        <v>6184</v>
      </c>
      <c r="S195" s="252">
        <f>+'[153]VENTAS TOTALES'!$D45</f>
        <v>5704</v>
      </c>
      <c r="T195" s="252">
        <f>+'[154]VENTAS TOTALES'!$D45</f>
        <v>5322</v>
      </c>
      <c r="U195" s="252">
        <f>+'[155]VENTAS TOTALES'!$D45</f>
        <v>4387</v>
      </c>
      <c r="V195" s="252">
        <f>+'[156]VENTAS TOTALES'!$D45</f>
        <v>1911</v>
      </c>
      <c r="W195" s="252">
        <f>+'[157]VENTAS TOTALES'!$D45</f>
        <v>6862</v>
      </c>
      <c r="X195" s="252">
        <f>+'[158]VENTAS TOTALES'!$D45</f>
        <v>5831</v>
      </c>
      <c r="Y195" s="252">
        <f>+'[159]VENTAS TOTALES'!$D45</f>
        <v>5237</v>
      </c>
      <c r="Z195" s="252">
        <f>+'[160]VENTAS TOTALES'!$D45</f>
        <v>5360</v>
      </c>
      <c r="AA195" s="252">
        <f>+'[161]VENTAS TOTALES'!$D45</f>
        <v>5242</v>
      </c>
      <c r="AB195" s="252">
        <f>+'[162]VENTAS TOTALES'!$D45</f>
        <v>4417</v>
      </c>
      <c r="AC195" s="252">
        <f>+'[163]VENTAS TOTALES'!$D45</f>
        <v>2204</v>
      </c>
      <c r="AD195" s="252">
        <f>+'[164]VENTAS TOTALES'!$D45</f>
        <v>6978</v>
      </c>
      <c r="AE195" s="252">
        <f>+'[165]VENTAS TOTALES'!$D45</f>
        <v>6749</v>
      </c>
      <c r="AF195" s="252">
        <f>+'[166]VENTAS TOTALES'!$D45</f>
        <v>6351</v>
      </c>
      <c r="AG195" s="252">
        <f>+'[167]VENTAS TOTALES'!$D45</f>
        <v>5670</v>
      </c>
      <c r="AH195" s="252">
        <f>+'[168]VENTAS TOTALES'!$D45</f>
        <v>5457</v>
      </c>
      <c r="AI195" s="252">
        <f>+'[169]VENTAS TOTALES'!$D45</f>
        <v>4388</v>
      </c>
      <c r="AJ195" s="252">
        <f>+'[170]VENTAS TOTALES'!$D45</f>
        <v>1775</v>
      </c>
    </row>
    <row r="196" spans="1:36" s="10" customFormat="1" x14ac:dyDescent="0.2">
      <c r="A196" s="447"/>
      <c r="B196" s="325" t="s">
        <v>239</v>
      </c>
      <c r="C196" s="252">
        <f>+'[137]VENTAS TOTALES'!$D46</f>
        <v>3849</v>
      </c>
      <c r="D196" s="252">
        <f>+'[138]VENTAS TOTALES'!$D46</f>
        <v>3559</v>
      </c>
      <c r="E196" s="252">
        <f>+'[139]VENTAS TOTALES'!$D46</f>
        <v>3163</v>
      </c>
      <c r="F196" s="252">
        <f>+'[140]VENTAS TOTALES'!$D46</f>
        <v>2876</v>
      </c>
      <c r="G196" s="252">
        <f>+'[141]VENTAS TOTALES'!$D46</f>
        <v>2123</v>
      </c>
      <c r="H196" s="252">
        <f>+'[142]VENTAS TOTALES'!$D46</f>
        <v>1246</v>
      </c>
      <c r="I196" s="252">
        <f>+'[143]VENTAS TOTALES'!$D46</f>
        <v>4055</v>
      </c>
      <c r="J196" s="252">
        <f>+'[144]VENTAS TOTALES'!$D46</f>
        <v>3537</v>
      </c>
      <c r="K196" s="252">
        <f>+'[145]VENTAS TOTALES'!$D46</f>
        <v>3285</v>
      </c>
      <c r="L196" s="252">
        <f>+'[146]VENTAS TOTALES'!$D46</f>
        <v>3113</v>
      </c>
      <c r="M196" s="252">
        <f>+'[147]VENTAS TOTALES'!$D46</f>
        <v>2788</v>
      </c>
      <c r="N196" s="252">
        <f>+'[148]VENTAS TOTALES'!$D46</f>
        <v>2118</v>
      </c>
      <c r="O196" s="252">
        <f>+'[149]VENTAS TOTALES'!$D46</f>
        <v>1042</v>
      </c>
      <c r="P196" s="252">
        <f>+'[150]VENTAS TOTALES'!$D46</f>
        <v>4159</v>
      </c>
      <c r="Q196" s="252">
        <f>+'[151]VENTAS TOTALES'!$D46</f>
        <v>3496</v>
      </c>
      <c r="R196" s="252">
        <f>+'[152]VENTAS TOTALES'!$D46</f>
        <v>3404</v>
      </c>
      <c r="S196" s="252">
        <f>+'[153]VENTAS TOTALES'!$D46</f>
        <v>3355</v>
      </c>
      <c r="T196" s="252">
        <f>+'[154]VENTAS TOTALES'!$D46</f>
        <v>3093</v>
      </c>
      <c r="U196" s="252">
        <f>+'[155]VENTAS TOTALES'!$D46</f>
        <v>2297</v>
      </c>
      <c r="V196" s="252">
        <f>+'[156]VENTAS TOTALES'!$D46</f>
        <v>1055</v>
      </c>
      <c r="W196" s="252">
        <f>+'[157]VENTAS TOTALES'!$D46</f>
        <v>4248</v>
      </c>
      <c r="X196" s="252">
        <f>+'[158]VENTAS TOTALES'!$D46</f>
        <v>3249</v>
      </c>
      <c r="Y196" s="252">
        <f>+'[159]VENTAS TOTALES'!$D46</f>
        <v>3176</v>
      </c>
      <c r="Z196" s="252">
        <f>+'[160]VENTAS TOTALES'!$D46</f>
        <v>3163</v>
      </c>
      <c r="AA196" s="252">
        <f>+'[161]VENTAS TOTALES'!$D46</f>
        <v>2818</v>
      </c>
      <c r="AB196" s="252">
        <f>+'[162]VENTAS TOTALES'!$D46</f>
        <v>2208</v>
      </c>
      <c r="AC196" s="252">
        <f>+'[163]VENTAS TOTALES'!$D46</f>
        <v>1231</v>
      </c>
      <c r="AD196" s="252">
        <f>+'[164]VENTAS TOTALES'!$D46</f>
        <v>4712</v>
      </c>
      <c r="AE196" s="252">
        <f>+'[165]VENTAS TOTALES'!$D46</f>
        <v>3900</v>
      </c>
      <c r="AF196" s="252">
        <f>+'[166]VENTAS TOTALES'!$D46</f>
        <v>3767</v>
      </c>
      <c r="AG196" s="252">
        <f>+'[167]VENTAS TOTALES'!$D46</f>
        <v>3300</v>
      </c>
      <c r="AH196" s="252">
        <f>+'[168]VENTAS TOTALES'!$D46</f>
        <v>2847</v>
      </c>
      <c r="AI196" s="252">
        <f>+'[169]VENTAS TOTALES'!$D46</f>
        <v>2456</v>
      </c>
      <c r="AJ196" s="252">
        <f>+'[170]VENTAS TOTALES'!$D46</f>
        <v>935</v>
      </c>
    </row>
    <row r="197" spans="1:36" s="10" customFormat="1" x14ac:dyDescent="0.2">
      <c r="A197" s="447"/>
      <c r="B197" s="325" t="s">
        <v>240</v>
      </c>
      <c r="C197" s="252">
        <f>+'[137]VENTAS TOTALES'!$D47</f>
        <v>4255</v>
      </c>
      <c r="D197" s="252">
        <f>+'[138]VENTAS TOTALES'!$D47</f>
        <v>3791</v>
      </c>
      <c r="E197" s="252">
        <f>+'[139]VENTAS TOTALES'!$D47</f>
        <v>3345</v>
      </c>
      <c r="F197" s="252">
        <f>+'[140]VENTAS TOTALES'!$D47</f>
        <v>3554</v>
      </c>
      <c r="G197" s="252">
        <f>+'[141]VENTAS TOTALES'!$D47</f>
        <v>3722</v>
      </c>
      <c r="H197" s="252">
        <f>+'[142]VENTAS TOTALES'!$D47</f>
        <v>3011</v>
      </c>
      <c r="I197" s="252">
        <f>+'[143]VENTAS TOTALES'!$D47</f>
        <v>3811</v>
      </c>
      <c r="J197" s="252">
        <f>+'[144]VENTAS TOTALES'!$D47</f>
        <v>3286</v>
      </c>
      <c r="K197" s="252">
        <f>+'[145]VENTAS TOTALES'!$D47</f>
        <v>3223</v>
      </c>
      <c r="L197" s="252">
        <f>+'[146]VENTAS TOTALES'!$D47</f>
        <v>3158</v>
      </c>
      <c r="M197" s="252">
        <f>+'[147]VENTAS TOTALES'!$D47</f>
        <v>3173</v>
      </c>
      <c r="N197" s="252">
        <f>+'[148]VENTAS TOTALES'!$D47</f>
        <v>3825</v>
      </c>
      <c r="O197" s="252">
        <f>+'[149]VENTAS TOTALES'!$D47</f>
        <v>2768</v>
      </c>
      <c r="P197" s="252">
        <f>+'[150]VENTAS TOTALES'!$D47</f>
        <v>3713</v>
      </c>
      <c r="Q197" s="252">
        <f>+'[151]VENTAS TOTALES'!$D47</f>
        <v>3598</v>
      </c>
      <c r="R197" s="252">
        <f>+'[152]VENTAS TOTALES'!$D47</f>
        <v>3885</v>
      </c>
      <c r="S197" s="252">
        <f>+'[153]VENTAS TOTALES'!$D47</f>
        <v>3444</v>
      </c>
      <c r="T197" s="252">
        <f>+'[154]VENTAS TOTALES'!$D47</f>
        <v>3446</v>
      </c>
      <c r="U197" s="252">
        <f>+'[155]VENTAS TOTALES'!$D47</f>
        <v>3854</v>
      </c>
      <c r="V197" s="252">
        <f>+'[156]VENTAS TOTALES'!$D47</f>
        <v>2705</v>
      </c>
      <c r="W197" s="252">
        <f>+'[157]VENTAS TOTALES'!$D47</f>
        <v>3723</v>
      </c>
      <c r="X197" s="252">
        <f>+'[158]VENTAS TOTALES'!$D47</f>
        <v>3308</v>
      </c>
      <c r="Y197" s="252">
        <f>+'[159]VENTAS TOTALES'!$D47</f>
        <v>3194</v>
      </c>
      <c r="Z197" s="252">
        <f>+'[160]VENTAS TOTALES'!$D47</f>
        <v>3075</v>
      </c>
      <c r="AA197" s="252">
        <f>+'[161]VENTAS TOTALES'!$D47</f>
        <v>3374</v>
      </c>
      <c r="AB197" s="252">
        <f>+'[162]VENTAS TOTALES'!$D47</f>
        <v>3750</v>
      </c>
      <c r="AC197" s="252">
        <f>+'[163]VENTAS TOTALES'!$D47</f>
        <v>3465</v>
      </c>
      <c r="AD197" s="252">
        <f>+'[164]VENTAS TOTALES'!$D47</f>
        <v>4362</v>
      </c>
      <c r="AE197" s="252">
        <f>+'[165]VENTAS TOTALES'!$D47</f>
        <v>4335</v>
      </c>
      <c r="AF197" s="252">
        <f>+'[166]VENTAS TOTALES'!$D47</f>
        <v>4091</v>
      </c>
      <c r="AG197" s="252">
        <f>+'[167]VENTAS TOTALES'!$D47</f>
        <v>3791</v>
      </c>
      <c r="AH197" s="252">
        <f>+'[168]VENTAS TOTALES'!$D47</f>
        <v>3700</v>
      </c>
      <c r="AI197" s="252">
        <f>+'[169]VENTAS TOTALES'!$D47</f>
        <v>3921</v>
      </c>
      <c r="AJ197" s="252">
        <f>+'[170]VENTAS TOTALES'!$D47</f>
        <v>2877</v>
      </c>
    </row>
    <row r="198" spans="1:36" s="10" customFormat="1" x14ac:dyDescent="0.2">
      <c r="A198" s="447"/>
      <c r="B198" s="325" t="s">
        <v>241</v>
      </c>
      <c r="C198" s="252">
        <f>+'[137]VENTAS TOTALES'!$D48</f>
        <v>4869</v>
      </c>
      <c r="D198" s="252">
        <f>+'[138]VENTAS TOTALES'!$D48</f>
        <v>4358</v>
      </c>
      <c r="E198" s="252">
        <f>+'[139]VENTAS TOTALES'!$D48</f>
        <v>3381</v>
      </c>
      <c r="F198" s="252">
        <f>+'[140]VENTAS TOTALES'!$D48</f>
        <v>3346</v>
      </c>
      <c r="G198" s="252">
        <f>+'[141]VENTAS TOTALES'!$D48</f>
        <v>2323</v>
      </c>
      <c r="H198" s="252">
        <f>+'[142]VENTAS TOTALES'!$D48</f>
        <v>1229</v>
      </c>
      <c r="I198" s="252">
        <f>+'[143]VENTAS TOTALES'!$D48</f>
        <v>4914</v>
      </c>
      <c r="J198" s="252">
        <f>+'[144]VENTAS TOTALES'!$D48</f>
        <v>3919</v>
      </c>
      <c r="K198" s="252">
        <f>+'[145]VENTAS TOTALES'!$D48</f>
        <v>3723</v>
      </c>
      <c r="L198" s="252">
        <f>+'[146]VENTAS TOTALES'!$D48</f>
        <v>3495</v>
      </c>
      <c r="M198" s="252">
        <f>+'[147]VENTAS TOTALES'!$D48</f>
        <v>3273</v>
      </c>
      <c r="N198" s="252">
        <f>+'[148]VENTAS TOTALES'!$D48</f>
        <v>2360</v>
      </c>
      <c r="O198" s="252">
        <f>+'[149]VENTAS TOTALES'!$D48</f>
        <v>1110</v>
      </c>
      <c r="P198" s="252">
        <f>+'[150]VENTAS TOTALES'!$D48</f>
        <v>4953</v>
      </c>
      <c r="Q198" s="252">
        <f>+'[151]VENTAS TOTALES'!$D48</f>
        <v>4249</v>
      </c>
      <c r="R198" s="252">
        <f>+'[152]VENTAS TOTALES'!$D48</f>
        <v>4330</v>
      </c>
      <c r="S198" s="252">
        <f>+'[153]VENTAS TOTALES'!$D48</f>
        <v>4139</v>
      </c>
      <c r="T198" s="252">
        <f>+'[154]VENTAS TOTALES'!$D48</f>
        <v>3585</v>
      </c>
      <c r="U198" s="252">
        <f>+'[155]VENTAS TOTALES'!$D48</f>
        <v>2315</v>
      </c>
      <c r="V198" s="252">
        <f>+'[156]VENTAS TOTALES'!$D48</f>
        <v>1108</v>
      </c>
      <c r="W198" s="252">
        <f>+'[157]VENTAS TOTALES'!$D48</f>
        <v>4798</v>
      </c>
      <c r="X198" s="252">
        <f>+'[158]VENTAS TOTALES'!$D48</f>
        <v>3829</v>
      </c>
      <c r="Y198" s="252">
        <f>+'[159]VENTAS TOTALES'!$D48</f>
        <v>3663</v>
      </c>
      <c r="Z198" s="252">
        <f>+'[160]VENTAS TOTALES'!$D48</f>
        <v>3586</v>
      </c>
      <c r="AA198" s="252">
        <f>+'[161]VENTAS TOTALES'!$D48</f>
        <v>3669</v>
      </c>
      <c r="AB198" s="252">
        <f>+'[162]VENTAS TOTALES'!$D48</f>
        <v>2406</v>
      </c>
      <c r="AC198" s="252">
        <f>+'[163]VENTAS TOTALES'!$D48</f>
        <v>1147</v>
      </c>
      <c r="AD198" s="252">
        <f>+'[164]VENTAS TOTALES'!$D48</f>
        <v>5409</v>
      </c>
      <c r="AE198" s="252">
        <f>+'[165]VENTAS TOTALES'!$D48</f>
        <v>5168</v>
      </c>
      <c r="AF198" s="252">
        <f>+'[166]VENTAS TOTALES'!$D48</f>
        <v>4730</v>
      </c>
      <c r="AG198" s="252">
        <f>+'[167]VENTAS TOTALES'!$D48</f>
        <v>3953</v>
      </c>
      <c r="AH198" s="252">
        <f>+'[168]VENTAS TOTALES'!$D48</f>
        <v>3691</v>
      </c>
      <c r="AI198" s="252">
        <f>+'[169]VENTAS TOTALES'!$D48</f>
        <v>2460</v>
      </c>
      <c r="AJ198" s="252">
        <f>+'[170]VENTAS TOTALES'!$D48</f>
        <v>1184</v>
      </c>
    </row>
    <row r="199" spans="1:36" s="10" customFormat="1" x14ac:dyDescent="0.2">
      <c r="A199" s="447"/>
      <c r="B199" s="330" t="s">
        <v>290</v>
      </c>
      <c r="C199" s="252">
        <f>+'[137]VENTAS TOTALES'!$D49</f>
        <v>2673</v>
      </c>
      <c r="D199" s="252">
        <f>+'[138]VENTAS TOTALES'!$D49</f>
        <v>2244</v>
      </c>
      <c r="E199" s="252">
        <f>+'[139]VENTAS TOTALES'!$D49</f>
        <v>1854</v>
      </c>
      <c r="F199" s="252">
        <f>+'[140]VENTAS TOTALES'!$D49</f>
        <v>1993</v>
      </c>
      <c r="G199" s="252">
        <f>+'[141]VENTAS TOTALES'!$D49</f>
        <v>1288</v>
      </c>
      <c r="H199" s="252">
        <f>+'[142]VENTAS TOTALES'!$D49</f>
        <v>565</v>
      </c>
      <c r="I199" s="252">
        <f>+'[143]VENTAS TOTALES'!$D49</f>
        <v>3151</v>
      </c>
      <c r="J199" s="252">
        <f>+'[144]VENTAS TOTALES'!$D49</f>
        <v>2193</v>
      </c>
      <c r="K199" s="252">
        <f>+'[145]VENTAS TOTALES'!$D49</f>
        <v>2205</v>
      </c>
      <c r="L199" s="252">
        <f>+'[146]VENTAS TOTALES'!$D49</f>
        <v>2070</v>
      </c>
      <c r="M199" s="252">
        <f>+'[147]VENTAS TOTALES'!$D49</f>
        <v>1934</v>
      </c>
      <c r="N199" s="252">
        <f>+'[148]VENTAS TOTALES'!$D49</f>
        <v>1317</v>
      </c>
      <c r="O199" s="252">
        <f>+'[149]VENTAS TOTALES'!$D49</f>
        <v>500</v>
      </c>
      <c r="P199" s="252">
        <f>+'[150]VENTAS TOTALES'!$D49</f>
        <v>2922</v>
      </c>
      <c r="Q199" s="252">
        <f>+'[151]VENTAS TOTALES'!$D49</f>
        <v>2496</v>
      </c>
      <c r="R199" s="252">
        <f>+'[152]VENTAS TOTALES'!$D49</f>
        <v>2637</v>
      </c>
      <c r="S199" s="252">
        <f>+'[153]VENTAS TOTALES'!$D49</f>
        <v>2296</v>
      </c>
      <c r="T199" s="252">
        <f>+'[154]VENTAS TOTALES'!$D49</f>
        <v>2183</v>
      </c>
      <c r="U199" s="252">
        <f>+'[155]VENTAS TOTALES'!$D49</f>
        <v>1291</v>
      </c>
      <c r="V199" s="252">
        <f>+'[156]VENTAS TOTALES'!$D49</f>
        <v>504</v>
      </c>
      <c r="W199" s="252">
        <f>+'[157]VENTAS TOTALES'!$D49</f>
        <v>3102</v>
      </c>
      <c r="X199" s="252">
        <f>+'[158]VENTAS TOTALES'!$D49</f>
        <v>2119</v>
      </c>
      <c r="Y199" s="252">
        <f>+'[159]VENTAS TOTALES'!$D49</f>
        <v>2135</v>
      </c>
      <c r="Z199" s="252">
        <f>+'[160]VENTAS TOTALES'!$D49</f>
        <v>2035</v>
      </c>
      <c r="AA199" s="252">
        <f>+'[161]VENTAS TOTALES'!$D49</f>
        <v>2165</v>
      </c>
      <c r="AB199" s="252">
        <f>+'[162]VENTAS TOTALES'!$D49</f>
        <v>1585</v>
      </c>
      <c r="AC199" s="252">
        <f>+'[163]VENTAS TOTALES'!$D49</f>
        <v>494</v>
      </c>
      <c r="AD199" s="252">
        <f>+'[164]VENTAS TOTALES'!$D49</f>
        <v>3331</v>
      </c>
      <c r="AE199" s="252">
        <f>+'[165]VENTAS TOTALES'!$D49</f>
        <v>2710</v>
      </c>
      <c r="AF199" s="252">
        <f>+'[166]VENTAS TOTALES'!$D49</f>
        <v>2541</v>
      </c>
      <c r="AG199" s="252">
        <f>+'[167]VENTAS TOTALES'!$D49</f>
        <v>2240</v>
      </c>
      <c r="AH199" s="252">
        <f>+'[168]VENTAS TOTALES'!$D49</f>
        <v>2029</v>
      </c>
      <c r="AI199" s="252">
        <f>+'[169]VENTAS TOTALES'!$D49</f>
        <v>1405</v>
      </c>
      <c r="AJ199" s="252">
        <f>+'[170]VENTAS TOTALES'!$D49</f>
        <v>529</v>
      </c>
    </row>
    <row r="200" spans="1:36" s="10" customFormat="1" x14ac:dyDescent="0.2">
      <c r="A200" s="447"/>
      <c r="B200" s="325" t="s">
        <v>245</v>
      </c>
      <c r="C200" s="252">
        <f>+'[137]VENTAS TOTALES'!$D50</f>
        <v>4720</v>
      </c>
      <c r="D200" s="252">
        <f>+'[138]VENTAS TOTALES'!$D50</f>
        <v>4606</v>
      </c>
      <c r="E200" s="252">
        <f>+'[139]VENTAS TOTALES'!$D50</f>
        <v>4124</v>
      </c>
      <c r="F200" s="252">
        <f>+'[140]VENTAS TOTALES'!$D50</f>
        <v>3960</v>
      </c>
      <c r="G200" s="252">
        <f>+'[141]VENTAS TOTALES'!$D50</f>
        <v>3308</v>
      </c>
      <c r="H200" s="252">
        <f>+'[142]VENTAS TOTALES'!$D50</f>
        <v>1518</v>
      </c>
      <c r="I200" s="252">
        <f>+'[143]VENTAS TOTALES'!$D50</f>
        <v>4728</v>
      </c>
      <c r="J200" s="252">
        <f>+'[144]VENTAS TOTALES'!$D50</f>
        <v>4442</v>
      </c>
      <c r="K200" s="252">
        <f>+'[145]VENTAS TOTALES'!$D50</f>
        <v>4002</v>
      </c>
      <c r="L200" s="252">
        <f>+'[146]VENTAS TOTALES'!$D50</f>
        <v>3861</v>
      </c>
      <c r="M200" s="252">
        <f>+'[147]VENTAS TOTALES'!$D50</f>
        <v>3851</v>
      </c>
      <c r="N200" s="252">
        <f>+'[148]VENTAS TOTALES'!$D50</f>
        <v>3137</v>
      </c>
      <c r="O200" s="252">
        <f>+'[149]VENTAS TOTALES'!$D50</f>
        <v>1516</v>
      </c>
      <c r="P200" s="252">
        <f>+'[150]VENTAS TOTALES'!$D50</f>
        <v>5076</v>
      </c>
      <c r="Q200" s="252">
        <f>+'[151]VENTAS TOTALES'!$D50</f>
        <v>4363</v>
      </c>
      <c r="R200" s="252">
        <f>+'[152]VENTAS TOTALES'!$D50</f>
        <v>4478</v>
      </c>
      <c r="S200" s="252">
        <f>+'[153]VENTAS TOTALES'!$D50</f>
        <v>4296</v>
      </c>
      <c r="T200" s="252">
        <f>+'[154]VENTAS TOTALES'!$D50</f>
        <v>3935</v>
      </c>
      <c r="U200" s="252">
        <f>+'[155]VENTAS TOTALES'!$D50</f>
        <v>3194</v>
      </c>
      <c r="V200" s="252">
        <f>+'[156]VENTAS TOTALES'!$D50</f>
        <v>1590</v>
      </c>
      <c r="W200" s="252">
        <f>+'[157]VENTAS TOTALES'!$D50</f>
        <v>4764</v>
      </c>
      <c r="X200" s="252">
        <f>+'[158]VENTAS TOTALES'!$D50</f>
        <v>4283</v>
      </c>
      <c r="Y200" s="252">
        <f>+'[159]VENTAS TOTALES'!$D50</f>
        <v>4014</v>
      </c>
      <c r="Z200" s="252">
        <f>+'[160]VENTAS TOTALES'!$D50</f>
        <v>4080</v>
      </c>
      <c r="AA200" s="252">
        <f>+'[161]VENTAS TOTALES'!$D50</f>
        <v>4064</v>
      </c>
      <c r="AB200" s="252">
        <f>+'[162]VENTAS TOTALES'!$D50</f>
        <v>3234</v>
      </c>
      <c r="AC200" s="252">
        <f>+'[163]VENTAS TOTALES'!$D50</f>
        <v>1514</v>
      </c>
      <c r="AD200" s="252">
        <f>+'[164]VENTAS TOTALES'!$D50</f>
        <v>5126</v>
      </c>
      <c r="AE200" s="252">
        <f>+'[165]VENTAS TOTALES'!$D50</f>
        <v>4804</v>
      </c>
      <c r="AF200" s="252">
        <f>+'[166]VENTAS TOTALES'!$D50</f>
        <v>4651</v>
      </c>
      <c r="AG200" s="252">
        <f>+'[167]VENTAS TOTALES'!$D50</f>
        <v>4723</v>
      </c>
      <c r="AH200" s="252">
        <f>+'[168]VENTAS TOTALES'!$D50</f>
        <v>4056</v>
      </c>
      <c r="AI200" s="252">
        <f>+'[169]VENTAS TOTALES'!$D50</f>
        <v>3168</v>
      </c>
      <c r="AJ200" s="252">
        <f>+'[170]VENTAS TOTALES'!$D50</f>
        <v>1466</v>
      </c>
    </row>
    <row r="201" spans="1:36" s="10" customFormat="1" x14ac:dyDescent="0.2">
      <c r="A201" s="447"/>
      <c r="B201" s="325" t="s">
        <v>246</v>
      </c>
      <c r="C201" s="252">
        <f>+'[137]VENTAS TOTALES'!$D51</f>
        <v>5522</v>
      </c>
      <c r="D201" s="252">
        <f>+'[138]VENTAS TOTALES'!$D51</f>
        <v>5567</v>
      </c>
      <c r="E201" s="252">
        <f>+'[139]VENTAS TOTALES'!$D51</f>
        <v>4465</v>
      </c>
      <c r="F201" s="252">
        <f>+'[140]VENTAS TOTALES'!$D51</f>
        <v>4637</v>
      </c>
      <c r="G201" s="252">
        <f>+'[141]VENTAS TOTALES'!$D51</f>
        <v>3641</v>
      </c>
      <c r="H201" s="252">
        <f>+'[142]VENTAS TOTALES'!$D51</f>
        <v>2051</v>
      </c>
      <c r="I201" s="252">
        <f>+'[143]VENTAS TOTALES'!$D51</f>
        <v>6153</v>
      </c>
      <c r="J201" s="252">
        <f>+'[144]VENTAS TOTALES'!$D51</f>
        <v>5076</v>
      </c>
      <c r="K201" s="252">
        <f>+'[145]VENTAS TOTALES'!$D51</f>
        <v>4884</v>
      </c>
      <c r="L201" s="252">
        <f>+'[146]VENTAS TOTALES'!$D51</f>
        <v>4908</v>
      </c>
      <c r="M201" s="252">
        <f>+'[147]VENTAS TOTALES'!$D51</f>
        <v>4657</v>
      </c>
      <c r="N201" s="252">
        <f>+'[148]VENTAS TOTALES'!$D51</f>
        <v>3659</v>
      </c>
      <c r="O201" s="252">
        <f>+'[149]VENTAS TOTALES'!$D51</f>
        <v>1917</v>
      </c>
      <c r="P201" s="252">
        <f>+'[150]VENTAS TOTALES'!$D51</f>
        <v>6266</v>
      </c>
      <c r="Q201" s="252">
        <f>+'[151]VENTAS TOTALES'!$D51</f>
        <v>5634</v>
      </c>
      <c r="R201" s="252">
        <f>+'[152]VENTAS TOTALES'!$D51</f>
        <v>5621</v>
      </c>
      <c r="S201" s="252">
        <f>+'[153]VENTAS TOTALES'!$D51</f>
        <v>5694</v>
      </c>
      <c r="T201" s="252">
        <f>+'[154]VENTAS TOTALES'!$D51</f>
        <v>5058</v>
      </c>
      <c r="U201" s="252">
        <f>+'[155]VENTAS TOTALES'!$D51</f>
        <v>3881</v>
      </c>
      <c r="V201" s="252">
        <f>+'[156]VENTAS TOTALES'!$D51</f>
        <v>1896</v>
      </c>
      <c r="W201" s="252">
        <f>+'[157]VENTAS TOTALES'!$D51</f>
        <v>6081</v>
      </c>
      <c r="X201" s="252">
        <f>+'[158]VENTAS TOTALES'!$D51</f>
        <v>5080</v>
      </c>
      <c r="Y201" s="252">
        <f>+'[159]VENTAS TOTALES'!$D51</f>
        <v>4988</v>
      </c>
      <c r="Z201" s="252">
        <f>+'[160]VENTAS TOTALES'!$D51</f>
        <v>4998</v>
      </c>
      <c r="AA201" s="252">
        <f>+'[161]VENTAS TOTALES'!$D51</f>
        <v>5039</v>
      </c>
      <c r="AB201" s="252">
        <f>+'[162]VENTAS TOTALES'!$D51</f>
        <v>3688</v>
      </c>
      <c r="AC201" s="252">
        <f>+'[163]VENTAS TOTALES'!$D51</f>
        <v>2217</v>
      </c>
      <c r="AD201" s="252">
        <f>+'[164]VENTAS TOTALES'!$D51</f>
        <v>6736</v>
      </c>
      <c r="AE201" s="252">
        <f>+'[165]VENTAS TOTALES'!$D51</f>
        <v>6355</v>
      </c>
      <c r="AF201" s="252">
        <f>+'[166]VENTAS TOTALES'!$D51</f>
        <v>5976</v>
      </c>
      <c r="AG201" s="252">
        <f>+'[167]VENTAS TOTALES'!$D51</f>
        <v>5286</v>
      </c>
      <c r="AH201" s="252">
        <f>+'[168]VENTAS TOTALES'!$D51</f>
        <v>4954</v>
      </c>
      <c r="AI201" s="252">
        <f>+'[169]VENTAS TOTALES'!$D51</f>
        <v>4251</v>
      </c>
      <c r="AJ201" s="252">
        <f>+'[170]VENTAS TOTALES'!$D51</f>
        <v>1903</v>
      </c>
    </row>
    <row r="202" spans="1:36" s="10" customFormat="1" x14ac:dyDescent="0.2">
      <c r="A202" s="447"/>
      <c r="B202" s="325" t="s">
        <v>247</v>
      </c>
      <c r="C202" s="252">
        <f>+'[137]VENTAS TOTALES'!$D52</f>
        <v>2246</v>
      </c>
      <c r="D202" s="252">
        <f>+'[138]VENTAS TOTALES'!$D52</f>
        <v>2092</v>
      </c>
      <c r="E202" s="252">
        <f>+'[139]VENTAS TOTALES'!$D52</f>
        <v>1885</v>
      </c>
      <c r="F202" s="252">
        <f>+'[140]VENTAS TOTALES'!$D52</f>
        <v>1749</v>
      </c>
      <c r="G202" s="252">
        <f>+'[141]VENTAS TOTALES'!$D52</f>
        <v>1254</v>
      </c>
      <c r="H202" s="252">
        <f>+'[142]VENTAS TOTALES'!$D52</f>
        <v>572</v>
      </c>
      <c r="I202" s="252">
        <f>+'[143]VENTAS TOTALES'!$D52</f>
        <v>2278</v>
      </c>
      <c r="J202" s="252">
        <f>+'[144]VENTAS TOTALES'!$D52</f>
        <v>2121</v>
      </c>
      <c r="K202" s="252">
        <f>+'[145]VENTAS TOTALES'!$D52</f>
        <v>1973</v>
      </c>
      <c r="L202" s="252">
        <f>+'[146]VENTAS TOTALES'!$D52</f>
        <v>1892</v>
      </c>
      <c r="M202" s="252">
        <f>+'[147]VENTAS TOTALES'!$D52</f>
        <v>1758</v>
      </c>
      <c r="N202" s="252">
        <f>+'[148]VENTAS TOTALES'!$D52</f>
        <v>1261</v>
      </c>
      <c r="O202" s="252">
        <f>+'[149]VENTAS TOTALES'!$D52</f>
        <v>525</v>
      </c>
      <c r="P202" s="252">
        <f>+'[150]VENTAS TOTALES'!$D52</f>
        <v>2491</v>
      </c>
      <c r="Q202" s="252">
        <f>+'[151]VENTAS TOTALES'!$D52</f>
        <v>2308</v>
      </c>
      <c r="R202" s="252">
        <f>+'[152]VENTAS TOTALES'!$D52</f>
        <v>2413</v>
      </c>
      <c r="S202" s="252">
        <f>+'[153]VENTAS TOTALES'!$D52</f>
        <v>2098</v>
      </c>
      <c r="T202" s="252">
        <f>+'[154]VENTAS TOTALES'!$D52</f>
        <v>1914</v>
      </c>
      <c r="U202" s="252">
        <f>+'[155]VENTAS TOTALES'!$D52</f>
        <v>1226</v>
      </c>
      <c r="V202" s="252">
        <f>+'[156]VENTAS TOTALES'!$D52</f>
        <v>504</v>
      </c>
      <c r="W202" s="252">
        <f>+'[157]VENTAS TOTALES'!$D52</f>
        <v>2641</v>
      </c>
      <c r="X202" s="252">
        <f>+'[158]VENTAS TOTALES'!$D52</f>
        <v>2090</v>
      </c>
      <c r="Y202" s="252">
        <f>+'[159]VENTAS TOTALES'!$D52</f>
        <v>2150</v>
      </c>
      <c r="Z202" s="252">
        <f>+'[160]VENTAS TOTALES'!$D52</f>
        <v>2097</v>
      </c>
      <c r="AA202" s="252">
        <f>+'[161]VENTAS TOTALES'!$D52</f>
        <v>1900</v>
      </c>
      <c r="AB202" s="252">
        <f>+'[162]VENTAS TOTALES'!$D52</f>
        <v>1246</v>
      </c>
      <c r="AC202" s="252">
        <f>+'[163]VENTAS TOTALES'!$D52</f>
        <v>587</v>
      </c>
      <c r="AD202" s="252">
        <f>+'[164]VENTAS TOTALES'!$D52</f>
        <v>2620</v>
      </c>
      <c r="AE202" s="252">
        <f>+'[165]VENTAS TOTALES'!$D52</f>
        <v>2571</v>
      </c>
      <c r="AF202" s="252">
        <f>+'[166]VENTAS TOTALES'!$D52</f>
        <v>2281</v>
      </c>
      <c r="AG202" s="252">
        <f>+'[167]VENTAS TOTALES'!$D52</f>
        <v>2130</v>
      </c>
      <c r="AH202" s="252">
        <f>+'[168]VENTAS TOTALES'!$D52</f>
        <v>2002</v>
      </c>
      <c r="AI202" s="252">
        <f>+'[169]VENTAS TOTALES'!$D52</f>
        <v>1390</v>
      </c>
      <c r="AJ202" s="252">
        <f>+'[170]VENTAS TOTALES'!$D52</f>
        <v>507</v>
      </c>
    </row>
    <row r="203" spans="1:36" s="10" customFormat="1" x14ac:dyDescent="0.2">
      <c r="A203" s="447"/>
      <c r="B203" s="325" t="s">
        <v>248</v>
      </c>
      <c r="C203" s="252">
        <f>+'[137]VENTAS TOTALES'!$D53</f>
        <v>4625</v>
      </c>
      <c r="D203" s="252">
        <f>+'[138]VENTAS TOTALES'!$D53</f>
        <v>4824</v>
      </c>
      <c r="E203" s="252">
        <f>+'[139]VENTAS TOTALES'!$D53</f>
        <v>4079</v>
      </c>
      <c r="F203" s="252">
        <f>+'[140]VENTAS TOTALES'!$D53</f>
        <v>3837</v>
      </c>
      <c r="G203" s="252">
        <f>+'[141]VENTAS TOTALES'!$D53</f>
        <v>3200</v>
      </c>
      <c r="H203" s="252">
        <f>+'[142]VENTAS TOTALES'!$D53</f>
        <v>1445</v>
      </c>
      <c r="I203" s="252">
        <f>+'[143]VENTAS TOTALES'!$D53</f>
        <v>5740</v>
      </c>
      <c r="J203" s="252">
        <f>+'[144]VENTAS TOTALES'!$D53</f>
        <v>4319</v>
      </c>
      <c r="K203" s="252">
        <f>+'[145]VENTAS TOTALES'!$D53</f>
        <v>4086</v>
      </c>
      <c r="L203" s="252">
        <f>+'[146]VENTAS TOTALES'!$D53</f>
        <v>4205</v>
      </c>
      <c r="M203" s="252">
        <f>+'[147]VENTAS TOTALES'!$D53</f>
        <v>3770</v>
      </c>
      <c r="N203" s="252">
        <f>+'[148]VENTAS TOTALES'!$D53</f>
        <v>3193</v>
      </c>
      <c r="O203" s="252">
        <f>+'[149]VENTAS TOTALES'!$D53</f>
        <v>1245</v>
      </c>
      <c r="P203" s="252">
        <f>+'[150]VENTAS TOTALES'!$D53</f>
        <v>5509</v>
      </c>
      <c r="Q203" s="252">
        <f>+'[151]VENTAS TOTALES'!$D53</f>
        <v>4659</v>
      </c>
      <c r="R203" s="252">
        <f>+'[152]VENTAS TOTALES'!$D53</f>
        <v>4686</v>
      </c>
      <c r="S203" s="252">
        <f>+'[153]VENTAS TOTALES'!$D53</f>
        <v>4691</v>
      </c>
      <c r="T203" s="252">
        <f>+'[154]VENTAS TOTALES'!$D53</f>
        <v>4188</v>
      </c>
      <c r="U203" s="252">
        <f>+'[155]VENTAS TOTALES'!$D53</f>
        <v>3266</v>
      </c>
      <c r="V203" s="252">
        <f>+'[156]VENTAS TOTALES'!$D53</f>
        <v>1368</v>
      </c>
      <c r="W203" s="252">
        <f>+'[157]VENTAS TOTALES'!$D53</f>
        <v>5817</v>
      </c>
      <c r="X203" s="252">
        <f>+'[158]VENTAS TOTALES'!$D53</f>
        <v>4379</v>
      </c>
      <c r="Y203" s="252">
        <f>+'[159]VENTAS TOTALES'!$D53</f>
        <v>4113</v>
      </c>
      <c r="Z203" s="252">
        <f>+'[160]VENTAS TOTALES'!$D53</f>
        <v>3960</v>
      </c>
      <c r="AA203" s="252">
        <f>+'[161]VENTAS TOTALES'!$D53</f>
        <v>4239</v>
      </c>
      <c r="AB203" s="252">
        <f>+'[162]VENTAS TOTALES'!$D53</f>
        <v>3248</v>
      </c>
      <c r="AC203" s="252">
        <f>+'[163]VENTAS TOTALES'!$D53</f>
        <v>1417</v>
      </c>
      <c r="AD203" s="252">
        <f>+'[164]VENTAS TOTALES'!$D53</f>
        <v>5840</v>
      </c>
      <c r="AE203" s="252">
        <f>+'[165]VENTAS TOTALES'!$D53</f>
        <v>5620</v>
      </c>
      <c r="AF203" s="252">
        <f>+'[166]VENTAS TOTALES'!$D53</f>
        <v>4992</v>
      </c>
      <c r="AG203" s="252">
        <f>+'[167]VENTAS TOTALES'!$D53</f>
        <v>4685</v>
      </c>
      <c r="AH203" s="252">
        <f>+'[168]VENTAS TOTALES'!$D53</f>
        <v>4182</v>
      </c>
      <c r="AI203" s="252">
        <f>+'[169]VENTAS TOTALES'!$D53</f>
        <v>3460</v>
      </c>
      <c r="AJ203" s="252">
        <f>+'[170]VENTAS TOTALES'!$D53</f>
        <v>1360</v>
      </c>
    </row>
    <row r="204" spans="1:36" s="10" customFormat="1" ht="13.5" thickBot="1" x14ac:dyDescent="0.25">
      <c r="A204" s="447"/>
      <c r="B204" s="326" t="s">
        <v>249</v>
      </c>
      <c r="C204" s="269">
        <f>+'[137]VENTAS TOTALES'!$D54</f>
        <v>9927</v>
      </c>
      <c r="D204" s="269">
        <f>+'[138]VENTAS TOTALES'!$D54</f>
        <v>9044</v>
      </c>
      <c r="E204" s="269">
        <f>+'[139]VENTAS TOTALES'!$D54</f>
        <v>7259</v>
      </c>
      <c r="F204" s="269">
        <f>+'[140]VENTAS TOTALES'!$D54</f>
        <v>7617</v>
      </c>
      <c r="G204" s="269">
        <f>+'[141]VENTAS TOTALES'!$D54</f>
        <v>6063</v>
      </c>
      <c r="H204" s="269">
        <f>+'[142]VENTAS TOTALES'!$D54</f>
        <v>2345</v>
      </c>
      <c r="I204" s="269">
        <f>+'[143]VENTAS TOTALES'!$D54</f>
        <v>9938</v>
      </c>
      <c r="J204" s="269">
        <f>+'[144]VENTAS TOTALES'!$D54</f>
        <v>8621</v>
      </c>
      <c r="K204" s="269">
        <f>+'[145]VENTAS TOTALES'!$D54</f>
        <v>8199</v>
      </c>
      <c r="L204" s="269">
        <f>+'[146]VENTAS TOTALES'!$D54</f>
        <v>7867</v>
      </c>
      <c r="M204" s="269">
        <f>+'[147]VENTAS TOTALES'!$D54</f>
        <v>8005</v>
      </c>
      <c r="N204" s="269">
        <f>+'[148]VENTAS TOTALES'!$D54</f>
        <v>6062</v>
      </c>
      <c r="O204" s="269">
        <f>+'[149]VENTAS TOTALES'!$D54</f>
        <v>2476</v>
      </c>
      <c r="P204" s="269">
        <f>+'[150]VENTAS TOTALES'!$D54</f>
        <v>10141</v>
      </c>
      <c r="Q204" s="269">
        <f>+'[151]VENTAS TOTALES'!$D54</f>
        <v>8794</v>
      </c>
      <c r="R204" s="269">
        <f>+'[152]VENTAS TOTALES'!$D54</f>
        <v>9678</v>
      </c>
      <c r="S204" s="269">
        <f>+'[153]VENTAS TOTALES'!$D54</f>
        <v>8428</v>
      </c>
      <c r="T204" s="269">
        <f>+'[154]VENTAS TOTALES'!$D54</f>
        <v>8014</v>
      </c>
      <c r="U204" s="269">
        <f>+'[155]VENTAS TOTALES'!$D54</f>
        <v>6207</v>
      </c>
      <c r="V204" s="269">
        <f>+'[156]VENTAS TOTALES'!$D54</f>
        <v>2435</v>
      </c>
      <c r="W204" s="269">
        <f>+'[157]VENTAS TOTALES'!$D54</f>
        <v>10347</v>
      </c>
      <c r="X204" s="269">
        <f>+'[158]VENTAS TOTALES'!$D54</f>
        <v>8394</v>
      </c>
      <c r="Y204" s="269">
        <f>+'[159]VENTAS TOTALES'!$D54</f>
        <v>8046</v>
      </c>
      <c r="Z204" s="269">
        <f>+'[160]VENTAS TOTALES'!$D54</f>
        <v>7615</v>
      </c>
      <c r="AA204" s="269">
        <f>+'[161]VENTAS TOTALES'!$D54</f>
        <v>7800</v>
      </c>
      <c r="AB204" s="269">
        <f>+'[162]VENTAS TOTALES'!$D54</f>
        <v>6309</v>
      </c>
      <c r="AC204" s="269">
        <f>+'[163]VENTAS TOTALES'!$D54</f>
        <v>2575</v>
      </c>
      <c r="AD204" s="269">
        <f>+'[164]VENTAS TOTALES'!$D54</f>
        <v>11080</v>
      </c>
      <c r="AE204" s="269">
        <f>+'[165]VENTAS TOTALES'!$D54</f>
        <v>9871</v>
      </c>
      <c r="AF204" s="269">
        <f>+'[166]VENTAS TOTALES'!$D54</f>
        <v>9676</v>
      </c>
      <c r="AG204" s="269">
        <f>+'[167]VENTAS TOTALES'!$D54</f>
        <v>9116</v>
      </c>
      <c r="AH204" s="269">
        <f>+'[168]VENTAS TOTALES'!$D54</f>
        <v>8468</v>
      </c>
      <c r="AI204" s="269">
        <f>+'[169]VENTAS TOTALES'!$D54</f>
        <v>7042</v>
      </c>
      <c r="AJ204" s="269">
        <f>+'[170]VENTAS TOTALES'!$D54</f>
        <v>2650</v>
      </c>
    </row>
    <row r="205" spans="1:36" s="10" customFormat="1" x14ac:dyDescent="0.2">
      <c r="A205" s="447"/>
      <c r="B205" s="293" t="s">
        <v>251</v>
      </c>
      <c r="C205" s="288">
        <f>+'[137]VENTAS TOTALES'!$D55</f>
        <v>16559</v>
      </c>
      <c r="D205" s="288">
        <f>+'[138]VENTAS TOTALES'!$D55</f>
        <v>15257</v>
      </c>
      <c r="E205" s="288">
        <f>+'[139]VENTAS TOTALES'!$D55</f>
        <v>12954</v>
      </c>
      <c r="F205" s="288">
        <f>+'[140]VENTAS TOTALES'!$D55</f>
        <v>13501</v>
      </c>
      <c r="G205" s="288">
        <f>+'[141]VENTAS TOTALES'!$D55</f>
        <v>10799</v>
      </c>
      <c r="H205" s="288">
        <f>+'[142]VENTAS TOTALES'!$D55</f>
        <v>6238</v>
      </c>
      <c r="I205" s="288">
        <f>+'[143]VENTAS TOTALES'!$D55</f>
        <v>17969</v>
      </c>
      <c r="J205" s="288">
        <f>+'[144]VENTAS TOTALES'!$D55</f>
        <v>14559</v>
      </c>
      <c r="K205" s="288">
        <f>+'[145]VENTAS TOTALES'!$D55</f>
        <v>14122</v>
      </c>
      <c r="L205" s="288">
        <f>+'[146]VENTAS TOTALES'!$D55</f>
        <v>14188</v>
      </c>
      <c r="M205" s="288">
        <f>+'[147]VENTAS TOTALES'!$D55</f>
        <v>14181</v>
      </c>
      <c r="N205" s="288">
        <f>+'[148]VENTAS TOTALES'!$D55</f>
        <v>10677</v>
      </c>
      <c r="O205" s="288">
        <f>+'[149]VENTAS TOTALES'!$D55</f>
        <v>5630</v>
      </c>
      <c r="P205" s="288">
        <f>+'[150]VENTAS TOTALES'!$D55</f>
        <v>18952</v>
      </c>
      <c r="Q205" s="288">
        <f>+'[151]VENTAS TOTALES'!$D55</f>
        <v>16659</v>
      </c>
      <c r="R205" s="288">
        <f>+'[152]VENTAS TOTALES'!$D55</f>
        <v>16603</v>
      </c>
      <c r="S205" s="288">
        <f>+'[153]VENTAS TOTALES'!$D55</f>
        <v>15420</v>
      </c>
      <c r="T205" s="288">
        <f>+'[154]VENTAS TOTALES'!$D55</f>
        <v>14534</v>
      </c>
      <c r="U205" s="288">
        <f>+'[155]VENTAS TOTALES'!$D55</f>
        <v>11237</v>
      </c>
      <c r="V205" s="288">
        <f>+'[156]VENTAS TOTALES'!$D55</f>
        <v>5913</v>
      </c>
      <c r="W205" s="288">
        <f>+'[157]VENTAS TOTALES'!$D55</f>
        <v>18772</v>
      </c>
      <c r="X205" s="288">
        <f>+'[158]VENTAS TOTALES'!$D55</f>
        <v>14918</v>
      </c>
      <c r="Y205" s="288">
        <f>+'[159]VENTAS TOTALES'!$D55</f>
        <v>14247</v>
      </c>
      <c r="Z205" s="288">
        <f>+'[160]VENTAS TOTALES'!$D55</f>
        <v>14078</v>
      </c>
      <c r="AA205" s="288">
        <f>+'[161]VENTAS TOTALES'!$D55</f>
        <v>14289</v>
      </c>
      <c r="AB205" s="288">
        <f>+'[162]VENTAS TOTALES'!$D55</f>
        <v>11601</v>
      </c>
      <c r="AC205" s="288">
        <f>+'[163]VENTAS TOTALES'!$D55</f>
        <v>5725</v>
      </c>
      <c r="AD205" s="288">
        <f>+'[164]VENTAS TOTALES'!$D55</f>
        <v>20322</v>
      </c>
      <c r="AE205" s="288">
        <f>+'[165]VENTAS TOTALES'!$D55</f>
        <v>18263</v>
      </c>
      <c r="AF205" s="288">
        <f>+'[166]VENTAS TOTALES'!$D55</f>
        <v>16960</v>
      </c>
      <c r="AG205" s="288">
        <f>+'[167]VENTAS TOTALES'!$D55</f>
        <v>16204</v>
      </c>
      <c r="AH205" s="288">
        <f>+'[168]VENTAS TOTALES'!$D55</f>
        <v>15287</v>
      </c>
      <c r="AI205" s="288">
        <f>+'[169]VENTAS TOTALES'!$D55</f>
        <v>12544</v>
      </c>
      <c r="AJ205" s="288">
        <f>+'[170]VENTAS TOTALES'!$D55</f>
        <v>6319</v>
      </c>
    </row>
    <row r="206" spans="1:36" s="10" customFormat="1" x14ac:dyDescent="0.2">
      <c r="A206" s="447"/>
      <c r="B206" s="281" t="s">
        <v>252</v>
      </c>
      <c r="C206" s="284">
        <f>+'[137]VENTAS TOTALES'!$D56</f>
        <v>28335</v>
      </c>
      <c r="D206" s="284">
        <f>+'[138]VENTAS TOTALES'!$D56</f>
        <v>26319</v>
      </c>
      <c r="E206" s="284">
        <f>+'[139]VENTAS TOTALES'!$D56</f>
        <v>22245</v>
      </c>
      <c r="F206" s="284">
        <f>+'[140]VENTAS TOTALES'!$D56</f>
        <v>23498</v>
      </c>
      <c r="G206" s="284">
        <f>+'[141]VENTAS TOTALES'!$D56</f>
        <v>18441</v>
      </c>
      <c r="H206" s="284">
        <f>+'[142]VENTAS TOTALES'!$D56</f>
        <v>9712</v>
      </c>
      <c r="I206" s="284">
        <f>+'[143]VENTAS TOTALES'!$D56</f>
        <v>31927</v>
      </c>
      <c r="J206" s="284">
        <f>+'[144]VENTAS TOTALES'!$D56</f>
        <v>25055</v>
      </c>
      <c r="K206" s="284">
        <f>+'[145]VENTAS TOTALES'!$D56</f>
        <v>23820</v>
      </c>
      <c r="L206" s="284">
        <f>+'[146]VENTAS TOTALES'!$D56</f>
        <v>23954</v>
      </c>
      <c r="M206" s="284">
        <f>+'[147]VENTAS TOTALES'!$D56</f>
        <v>23725</v>
      </c>
      <c r="N206" s="284">
        <f>+'[148]VENTAS TOTALES'!$D56</f>
        <v>18722</v>
      </c>
      <c r="O206" s="284">
        <f>+'[149]VENTAS TOTALES'!$D56</f>
        <v>8920</v>
      </c>
      <c r="P206" s="284">
        <f>+'[150]VENTAS TOTALES'!$D56</f>
        <v>32340</v>
      </c>
      <c r="Q206" s="284">
        <f>+'[151]VENTAS TOTALES'!$D56</f>
        <v>27476</v>
      </c>
      <c r="R206" s="284">
        <f>+'[152]VENTAS TOTALES'!$D56</f>
        <v>29516</v>
      </c>
      <c r="S206" s="284">
        <f>+'[153]VENTAS TOTALES'!$D56</f>
        <v>28417</v>
      </c>
      <c r="T206" s="284">
        <f>+'[154]VENTAS TOTALES'!$D56</f>
        <v>24977</v>
      </c>
      <c r="U206" s="284">
        <f>+'[155]VENTAS TOTALES'!$D56</f>
        <v>19243</v>
      </c>
      <c r="V206" s="284">
        <f>+'[156]VENTAS TOTALES'!$D56</f>
        <v>9313</v>
      </c>
      <c r="W206" s="284">
        <f>+'[157]VENTAS TOTALES'!$D56</f>
        <v>32875</v>
      </c>
      <c r="X206" s="284">
        <f>+'[158]VENTAS TOTALES'!$D56</f>
        <v>25511</v>
      </c>
      <c r="Y206" s="284">
        <f>+'[159]VENTAS TOTALES'!$D56</f>
        <v>23881</v>
      </c>
      <c r="Z206" s="284">
        <f>+'[160]VENTAS TOTALES'!$D56</f>
        <v>23349</v>
      </c>
      <c r="AA206" s="284">
        <f>+'[161]VENTAS TOTALES'!$D56</f>
        <v>24080</v>
      </c>
      <c r="AB206" s="284">
        <f>+'[162]VENTAS TOTALES'!$D56</f>
        <v>19696</v>
      </c>
      <c r="AC206" s="284">
        <f>+'[163]VENTAS TOTALES'!$D56</f>
        <v>9528</v>
      </c>
      <c r="AD206" s="284">
        <f>+'[164]VENTAS TOTALES'!$D56</f>
        <v>34774</v>
      </c>
      <c r="AE206" s="284">
        <f>+'[165]VENTAS TOTALES'!$D56</f>
        <v>30778</v>
      </c>
      <c r="AF206" s="284">
        <f>+'[166]VENTAS TOTALES'!$D56</f>
        <v>28658</v>
      </c>
      <c r="AG206" s="284">
        <f>+'[167]VENTAS TOTALES'!$D56</f>
        <v>26003</v>
      </c>
      <c r="AH206" s="284">
        <f>+'[168]VENTAS TOTALES'!$D56</f>
        <v>24708</v>
      </c>
      <c r="AI206" s="284">
        <f>+'[169]VENTAS TOTALES'!$D56</f>
        <v>19881</v>
      </c>
      <c r="AJ206" s="284">
        <f>+'[170]VENTAS TOTALES'!$D56</f>
        <v>9788</v>
      </c>
    </row>
    <row r="207" spans="1:36" s="10" customFormat="1" x14ac:dyDescent="0.2">
      <c r="A207" s="447"/>
      <c r="B207" s="281" t="s">
        <v>255</v>
      </c>
      <c r="C207" s="284">
        <f>+'[137]VENTAS TOTALES'!$D57</f>
        <v>12608</v>
      </c>
      <c r="D207" s="284">
        <f>+'[138]VENTAS TOTALES'!$D57</f>
        <v>11734</v>
      </c>
      <c r="E207" s="284">
        <f>+'[139]VENTAS TOTALES'!$D57</f>
        <v>9059</v>
      </c>
      <c r="F207" s="284">
        <f>+'[140]VENTAS TOTALES'!$D57</f>
        <v>9200</v>
      </c>
      <c r="G207" s="284">
        <f>+'[141]VENTAS TOTALES'!$D57</f>
        <v>7953</v>
      </c>
      <c r="H207" s="284">
        <f>+'[142]VENTAS TOTALES'!$D57</f>
        <v>5208</v>
      </c>
      <c r="I207" s="284">
        <f>+'[143]VENTAS TOTALES'!$D57</f>
        <v>13021</v>
      </c>
      <c r="J207" s="284">
        <f>+'[144]VENTAS TOTALES'!$D57</f>
        <v>10358</v>
      </c>
      <c r="K207" s="284">
        <f>+'[145]VENTAS TOTALES'!$D57</f>
        <v>9663</v>
      </c>
      <c r="L207" s="284">
        <f>+'[146]VENTAS TOTALES'!$D57</f>
        <v>9675</v>
      </c>
      <c r="M207" s="284">
        <f>+'[147]VENTAS TOTALES'!$D57</f>
        <v>9223</v>
      </c>
      <c r="N207" s="284">
        <f>+'[148]VENTAS TOTALES'!$D57</f>
        <v>7819</v>
      </c>
      <c r="O207" s="284">
        <f>+'[149]VENTAS TOTALES'!$D57</f>
        <v>4665</v>
      </c>
      <c r="P207" s="284">
        <f>+'[150]VENTAS TOTALES'!$D57</f>
        <v>12100</v>
      </c>
      <c r="Q207" s="284">
        <f>+'[151]VENTAS TOTALES'!$D57</f>
        <v>11885</v>
      </c>
      <c r="R207" s="284">
        <f>+'[152]VENTAS TOTALES'!$D57</f>
        <v>11187</v>
      </c>
      <c r="S207" s="284">
        <f>+'[153]VENTAS TOTALES'!$D57</f>
        <v>10751</v>
      </c>
      <c r="T207" s="284">
        <f>+'[154]VENTAS TOTALES'!$D57</f>
        <v>9825</v>
      </c>
      <c r="U207" s="284">
        <f>+'[155]VENTAS TOTALES'!$D57</f>
        <v>8491</v>
      </c>
      <c r="V207" s="284">
        <f>+'[156]VENTAS TOTALES'!$D57</f>
        <v>5150</v>
      </c>
      <c r="W207" s="284">
        <f>+'[157]VENTAS TOTALES'!$D57</f>
        <v>13070</v>
      </c>
      <c r="X207" s="284">
        <f>+'[158]VENTAS TOTALES'!$D57</f>
        <v>10418</v>
      </c>
      <c r="Y207" s="284">
        <f>+'[159]VENTAS TOTALES'!$D57</f>
        <v>9685</v>
      </c>
      <c r="Z207" s="284">
        <f>+'[160]VENTAS TOTALES'!$D57</f>
        <v>9535</v>
      </c>
      <c r="AA207" s="284">
        <f>+'[161]VENTAS TOTALES'!$D57</f>
        <v>9666</v>
      </c>
      <c r="AB207" s="284">
        <f>+'[162]VENTAS TOTALES'!$D57</f>
        <v>8643</v>
      </c>
      <c r="AC207" s="284">
        <f>+'[163]VENTAS TOTALES'!$D57</f>
        <v>5568</v>
      </c>
      <c r="AD207" s="284">
        <f>+'[164]VENTAS TOTALES'!$D57</f>
        <v>14841</v>
      </c>
      <c r="AE207" s="284">
        <f>+'[165]VENTAS TOTALES'!$D57</f>
        <v>13414</v>
      </c>
      <c r="AF207" s="284">
        <f>+'[166]VENTAS TOTALES'!$D57</f>
        <v>12052</v>
      </c>
      <c r="AG207" s="284">
        <f>+'[167]VENTAS TOTALES'!$D57</f>
        <v>10922</v>
      </c>
      <c r="AH207" s="284">
        <f>+'[168]VENTAS TOTALES'!$D57</f>
        <v>10321</v>
      </c>
      <c r="AI207" s="284">
        <f>+'[169]VENTAS TOTALES'!$D57</f>
        <v>9334</v>
      </c>
      <c r="AJ207" s="284">
        <f>+'[170]VENTAS TOTALES'!$D57</f>
        <v>5302</v>
      </c>
    </row>
    <row r="208" spans="1:36" s="10" customFormat="1" ht="13.5" thickBot="1" x14ac:dyDescent="0.25">
      <c r="A208" s="447"/>
      <c r="B208" s="327" t="s">
        <v>256</v>
      </c>
      <c r="C208" s="328">
        <f>+'[137]VENTAS TOTALES'!$D58</f>
        <v>47063</v>
      </c>
      <c r="D208" s="328">
        <f>+'[138]VENTAS TOTALES'!$D58</f>
        <v>43576</v>
      </c>
      <c r="E208" s="328">
        <f>+'[139]VENTAS TOTALES'!$D58</f>
        <v>35730</v>
      </c>
      <c r="F208" s="328">
        <f>+'[140]VENTAS TOTALES'!$D58</f>
        <v>37853</v>
      </c>
      <c r="G208" s="328">
        <f>+'[141]VENTAS TOTALES'!$D58</f>
        <v>29634</v>
      </c>
      <c r="H208" s="328">
        <f>+'[142]VENTAS TOTALES'!$D58</f>
        <v>14890</v>
      </c>
      <c r="I208" s="328">
        <f>+'[143]VENTAS TOTALES'!$D58</f>
        <v>54924</v>
      </c>
      <c r="J208" s="328">
        <f>+'[144]VENTAS TOTALES'!$D58</f>
        <v>42696</v>
      </c>
      <c r="K208" s="328">
        <f>+'[145]VENTAS TOTALES'!$D58</f>
        <v>39806</v>
      </c>
      <c r="L208" s="328">
        <f>+'[146]VENTAS TOTALES'!$D58</f>
        <v>39487</v>
      </c>
      <c r="M208" s="328">
        <f>+'[147]VENTAS TOTALES'!$D58</f>
        <v>38298</v>
      </c>
      <c r="N208" s="328">
        <f>+'[148]VENTAS TOTALES'!$D58</f>
        <v>29554</v>
      </c>
      <c r="O208" s="328">
        <f>+'[149]VENTAS TOTALES'!$D58</f>
        <v>13760</v>
      </c>
      <c r="P208" s="328">
        <f>+'[150]VENTAS TOTALES'!$D58</f>
        <v>42633</v>
      </c>
      <c r="Q208" s="328">
        <f>+'[151]VENTAS TOTALES'!$D58</f>
        <v>44155</v>
      </c>
      <c r="R208" s="328">
        <f>+'[152]VENTAS TOTALES'!$D58</f>
        <v>45049</v>
      </c>
      <c r="S208" s="328">
        <f>+'[153]VENTAS TOTALES'!$D58</f>
        <v>41840</v>
      </c>
      <c r="T208" s="328">
        <f>+'[154]VENTAS TOTALES'!$D58</f>
        <v>39741</v>
      </c>
      <c r="U208" s="328">
        <f>+'[155]VENTAS TOTALES'!$D58</f>
        <v>30410</v>
      </c>
      <c r="V208" s="328">
        <f>+'[156]VENTAS TOTALES'!$D58</f>
        <v>14270</v>
      </c>
      <c r="W208" s="328">
        <f>+'[157]VENTAS TOTALES'!$D58</f>
        <v>54817</v>
      </c>
      <c r="X208" s="328">
        <f>+'[158]VENTAS TOTALES'!$D58</f>
        <v>41894</v>
      </c>
      <c r="Y208" s="328">
        <f>+'[159]VENTAS TOTALES'!$D58</f>
        <v>40024</v>
      </c>
      <c r="Z208" s="328">
        <f>+'[160]VENTAS TOTALES'!$D58</f>
        <v>38457</v>
      </c>
      <c r="AA208" s="328">
        <f>+'[161]VENTAS TOTALES'!$D58</f>
        <v>38866</v>
      </c>
      <c r="AB208" s="328">
        <f>+'[162]VENTAS TOTALES'!$D58</f>
        <v>30616</v>
      </c>
      <c r="AC208" s="328">
        <f>+'[163]VENTAS TOTALES'!$D58</f>
        <v>14428</v>
      </c>
      <c r="AD208" s="328">
        <f>+'[164]VENTAS TOTALES'!$D58</f>
        <v>56555</v>
      </c>
      <c r="AE208" s="328">
        <f>+'[165]VENTAS TOTALES'!$D58</f>
        <v>49678</v>
      </c>
      <c r="AF208" s="328">
        <f>+'[166]VENTAS TOTALES'!$D58</f>
        <v>46745</v>
      </c>
      <c r="AG208" s="328">
        <f>+'[167]VENTAS TOTALES'!$D58</f>
        <v>41918</v>
      </c>
      <c r="AH208" s="328">
        <f>+'[168]VENTAS TOTALES'!$D58</f>
        <v>40406</v>
      </c>
      <c r="AI208" s="328">
        <f>+'[169]VENTAS TOTALES'!$D58</f>
        <v>31326</v>
      </c>
      <c r="AJ208" s="328">
        <f>+'[170]VENTAS TOTALES'!$D58</f>
        <v>14699</v>
      </c>
    </row>
    <row r="209" spans="1:36" s="10" customFormat="1" x14ac:dyDescent="0.2">
      <c r="A209" s="447"/>
      <c r="B209" s="331" t="s">
        <v>257</v>
      </c>
      <c r="C209" s="267">
        <f>+'[137]VENTAS TOTALES'!$D59</f>
        <v>8110</v>
      </c>
      <c r="D209" s="267">
        <f>+'[138]VENTAS TOTALES'!$D59</f>
        <v>8185</v>
      </c>
      <c r="E209" s="267">
        <f>+'[139]VENTAS TOTALES'!$D59</f>
        <v>6462</v>
      </c>
      <c r="F209" s="267">
        <f>+'[140]VENTAS TOTALES'!$D59</f>
        <v>6590</v>
      </c>
      <c r="G209" s="267">
        <f>+'[141]VENTAS TOTALES'!$D59</f>
        <v>4677</v>
      </c>
      <c r="H209" s="267">
        <f>+'[142]VENTAS TOTALES'!$D59</f>
        <v>2353</v>
      </c>
      <c r="I209" s="267">
        <f>+'[143]VENTAS TOTALES'!$D59</f>
        <v>9180</v>
      </c>
      <c r="J209" s="267">
        <f>+'[144]VENTAS TOTALES'!$D59</f>
        <v>7379</v>
      </c>
      <c r="K209" s="267">
        <f>+'[145]VENTAS TOTALES'!$D59</f>
        <v>7192</v>
      </c>
      <c r="L209" s="267">
        <f>+'[146]VENTAS TOTALES'!$D59</f>
        <v>7052</v>
      </c>
      <c r="M209" s="267">
        <f>+'[147]VENTAS TOTALES'!$D59</f>
        <v>6448</v>
      </c>
      <c r="N209" s="267">
        <f>+'[148]VENTAS TOTALES'!$D59</f>
        <v>4950</v>
      </c>
      <c r="O209" s="267">
        <f>+'[149]VENTAS TOTALES'!$D59</f>
        <v>1888</v>
      </c>
      <c r="P209" s="267">
        <f>+'[150]VENTAS TOTALES'!$D59</f>
        <v>9629</v>
      </c>
      <c r="Q209" s="267">
        <f>+'[151]VENTAS TOTALES'!$D59</f>
        <v>7659</v>
      </c>
      <c r="R209" s="267">
        <f>+'[152]VENTAS TOTALES'!$D59</f>
        <v>7821</v>
      </c>
      <c r="S209" s="267">
        <f>+'[153]VENTAS TOTALES'!$D59</f>
        <v>7423</v>
      </c>
      <c r="T209" s="267">
        <f>+'[154]VENTAS TOTALES'!$D59</f>
        <v>6807</v>
      </c>
      <c r="U209" s="267">
        <f>+'[155]VENTAS TOTALES'!$D59</f>
        <v>4839</v>
      </c>
      <c r="V209" s="267">
        <f>+'[156]VENTAS TOTALES'!$D59</f>
        <v>2172</v>
      </c>
      <c r="W209" s="267">
        <f>+'[157]VENTAS TOTALES'!$D59</f>
        <v>10182</v>
      </c>
      <c r="X209" s="267">
        <f>+'[158]VENTAS TOTALES'!$D59</f>
        <v>7547</v>
      </c>
      <c r="Y209" s="267">
        <f>+'[159]VENTAS TOTALES'!$D59</f>
        <v>7180</v>
      </c>
      <c r="Z209" s="267">
        <f>+'[160]VENTAS TOTALES'!$D59</f>
        <v>7075</v>
      </c>
      <c r="AA209" s="267">
        <f>+'[161]VENTAS TOTALES'!$D59</f>
        <v>6568</v>
      </c>
      <c r="AB209" s="267">
        <f>+'[162]VENTAS TOTALES'!$D59</f>
        <v>5034</v>
      </c>
      <c r="AC209" s="267">
        <f>+'[163]VENTAS TOTALES'!$D59</f>
        <v>2226</v>
      </c>
      <c r="AD209" s="267">
        <f>+'[164]VENTAS TOTALES'!$D59</f>
        <v>10430</v>
      </c>
      <c r="AE209" s="267">
        <f>+'[165]VENTAS TOTALES'!$D59</f>
        <v>8720</v>
      </c>
      <c r="AF209" s="267">
        <f>+'[166]VENTAS TOTALES'!$D59</f>
        <v>8155</v>
      </c>
      <c r="AG209" s="267">
        <f>+'[167]VENTAS TOTALES'!$D59</f>
        <v>7649</v>
      </c>
      <c r="AH209" s="267">
        <f>+'[168]VENTAS TOTALES'!$D59</f>
        <v>6953</v>
      </c>
      <c r="AI209" s="267">
        <f>+'[169]VENTAS TOTALES'!$D59</f>
        <v>5365</v>
      </c>
      <c r="AJ209" s="267">
        <f>+'[170]VENTAS TOTALES'!$D59</f>
        <v>2309</v>
      </c>
    </row>
    <row r="210" spans="1:36" s="10" customFormat="1" x14ac:dyDescent="0.2">
      <c r="A210" s="447"/>
      <c r="B210" s="325" t="s">
        <v>258</v>
      </c>
      <c r="C210" s="252">
        <f>+'[137]VENTAS TOTALES'!$D60</f>
        <v>9678</v>
      </c>
      <c r="D210" s="252">
        <f>+'[138]VENTAS TOTALES'!$D60</f>
        <v>9145</v>
      </c>
      <c r="E210" s="252">
        <f>+'[139]VENTAS TOTALES'!$D60</f>
        <v>7304</v>
      </c>
      <c r="F210" s="252">
        <f>+'[140]VENTAS TOTALES'!$D60</f>
        <v>7432</v>
      </c>
      <c r="G210" s="252">
        <f>+'[141]VENTAS TOTALES'!$D60</f>
        <v>5475</v>
      </c>
      <c r="H210" s="252">
        <f>+'[142]VENTAS TOTALES'!$D60</f>
        <v>2815</v>
      </c>
      <c r="I210" s="252">
        <f>+'[143]VENTAS TOTALES'!$D60</f>
        <v>10464</v>
      </c>
      <c r="J210" s="252">
        <f>+'[144]VENTAS TOTALES'!$D60</f>
        <v>8521</v>
      </c>
      <c r="K210" s="252">
        <f>+'[145]VENTAS TOTALES'!$D60</f>
        <v>8231</v>
      </c>
      <c r="L210" s="252">
        <f>+'[146]VENTAS TOTALES'!$D60</f>
        <v>7933</v>
      </c>
      <c r="M210" s="252">
        <f>+'[147]VENTAS TOTALES'!$D60</f>
        <v>7522</v>
      </c>
      <c r="N210" s="252">
        <f>+'[148]VENTAS TOTALES'!$D60</f>
        <v>5542</v>
      </c>
      <c r="O210" s="252">
        <f>+'[149]VENTAS TOTALES'!$D60</f>
        <v>2720</v>
      </c>
      <c r="P210" s="252">
        <f>+'[150]VENTAS TOTALES'!$D60</f>
        <v>10482</v>
      </c>
      <c r="Q210" s="252">
        <f>+'[151]VENTAS TOTALES'!$D60</f>
        <v>9129</v>
      </c>
      <c r="R210" s="252">
        <f>+'[152]VENTAS TOTALES'!$D60</f>
        <v>9018</v>
      </c>
      <c r="S210" s="252">
        <f>+'[153]VENTAS TOTALES'!$D60</f>
        <v>8473</v>
      </c>
      <c r="T210" s="252">
        <f>+'[154]VENTAS TOTALES'!$D60</f>
        <v>7474</v>
      </c>
      <c r="U210" s="252">
        <f>+'[155]VENTAS TOTALES'!$D60</f>
        <v>5849</v>
      </c>
      <c r="V210" s="252">
        <f>+'[156]VENTAS TOTALES'!$D60</f>
        <v>2709</v>
      </c>
      <c r="W210" s="252">
        <f>+'[157]VENTAS TOTALES'!$D60</f>
        <v>10699</v>
      </c>
      <c r="X210" s="252">
        <f>+'[158]VENTAS TOTALES'!$D60</f>
        <v>8351</v>
      </c>
      <c r="Y210" s="252">
        <f>+'[159]VENTAS TOTALES'!$D60</f>
        <v>7925</v>
      </c>
      <c r="Z210" s="252">
        <f>+'[160]VENTAS TOTALES'!$D60</f>
        <v>7593</v>
      </c>
      <c r="AA210" s="252">
        <f>+'[161]VENTAS TOTALES'!$D60</f>
        <v>7486</v>
      </c>
      <c r="AB210" s="252">
        <f>+'[162]VENTAS TOTALES'!$D60</f>
        <v>5963</v>
      </c>
      <c r="AC210" s="252">
        <f>+'[163]VENTAS TOTALES'!$D60</f>
        <v>2893</v>
      </c>
      <c r="AD210" s="252">
        <f>+'[164]VENTAS TOTALES'!$D60</f>
        <v>11608</v>
      </c>
      <c r="AE210" s="252">
        <f>+'[165]VENTAS TOTALES'!$D60</f>
        <v>9941</v>
      </c>
      <c r="AF210" s="252">
        <f>+'[166]VENTAS TOTALES'!$D60</f>
        <v>9327</v>
      </c>
      <c r="AG210" s="252">
        <f>+'[167]VENTAS TOTALES'!$D60</f>
        <v>8757</v>
      </c>
      <c r="AH210" s="252">
        <f>+'[168]VENTAS TOTALES'!$D60</f>
        <v>7970</v>
      </c>
      <c r="AI210" s="252">
        <f>+'[169]VENTAS TOTALES'!$D60</f>
        <v>6332</v>
      </c>
      <c r="AJ210" s="252">
        <f>+'[170]VENTAS TOTALES'!$D60</f>
        <v>2769</v>
      </c>
    </row>
    <row r="211" spans="1:36" s="10" customFormat="1" x14ac:dyDescent="0.2">
      <c r="A211" s="447"/>
      <c r="B211" s="325" t="s">
        <v>259</v>
      </c>
      <c r="C211" s="252">
        <f>+'[137]VENTAS TOTALES'!$D61</f>
        <v>2132</v>
      </c>
      <c r="D211" s="252">
        <f>+'[138]VENTAS TOTALES'!$D61</f>
        <v>2077</v>
      </c>
      <c r="E211" s="252">
        <f>+'[139]VENTAS TOTALES'!$D61</f>
        <v>1632</v>
      </c>
      <c r="F211" s="252">
        <f>+'[140]VENTAS TOTALES'!$D61</f>
        <v>1602</v>
      </c>
      <c r="G211" s="252">
        <f>+'[141]VENTAS TOTALES'!$D61</f>
        <v>1091</v>
      </c>
      <c r="H211" s="252">
        <f>+'[142]VENTAS TOTALES'!$D61</f>
        <v>554</v>
      </c>
      <c r="I211" s="252">
        <f>+'[143]VENTAS TOTALES'!$D61</f>
        <v>2203</v>
      </c>
      <c r="J211" s="252">
        <f>+'[144]VENTAS TOTALES'!$D61</f>
        <v>1773</v>
      </c>
      <c r="K211" s="252">
        <f>+'[145]VENTAS TOTALES'!$D61</f>
        <v>2259</v>
      </c>
      <c r="L211" s="252">
        <f>+'[146]VENTAS TOTALES'!$D61</f>
        <v>1505</v>
      </c>
      <c r="M211" s="252">
        <f>+'[147]VENTAS TOTALES'!$D61</f>
        <v>1608</v>
      </c>
      <c r="N211" s="252">
        <f>+'[148]VENTAS TOTALES'!$D61</f>
        <v>1052</v>
      </c>
      <c r="O211" s="252">
        <f>+'[149]VENTAS TOTALES'!$D61</f>
        <v>515</v>
      </c>
      <c r="P211" s="252">
        <f>+'[150]VENTAS TOTALES'!$D61</f>
        <v>2362</v>
      </c>
      <c r="Q211" s="252">
        <f>+'[151]VENTAS TOTALES'!$D61</f>
        <v>1912</v>
      </c>
      <c r="R211" s="252">
        <f>+'[152]VENTAS TOTALES'!$D61</f>
        <v>1861</v>
      </c>
      <c r="S211" s="252">
        <f>+'[153]VENTAS TOTALES'!$D61</f>
        <v>1831</v>
      </c>
      <c r="T211" s="252">
        <f>+'[154]VENTAS TOTALES'!$D61</f>
        <v>1561</v>
      </c>
      <c r="U211" s="252">
        <f>+'[155]VENTAS TOTALES'!$D61</f>
        <v>1111</v>
      </c>
      <c r="V211" s="252">
        <f>+'[156]VENTAS TOTALES'!$D61</f>
        <v>475</v>
      </c>
      <c r="W211" s="252">
        <f>+'[157]VENTAS TOTALES'!$D61</f>
        <v>2033</v>
      </c>
      <c r="X211" s="252">
        <f>+'[158]VENTAS TOTALES'!$D61</f>
        <v>1632</v>
      </c>
      <c r="Y211" s="252">
        <f>+'[159]VENTAS TOTALES'!$D61</f>
        <v>1642</v>
      </c>
      <c r="Z211" s="252">
        <f>+'[160]VENTAS TOTALES'!$D61</f>
        <v>1546</v>
      </c>
      <c r="AA211" s="252">
        <f>+'[161]VENTAS TOTALES'!$D61</f>
        <v>1605</v>
      </c>
      <c r="AB211" s="252">
        <f>+'[162]VENTAS TOTALES'!$D61</f>
        <v>1202</v>
      </c>
      <c r="AC211" s="252">
        <f>+'[163]VENTAS TOTALES'!$D61</f>
        <v>485</v>
      </c>
      <c r="AD211" s="252">
        <f>+'[164]VENTAS TOTALES'!$D61</f>
        <v>2457</v>
      </c>
      <c r="AE211" s="252">
        <f>+'[165]VENTAS TOTALES'!$D61</f>
        <v>2215</v>
      </c>
      <c r="AF211" s="252">
        <f>+'[166]VENTAS TOTALES'!$D61</f>
        <v>2163</v>
      </c>
      <c r="AG211" s="252">
        <f>+'[167]VENTAS TOTALES'!$D61</f>
        <v>1711</v>
      </c>
      <c r="AH211" s="252">
        <f>+'[168]VENTAS TOTALES'!$D61</f>
        <v>1768</v>
      </c>
      <c r="AI211" s="252">
        <f>+'[169]VENTAS TOTALES'!$D61</f>
        <v>1244</v>
      </c>
      <c r="AJ211" s="252">
        <f>+'[170]VENTAS TOTALES'!$D61</f>
        <v>510</v>
      </c>
    </row>
    <row r="212" spans="1:36" s="10" customFormat="1" x14ac:dyDescent="0.2">
      <c r="A212" s="447"/>
      <c r="B212" s="325" t="s">
        <v>260</v>
      </c>
      <c r="C212" s="252">
        <f>+'[137]VENTAS TOTALES'!$D62</f>
        <v>1491</v>
      </c>
      <c r="D212" s="252">
        <f>+'[138]VENTAS TOTALES'!$D62</f>
        <v>1126</v>
      </c>
      <c r="E212" s="252">
        <f>+'[139]VENTAS TOTALES'!$D62</f>
        <v>1285</v>
      </c>
      <c r="F212" s="252">
        <f>+'[140]VENTAS TOTALES'!$D62</f>
        <v>1042</v>
      </c>
      <c r="G212" s="252">
        <f>+'[141]VENTAS TOTALES'!$D62</f>
        <v>958</v>
      </c>
      <c r="H212" s="252">
        <f>+'[142]VENTAS TOTALES'!$D62</f>
        <v>273</v>
      </c>
      <c r="I212" s="252">
        <f>+'[143]VENTAS TOTALES'!$D62</f>
        <v>1295</v>
      </c>
      <c r="J212" s="252">
        <f>+'[144]VENTAS TOTALES'!$D62</f>
        <v>1195</v>
      </c>
      <c r="K212" s="252">
        <f>+'[145]VENTAS TOTALES'!$D62</f>
        <v>1337</v>
      </c>
      <c r="L212" s="252">
        <f>+'[146]VENTAS TOTALES'!$D62</f>
        <v>1095</v>
      </c>
      <c r="M212" s="252">
        <f>+'[147]VENTAS TOTALES'!$D62</f>
        <v>1116</v>
      </c>
      <c r="N212" s="252">
        <f>+'[148]VENTAS TOTALES'!$D62</f>
        <v>835</v>
      </c>
      <c r="O212" s="252">
        <f>+'[149]VENTAS TOTALES'!$D62</f>
        <v>314</v>
      </c>
      <c r="P212" s="252">
        <f>+'[150]VENTAS TOTALES'!$D62</f>
        <v>1476</v>
      </c>
      <c r="Q212" s="252">
        <f>+'[151]VENTAS TOTALES'!$D62</f>
        <v>1512</v>
      </c>
      <c r="R212" s="252">
        <f>+'[152]VENTAS TOTALES'!$D62</f>
        <v>1321</v>
      </c>
      <c r="S212" s="252">
        <f>+'[153]VENTAS TOTALES'!$D62</f>
        <v>1259</v>
      </c>
      <c r="T212" s="252">
        <f>+'[154]VENTAS TOTALES'!$D62</f>
        <v>1082</v>
      </c>
      <c r="U212" s="252">
        <f>+'[155]VENTAS TOTALES'!$D62</f>
        <v>978</v>
      </c>
      <c r="V212" s="252">
        <f>+'[156]VENTAS TOTALES'!$D62</f>
        <v>293</v>
      </c>
      <c r="W212" s="252">
        <f>+'[157]VENTAS TOTALES'!$D62</f>
        <v>1235</v>
      </c>
      <c r="X212" s="252">
        <f>+'[158]VENTAS TOTALES'!$D62</f>
        <v>1197</v>
      </c>
      <c r="Y212" s="252">
        <f>+'[159]VENTAS TOTALES'!$D62</f>
        <v>1058</v>
      </c>
      <c r="Z212" s="252">
        <f>+'[160]VENTAS TOTALES'!$D62</f>
        <v>1076</v>
      </c>
      <c r="AA212" s="252">
        <f>+'[161]VENTAS TOTALES'!$D62</f>
        <v>1148</v>
      </c>
      <c r="AB212" s="252">
        <f>+'[162]VENTAS TOTALES'!$D62</f>
        <v>892</v>
      </c>
      <c r="AC212" s="252">
        <f>+'[163]VENTAS TOTALES'!$D62</f>
        <v>374</v>
      </c>
      <c r="AD212" s="252">
        <f>+'[164]VENTAS TOTALES'!$D62</f>
        <v>1376</v>
      </c>
      <c r="AE212" s="252">
        <f>+'[165]VENTAS TOTALES'!$D62</f>
        <v>1642</v>
      </c>
      <c r="AF212" s="252">
        <f>+'[166]VENTAS TOTALES'!$D62</f>
        <v>1454</v>
      </c>
      <c r="AG212" s="252">
        <f>+'[167]VENTAS TOTALES'!$D62</f>
        <v>1303</v>
      </c>
      <c r="AH212" s="252">
        <f>+'[168]VENTAS TOTALES'!$D62</f>
        <v>1241</v>
      </c>
      <c r="AI212" s="252">
        <f>+'[169]VENTAS TOTALES'!$D62</f>
        <v>836</v>
      </c>
      <c r="AJ212" s="252">
        <f>+'[170]VENTAS TOTALES'!$D62</f>
        <v>282</v>
      </c>
    </row>
    <row r="213" spans="1:36" s="10" customFormat="1" x14ac:dyDescent="0.2">
      <c r="A213" s="447"/>
      <c r="B213" s="325" t="s">
        <v>261</v>
      </c>
      <c r="C213" s="252">
        <f>+'[137]VENTAS TOTALES'!$D63</f>
        <v>2479</v>
      </c>
      <c r="D213" s="252">
        <f>+'[138]VENTAS TOTALES'!$D63</f>
        <v>2362</v>
      </c>
      <c r="E213" s="252">
        <f>+'[139]VENTAS TOTALES'!$D63</f>
        <v>2200</v>
      </c>
      <c r="F213" s="252">
        <f>+'[140]VENTAS TOTALES'!$D63</f>
        <v>1903</v>
      </c>
      <c r="G213" s="252">
        <f>+'[141]VENTAS TOTALES'!$D63</f>
        <v>1307</v>
      </c>
      <c r="H213" s="252">
        <f>+'[142]VENTAS TOTALES'!$D63</f>
        <v>483</v>
      </c>
      <c r="I213" s="252">
        <f>+'[143]VENTAS TOTALES'!$D63</f>
        <v>2605</v>
      </c>
      <c r="J213" s="252">
        <f>+'[144]VENTAS TOTALES'!$D63</f>
        <v>2253</v>
      </c>
      <c r="K213" s="252">
        <f>+'[145]VENTAS TOTALES'!$D63</f>
        <v>2199</v>
      </c>
      <c r="L213" s="252">
        <f>+'[146]VENTAS TOTALES'!$D63</f>
        <v>1923</v>
      </c>
      <c r="M213" s="252">
        <f>+'[147]VENTAS TOTALES'!$D63</f>
        <v>2031</v>
      </c>
      <c r="N213" s="252">
        <f>+'[148]VENTAS TOTALES'!$D63</f>
        <v>1274</v>
      </c>
      <c r="O213" s="252">
        <f>+'[149]VENTAS TOTALES'!$D63</f>
        <v>508</v>
      </c>
      <c r="P213" s="252">
        <f>+'[150]VENTAS TOTALES'!$D63</f>
        <v>2885</v>
      </c>
      <c r="Q213" s="252">
        <f>+'[151]VENTAS TOTALES'!$D63</f>
        <v>2564</v>
      </c>
      <c r="R213" s="252">
        <f>+'[152]VENTAS TOTALES'!$D63</f>
        <v>2418</v>
      </c>
      <c r="S213" s="252">
        <f>+'[153]VENTAS TOTALES'!$D63</f>
        <v>2144</v>
      </c>
      <c r="T213" s="252">
        <f>+'[154]VENTAS TOTALES'!$D63</f>
        <v>2064</v>
      </c>
      <c r="U213" s="252">
        <f>+'[155]VENTAS TOTALES'!$D63</f>
        <v>1519</v>
      </c>
      <c r="V213" s="252">
        <f>+'[156]VENTAS TOTALES'!$D63</f>
        <v>421</v>
      </c>
      <c r="W213" s="252">
        <f>+'[157]VENTAS TOTALES'!$D63</f>
        <v>2634</v>
      </c>
      <c r="X213" s="252">
        <f>+'[158]VENTAS TOTALES'!$D63</f>
        <v>2331</v>
      </c>
      <c r="Y213" s="252">
        <f>+'[159]VENTAS TOTALES'!$D63</f>
        <v>2164</v>
      </c>
      <c r="Z213" s="252">
        <f>+'[160]VENTAS TOTALES'!$D63</f>
        <v>2017</v>
      </c>
      <c r="AA213" s="252">
        <f>+'[161]VENTAS TOTALES'!$D63</f>
        <v>2028</v>
      </c>
      <c r="AB213" s="252">
        <f>+'[162]VENTAS TOTALES'!$D63</f>
        <v>1353</v>
      </c>
      <c r="AC213" s="252">
        <f>+'[163]VENTAS TOTALES'!$D63</f>
        <v>395</v>
      </c>
      <c r="AD213" s="252">
        <f>+'[164]VENTAS TOTALES'!$D63</f>
        <v>2791</v>
      </c>
      <c r="AE213" s="252">
        <f>+'[165]VENTAS TOTALES'!$D63</f>
        <v>2653</v>
      </c>
      <c r="AF213" s="252">
        <f>+'[166]VENTAS TOTALES'!$D63</f>
        <v>2569</v>
      </c>
      <c r="AG213" s="252">
        <f>+'[167]VENTAS TOTALES'!$D63</f>
        <v>2415</v>
      </c>
      <c r="AH213" s="252">
        <f>+'[168]VENTAS TOTALES'!$D63</f>
        <v>2247</v>
      </c>
      <c r="AI213" s="252">
        <f>+'[169]VENTAS TOTALES'!$D63</f>
        <v>1333</v>
      </c>
      <c r="AJ213" s="252">
        <f>+'[170]VENTAS TOTALES'!$D63</f>
        <v>422</v>
      </c>
    </row>
    <row r="214" spans="1:36" s="10" customFormat="1" x14ac:dyDescent="0.2">
      <c r="A214" s="447"/>
      <c r="B214" s="325" t="s">
        <v>262</v>
      </c>
      <c r="C214" s="252">
        <f>+'[137]VENTAS TOTALES'!$D64</f>
        <v>3271</v>
      </c>
      <c r="D214" s="252">
        <f>+'[138]VENTAS TOTALES'!$D64</f>
        <v>3246</v>
      </c>
      <c r="E214" s="252">
        <f>+'[139]VENTAS TOTALES'!$D64</f>
        <v>2696</v>
      </c>
      <c r="F214" s="252">
        <f>+'[140]VENTAS TOTALES'!$D64</f>
        <v>2751</v>
      </c>
      <c r="G214" s="252">
        <f>+'[141]VENTAS TOTALES'!$D64</f>
        <v>2168</v>
      </c>
      <c r="H214" s="252">
        <f>+'[142]VENTAS TOTALES'!$D64</f>
        <v>894</v>
      </c>
      <c r="I214" s="252">
        <f>+'[143]VENTAS TOTALES'!$D64</f>
        <v>3973</v>
      </c>
      <c r="J214" s="252">
        <f>+'[144]VENTAS TOTALES'!$D64</f>
        <v>3041</v>
      </c>
      <c r="K214" s="252">
        <f>+'[145]VENTAS TOTALES'!$D64</f>
        <v>2986</v>
      </c>
      <c r="L214" s="252">
        <f>+'[146]VENTAS TOTALES'!$D64</f>
        <v>3004</v>
      </c>
      <c r="M214" s="252">
        <f>+'[147]VENTAS TOTALES'!$D64</f>
        <v>2717</v>
      </c>
      <c r="N214" s="252">
        <f>+'[148]VENTAS TOTALES'!$D64</f>
        <v>2075</v>
      </c>
      <c r="O214" s="252">
        <f>+'[149]VENTAS TOTALES'!$D64</f>
        <v>876</v>
      </c>
      <c r="P214" s="252">
        <f>+'[150]VENTAS TOTALES'!$D64</f>
        <v>3972</v>
      </c>
      <c r="Q214" s="252">
        <f>+'[151]VENTAS TOTALES'!$D64</f>
        <v>3328</v>
      </c>
      <c r="R214" s="252">
        <f>+'[152]VENTAS TOTALES'!$D64</f>
        <v>3245</v>
      </c>
      <c r="S214" s="252">
        <f>+'[153]VENTAS TOTALES'!$D64</f>
        <v>3238</v>
      </c>
      <c r="T214" s="252">
        <f>+'[154]VENTAS TOTALES'!$D64</f>
        <v>2842</v>
      </c>
      <c r="U214" s="252">
        <f>+'[155]VENTAS TOTALES'!$D64</f>
        <v>2112</v>
      </c>
      <c r="V214" s="252">
        <f>+'[156]VENTAS TOTALES'!$D64</f>
        <v>887</v>
      </c>
      <c r="W214" s="252">
        <f>+'[157]VENTAS TOTALES'!$D64</f>
        <v>4074</v>
      </c>
      <c r="X214" s="252">
        <f>+'[158]VENTAS TOTALES'!$D64</f>
        <v>3178</v>
      </c>
      <c r="Y214" s="252">
        <f>+'[159]VENTAS TOTALES'!$D64</f>
        <v>2818</v>
      </c>
      <c r="Z214" s="252">
        <f>+'[160]VENTAS TOTALES'!$D64</f>
        <v>2993</v>
      </c>
      <c r="AA214" s="252">
        <f>+'[161]VENTAS TOTALES'!$D64</f>
        <v>2717</v>
      </c>
      <c r="AB214" s="252">
        <f>+'[162]VENTAS TOTALES'!$D64</f>
        <v>2299</v>
      </c>
      <c r="AC214" s="252">
        <f>+'[163]VENTAS TOTALES'!$D64</f>
        <v>812</v>
      </c>
      <c r="AD214" s="252">
        <f>+'[164]VENTAS TOTALES'!$D64</f>
        <v>4217</v>
      </c>
      <c r="AE214" s="252">
        <f>+'[165]VENTAS TOTALES'!$D64</f>
        <v>3552</v>
      </c>
      <c r="AF214" s="252">
        <f>+'[166]VENTAS TOTALES'!$D64</f>
        <v>3498</v>
      </c>
      <c r="AG214" s="252">
        <f>+'[167]VENTAS TOTALES'!$D64</f>
        <v>3272</v>
      </c>
      <c r="AH214" s="252">
        <f>+'[168]VENTAS TOTALES'!$D64</f>
        <v>2967</v>
      </c>
      <c r="AI214" s="252">
        <f>+'[169]VENTAS TOTALES'!$D64</f>
        <v>2230</v>
      </c>
      <c r="AJ214" s="252">
        <f>+'[170]VENTAS TOTALES'!$D64</f>
        <v>867</v>
      </c>
    </row>
    <row r="215" spans="1:36" s="10" customFormat="1" x14ac:dyDescent="0.2">
      <c r="A215" s="447"/>
      <c r="B215" s="325" t="s">
        <v>263</v>
      </c>
      <c r="C215" s="252">
        <f>+'[137]VENTAS TOTALES'!$D65</f>
        <v>4125</v>
      </c>
      <c r="D215" s="252">
        <f>+'[138]VENTAS TOTALES'!$D65</f>
        <v>3976</v>
      </c>
      <c r="E215" s="252">
        <f>+'[139]VENTAS TOTALES'!$D65</f>
        <v>3371</v>
      </c>
      <c r="F215" s="252">
        <f>+'[140]VENTAS TOTALES'!$D65</f>
        <v>3116</v>
      </c>
      <c r="G215" s="252">
        <f>+'[141]VENTAS TOTALES'!$D65</f>
        <v>2264</v>
      </c>
      <c r="H215" s="252">
        <f>+'[142]VENTAS TOTALES'!$D65</f>
        <v>807</v>
      </c>
      <c r="I215" s="252">
        <f>+'[143]VENTAS TOTALES'!$D65</f>
        <v>3957</v>
      </c>
      <c r="J215" s="252">
        <f>+'[144]VENTAS TOTALES'!$D65</f>
        <v>3466</v>
      </c>
      <c r="K215" s="252">
        <f>+'[145]VENTAS TOTALES'!$D65</f>
        <v>3273</v>
      </c>
      <c r="L215" s="252">
        <f>+'[146]VENTAS TOTALES'!$D65</f>
        <v>3276</v>
      </c>
      <c r="M215" s="252">
        <f>+'[147]VENTAS TOTALES'!$D65</f>
        <v>3145</v>
      </c>
      <c r="N215" s="252">
        <f>+'[148]VENTAS TOTALES'!$D65</f>
        <v>2250</v>
      </c>
      <c r="O215" s="252">
        <f>+'[149]VENTAS TOTALES'!$D65</f>
        <v>588</v>
      </c>
      <c r="P215" s="252">
        <f>+'[150]VENTAS TOTALES'!$D65</f>
        <v>4194</v>
      </c>
      <c r="Q215" s="252">
        <f>+'[151]VENTAS TOTALES'!$D65</f>
        <v>3674</v>
      </c>
      <c r="R215" s="252">
        <f>+'[152]VENTAS TOTALES'!$D65</f>
        <v>3509</v>
      </c>
      <c r="S215" s="252">
        <f>+'[153]VENTAS TOTALES'!$D65</f>
        <v>3588</v>
      </c>
      <c r="T215" s="252">
        <f>+'[154]VENTAS TOTALES'!$D65</f>
        <v>3339</v>
      </c>
      <c r="U215" s="252">
        <f>+'[155]VENTAS TOTALES'!$D65</f>
        <v>2351</v>
      </c>
      <c r="V215" s="252">
        <f>+'[156]VENTAS TOTALES'!$D65</f>
        <v>684</v>
      </c>
      <c r="W215" s="252">
        <f>+'[157]VENTAS TOTALES'!$D65</f>
        <v>3965</v>
      </c>
      <c r="X215" s="252">
        <f>+'[158]VENTAS TOTALES'!$D65</f>
        <v>3557</v>
      </c>
      <c r="Y215" s="252">
        <f>+'[159]VENTAS TOTALES'!$D65</f>
        <v>3283</v>
      </c>
      <c r="Z215" s="252">
        <f>+'[160]VENTAS TOTALES'!$D65</f>
        <v>3175</v>
      </c>
      <c r="AA215" s="252">
        <f>+'[161]VENTAS TOTALES'!$D65</f>
        <v>3210</v>
      </c>
      <c r="AB215" s="252">
        <f>+'[162]VENTAS TOTALES'!$D65</f>
        <v>2261</v>
      </c>
      <c r="AC215" s="252">
        <f>+'[163]VENTAS TOTALES'!$D65</f>
        <v>670</v>
      </c>
      <c r="AD215" s="252">
        <f>+'[164]VENTAS TOTALES'!$D65</f>
        <v>4742</v>
      </c>
      <c r="AE215" s="252">
        <f>+'[165]VENTAS TOTALES'!$D65</f>
        <v>4074</v>
      </c>
      <c r="AF215" s="252">
        <f>+'[166]VENTAS TOTALES'!$D65</f>
        <v>3667</v>
      </c>
      <c r="AG215" s="252">
        <f>+'[167]VENTAS TOTALES'!$D65</f>
        <v>3597</v>
      </c>
      <c r="AH215" s="252">
        <f>+'[168]VENTAS TOTALES'!$D65</f>
        <v>3483</v>
      </c>
      <c r="AI215" s="252">
        <f>+'[169]VENTAS TOTALES'!$D65</f>
        <v>2512</v>
      </c>
      <c r="AJ215" s="252">
        <f>+'[170]VENTAS TOTALES'!$D65</f>
        <v>647</v>
      </c>
    </row>
    <row r="216" spans="1:36" s="10" customFormat="1" x14ac:dyDescent="0.2">
      <c r="A216" s="447"/>
      <c r="B216" s="325" t="s">
        <v>264</v>
      </c>
      <c r="C216" s="252">
        <f>+'[137]VENTAS TOTALES'!$D66</f>
        <v>4385</v>
      </c>
      <c r="D216" s="252">
        <f>+'[138]VENTAS TOTALES'!$D66</f>
        <v>4119</v>
      </c>
      <c r="E216" s="252">
        <f>+'[139]VENTAS TOTALES'!$D66</f>
        <v>3714</v>
      </c>
      <c r="F216" s="252">
        <f>+'[140]VENTAS TOTALES'!$D66</f>
        <v>3672</v>
      </c>
      <c r="G216" s="252">
        <f>+'[141]VENTAS TOTALES'!$D66</f>
        <v>2621</v>
      </c>
      <c r="H216" s="252">
        <f>+'[142]VENTAS TOTALES'!$D66</f>
        <v>1206</v>
      </c>
      <c r="I216" s="252">
        <f>+'[143]VENTAS TOTALES'!$D66</f>
        <v>4220</v>
      </c>
      <c r="J216" s="252">
        <f>+'[144]VENTAS TOTALES'!$D66</f>
        <v>3771</v>
      </c>
      <c r="K216" s="252">
        <f>+'[145]VENTAS TOTALES'!$D66</f>
        <v>3554</v>
      </c>
      <c r="L216" s="252">
        <f>+'[146]VENTAS TOTALES'!$D66</f>
        <v>3381</v>
      </c>
      <c r="M216" s="252">
        <f>+'[147]VENTAS TOTALES'!$D66</f>
        <v>3400</v>
      </c>
      <c r="N216" s="252">
        <f>+'[148]VENTAS TOTALES'!$D66</f>
        <v>2666</v>
      </c>
      <c r="O216" s="252">
        <f>+'[149]VENTAS TOTALES'!$D66</f>
        <v>1045</v>
      </c>
      <c r="P216" s="252">
        <f>+'[150]VENTAS TOTALES'!$D66</f>
        <v>4470</v>
      </c>
      <c r="Q216" s="252">
        <f>+'[151]VENTAS TOTALES'!$D66</f>
        <v>4191</v>
      </c>
      <c r="R216" s="252">
        <f>+'[152]VENTAS TOTALES'!$D66</f>
        <v>3937</v>
      </c>
      <c r="S216" s="252">
        <f>+'[153]VENTAS TOTALES'!$D66</f>
        <v>3895</v>
      </c>
      <c r="T216" s="252">
        <f>+'[154]VENTAS TOTALES'!$D66</f>
        <v>3717</v>
      </c>
      <c r="U216" s="252">
        <f>+'[155]VENTAS TOTALES'!$D66</f>
        <v>2849</v>
      </c>
      <c r="V216" s="252">
        <f>+'[156]VENTAS TOTALES'!$D66</f>
        <v>1048</v>
      </c>
      <c r="W216" s="252">
        <f>+'[157]VENTAS TOTALES'!$D66</f>
        <v>4268</v>
      </c>
      <c r="X216" s="252">
        <f>+'[158]VENTAS TOTALES'!$D66</f>
        <v>3559</v>
      </c>
      <c r="Y216" s="252">
        <f>+'[159]VENTAS TOTALES'!$D66</f>
        <v>3601</v>
      </c>
      <c r="Z216" s="252">
        <f>+'[160]VENTAS TOTALES'!$D66</f>
        <v>3399</v>
      </c>
      <c r="AA216" s="252">
        <f>+'[161]VENTAS TOTALES'!$D66</f>
        <v>3741</v>
      </c>
      <c r="AB216" s="252">
        <f>+'[162]VENTAS TOTALES'!$D66</f>
        <v>2707</v>
      </c>
      <c r="AC216" s="252">
        <f>+'[163]VENTAS TOTALES'!$D66</f>
        <v>1143</v>
      </c>
      <c r="AD216" s="252">
        <f>+'[164]VENTAS TOTALES'!$D66</f>
        <v>4917</v>
      </c>
      <c r="AE216" s="252">
        <f>+'[165]VENTAS TOTALES'!$D66</f>
        <v>4615</v>
      </c>
      <c r="AF216" s="252">
        <f>+'[166]VENTAS TOTALES'!$D66</f>
        <v>4309</v>
      </c>
      <c r="AG216" s="252">
        <f>+'[167]VENTAS TOTALES'!$D66</f>
        <v>3781</v>
      </c>
      <c r="AH216" s="252">
        <f>+'[168]VENTAS TOTALES'!$D66</f>
        <v>3771</v>
      </c>
      <c r="AI216" s="252">
        <f>+'[169]VENTAS TOTALES'!$D66</f>
        <v>2925</v>
      </c>
      <c r="AJ216" s="252">
        <f>+'[170]VENTAS TOTALES'!$D66</f>
        <v>1046</v>
      </c>
    </row>
    <row r="217" spans="1:36" s="10" customFormat="1" x14ac:dyDescent="0.2">
      <c r="A217" s="447"/>
      <c r="B217" s="325" t="s">
        <v>265</v>
      </c>
      <c r="C217" s="252">
        <f>+'[137]VENTAS TOTALES'!$D67</f>
        <v>2761</v>
      </c>
      <c r="D217" s="252">
        <f>+'[138]VENTAS TOTALES'!$D67</f>
        <v>2872</v>
      </c>
      <c r="E217" s="252">
        <f>+'[139]VENTAS TOTALES'!$D67</f>
        <v>2604</v>
      </c>
      <c r="F217" s="252">
        <f>+'[140]VENTAS TOTALES'!$D67</f>
        <v>2210</v>
      </c>
      <c r="G217" s="252">
        <f>+'[141]VENTAS TOTALES'!$D67</f>
        <v>1441</v>
      </c>
      <c r="H217" s="252">
        <f>+'[142]VENTAS TOTALES'!$D67</f>
        <v>436</v>
      </c>
      <c r="I217" s="252">
        <f>+'[143]VENTAS TOTALES'!$D67</f>
        <v>3321</v>
      </c>
      <c r="J217" s="252">
        <f>+'[144]VENTAS TOTALES'!$D67</f>
        <v>2358</v>
      </c>
      <c r="K217" s="252">
        <f>+'[145]VENTAS TOTALES'!$D67</f>
        <v>2338</v>
      </c>
      <c r="L217" s="252">
        <f>+'[146]VENTAS TOTALES'!$D67</f>
        <v>2334</v>
      </c>
      <c r="M217" s="252">
        <f>+'[147]VENTAS TOTALES'!$D67</f>
        <v>2231</v>
      </c>
      <c r="N217" s="252">
        <f>+'[148]VENTAS TOTALES'!$D67</f>
        <v>1339</v>
      </c>
      <c r="O217" s="252">
        <f>+'[149]VENTAS TOTALES'!$D67</f>
        <v>409</v>
      </c>
      <c r="P217" s="252">
        <f>+'[150]VENTAS TOTALES'!$D67</f>
        <v>3062</v>
      </c>
      <c r="Q217" s="252">
        <f>+'[151]VENTAS TOTALES'!$D67</f>
        <v>2787</v>
      </c>
      <c r="R217" s="252">
        <f>+'[152]VENTAS TOTALES'!$D67</f>
        <v>2555</v>
      </c>
      <c r="S217" s="252">
        <f>+'[153]VENTAS TOTALES'!$D67</f>
        <v>2481</v>
      </c>
      <c r="T217" s="252">
        <f>+'[154]VENTAS TOTALES'!$D67</f>
        <v>2171</v>
      </c>
      <c r="U217" s="252">
        <f>+'[155]VENTAS TOTALES'!$D67</f>
        <v>1483</v>
      </c>
      <c r="V217" s="252">
        <f>+'[156]VENTAS TOTALES'!$D67</f>
        <v>441</v>
      </c>
      <c r="W217" s="252">
        <f>+'[157]VENTAS TOTALES'!$D67</f>
        <v>3160</v>
      </c>
      <c r="X217" s="252">
        <f>+'[158]VENTAS TOTALES'!$D67</f>
        <v>2446</v>
      </c>
      <c r="Y217" s="252">
        <f>+'[159]VENTAS TOTALES'!$D67</f>
        <v>2451</v>
      </c>
      <c r="Z217" s="252">
        <f>+'[160]VENTAS TOTALES'!$D67</f>
        <v>2273</v>
      </c>
      <c r="AA217" s="252">
        <f>+'[161]VENTAS TOTALES'!$D67</f>
        <v>2090</v>
      </c>
      <c r="AB217" s="252">
        <f>+'[162]VENTAS TOTALES'!$D67</f>
        <v>1449</v>
      </c>
      <c r="AC217" s="252">
        <f>+'[163]VENTAS TOTALES'!$D67</f>
        <v>536</v>
      </c>
      <c r="AD217" s="252">
        <f>+'[164]VENTAS TOTALES'!$D67</f>
        <v>3711</v>
      </c>
      <c r="AE217" s="252">
        <f>+'[165]VENTAS TOTALES'!$D67</f>
        <v>2872</v>
      </c>
      <c r="AF217" s="252">
        <f>+'[166]VENTAS TOTALES'!$D67</f>
        <v>2765</v>
      </c>
      <c r="AG217" s="252">
        <f>+'[167]VENTAS TOTALES'!$D67</f>
        <v>2431</v>
      </c>
      <c r="AH217" s="252">
        <f>+'[168]VENTAS TOTALES'!$D67</f>
        <v>2247</v>
      </c>
      <c r="AI217" s="252">
        <f>+'[169]VENTAS TOTALES'!$D67</f>
        <v>1425</v>
      </c>
      <c r="AJ217" s="252">
        <f>+'[170]VENTAS TOTALES'!$D67</f>
        <v>485</v>
      </c>
    </row>
    <row r="218" spans="1:36" s="10" customFormat="1" x14ac:dyDescent="0.2">
      <c r="A218" s="447"/>
      <c r="B218" s="325" t="s">
        <v>266</v>
      </c>
      <c r="C218" s="252">
        <f>+'[137]VENTAS TOTALES'!$D68</f>
        <v>7044</v>
      </c>
      <c r="D218" s="252">
        <f>+'[138]VENTAS TOTALES'!$D68</f>
        <v>6686</v>
      </c>
      <c r="E218" s="252">
        <f>+'[139]VENTAS TOTALES'!$D68</f>
        <v>5873</v>
      </c>
      <c r="F218" s="252">
        <f>+'[140]VENTAS TOTALES'!$D68</f>
        <v>5634</v>
      </c>
      <c r="G218" s="252">
        <f>+'[141]VENTAS TOTALES'!$D68</f>
        <v>3380</v>
      </c>
      <c r="H218" s="252">
        <f>+'[142]VENTAS TOTALES'!$D68</f>
        <v>1501</v>
      </c>
      <c r="I218" s="252">
        <f>+'[143]VENTAS TOTALES'!$D68</f>
        <v>7401</v>
      </c>
      <c r="J218" s="252">
        <f>+'[144]VENTAS TOTALES'!$D68</f>
        <v>6468</v>
      </c>
      <c r="K218" s="252">
        <f>+'[145]VENTAS TOTALES'!$D68</f>
        <v>6097</v>
      </c>
      <c r="L218" s="252">
        <f>+'[146]VENTAS TOTALES'!$D68</f>
        <v>5953</v>
      </c>
      <c r="M218" s="252">
        <f>+'[147]VENTAS TOTALES'!$D68</f>
        <v>5889</v>
      </c>
      <c r="N218" s="252">
        <f>+'[148]VENTAS TOTALES'!$D68</f>
        <v>3480</v>
      </c>
      <c r="O218" s="252">
        <f>+'[149]VENTAS TOTALES'!$D68</f>
        <v>1453</v>
      </c>
      <c r="P218" s="252">
        <f>+'[150]VENTAS TOTALES'!$D68</f>
        <v>7428</v>
      </c>
      <c r="Q218" s="252">
        <f>+'[151]VENTAS TOTALES'!$D68</f>
        <v>6679</v>
      </c>
      <c r="R218" s="252">
        <f>+'[152]VENTAS TOTALES'!$D68</f>
        <v>6812</v>
      </c>
      <c r="S218" s="252">
        <f>+'[153]VENTAS TOTALES'!$D68</f>
        <v>6425</v>
      </c>
      <c r="T218" s="252">
        <f>+'[154]VENTAS TOTALES'!$D68</f>
        <v>6009</v>
      </c>
      <c r="U218" s="252">
        <f>+'[155]VENTAS TOTALES'!$D68</f>
        <v>3404</v>
      </c>
      <c r="V218" s="252">
        <f>+'[156]VENTAS TOTALES'!$D68</f>
        <v>1337</v>
      </c>
      <c r="W218" s="252">
        <f>+'[157]VENTAS TOTALES'!$D68</f>
        <v>7709</v>
      </c>
      <c r="X218" s="252">
        <f>+'[158]VENTAS TOTALES'!$D68</f>
        <v>6515</v>
      </c>
      <c r="Y218" s="252">
        <f>+'[159]VENTAS TOTALES'!$D68</f>
        <v>6099</v>
      </c>
      <c r="Z218" s="252">
        <f>+'[160]VENTAS TOTALES'!$D68</f>
        <v>6023</v>
      </c>
      <c r="AA218" s="252">
        <f>+'[161]VENTAS TOTALES'!$D68</f>
        <v>5850</v>
      </c>
      <c r="AB218" s="252">
        <f>+'[162]VENTAS TOTALES'!$D68</f>
        <v>4027</v>
      </c>
      <c r="AC218" s="252">
        <f>+'[163]VENTAS TOTALES'!$D68</f>
        <v>1554</v>
      </c>
      <c r="AD218" s="252">
        <f>+'[164]VENTAS TOTALES'!$D68</f>
        <v>8417</v>
      </c>
      <c r="AE218" s="252">
        <f>+'[165]VENTAS TOTALES'!$D68</f>
        <v>7307</v>
      </c>
      <c r="AF218" s="252">
        <f>+'[166]VENTAS TOTALES'!$D68</f>
        <v>7014</v>
      </c>
      <c r="AG218" s="252">
        <f>+'[167]VENTAS TOTALES'!$D68</f>
        <v>6298</v>
      </c>
      <c r="AH218" s="252">
        <f>+'[168]VENTAS TOTALES'!$D68</f>
        <v>5861</v>
      </c>
      <c r="AI218" s="252">
        <f>+'[169]VENTAS TOTALES'!$D68</f>
        <v>3664</v>
      </c>
      <c r="AJ218" s="252">
        <f>+'[170]VENTAS TOTALES'!$D68</f>
        <v>1375</v>
      </c>
    </row>
    <row r="219" spans="1:36" s="10" customFormat="1" x14ac:dyDescent="0.2">
      <c r="A219" s="447"/>
      <c r="B219" s="325" t="s">
        <v>267</v>
      </c>
      <c r="C219" s="252">
        <f>+'[137]VENTAS TOTALES'!$D69</f>
        <v>6358</v>
      </c>
      <c r="D219" s="252">
        <f>+'[138]VENTAS TOTALES'!$D69</f>
        <v>5947</v>
      </c>
      <c r="E219" s="252">
        <f>+'[139]VENTAS TOTALES'!$D69</f>
        <v>5210</v>
      </c>
      <c r="F219" s="252">
        <f>+'[140]VENTAS TOTALES'!$D69</f>
        <v>5069</v>
      </c>
      <c r="G219" s="252">
        <f>+'[141]VENTAS TOTALES'!$D69</f>
        <v>2909</v>
      </c>
      <c r="H219" s="252">
        <f>+'[142]VENTAS TOTALES'!$D69</f>
        <v>973</v>
      </c>
      <c r="I219" s="252">
        <f>+'[143]VENTAS TOTALES'!$D69</f>
        <v>6628</v>
      </c>
      <c r="J219" s="252">
        <f>+'[144]VENTAS TOTALES'!$D69</f>
        <v>5605</v>
      </c>
      <c r="K219" s="252">
        <f>+'[145]VENTAS TOTALES'!$D69</f>
        <v>5151</v>
      </c>
      <c r="L219" s="252">
        <f>+'[146]VENTAS TOTALES'!$D69</f>
        <v>5242</v>
      </c>
      <c r="M219" s="252">
        <f>+'[147]VENTAS TOTALES'!$D69</f>
        <v>4976</v>
      </c>
      <c r="N219" s="252">
        <f>+'[148]VENTAS TOTALES'!$D69</f>
        <v>2879</v>
      </c>
      <c r="O219" s="252">
        <f>+'[149]VENTAS TOTALES'!$D69</f>
        <v>1126</v>
      </c>
      <c r="P219" s="252">
        <f>+'[150]VENTAS TOTALES'!$D69</f>
        <v>6489</v>
      </c>
      <c r="Q219" s="252">
        <f>+'[151]VENTAS TOTALES'!$D69</f>
        <v>6467</v>
      </c>
      <c r="R219" s="252">
        <f>+'[152]VENTAS TOTALES'!$D69</f>
        <v>6077</v>
      </c>
      <c r="S219" s="252">
        <f>+'[153]VENTAS TOTALES'!$D69</f>
        <v>5449</v>
      </c>
      <c r="T219" s="252">
        <f>+'[154]VENTAS TOTALES'!$D69</f>
        <v>5173</v>
      </c>
      <c r="U219" s="252">
        <f>+'[155]VENTAS TOTALES'!$D69</f>
        <v>3314</v>
      </c>
      <c r="V219" s="252">
        <f>+'[156]VENTAS TOTALES'!$D69</f>
        <v>975</v>
      </c>
      <c r="W219" s="252">
        <f>+'[157]VENTAS TOTALES'!$D69</f>
        <v>6361</v>
      </c>
      <c r="X219" s="252">
        <f>+'[158]VENTAS TOTALES'!$D69</f>
        <v>5611</v>
      </c>
      <c r="Y219" s="252">
        <f>+'[159]VENTAS TOTALES'!$D69</f>
        <v>5356</v>
      </c>
      <c r="Z219" s="252">
        <f>+'[160]VENTAS TOTALES'!$D69</f>
        <v>5107</v>
      </c>
      <c r="AA219" s="252">
        <f>+'[161]VENTAS TOTALES'!$D69</f>
        <v>5030</v>
      </c>
      <c r="AB219" s="252">
        <f>+'[162]VENTAS TOTALES'!$D69</f>
        <v>3172</v>
      </c>
      <c r="AC219" s="252">
        <f>+'[163]VENTAS TOTALES'!$D69</f>
        <v>998</v>
      </c>
      <c r="AD219" s="252">
        <f>+'[164]VENTAS TOTALES'!$D69</f>
        <v>7446</v>
      </c>
      <c r="AE219" s="252">
        <f>+'[165]VENTAS TOTALES'!$D69</f>
        <v>6968</v>
      </c>
      <c r="AF219" s="252">
        <f>+'[166]VENTAS TOTALES'!$D69</f>
        <v>6020</v>
      </c>
      <c r="AG219" s="252">
        <f>+'[167]VENTAS TOTALES'!$D69</f>
        <v>5697</v>
      </c>
      <c r="AH219" s="252">
        <f>+'[168]VENTAS TOTALES'!$D69</f>
        <v>5399</v>
      </c>
      <c r="AI219" s="252">
        <f>+'[169]VENTAS TOTALES'!$D69</f>
        <v>3148</v>
      </c>
      <c r="AJ219" s="252">
        <f>+'[170]VENTAS TOTALES'!$D69</f>
        <v>1194</v>
      </c>
    </row>
    <row r="220" spans="1:36" s="10" customFormat="1" ht="12" customHeight="1" x14ac:dyDescent="0.2">
      <c r="A220" s="447"/>
      <c r="B220" s="325" t="s">
        <v>268</v>
      </c>
      <c r="C220" s="252">
        <f>+'[137]VENTAS TOTALES'!$D70</f>
        <v>4711</v>
      </c>
      <c r="D220" s="252">
        <f>+'[138]VENTAS TOTALES'!$D70</f>
        <v>4346</v>
      </c>
      <c r="E220" s="252">
        <f>+'[139]VENTAS TOTALES'!$D70</f>
        <v>3492</v>
      </c>
      <c r="F220" s="252">
        <f>+'[140]VENTAS TOTALES'!$D70</f>
        <v>3626</v>
      </c>
      <c r="G220" s="252">
        <f>+'[141]VENTAS TOTALES'!$D70</f>
        <v>2731</v>
      </c>
      <c r="H220" s="252">
        <f>+'[142]VENTAS TOTALES'!$D70</f>
        <v>974</v>
      </c>
      <c r="I220" s="252">
        <f>+'[143]VENTAS TOTALES'!$D70</f>
        <v>4418</v>
      </c>
      <c r="J220" s="252">
        <f>+'[144]VENTAS TOTALES'!$D70</f>
        <v>4055</v>
      </c>
      <c r="K220" s="252">
        <f>+'[145]VENTAS TOTALES'!$D70</f>
        <v>3805</v>
      </c>
      <c r="L220" s="252">
        <f>+'[146]VENTAS TOTALES'!$D70</f>
        <v>3832</v>
      </c>
      <c r="M220" s="252">
        <f>+'[147]VENTAS TOTALES'!$D70</f>
        <v>3491</v>
      </c>
      <c r="N220" s="252">
        <f>+'[148]VENTAS TOTALES'!$D70</f>
        <v>2583</v>
      </c>
      <c r="O220" s="252">
        <f>+'[149]VENTAS TOTALES'!$D70</f>
        <v>954</v>
      </c>
      <c r="P220" s="252">
        <f>+'[150]VENTAS TOTALES'!$D70</f>
        <v>4612</v>
      </c>
      <c r="Q220" s="252">
        <f>+'[151]VENTAS TOTALES'!$D70</f>
        <v>4380</v>
      </c>
      <c r="R220" s="252">
        <f>+'[152]VENTAS TOTALES'!$D70</f>
        <v>4375</v>
      </c>
      <c r="S220" s="252">
        <f>+'[153]VENTAS TOTALES'!$D70</f>
        <v>4060</v>
      </c>
      <c r="T220" s="252">
        <f>+'[154]VENTAS TOTALES'!$D70</f>
        <v>4086</v>
      </c>
      <c r="U220" s="252">
        <f>+'[155]VENTAS TOTALES'!$D70</f>
        <v>2810</v>
      </c>
      <c r="V220" s="252">
        <f>+'[156]VENTAS TOTALES'!$D70</f>
        <v>1038</v>
      </c>
      <c r="W220" s="252">
        <f>+'[157]VENTAS TOTALES'!$D70</f>
        <v>4240</v>
      </c>
      <c r="X220" s="252">
        <f>+'[158]VENTAS TOTALES'!$D70</f>
        <v>3924</v>
      </c>
      <c r="Y220" s="252">
        <f>+'[159]VENTAS TOTALES'!$D70</f>
        <v>3829</v>
      </c>
      <c r="Z220" s="252">
        <f>+'[160]VENTAS TOTALES'!$D70</f>
        <v>3857</v>
      </c>
      <c r="AA220" s="252">
        <f>+'[161]VENTAS TOTALES'!$D70</f>
        <v>3916</v>
      </c>
      <c r="AB220" s="252">
        <f>+'[162]VENTAS TOTALES'!$D70</f>
        <v>2584</v>
      </c>
      <c r="AC220" s="252">
        <f>+'[163]VENTAS TOTALES'!$D70</f>
        <v>1081</v>
      </c>
      <c r="AD220" s="252">
        <f>+'[164]VENTAS TOTALES'!$D70</f>
        <v>5284</v>
      </c>
      <c r="AE220" s="252">
        <f>+'[165]VENTAS TOTALES'!$D70</f>
        <v>4907</v>
      </c>
      <c r="AF220" s="252">
        <f>+'[166]VENTAS TOTALES'!$D70</f>
        <v>4513</v>
      </c>
      <c r="AG220" s="252">
        <f>+'[167]VENTAS TOTALES'!$D70</f>
        <v>4193</v>
      </c>
      <c r="AH220" s="252">
        <f>+'[168]VENTAS TOTALES'!$D70</f>
        <v>3953</v>
      </c>
      <c r="AI220" s="252">
        <f>+'[169]VENTAS TOTALES'!$D70</f>
        <v>2636</v>
      </c>
      <c r="AJ220" s="252">
        <f>+'[170]VENTAS TOTALES'!$D70</f>
        <v>1091</v>
      </c>
    </row>
    <row r="221" spans="1:36" s="10" customFormat="1" ht="12" customHeight="1" x14ac:dyDescent="0.2">
      <c r="A221" s="447"/>
      <c r="B221" s="325" t="s">
        <v>269</v>
      </c>
      <c r="C221" s="252">
        <f>+'[137]VENTAS TOTALES'!$D71</f>
        <v>3881</v>
      </c>
      <c r="D221" s="252">
        <f>+'[138]VENTAS TOTALES'!$D71</f>
        <v>3971</v>
      </c>
      <c r="E221" s="252">
        <f>+'[139]VENTAS TOTALES'!$D71</f>
        <v>3205</v>
      </c>
      <c r="F221" s="252">
        <f>+'[140]VENTAS TOTALES'!$D71</f>
        <v>3175</v>
      </c>
      <c r="G221" s="252">
        <f>+'[141]VENTAS TOTALES'!$D71</f>
        <v>2471</v>
      </c>
      <c r="H221" s="252">
        <f>+'[142]VENTAS TOTALES'!$D71</f>
        <v>1335</v>
      </c>
      <c r="I221" s="252">
        <f>+'[143]VENTAS TOTALES'!$D71</f>
        <v>3519</v>
      </c>
      <c r="J221" s="252">
        <f>+'[144]VENTAS TOTALES'!$D71</f>
        <v>3407</v>
      </c>
      <c r="K221" s="252">
        <f>+'[145]VENTAS TOTALES'!$D71</f>
        <v>3539</v>
      </c>
      <c r="L221" s="252">
        <f>+'[146]VENTAS TOTALES'!$D71</f>
        <v>3278</v>
      </c>
      <c r="M221" s="252">
        <f>+'[147]VENTAS TOTALES'!$D71</f>
        <v>2992</v>
      </c>
      <c r="N221" s="252">
        <f>+'[148]VENTAS TOTALES'!$D71</f>
        <v>2354</v>
      </c>
      <c r="O221" s="252">
        <f>+'[149]VENTAS TOTALES'!$D71</f>
        <v>1407</v>
      </c>
      <c r="P221" s="252">
        <f>+'[150]VENTAS TOTALES'!$D71</f>
        <v>3700</v>
      </c>
      <c r="Q221" s="252">
        <f>+'[151]VENTAS TOTALES'!$D71</f>
        <v>3772</v>
      </c>
      <c r="R221" s="252">
        <f>+'[152]VENTAS TOTALES'!$D71</f>
        <v>3923</v>
      </c>
      <c r="S221" s="252">
        <f>+'[153]VENTAS TOTALES'!$D71</f>
        <v>3536</v>
      </c>
      <c r="T221" s="252">
        <f>+'[154]VENTAS TOTALES'!$D71</f>
        <v>3214</v>
      </c>
      <c r="U221" s="252">
        <f>+'[155]VENTAS TOTALES'!$D71</f>
        <v>2430</v>
      </c>
      <c r="V221" s="252">
        <f>+'[156]VENTAS TOTALES'!$D71</f>
        <v>1470</v>
      </c>
      <c r="W221" s="252">
        <f>+'[157]VENTAS TOTALES'!$D71</f>
        <v>3617</v>
      </c>
      <c r="X221" s="252">
        <f>+'[158]VENTAS TOTALES'!$D71</f>
        <v>3608</v>
      </c>
      <c r="Y221" s="252">
        <f>+'[159]VENTAS TOTALES'!$D71</f>
        <v>3321</v>
      </c>
      <c r="Z221" s="252">
        <f>+'[160]VENTAS TOTALES'!$D71</f>
        <v>3217</v>
      </c>
      <c r="AA221" s="252">
        <f>+'[161]VENTAS TOTALES'!$D71</f>
        <v>3270</v>
      </c>
      <c r="AB221" s="252">
        <f>+'[162]VENTAS TOTALES'!$D71</f>
        <v>2509</v>
      </c>
      <c r="AC221" s="252">
        <f>+'[163]VENTAS TOTALES'!$D71</f>
        <v>1393</v>
      </c>
      <c r="AD221" s="252">
        <f>+'[164]VENTAS TOTALES'!$D71</f>
        <v>4023</v>
      </c>
      <c r="AE221" s="252">
        <f>+'[165]VENTAS TOTALES'!$D71</f>
        <v>4098</v>
      </c>
      <c r="AF221" s="252">
        <f>+'[166]VENTAS TOTALES'!$D71</f>
        <v>4126</v>
      </c>
      <c r="AG221" s="252">
        <f>+'[167]VENTAS TOTALES'!$D71</f>
        <v>3472</v>
      </c>
      <c r="AH221" s="252">
        <f>+'[168]VENTAS TOTALES'!$D71</f>
        <v>3341</v>
      </c>
      <c r="AI221" s="252">
        <f>+'[169]VENTAS TOTALES'!$D71</f>
        <v>2375</v>
      </c>
      <c r="AJ221" s="252">
        <f>+'[170]VENTAS TOTALES'!$D71</f>
        <v>1515</v>
      </c>
    </row>
    <row r="222" spans="1:36" s="10" customFormat="1" ht="12" customHeight="1" x14ac:dyDescent="0.2">
      <c r="A222" s="447"/>
      <c r="B222" s="325" t="s">
        <v>270</v>
      </c>
      <c r="C222" s="252">
        <f>+'[137]VENTAS TOTALES'!$D72</f>
        <v>3754</v>
      </c>
      <c r="D222" s="252">
        <f>+'[138]VENTAS TOTALES'!$D72</f>
        <v>3836</v>
      </c>
      <c r="E222" s="252">
        <f>+'[139]VENTAS TOTALES'!$D72</f>
        <v>3255</v>
      </c>
      <c r="F222" s="252">
        <f>+'[140]VENTAS TOTALES'!$D72</f>
        <v>3236</v>
      </c>
      <c r="G222" s="252">
        <f>+'[141]VENTAS TOTALES'!$D72</f>
        <v>1969</v>
      </c>
      <c r="H222" s="252">
        <f>+'[142]VENTAS TOTALES'!$D72</f>
        <v>752</v>
      </c>
      <c r="I222" s="252">
        <f>+'[143]VENTAS TOTALES'!$D72</f>
        <v>3915</v>
      </c>
      <c r="J222" s="252">
        <f>+'[144]VENTAS TOTALES'!$D72</f>
        <v>3393</v>
      </c>
      <c r="K222" s="252">
        <f>+'[145]VENTAS TOTALES'!$D72</f>
        <v>3206</v>
      </c>
      <c r="L222" s="252">
        <f>+'[146]VENTAS TOTALES'!$D72</f>
        <v>3423</v>
      </c>
      <c r="M222" s="252">
        <f>+'[147]VENTAS TOTALES'!$D72</f>
        <v>3211</v>
      </c>
      <c r="N222" s="252">
        <f>+'[148]VENTAS TOTALES'!$D72</f>
        <v>2076</v>
      </c>
      <c r="O222" s="252">
        <f>+'[149]VENTAS TOTALES'!$D72</f>
        <v>844</v>
      </c>
      <c r="P222" s="252">
        <f>+'[150]VENTAS TOTALES'!$D72</f>
        <v>4137</v>
      </c>
      <c r="Q222" s="252">
        <f>+'[151]VENTAS TOTALES'!$D72</f>
        <v>3730</v>
      </c>
      <c r="R222" s="252">
        <f>+'[152]VENTAS TOTALES'!$D72</f>
        <v>3879</v>
      </c>
      <c r="S222" s="252">
        <f>+'[153]VENTAS TOTALES'!$D72</f>
        <v>3542</v>
      </c>
      <c r="T222" s="252">
        <f>+'[154]VENTAS TOTALES'!$D72</f>
        <v>3426</v>
      </c>
      <c r="U222" s="252">
        <f>+'[155]VENTAS TOTALES'!$D72</f>
        <v>2151</v>
      </c>
      <c r="V222" s="252">
        <f>+'[156]VENTAS TOTALES'!$D72</f>
        <v>800</v>
      </c>
      <c r="W222" s="252">
        <f>+'[157]VENTAS TOTALES'!$D72</f>
        <v>4179</v>
      </c>
      <c r="X222" s="252">
        <f>+'[158]VENTAS TOTALES'!$D72</f>
        <v>3427</v>
      </c>
      <c r="Y222" s="252">
        <f>+'[159]VENTAS TOTALES'!$D72</f>
        <v>3135</v>
      </c>
      <c r="Z222" s="252">
        <f>+'[160]VENTAS TOTALES'!$D72</f>
        <v>3214</v>
      </c>
      <c r="AA222" s="252">
        <f>+'[161]VENTAS TOTALES'!$D72</f>
        <v>3116</v>
      </c>
      <c r="AB222" s="252">
        <f>+'[162]VENTAS TOTALES'!$D72</f>
        <v>1924</v>
      </c>
      <c r="AC222" s="252">
        <f>+'[163]VENTAS TOTALES'!$D72</f>
        <v>722</v>
      </c>
      <c r="AD222" s="252">
        <f>+'[164]VENTAS TOTALES'!$D72</f>
        <v>4280</v>
      </c>
      <c r="AE222" s="252">
        <f>+'[165]VENTAS TOTALES'!$D72</f>
        <v>4267</v>
      </c>
      <c r="AF222" s="252">
        <f>+'[166]VENTAS TOTALES'!$D72</f>
        <v>4089</v>
      </c>
      <c r="AG222" s="252">
        <f>+'[167]VENTAS TOTALES'!$D72</f>
        <v>3609</v>
      </c>
      <c r="AH222" s="252">
        <f>+'[168]VENTAS TOTALES'!$D72</f>
        <v>3430</v>
      </c>
      <c r="AI222" s="252">
        <f>+'[169]VENTAS TOTALES'!$D72</f>
        <v>2244</v>
      </c>
      <c r="AJ222" s="252">
        <f>+'[170]VENTAS TOTALES'!$D72</f>
        <v>811</v>
      </c>
    </row>
    <row r="223" spans="1:36" s="8" customFormat="1" ht="12" customHeight="1" thickBot="1" x14ac:dyDescent="0.25">
      <c r="A223" s="447"/>
      <c r="B223" s="325" t="s">
        <v>271</v>
      </c>
      <c r="C223" s="252">
        <f>+'[137]VENTAS TOTALES'!$D73</f>
        <v>1842</v>
      </c>
      <c r="D223" s="252">
        <f>+'[138]VENTAS TOTALES'!$D73</f>
        <v>1281</v>
      </c>
      <c r="E223" s="252">
        <f>+'[139]VENTAS TOTALES'!$D73</f>
        <v>1131</v>
      </c>
      <c r="F223" s="252">
        <f>+'[140]VENTAS TOTALES'!$D73</f>
        <v>1067</v>
      </c>
      <c r="G223" s="252">
        <f>+'[141]VENTAS TOTALES'!$D73</f>
        <v>705</v>
      </c>
      <c r="H223" s="252">
        <f>+'[142]VENTAS TOTALES'!$D73</f>
        <v>289</v>
      </c>
      <c r="I223" s="252">
        <f>+'[143]VENTAS TOTALES'!$D73</f>
        <v>1431</v>
      </c>
      <c r="J223" s="252">
        <f>+'[144]VENTAS TOTALES'!$D73</f>
        <v>1089</v>
      </c>
      <c r="K223" s="252">
        <f>+'[145]VENTAS TOTALES'!$D73</f>
        <v>1178</v>
      </c>
      <c r="L223" s="252">
        <f>+'[146]VENTAS TOTALES'!$D73</f>
        <v>1146</v>
      </c>
      <c r="M223" s="252">
        <f>+'[147]VENTAS TOTALES'!$D73</f>
        <v>1044</v>
      </c>
      <c r="N223" s="252">
        <f>+'[148]VENTAS TOTALES'!$D73</f>
        <v>682</v>
      </c>
      <c r="O223" s="252">
        <f>+'[149]VENTAS TOTALES'!$D73</f>
        <v>238</v>
      </c>
      <c r="P223" s="252">
        <f>+'[150]VENTAS TOTALES'!$D73</f>
        <v>1349</v>
      </c>
      <c r="Q223" s="252">
        <f>+'[151]VENTAS TOTALES'!$D73</f>
        <v>1469</v>
      </c>
      <c r="R223" s="252">
        <f>+'[152]VENTAS TOTALES'!$D73</f>
        <v>1437</v>
      </c>
      <c r="S223" s="252">
        <f>+'[153]VENTAS TOTALES'!$D73</f>
        <v>1341</v>
      </c>
      <c r="T223" s="252">
        <f>+'[154]VENTAS TOTALES'!$D73</f>
        <v>1102</v>
      </c>
      <c r="U223" s="252">
        <f>+'[155]VENTAS TOTALES'!$D73</f>
        <v>710</v>
      </c>
      <c r="V223" s="252">
        <f>+'[156]VENTAS TOTALES'!$D73</f>
        <v>268</v>
      </c>
      <c r="W223" s="252">
        <f>+'[157]VENTAS TOTALES'!$D73</f>
        <v>1255</v>
      </c>
      <c r="X223" s="252">
        <f>+'[158]VENTAS TOTALES'!$D73</f>
        <v>1311</v>
      </c>
      <c r="Y223" s="252">
        <f>+'[159]VENTAS TOTALES'!$D73</f>
        <v>1187</v>
      </c>
      <c r="Z223" s="252">
        <f>+'[160]VENTAS TOTALES'!$D73</f>
        <v>1238</v>
      </c>
      <c r="AA223" s="252">
        <f>+'[161]VENTAS TOTALES'!$D73</f>
        <v>1076</v>
      </c>
      <c r="AB223" s="252">
        <f>+'[162]VENTAS TOTALES'!$D73</f>
        <v>689</v>
      </c>
      <c r="AC223" s="252">
        <f>+'[163]VENTAS TOTALES'!$D73</f>
        <v>224</v>
      </c>
      <c r="AD223" s="252">
        <f>+'[164]VENTAS TOTALES'!$D73</f>
        <v>1529</v>
      </c>
      <c r="AE223" s="252">
        <f>+'[165]VENTAS TOTALES'!$D73</f>
        <v>1452</v>
      </c>
      <c r="AF223" s="252">
        <f>+'[166]VENTAS TOTALES'!$D73</f>
        <v>1510</v>
      </c>
      <c r="AG223" s="252">
        <f>+'[167]VENTAS TOTALES'!$D73</f>
        <v>1175</v>
      </c>
      <c r="AH223" s="252">
        <f>+'[168]VENTAS TOTALES'!$D73</f>
        <v>1108</v>
      </c>
      <c r="AI223" s="252">
        <f>+'[169]VENTAS TOTALES'!$D73</f>
        <v>744</v>
      </c>
      <c r="AJ223" s="252">
        <f>+'[170]VENTAS TOTALES'!$D73</f>
        <v>292</v>
      </c>
    </row>
    <row r="224" spans="1:36" s="8" customFormat="1" ht="12" customHeight="1" thickBot="1" x14ac:dyDescent="0.25">
      <c r="A224" s="445" t="s">
        <v>410</v>
      </c>
      <c r="B224" s="369" t="s">
        <v>395</v>
      </c>
      <c r="C224" s="350">
        <f>'[137]VENTAS TOTALES'!$D92</f>
        <v>670</v>
      </c>
      <c r="D224" s="350">
        <f>'[138]VENTAS TOTALES'!$D92</f>
        <v>256</v>
      </c>
      <c r="E224" s="350">
        <f>'[139]VENTAS TOTALES'!$D93</f>
        <v>220</v>
      </c>
      <c r="F224" s="350">
        <f>'[140]VENTAS TOTALES'!$D93</f>
        <v>132</v>
      </c>
      <c r="G224" s="350">
        <f>'[141]VENTAS TOTALES'!$D93</f>
        <v>3</v>
      </c>
      <c r="H224" s="350">
        <f>'[142]VENTAS TOTALES'!$D93</f>
        <v>0</v>
      </c>
      <c r="I224" s="350">
        <f>'[143]VENTAS TOTALES'!$D93</f>
        <v>257</v>
      </c>
      <c r="J224" s="350">
        <f>'[144]VENTAS TOTALES'!$D93</f>
        <v>48</v>
      </c>
      <c r="K224" s="350">
        <f>'[145]VENTAS TOTALES'!$D93</f>
        <v>49</v>
      </c>
      <c r="L224" s="350">
        <f>'[146]VENTAS TOTALES'!$D93</f>
        <v>164</v>
      </c>
      <c r="M224" s="350">
        <f>'[147]VENTAS TOTALES'!$D93</f>
        <v>79</v>
      </c>
      <c r="N224" s="350">
        <f>'[148]VENTAS TOTALES'!$D93</f>
        <v>80</v>
      </c>
      <c r="O224" s="350">
        <f>'[149]VENTAS TOTALES'!$D93</f>
        <v>0</v>
      </c>
      <c r="P224" s="350">
        <f>'[150]VENTAS TOTALES'!$D93</f>
        <v>106</v>
      </c>
      <c r="Q224" s="350">
        <f>'[151]VENTAS TOTALES'!$D93</f>
        <v>318</v>
      </c>
      <c r="R224" s="350">
        <f>'[152]VENTAS TOTALES'!$D93</f>
        <v>131</v>
      </c>
      <c r="S224" s="350">
        <f>'[153]VENTAS TOTALES'!$D93</f>
        <v>241</v>
      </c>
      <c r="T224" s="350">
        <f>'[154]VENTAS TOTALES'!$D93</f>
        <v>138</v>
      </c>
      <c r="U224" s="350">
        <f>'[155]VENTAS TOTALES'!$D93</f>
        <v>78</v>
      </c>
      <c r="V224" s="350">
        <f>'[156]VENTAS TOTALES'!$D93</f>
        <v>0</v>
      </c>
      <c r="W224" s="350">
        <f>'[157]VENTAS TOTALES'!$D93</f>
        <v>398</v>
      </c>
      <c r="X224" s="350">
        <f>'[158]VENTAS TOTALES'!$D93</f>
        <v>56</v>
      </c>
      <c r="Y224" s="350">
        <f>'[159]VENTAS TOTALES'!$D93</f>
        <v>144</v>
      </c>
      <c r="Z224" s="350">
        <f>'[160]VENTAS TOTALES'!$D93</f>
        <v>116</v>
      </c>
      <c r="AA224" s="350">
        <f>'[161]VENTAS TOTALES'!$D93</f>
        <v>340</v>
      </c>
      <c r="AB224" s="350">
        <f>'[162]VENTAS TOTALES'!$D93</f>
        <v>699</v>
      </c>
      <c r="AC224" s="350">
        <f>'[163]VENTAS TOTALES'!$D93</f>
        <v>0</v>
      </c>
      <c r="AD224" s="350">
        <f>'[164]VENTAS TOTALES'!$D93</f>
        <v>701</v>
      </c>
      <c r="AE224" s="350">
        <f>'[165]VENTAS TOTALES'!$D93</f>
        <v>546</v>
      </c>
      <c r="AF224" s="350">
        <f>'[166]VENTAS TOTALES'!$D93</f>
        <v>390</v>
      </c>
      <c r="AG224" s="350">
        <f>'[167]VENTAS TOTALES'!$D93</f>
        <v>324</v>
      </c>
      <c r="AH224" s="350">
        <f>'[168]VENTAS TOTALES'!$D93</f>
        <v>718</v>
      </c>
      <c r="AI224" s="350">
        <f>'[169]VENTAS TOTALES'!$D93</f>
        <v>557</v>
      </c>
      <c r="AJ224" s="350">
        <f>'[170]VENTAS TOTALES'!$D93</f>
        <v>0</v>
      </c>
    </row>
    <row r="225" spans="1:37" s="8" customFormat="1" ht="12" customHeight="1" thickBot="1" x14ac:dyDescent="0.25">
      <c r="A225" s="446"/>
      <c r="B225" s="370" t="s">
        <v>396</v>
      </c>
      <c r="C225" s="350">
        <f>'[137]VENTAS TOTALES'!$D93</f>
        <v>450</v>
      </c>
      <c r="D225" s="350">
        <f>'[138]VENTAS TOTALES'!$D93</f>
        <v>254</v>
      </c>
      <c r="E225" s="350">
        <f>'[139]VENTAS TOTALES'!$D94</f>
        <v>383</v>
      </c>
      <c r="F225" s="350">
        <f>'[140]VENTAS TOTALES'!$D94</f>
        <v>371</v>
      </c>
      <c r="G225" s="350">
        <f>'[141]VENTAS TOTALES'!$D94</f>
        <v>301</v>
      </c>
      <c r="H225" s="350">
        <f>'[142]VENTAS TOTALES'!$D94</f>
        <v>0</v>
      </c>
      <c r="I225" s="350">
        <f>'[143]VENTAS TOTALES'!$D94</f>
        <v>348</v>
      </c>
      <c r="J225" s="350">
        <f>'[144]VENTAS TOTALES'!$D94</f>
        <v>219</v>
      </c>
      <c r="K225" s="350">
        <f>'[145]VENTAS TOTALES'!$D94</f>
        <v>450</v>
      </c>
      <c r="L225" s="350">
        <f>'[146]VENTAS TOTALES'!$D94</f>
        <v>353</v>
      </c>
      <c r="M225" s="350">
        <f>'[147]VENTAS TOTALES'!$D94</f>
        <v>348</v>
      </c>
      <c r="N225" s="350">
        <f>'[148]VENTAS TOTALES'!$D94</f>
        <v>423</v>
      </c>
      <c r="O225" s="350">
        <f>'[149]VENTAS TOTALES'!$D94</f>
        <v>0</v>
      </c>
      <c r="P225" s="350">
        <f>'[150]VENTAS TOTALES'!$D94</f>
        <v>530</v>
      </c>
      <c r="Q225" s="350">
        <f>'[151]VENTAS TOTALES'!$D94</f>
        <v>223</v>
      </c>
      <c r="R225" s="350">
        <f>'[152]VENTAS TOTALES'!$D94</f>
        <v>150</v>
      </c>
      <c r="S225" s="350">
        <f>'[153]VENTAS TOTALES'!$D94</f>
        <v>218</v>
      </c>
      <c r="T225" s="350">
        <f>'[154]VENTAS TOTALES'!$D94</f>
        <v>292</v>
      </c>
      <c r="U225" s="350">
        <f>'[155]VENTAS TOTALES'!$D94</f>
        <v>323</v>
      </c>
      <c r="V225" s="350">
        <f>'[156]VENTAS TOTALES'!$D94</f>
        <v>0</v>
      </c>
      <c r="W225" s="350">
        <f>'[157]VENTAS TOTALES'!$D94</f>
        <v>489</v>
      </c>
      <c r="X225" s="350">
        <f>'[158]VENTAS TOTALES'!$D94</f>
        <v>442</v>
      </c>
      <c r="Y225" s="350">
        <f>'[159]VENTAS TOTALES'!$D94</f>
        <v>453</v>
      </c>
      <c r="Z225" s="350">
        <f>'[160]VENTAS TOTALES'!$D94</f>
        <v>191</v>
      </c>
      <c r="AA225" s="350">
        <f>'[161]VENTAS TOTALES'!$D94</f>
        <v>380</v>
      </c>
      <c r="AB225" s="350">
        <f>'[162]VENTAS TOTALES'!$D94</f>
        <v>423</v>
      </c>
      <c r="AC225" s="350">
        <f>'[163]VENTAS TOTALES'!$D94</f>
        <v>0</v>
      </c>
      <c r="AD225" s="350">
        <f>'[164]VENTAS TOTALES'!$D94</f>
        <v>402</v>
      </c>
      <c r="AE225" s="350">
        <f>'[165]VENTAS TOTALES'!$D94</f>
        <v>668</v>
      </c>
      <c r="AF225" s="350">
        <f>'[166]VENTAS TOTALES'!$D94</f>
        <v>511</v>
      </c>
      <c r="AG225" s="350">
        <f>'[167]VENTAS TOTALES'!$D94</f>
        <v>549</v>
      </c>
      <c r="AH225" s="350">
        <f>'[168]VENTAS TOTALES'!$D94</f>
        <v>371</v>
      </c>
      <c r="AI225" s="350">
        <f>'[169]VENTAS TOTALES'!$D94</f>
        <v>493</v>
      </c>
      <c r="AJ225" s="350">
        <f>'[170]VENTAS TOTALES'!$D94</f>
        <v>0</v>
      </c>
    </row>
    <row r="226" spans="1:37" s="8" customFormat="1" ht="12" customHeight="1" thickBot="1" x14ac:dyDescent="0.25">
      <c r="A226" s="446"/>
      <c r="B226" s="370" t="s">
        <v>397</v>
      </c>
      <c r="C226" s="350">
        <f>'[137]VENTAS TOTALES'!$D94</f>
        <v>440</v>
      </c>
      <c r="D226" s="350">
        <f>'[138]VENTAS TOTALES'!$D94</f>
        <v>710</v>
      </c>
      <c r="E226" s="350">
        <f>'[139]VENTAS TOTALES'!$D95</f>
        <v>616</v>
      </c>
      <c r="F226" s="350">
        <f>'[140]VENTAS TOTALES'!$D95</f>
        <v>684</v>
      </c>
      <c r="G226" s="350">
        <f>'[141]VENTAS TOTALES'!$D95</f>
        <v>340</v>
      </c>
      <c r="H226" s="350">
        <f>'[142]VENTAS TOTALES'!$D95</f>
        <v>0</v>
      </c>
      <c r="I226" s="350">
        <f>'[143]VENTAS TOTALES'!$D95</f>
        <v>673</v>
      </c>
      <c r="J226" s="350">
        <f>'[144]VENTAS TOTALES'!$D95</f>
        <v>648</v>
      </c>
      <c r="K226" s="350">
        <f>'[145]VENTAS TOTALES'!$D95</f>
        <v>577</v>
      </c>
      <c r="L226" s="350">
        <f>'[146]VENTAS TOTALES'!$D95</f>
        <v>688</v>
      </c>
      <c r="M226" s="350">
        <f>'[147]VENTAS TOTALES'!$D95</f>
        <v>477</v>
      </c>
      <c r="N226" s="350">
        <f>'[148]VENTAS TOTALES'!$D95</f>
        <v>545</v>
      </c>
      <c r="O226" s="350">
        <f>'[149]VENTAS TOTALES'!$D95</f>
        <v>0</v>
      </c>
      <c r="P226" s="350">
        <f>'[150]VENTAS TOTALES'!$D95</f>
        <v>653</v>
      </c>
      <c r="Q226" s="350">
        <f>'[151]VENTAS TOTALES'!$D95</f>
        <v>427</v>
      </c>
      <c r="R226" s="350">
        <f>'[152]VENTAS TOTALES'!$D95</f>
        <v>148</v>
      </c>
      <c r="S226" s="350">
        <f>'[153]VENTAS TOTALES'!$D95</f>
        <v>606</v>
      </c>
      <c r="T226" s="350">
        <f>'[154]VENTAS TOTALES'!$D95</f>
        <v>549</v>
      </c>
      <c r="U226" s="350">
        <f>'[155]VENTAS TOTALES'!$D95</f>
        <v>470</v>
      </c>
      <c r="V226" s="350">
        <f>'[156]VENTAS TOTALES'!$D95</f>
        <v>0</v>
      </c>
      <c r="W226" s="350">
        <f>'[157]VENTAS TOTALES'!$D95</f>
        <v>612</v>
      </c>
      <c r="X226" s="350">
        <f>'[158]VENTAS TOTALES'!$D95</f>
        <v>481</v>
      </c>
      <c r="Y226" s="350">
        <f>'[159]VENTAS TOTALES'!$D95</f>
        <v>405</v>
      </c>
      <c r="Z226" s="350">
        <f>'[160]VENTAS TOTALES'!$D95</f>
        <v>856</v>
      </c>
      <c r="AA226" s="350">
        <f>'[161]VENTAS TOTALES'!$D95</f>
        <v>647</v>
      </c>
      <c r="AB226" s="350">
        <f>'[162]VENTAS TOTALES'!$D95</f>
        <v>667</v>
      </c>
      <c r="AC226" s="350">
        <f>'[163]VENTAS TOTALES'!$D95</f>
        <v>0</v>
      </c>
      <c r="AD226" s="350">
        <f>'[164]VENTAS TOTALES'!$D95</f>
        <v>660</v>
      </c>
      <c r="AE226" s="350">
        <f>'[165]VENTAS TOTALES'!$D95</f>
        <v>722</v>
      </c>
      <c r="AF226" s="350">
        <f>'[166]VENTAS TOTALES'!$D95</f>
        <v>690</v>
      </c>
      <c r="AG226" s="350">
        <f>'[167]VENTAS TOTALES'!$D95</f>
        <v>518</v>
      </c>
      <c r="AH226" s="350">
        <f>'[168]VENTAS TOTALES'!$D95</f>
        <v>487</v>
      </c>
      <c r="AI226" s="350">
        <f>'[169]VENTAS TOTALES'!$D95</f>
        <v>543</v>
      </c>
      <c r="AJ226" s="350">
        <f>'[170]VENTAS TOTALES'!$D95</f>
        <v>0</v>
      </c>
    </row>
    <row r="227" spans="1:37" s="8" customFormat="1" ht="12" customHeight="1" thickBot="1" x14ac:dyDescent="0.25">
      <c r="A227" s="446"/>
      <c r="B227" s="370" t="s">
        <v>398</v>
      </c>
      <c r="C227" s="350">
        <f>'[137]VENTAS TOTALES'!$D95</f>
        <v>257</v>
      </c>
      <c r="D227" s="350">
        <f>'[138]VENTAS TOTALES'!$D95</f>
        <v>231</v>
      </c>
      <c r="E227" s="350">
        <f>'[139]VENTAS TOTALES'!$D96</f>
        <v>156</v>
      </c>
      <c r="F227" s="350">
        <f>'[140]VENTAS TOTALES'!$D96</f>
        <v>199</v>
      </c>
      <c r="G227" s="350">
        <f>'[141]VENTAS TOTALES'!$D96</f>
        <v>90</v>
      </c>
      <c r="H227" s="350">
        <f>'[142]VENTAS TOTALES'!$D96</f>
        <v>0</v>
      </c>
      <c r="I227" s="350">
        <f>'[143]VENTAS TOTALES'!$D96</f>
        <v>281</v>
      </c>
      <c r="J227" s="350">
        <f>'[144]VENTAS TOTALES'!$D96</f>
        <v>169</v>
      </c>
      <c r="K227" s="350">
        <f>'[145]VENTAS TOTALES'!$D96</f>
        <v>196</v>
      </c>
      <c r="L227" s="350">
        <f>'[146]VENTAS TOTALES'!$D96</f>
        <v>130</v>
      </c>
      <c r="M227" s="350">
        <f>'[147]VENTAS TOTALES'!$D96</f>
        <v>264</v>
      </c>
      <c r="N227" s="350">
        <f>'[148]VENTAS TOTALES'!$D96</f>
        <v>97</v>
      </c>
      <c r="O227" s="350">
        <f>'[149]VENTAS TOTALES'!$D96</f>
        <v>0</v>
      </c>
      <c r="P227" s="350">
        <f>'[150]VENTAS TOTALES'!$D96</f>
        <v>456</v>
      </c>
      <c r="Q227" s="350">
        <f>'[151]VENTAS TOTALES'!$D96</f>
        <v>302</v>
      </c>
      <c r="R227" s="350">
        <f>'[152]VENTAS TOTALES'!$D96</f>
        <v>374</v>
      </c>
      <c r="S227" s="350">
        <f>'[153]VENTAS TOTALES'!$D96</f>
        <v>175</v>
      </c>
      <c r="T227" s="350">
        <f>'[154]VENTAS TOTALES'!$D96</f>
        <v>248</v>
      </c>
      <c r="U227" s="350">
        <f>'[155]VENTAS TOTALES'!$D96</f>
        <v>115</v>
      </c>
      <c r="V227" s="350">
        <f>'[156]VENTAS TOTALES'!$D96</f>
        <v>0</v>
      </c>
      <c r="W227" s="350">
        <f>'[157]VENTAS TOTALES'!$D96</f>
        <v>350</v>
      </c>
      <c r="X227" s="350">
        <f>'[158]VENTAS TOTALES'!$D96</f>
        <v>182</v>
      </c>
      <c r="Y227" s="350">
        <f>'[159]VENTAS TOTALES'!$D96</f>
        <v>131</v>
      </c>
      <c r="Z227" s="350">
        <f>'[160]VENTAS TOTALES'!$D96</f>
        <v>177</v>
      </c>
      <c r="AA227" s="350">
        <f>'[161]VENTAS TOTALES'!$D96</f>
        <v>211</v>
      </c>
      <c r="AB227" s="350">
        <f>'[162]VENTAS TOTALES'!$D96</f>
        <v>99</v>
      </c>
      <c r="AC227" s="350">
        <f>'[163]VENTAS TOTALES'!$D96</f>
        <v>0</v>
      </c>
      <c r="AD227" s="350">
        <f>'[164]VENTAS TOTALES'!$D96</f>
        <v>476</v>
      </c>
      <c r="AE227" s="350">
        <f>'[165]VENTAS TOTALES'!$D96</f>
        <v>237</v>
      </c>
      <c r="AF227" s="350">
        <f>'[166]VENTAS TOTALES'!$D96</f>
        <v>280</v>
      </c>
      <c r="AG227" s="350">
        <f>'[167]VENTAS TOTALES'!$D96</f>
        <v>251</v>
      </c>
      <c r="AH227" s="350">
        <f>'[168]VENTAS TOTALES'!$D96</f>
        <v>256</v>
      </c>
      <c r="AI227" s="350">
        <f>'[169]VENTAS TOTALES'!$D96</f>
        <v>123</v>
      </c>
      <c r="AJ227" s="350">
        <f>'[170]VENTAS TOTALES'!$D96</f>
        <v>0</v>
      </c>
    </row>
    <row r="228" spans="1:37" s="8" customFormat="1" ht="12" customHeight="1" thickBot="1" x14ac:dyDescent="0.25">
      <c r="A228" s="446"/>
      <c r="B228" s="370" t="s">
        <v>399</v>
      </c>
      <c r="C228" s="350">
        <f>'[137]VENTAS TOTALES'!$D96</f>
        <v>315</v>
      </c>
      <c r="D228" s="350">
        <f>'[138]VENTAS TOTALES'!$D96</f>
        <v>351</v>
      </c>
      <c r="E228" s="350">
        <f>'[139]VENTAS TOTALES'!$D97</f>
        <v>265</v>
      </c>
      <c r="F228" s="350">
        <f>'[140]VENTAS TOTALES'!$D97</f>
        <v>292</v>
      </c>
      <c r="G228" s="350">
        <f>'[141]VENTAS TOTALES'!$D97</f>
        <v>300</v>
      </c>
      <c r="H228" s="350">
        <f>'[142]VENTAS TOTALES'!$D97</f>
        <v>0</v>
      </c>
      <c r="I228" s="350">
        <f>'[143]VENTAS TOTALES'!$D97</f>
        <v>306</v>
      </c>
      <c r="J228" s="350">
        <f>'[144]VENTAS TOTALES'!$D97</f>
        <v>181</v>
      </c>
      <c r="K228" s="350">
        <f>'[145]VENTAS TOTALES'!$D97</f>
        <v>202</v>
      </c>
      <c r="L228" s="350">
        <f>'[146]VENTAS TOTALES'!$D97</f>
        <v>239</v>
      </c>
      <c r="M228" s="350">
        <f>'[147]VENTAS TOTALES'!$D97</f>
        <v>346</v>
      </c>
      <c r="N228" s="350">
        <f>'[148]VENTAS TOTALES'!$D97</f>
        <v>326</v>
      </c>
      <c r="O228" s="350">
        <f>'[149]VENTAS TOTALES'!$D97</f>
        <v>0</v>
      </c>
      <c r="P228" s="350">
        <f>'[150]VENTAS TOTALES'!$D97</f>
        <v>227</v>
      </c>
      <c r="Q228" s="350">
        <f>'[151]VENTAS TOTALES'!$D97</f>
        <v>250</v>
      </c>
      <c r="R228" s="350">
        <f>'[152]VENTAS TOTALES'!$D97</f>
        <v>384</v>
      </c>
      <c r="S228" s="350">
        <f>'[153]VENTAS TOTALES'!$D97</f>
        <v>212</v>
      </c>
      <c r="T228" s="350">
        <f>'[154]VENTAS TOTALES'!$D97</f>
        <v>282</v>
      </c>
      <c r="U228" s="350">
        <f>'[155]VENTAS TOTALES'!$D97</f>
        <v>337</v>
      </c>
      <c r="V228" s="350">
        <f>'[156]VENTAS TOTALES'!$D97</f>
        <v>0</v>
      </c>
      <c r="W228" s="350">
        <f>'[157]VENTAS TOTALES'!$D97</f>
        <v>517</v>
      </c>
      <c r="X228" s="350">
        <f>'[158]VENTAS TOTALES'!$D97</f>
        <v>338</v>
      </c>
      <c r="Y228" s="350">
        <f>'[159]VENTAS TOTALES'!$D97</f>
        <v>297</v>
      </c>
      <c r="Z228" s="350">
        <f>'[160]VENTAS TOTALES'!$D97</f>
        <v>247</v>
      </c>
      <c r="AA228" s="350">
        <f>'[161]VENTAS TOTALES'!$D97</f>
        <v>362</v>
      </c>
      <c r="AB228" s="350">
        <f>'[162]VENTAS TOTALES'!$D97</f>
        <v>291</v>
      </c>
      <c r="AC228" s="350">
        <f>'[163]VENTAS TOTALES'!$D97</f>
        <v>0</v>
      </c>
      <c r="AD228" s="350">
        <f>'[164]VENTAS TOTALES'!$D97</f>
        <v>383</v>
      </c>
      <c r="AE228" s="350">
        <f>'[165]VENTAS TOTALES'!$D97</f>
        <v>335</v>
      </c>
      <c r="AF228" s="350">
        <f>'[166]VENTAS TOTALES'!$D97</f>
        <v>244</v>
      </c>
      <c r="AG228" s="350">
        <f>'[167]VENTAS TOTALES'!$D97</f>
        <v>350</v>
      </c>
      <c r="AH228" s="350">
        <f>'[168]VENTAS TOTALES'!$D97</f>
        <v>344</v>
      </c>
      <c r="AI228" s="350">
        <f>'[169]VENTAS TOTALES'!$D97</f>
        <v>372</v>
      </c>
      <c r="AJ228" s="350">
        <f>'[170]VENTAS TOTALES'!$D97</f>
        <v>0</v>
      </c>
    </row>
    <row r="229" spans="1:37" s="8" customFormat="1" ht="12" customHeight="1" thickBot="1" x14ac:dyDescent="0.25">
      <c r="A229" s="446"/>
      <c r="B229" s="374" t="s">
        <v>400</v>
      </c>
      <c r="C229" s="350">
        <f>'[137]VENTAS TOTALES'!$D97</f>
        <v>647</v>
      </c>
      <c r="D229" s="350">
        <f>'[138]VENTAS TOTALES'!$D97</f>
        <v>559</v>
      </c>
      <c r="E229" s="350">
        <f>'[139]VENTAS TOTALES'!$D98</f>
        <v>482</v>
      </c>
      <c r="F229" s="350">
        <f>'[140]VENTAS TOTALES'!$D98</f>
        <v>474</v>
      </c>
      <c r="G229" s="350">
        <f>'[141]VENTAS TOTALES'!$D98</f>
        <v>434</v>
      </c>
      <c r="H229" s="350">
        <f>'[142]VENTAS TOTALES'!$D98</f>
        <v>0</v>
      </c>
      <c r="I229" s="350">
        <f>'[143]VENTAS TOTALES'!$D98</f>
        <v>379</v>
      </c>
      <c r="J229" s="350">
        <f>'[144]VENTAS TOTALES'!$D98</f>
        <v>694</v>
      </c>
      <c r="K229" s="350">
        <f>'[145]VENTAS TOTALES'!$D98</f>
        <v>394</v>
      </c>
      <c r="L229" s="350">
        <f>'[146]VENTAS TOTALES'!$D98</f>
        <v>349</v>
      </c>
      <c r="M229" s="350">
        <f>'[147]VENTAS TOTALES'!$D98</f>
        <v>337</v>
      </c>
      <c r="N229" s="350">
        <f>'[148]VENTAS TOTALES'!$D98</f>
        <v>257</v>
      </c>
      <c r="O229" s="350">
        <f>'[149]VENTAS TOTALES'!$D98</f>
        <v>0</v>
      </c>
      <c r="P229" s="350">
        <f>'[150]VENTAS TOTALES'!$D98</f>
        <v>165</v>
      </c>
      <c r="Q229" s="350">
        <f>'[151]VENTAS TOTALES'!$D98</f>
        <v>317</v>
      </c>
      <c r="R229" s="350">
        <f>'[152]VENTAS TOTALES'!$D98</f>
        <v>451</v>
      </c>
      <c r="S229" s="350">
        <f>'[153]VENTAS TOTALES'!$D98</f>
        <v>89</v>
      </c>
      <c r="T229" s="350">
        <f>'[154]VENTAS TOTALES'!$D98</f>
        <v>142</v>
      </c>
      <c r="U229" s="350">
        <f>'[155]VENTAS TOTALES'!$D98</f>
        <v>228</v>
      </c>
      <c r="V229" s="350">
        <f>'[156]VENTAS TOTALES'!$D98</f>
        <v>0</v>
      </c>
      <c r="W229" s="350">
        <f>'[157]VENTAS TOTALES'!$D98</f>
        <v>265</v>
      </c>
      <c r="X229" s="350">
        <f>'[158]VENTAS TOTALES'!$D98</f>
        <v>664</v>
      </c>
      <c r="Y229" s="350">
        <f>'[159]VENTAS TOTALES'!$D98</f>
        <v>471</v>
      </c>
      <c r="Z229" s="350">
        <f>'[160]VENTAS TOTALES'!$D98</f>
        <v>535</v>
      </c>
      <c r="AA229" s="350">
        <f>'[161]VENTAS TOTALES'!$D98</f>
        <v>835</v>
      </c>
      <c r="AB229" s="350">
        <f>'[162]VENTAS TOTALES'!$D98</f>
        <v>399</v>
      </c>
      <c r="AC229" s="350">
        <f>'[163]VENTAS TOTALES'!$D98</f>
        <v>0</v>
      </c>
      <c r="AD229" s="350">
        <f>'[164]VENTAS TOTALES'!$D98</f>
        <v>398</v>
      </c>
      <c r="AE229" s="350">
        <f>'[165]VENTAS TOTALES'!$D98</f>
        <v>654</v>
      </c>
      <c r="AF229" s="350">
        <f>'[166]VENTAS TOTALES'!$D98</f>
        <v>732</v>
      </c>
      <c r="AG229" s="350">
        <f>'[167]VENTAS TOTALES'!$D98</f>
        <v>768</v>
      </c>
      <c r="AH229" s="350">
        <f>'[168]VENTAS TOTALES'!$D98</f>
        <v>474</v>
      </c>
      <c r="AI229" s="350">
        <f>'[169]VENTAS TOTALES'!$D98</f>
        <v>327</v>
      </c>
      <c r="AJ229" s="350">
        <f>'[170]VENTAS TOTALES'!$D98</f>
        <v>0</v>
      </c>
    </row>
    <row r="230" spans="1:37" s="8" customFormat="1" ht="12" customHeight="1" thickBot="1" x14ac:dyDescent="0.25">
      <c r="A230" s="294"/>
      <c r="B230" s="332" t="s">
        <v>292</v>
      </c>
      <c r="C230" s="322"/>
      <c r="D230" s="322"/>
      <c r="E230" s="322"/>
      <c r="F230" s="322"/>
      <c r="G230" s="322"/>
      <c r="H230" s="322"/>
      <c r="I230" s="322"/>
      <c r="J230" s="322"/>
      <c r="K230" s="322"/>
      <c r="L230" s="322"/>
      <c r="M230" s="322"/>
      <c r="N230" s="322"/>
      <c r="O230" s="322"/>
      <c r="P230" s="322"/>
      <c r="Q230" s="322"/>
      <c r="R230" s="322"/>
      <c r="S230" s="322"/>
      <c r="T230" s="322"/>
      <c r="U230" s="322"/>
      <c r="V230" s="322"/>
      <c r="W230" s="322"/>
      <c r="X230" s="322"/>
      <c r="Y230" s="322"/>
      <c r="Z230" s="322"/>
      <c r="AA230" s="322"/>
      <c r="AB230" s="322"/>
      <c r="AC230" s="322"/>
      <c r="AD230" s="322"/>
      <c r="AE230" s="322"/>
      <c r="AF230" s="322"/>
      <c r="AG230" s="322"/>
      <c r="AH230" s="322"/>
      <c r="AI230" s="322"/>
      <c r="AJ230" s="322"/>
    </row>
    <row r="231" spans="1:37" s="8" customFormat="1" ht="13.5" thickBot="1" x14ac:dyDescent="0.25">
      <c r="A231" s="135" t="s">
        <v>352</v>
      </c>
      <c r="B231" s="135"/>
      <c r="C231" s="157">
        <f t="shared" ref="C231:H231" si="0">SUM(C5:C162)</f>
        <v>962535</v>
      </c>
      <c r="D231" s="157">
        <f t="shared" si="0"/>
        <v>946159</v>
      </c>
      <c r="E231" s="157">
        <f t="shared" si="0"/>
        <v>831219</v>
      </c>
      <c r="F231" s="157">
        <f t="shared" si="0"/>
        <v>829717</v>
      </c>
      <c r="G231" s="157">
        <f t="shared" si="0"/>
        <v>603487</v>
      </c>
      <c r="H231" s="157">
        <f t="shared" si="0"/>
        <v>285361</v>
      </c>
      <c r="I231" s="157">
        <f t="shared" ref="I231:O231" si="1">SUM(I5:I162)</f>
        <v>1022586</v>
      </c>
      <c r="J231" s="157">
        <f t="shared" si="1"/>
        <v>895559</v>
      </c>
      <c r="K231" s="157">
        <f t="shared" si="1"/>
        <v>849144</v>
      </c>
      <c r="L231" s="157">
        <f t="shared" si="1"/>
        <v>845701</v>
      </c>
      <c r="M231" s="157">
        <f t="shared" si="1"/>
        <v>824593</v>
      </c>
      <c r="N231" s="157">
        <f t="shared" si="1"/>
        <v>601931</v>
      </c>
      <c r="O231" s="157">
        <f t="shared" si="1"/>
        <v>270718</v>
      </c>
      <c r="P231" s="157">
        <f t="shared" ref="P231:V231" si="2">SUM(P5:P162)</f>
        <v>1037674</v>
      </c>
      <c r="Q231" s="157">
        <f t="shared" si="2"/>
        <v>935809</v>
      </c>
      <c r="R231" s="157">
        <f t="shared" si="2"/>
        <v>934920</v>
      </c>
      <c r="S231" s="157">
        <f t="shared" si="2"/>
        <v>887027</v>
      </c>
      <c r="T231" s="157">
        <f t="shared" si="2"/>
        <v>859507</v>
      </c>
      <c r="U231" s="157">
        <f t="shared" si="2"/>
        <v>621377</v>
      </c>
      <c r="V231" s="157">
        <f t="shared" si="2"/>
        <v>282846</v>
      </c>
      <c r="W231" s="157">
        <f t="shared" ref="W231:AC231" si="3">SUM(W5:W162)</f>
        <v>1043784</v>
      </c>
      <c r="X231" s="157">
        <f t="shared" si="3"/>
        <v>897031</v>
      </c>
      <c r="Y231" s="157">
        <f t="shared" si="3"/>
        <v>867657</v>
      </c>
      <c r="Z231" s="157">
        <f t="shared" si="3"/>
        <v>837347</v>
      </c>
      <c r="AA231" s="157">
        <f t="shared" si="3"/>
        <v>850918</v>
      </c>
      <c r="AB231" s="157">
        <f t="shared" si="3"/>
        <v>634200</v>
      </c>
      <c r="AC231" s="157">
        <f t="shared" si="3"/>
        <v>283941</v>
      </c>
      <c r="AD231" s="157">
        <f t="shared" ref="AD231:AF231" si="4">SUM(AD5:AD162)</f>
        <v>1135271</v>
      </c>
      <c r="AE231" s="157">
        <f t="shared" si="4"/>
        <v>1047192</v>
      </c>
      <c r="AF231" s="157">
        <f t="shared" si="4"/>
        <v>980359</v>
      </c>
      <c r="AG231" s="157">
        <f t="shared" ref="AG231:AJ231" si="5">SUM(AG5:AG162)</f>
        <v>919703</v>
      </c>
      <c r="AH231" s="157">
        <f t="shared" si="5"/>
        <v>895973</v>
      </c>
      <c r="AI231" s="157">
        <f t="shared" si="5"/>
        <v>658561</v>
      </c>
      <c r="AJ231" s="157">
        <f t="shared" si="5"/>
        <v>287786</v>
      </c>
    </row>
    <row r="232" spans="1:37" s="8" customFormat="1" ht="13.5" thickBot="1" x14ac:dyDescent="0.25">
      <c r="A232" s="135" t="s">
        <v>351</v>
      </c>
      <c r="B232" s="135"/>
      <c r="C232" s="157">
        <f>+TRUNC(([104]CONCILIACION!$B$47-(C262*1500))/1700,3)</f>
        <v>308004.35399999999</v>
      </c>
      <c r="D232" s="157">
        <f>+TRUNC(([105]CONCILIACION!$B$47-(D262*1500))/1700,3)</f>
        <v>248374.08799999999</v>
      </c>
      <c r="E232" s="157">
        <f>+TRUNC(([106]CONCILIACION!$B$47-(E262*1500))/1700,3)</f>
        <v>175758.20499999999</v>
      </c>
      <c r="F232" s="157">
        <f>+TRUNC(([107]CONCILIACION!$B$47-(F262*1500))/1700,3)</f>
        <v>150266.17600000001</v>
      </c>
      <c r="G232" s="157">
        <f>+TRUNC(([108]CONCILIACION!$B$47-(G262*1500))/1700,3)</f>
        <v>102912</v>
      </c>
      <c r="H232" s="157">
        <f>+TRUNC(([109]CONCILIACION!$B$47-(H262*1500))/1700,3)</f>
        <v>40737.088000000003</v>
      </c>
      <c r="I232" s="157">
        <f>+TRUNC(([110]CONCILIACION!$B$47-(I262*1500))/1700,3)</f>
        <v>275045.70500000002</v>
      </c>
      <c r="J232" s="157">
        <f>+TRUNC(([111]CONCILIACION!$B$47-(J262*1500))/1700,3)</f>
        <v>186589.91099999999</v>
      </c>
      <c r="K232" s="157">
        <f>+TRUNC(([112]CONCILIACION!$B$47-(K262*1500))/1700,3)</f>
        <v>159444.764</v>
      </c>
      <c r="L232" s="157">
        <f>+TRUNC(([113]CONCILIACION!$B$47-(L262*1500))/1700,3)</f>
        <v>164969.67600000001</v>
      </c>
      <c r="M232" s="157">
        <f>+TRUNC(([114]CONCILIACION!$B$47-(M262*1500))/1700,3)</f>
        <v>140729</v>
      </c>
      <c r="N232" s="157">
        <f>+TRUNC(([115]CONCILIACION!$B$47-(N262*1500))/1700,3)</f>
        <v>97284.058999999994</v>
      </c>
      <c r="O232" s="157">
        <f>+TRUNC(([116]CONCILIACION!$B$47-(O262*1500))/1700,3)</f>
        <v>37570.146999999997</v>
      </c>
      <c r="P232" s="157">
        <f>+TRUNC(([117]CONCILIACION!$B$47-(P262*1500))/1700,3)</f>
        <v>273568.91200000001</v>
      </c>
      <c r="Q232" s="157">
        <f>+TRUNC(([118]CONCILIACION!$B$47-(Q262*1500))/1700,3)</f>
        <v>273422.32400000002</v>
      </c>
      <c r="R232" s="157">
        <f>+TRUNC(([119]CONCILIACION!$B$47-(R262*1500))/1700,3)</f>
        <v>263998.23499999999</v>
      </c>
      <c r="S232" s="157">
        <f>+TRUNC(([120]CONCILIACION!$B$47-(S262*1500))/1700,3)</f>
        <v>205808.47500000001</v>
      </c>
      <c r="T232" s="157">
        <f>+TRUNC(([121]CONCILIACION!$B$47-(T262*1500))/1700,3)</f>
        <v>159049.05900000001</v>
      </c>
      <c r="U232" s="157">
        <f>+TRUNC(([122]CONCILIACION!$B$47-(U262*1500))/1700,3)</f>
        <v>103926.765</v>
      </c>
      <c r="V232" s="157">
        <f>+TRUNC(([123]CONCILIACION!$B$47-(V262*1500))/1700,3)</f>
        <v>38837.205000000002</v>
      </c>
      <c r="W232" s="157">
        <f>+TRUNC(([124]CONCILIACION!$B$47-(W262*1500))/1700,3)</f>
        <v>276663.35200000001</v>
      </c>
      <c r="X232" s="157">
        <f>+TRUNC(([125]CONCILIACION!$B$47-(X262*1500))/1700,3)</f>
        <v>185834.52900000001</v>
      </c>
      <c r="Y232" s="157">
        <f>+TRUNC(([103]CONCILIACION!$B$49-(Y262*1500))/1700,3)</f>
        <v>165483.97</v>
      </c>
      <c r="Z232" s="157">
        <f>+TRUNC(([126]CONCILIACION!$B$47-(Z262*1500))/1700,3)</f>
        <v>151415.55799999999</v>
      </c>
      <c r="AA232" s="157">
        <f>+TRUNC(([127]CONCILIACION!$B$47-(AA262*1500))/1700,3)</f>
        <v>162701.58799999999</v>
      </c>
      <c r="AB232" s="157">
        <f>+TRUNC(([128]CONCILIACION!$B$47-(AB262*1500))/1700,3)</f>
        <v>115242.03</v>
      </c>
      <c r="AC232" s="157">
        <f>+TRUNC(([129]CONCILIACION!$B$47-(AC262*1500))/1700,3)</f>
        <v>42810.057999999997</v>
      </c>
      <c r="AD232" s="157">
        <f>+TRUNC(([130]CONCILIACION!$B$47-(AD262*1500))/1700,3)</f>
        <v>398225.26400000002</v>
      </c>
      <c r="AE232" s="157">
        <f>+TRUNC(([131]CONCILIACION!$B$47-(AE262*1500))/1700,3)</f>
        <v>336582.76500000001</v>
      </c>
      <c r="AF232" s="157">
        <f>+TRUNC(([132]CONCILIACION!$B$47-(AF262*1500))/1700,3)</f>
        <v>259288.37</v>
      </c>
      <c r="AG232" s="157">
        <f>+TRUNC(([133]CONCILIACION!$B$47-(AG262*1500))/1700,3)</f>
        <v>206346.86199999999</v>
      </c>
      <c r="AH232" s="157">
        <f>+TRUNC(([134]CONCILIACION!$B$47-(AH262*1500))/1700,3)</f>
        <v>161776.21100000001</v>
      </c>
      <c r="AI232" s="157">
        <f>+TRUNC(([135]CONCILIACION!$B$47-(AI262*1500))/1700,3)</f>
        <v>108140.558</v>
      </c>
      <c r="AJ232" s="157">
        <f>+TRUNC(([136]CONCILIACION!$B$47-(AJ262*1500))/1700,3)</f>
        <v>40893.705000000002</v>
      </c>
    </row>
    <row r="233" spans="1:37" s="8" customFormat="1" ht="13.5" thickBot="1" x14ac:dyDescent="0.25">
      <c r="A233" s="135" t="s">
        <v>353</v>
      </c>
      <c r="B233" s="135"/>
      <c r="C233" s="157">
        <f t="shared" ref="C233:H233" si="6">+SUM(C231:C232)</f>
        <v>1270539.3540000001</v>
      </c>
      <c r="D233" s="157">
        <f t="shared" si="6"/>
        <v>1194533.088</v>
      </c>
      <c r="E233" s="157">
        <f t="shared" si="6"/>
        <v>1006977.205</v>
      </c>
      <c r="F233" s="157">
        <f t="shared" si="6"/>
        <v>979983.17599999998</v>
      </c>
      <c r="G233" s="157">
        <f t="shared" si="6"/>
        <v>706399</v>
      </c>
      <c r="H233" s="157">
        <f t="shared" si="6"/>
        <v>326098.08799999999</v>
      </c>
      <c r="I233" s="157">
        <f t="shared" ref="I233:O233" si="7">+SUM(I231:I232)</f>
        <v>1297631.7050000001</v>
      </c>
      <c r="J233" s="157">
        <f t="shared" si="7"/>
        <v>1082148.9110000001</v>
      </c>
      <c r="K233" s="157">
        <f t="shared" si="7"/>
        <v>1008588.764</v>
      </c>
      <c r="L233" s="157">
        <f t="shared" si="7"/>
        <v>1010670.676</v>
      </c>
      <c r="M233" s="157">
        <f t="shared" si="7"/>
        <v>965322</v>
      </c>
      <c r="N233" s="157">
        <f t="shared" si="7"/>
        <v>699215.05900000001</v>
      </c>
      <c r="O233" s="157">
        <f t="shared" si="7"/>
        <v>308288.147</v>
      </c>
      <c r="P233" s="157">
        <f t="shared" ref="P233:V233" si="8">+SUM(P231:P232)</f>
        <v>1311242.912</v>
      </c>
      <c r="Q233" s="157">
        <f t="shared" si="8"/>
        <v>1209231.324</v>
      </c>
      <c r="R233" s="157">
        <f t="shared" si="8"/>
        <v>1198918.2349999999</v>
      </c>
      <c r="S233" s="157">
        <f t="shared" si="8"/>
        <v>1092835.4750000001</v>
      </c>
      <c r="T233" s="157">
        <f t="shared" si="8"/>
        <v>1018556.059</v>
      </c>
      <c r="U233" s="157">
        <f t="shared" si="8"/>
        <v>725303.76500000001</v>
      </c>
      <c r="V233" s="157">
        <f t="shared" si="8"/>
        <v>321683.20500000002</v>
      </c>
      <c r="W233" s="157">
        <f t="shared" ref="W233:AC233" si="9">+SUM(W231:W232)</f>
        <v>1320447.352</v>
      </c>
      <c r="X233" s="157">
        <f t="shared" si="9"/>
        <v>1082865.5290000001</v>
      </c>
      <c r="Y233" s="157">
        <f t="shared" si="9"/>
        <v>1033140.97</v>
      </c>
      <c r="Z233" s="157">
        <f t="shared" si="9"/>
        <v>988762.55799999996</v>
      </c>
      <c r="AA233" s="157">
        <f t="shared" si="9"/>
        <v>1013619.588</v>
      </c>
      <c r="AB233" s="157">
        <f t="shared" si="9"/>
        <v>749442.03</v>
      </c>
      <c r="AC233" s="157">
        <f t="shared" si="9"/>
        <v>326751.05800000002</v>
      </c>
      <c r="AD233" s="157">
        <f t="shared" ref="AD233:AF233" si="10">+SUM(AD231:AD232)</f>
        <v>1533496.264</v>
      </c>
      <c r="AE233" s="157">
        <f t="shared" si="10"/>
        <v>1383774.7650000001</v>
      </c>
      <c r="AF233" s="157">
        <f t="shared" si="10"/>
        <v>1239647.3700000001</v>
      </c>
      <c r="AG233" s="157">
        <f t="shared" ref="AG233:AJ233" si="11">+SUM(AG231:AG232)</f>
        <v>1126049.862</v>
      </c>
      <c r="AH233" s="157">
        <f t="shared" si="11"/>
        <v>1057749.2110000001</v>
      </c>
      <c r="AI233" s="157">
        <f t="shared" si="11"/>
        <v>766701.55799999996</v>
      </c>
      <c r="AJ233" s="157">
        <f t="shared" si="11"/>
        <v>328679.70500000002</v>
      </c>
      <c r="AK233" s="17">
        <f>SUM(C233:AD233)</f>
        <v>26782691.496999994</v>
      </c>
    </row>
    <row r="234" spans="1:37" s="8" customFormat="1" ht="13.5" thickBot="1" x14ac:dyDescent="0.25">
      <c r="A234" s="136" t="s">
        <v>177</v>
      </c>
      <c r="B234" s="136"/>
      <c r="C234" s="158">
        <f t="shared" ref="C234:H234" si="12">SUM(C163:C230)</f>
        <v>456500</v>
      </c>
      <c r="D234" s="158">
        <f t="shared" si="12"/>
        <v>430965</v>
      </c>
      <c r="E234" s="158">
        <f t="shared" si="12"/>
        <v>356861</v>
      </c>
      <c r="F234" s="158">
        <f t="shared" si="12"/>
        <v>361719</v>
      </c>
      <c r="G234" s="158">
        <f t="shared" si="12"/>
        <v>274243</v>
      </c>
      <c r="H234" s="158">
        <f t="shared" si="12"/>
        <v>133388</v>
      </c>
      <c r="I234" s="158">
        <f t="shared" ref="I234:O234" si="13">SUM(I163:I230)</f>
        <v>488729</v>
      </c>
      <c r="J234" s="158">
        <f t="shared" si="13"/>
        <v>402340</v>
      </c>
      <c r="K234" s="158">
        <f t="shared" si="13"/>
        <v>381491</v>
      </c>
      <c r="L234" s="158">
        <f t="shared" si="13"/>
        <v>377414</v>
      </c>
      <c r="M234" s="158">
        <f t="shared" si="13"/>
        <v>364343</v>
      </c>
      <c r="N234" s="158">
        <f t="shared" si="13"/>
        <v>274404</v>
      </c>
      <c r="O234" s="158">
        <f t="shared" si="13"/>
        <v>126033</v>
      </c>
      <c r="P234" s="158">
        <f t="shared" ref="P234:V234" si="14">SUM(P163:P230)</f>
        <v>459814</v>
      </c>
      <c r="Q234" s="158">
        <f t="shared" si="14"/>
        <v>379392</v>
      </c>
      <c r="R234" s="158">
        <f t="shared" si="14"/>
        <v>401276</v>
      </c>
      <c r="S234" s="158">
        <f t="shared" si="14"/>
        <v>386061</v>
      </c>
      <c r="T234" s="158">
        <f t="shared" si="14"/>
        <v>376074</v>
      </c>
      <c r="U234" s="158">
        <f t="shared" si="14"/>
        <v>282008</v>
      </c>
      <c r="V234" s="158">
        <f t="shared" si="14"/>
        <v>127562</v>
      </c>
      <c r="W234" s="158">
        <f t="shared" ref="W234:AC234" si="15">SUM(W163:W230)</f>
        <v>491378</v>
      </c>
      <c r="X234" s="158">
        <f t="shared" si="15"/>
        <v>400673</v>
      </c>
      <c r="Y234" s="158">
        <f t="shared" si="15"/>
        <v>380531</v>
      </c>
      <c r="Z234" s="158">
        <f t="shared" si="15"/>
        <v>370402</v>
      </c>
      <c r="AA234" s="158">
        <f t="shared" si="15"/>
        <v>371371</v>
      </c>
      <c r="AB234" s="158">
        <f t="shared" si="15"/>
        <v>286649</v>
      </c>
      <c r="AC234" s="158">
        <f t="shared" si="15"/>
        <v>135781</v>
      </c>
      <c r="AD234" s="158">
        <f t="shared" ref="AD234:AF234" si="16">SUM(AD163:AD230)</f>
        <v>532020</v>
      </c>
      <c r="AE234" s="158">
        <f t="shared" si="16"/>
        <v>481254</v>
      </c>
      <c r="AF234" s="158">
        <f t="shared" si="16"/>
        <v>451779</v>
      </c>
      <c r="AG234" s="158">
        <f t="shared" ref="AG234:AJ234" si="17">SUM(AG163:AG230)</f>
        <v>411304</v>
      </c>
      <c r="AH234" s="158">
        <f t="shared" si="17"/>
        <v>388007</v>
      </c>
      <c r="AI234" s="158">
        <f t="shared" si="17"/>
        <v>298893</v>
      </c>
      <c r="AJ234" s="158">
        <f t="shared" si="17"/>
        <v>133401</v>
      </c>
    </row>
    <row r="235" spans="1:37" s="8" customFormat="1" ht="13.5" thickBot="1" x14ac:dyDescent="0.25">
      <c r="A235" s="136" t="s">
        <v>355</v>
      </c>
      <c r="B235" s="136"/>
      <c r="C235" s="158">
        <f>+TRUNC(([171]CONCILIACION!$B$42/1700),3)</f>
        <v>154182.94099999999</v>
      </c>
      <c r="D235" s="158">
        <f>+TRUNC(([172]CONCILIACION!$B$42/1700),3)</f>
        <v>125168.117</v>
      </c>
      <c r="E235" s="158">
        <f>+TRUNC(([173]CONCILIACION!$B$42/1700),3)</f>
        <v>85312.528999999995</v>
      </c>
      <c r="F235" s="158">
        <f>+TRUNC(([174]CONCILIACION!$B$42/1700),3)</f>
        <v>72956.7</v>
      </c>
      <c r="G235" s="158">
        <f>+TRUNC(([175]CONCILIACION!$B$42/1700),3)</f>
        <v>51068</v>
      </c>
      <c r="H235" s="158">
        <f>+TRUNC(([176]CONCILIACION!$B$42/1700),3)</f>
        <v>22818.763999999999</v>
      </c>
      <c r="I235" s="158">
        <f>+TRUNC(([177]CONCILIACION!$B$42/1700),3)</f>
        <v>137907.97</v>
      </c>
      <c r="J235" s="158">
        <f>+TRUNC(([178]CONCILIACION!$B$42/1700),3)</f>
        <v>89703.646999999997</v>
      </c>
      <c r="K235" s="158">
        <f>+TRUNC(([179]CONCILIACION!$B$42/1700),3)</f>
        <v>77378.5</v>
      </c>
      <c r="L235" s="158">
        <f>+TRUNC(([180]CONCILIACION!$B$42/1700),3)</f>
        <v>77518.676999999996</v>
      </c>
      <c r="M235" s="158">
        <f>+TRUNC(([181]CONCILIACION!$B$42/1700),3)</f>
        <v>69544.910999999993</v>
      </c>
      <c r="N235" s="158">
        <f>+TRUNC(([182]CONCILIACION!$B$42/1700),3)</f>
        <v>47529.97</v>
      </c>
      <c r="O235" s="158">
        <f>+TRUNC(([183]CONCILIACION!$B$42/1700),3)</f>
        <v>19083.440999999999</v>
      </c>
      <c r="P235" s="158">
        <f>+TRUNC(([184]CONCILIACION!$B$42/1700),3)</f>
        <v>115476.79399999999</v>
      </c>
      <c r="Q235" s="158">
        <f>+TRUNC(([185]CONCILIACION!$B$42/1700),3)</f>
        <v>105677.882</v>
      </c>
      <c r="R235" s="158">
        <f>+TRUNC(([186]CONCILIACION!$B$42/1700),3)</f>
        <v>125059.02899999999</v>
      </c>
      <c r="S235" s="158">
        <f>+TRUNC(([187]CONCILIACION!$B$42/1700),3)</f>
        <v>112403.54700000001</v>
      </c>
      <c r="T235" s="158">
        <f>+TRUNC(([188]CONCILIACION!$B$42/1700),3)</f>
        <v>81838.5</v>
      </c>
      <c r="U235" s="158">
        <f>+TRUNC(([189]CONCILIACION!$B$42/1700),3)</f>
        <v>51088.381999999998</v>
      </c>
      <c r="V235" s="158">
        <f>+TRUNC(([190]CONCILIACION!$B$42/1700),3)</f>
        <v>20878.616999999998</v>
      </c>
      <c r="W235" s="158">
        <f>+TRUNC(([191]CONCILIACION!$B$42/1700),3)</f>
        <v>134082.5</v>
      </c>
      <c r="X235" s="158">
        <f>+TRUNC(([192]CONCILIACION!$B$42/1700),3)</f>
        <v>87262.97</v>
      </c>
      <c r="Y235" s="158">
        <f>+TRUNC(([193]CONCILIACION!$B$42/1700),3)</f>
        <v>78663.146999999997</v>
      </c>
      <c r="Z235" s="158">
        <f>+TRUNC(([194]CONCILIACION!$B$42/1700),3)</f>
        <v>74417.941000000006</v>
      </c>
      <c r="AA235" s="158">
        <f>+TRUNC(([195]CONCILIACION!$B$42/1700),3)</f>
        <v>74909</v>
      </c>
      <c r="AB235" s="158">
        <f>+TRUNC(([196]CONCILIACION!$B$42/1700),3)</f>
        <v>56468.588000000003</v>
      </c>
      <c r="AC235" s="158">
        <f>+TRUNC(([197]CONCILIACION!$B$42/1700),3)</f>
        <v>23937.058000000001</v>
      </c>
      <c r="AD235" s="158">
        <f>+TRUNC(([198]CONCILIACION!$B$42/1700),3)</f>
        <v>177453.91099999999</v>
      </c>
      <c r="AE235" s="158">
        <f>+TRUNC(([199]CONCILIACION!$B$42/1700),3)</f>
        <v>160470.764</v>
      </c>
      <c r="AF235" s="158">
        <f>+TRUNC(([200]CONCILIACION!$B$42/1700),3)</f>
        <v>130657.088</v>
      </c>
      <c r="AG235" s="158">
        <f>+TRUNC(([201]CONCILIACION!$B$42/1700),3)</f>
        <v>101936.352</v>
      </c>
      <c r="AH235" s="158">
        <f>+TRUNC(([202]CONCILIACION!$B$42/1700),3)</f>
        <v>79242.705000000002</v>
      </c>
      <c r="AI235" s="158">
        <f>+TRUNC(([203]CONCILIACION!$B$42/1700),3)</f>
        <v>53557.47</v>
      </c>
      <c r="AJ235" s="158">
        <f>+TRUNC(([204]CONCILIACION!$B$42/1700),3)</f>
        <v>21014.028999999999</v>
      </c>
    </row>
    <row r="236" spans="1:37" s="8" customFormat="1" ht="13.5" thickBot="1" x14ac:dyDescent="0.25">
      <c r="A236" s="136" t="s">
        <v>356</v>
      </c>
      <c r="B236" s="136"/>
      <c r="C236" s="159">
        <f t="shared" ref="C236:H236" si="18">+SUM(C234:C235)</f>
        <v>610682.94099999999</v>
      </c>
      <c r="D236" s="159">
        <f t="shared" si="18"/>
        <v>556133.11699999997</v>
      </c>
      <c r="E236" s="159">
        <f t="shared" si="18"/>
        <v>442173.52899999998</v>
      </c>
      <c r="F236" s="159">
        <f t="shared" si="18"/>
        <v>434675.7</v>
      </c>
      <c r="G236" s="159">
        <f t="shared" si="18"/>
        <v>325311</v>
      </c>
      <c r="H236" s="159">
        <f t="shared" si="18"/>
        <v>156206.764</v>
      </c>
      <c r="I236" s="159">
        <f t="shared" ref="I236:O236" si="19">+SUM(I234:I235)</f>
        <v>626636.97</v>
      </c>
      <c r="J236" s="159">
        <f t="shared" si="19"/>
        <v>492043.647</v>
      </c>
      <c r="K236" s="159">
        <f t="shared" si="19"/>
        <v>458869.5</v>
      </c>
      <c r="L236" s="159">
        <f t="shared" si="19"/>
        <v>454932.67700000003</v>
      </c>
      <c r="M236" s="159">
        <f t="shared" si="19"/>
        <v>433887.91099999996</v>
      </c>
      <c r="N236" s="159">
        <f t="shared" si="19"/>
        <v>321933.96999999997</v>
      </c>
      <c r="O236" s="159">
        <f t="shared" si="19"/>
        <v>145116.44099999999</v>
      </c>
      <c r="P236" s="159">
        <f t="shared" ref="P236:V236" si="20">+SUM(P234:P235)</f>
        <v>575290.79399999999</v>
      </c>
      <c r="Q236" s="159">
        <f t="shared" si="20"/>
        <v>485069.88199999998</v>
      </c>
      <c r="R236" s="159">
        <f t="shared" si="20"/>
        <v>526335.02899999998</v>
      </c>
      <c r="S236" s="159">
        <f t="shared" si="20"/>
        <v>498464.54700000002</v>
      </c>
      <c r="T236" s="159">
        <f t="shared" si="20"/>
        <v>457912.5</v>
      </c>
      <c r="U236" s="159">
        <f t="shared" si="20"/>
        <v>333096.38199999998</v>
      </c>
      <c r="V236" s="159">
        <f t="shared" si="20"/>
        <v>148440.617</v>
      </c>
      <c r="W236" s="159">
        <f t="shared" ref="W236:AC236" si="21">+SUM(W234:W235)</f>
        <v>625460.5</v>
      </c>
      <c r="X236" s="159">
        <f t="shared" si="21"/>
        <v>487935.97</v>
      </c>
      <c r="Y236" s="159">
        <f t="shared" si="21"/>
        <v>459194.147</v>
      </c>
      <c r="Z236" s="159">
        <f t="shared" si="21"/>
        <v>444819.94099999999</v>
      </c>
      <c r="AA236" s="159">
        <f t="shared" si="21"/>
        <v>446280</v>
      </c>
      <c r="AB236" s="159">
        <f t="shared" si="21"/>
        <v>343117.58799999999</v>
      </c>
      <c r="AC236" s="159">
        <f t="shared" si="21"/>
        <v>159718.05799999999</v>
      </c>
      <c r="AD236" s="159">
        <f t="shared" ref="AD236:AF236" si="22">+SUM(AD234:AD235)</f>
        <v>709473.91099999996</v>
      </c>
      <c r="AE236" s="159">
        <f t="shared" si="22"/>
        <v>641724.76399999997</v>
      </c>
      <c r="AF236" s="159">
        <f t="shared" si="22"/>
        <v>582436.08799999999</v>
      </c>
      <c r="AG236" s="159">
        <f t="shared" ref="AG236:AJ236" si="23">+SUM(AG234:AG235)</f>
        <v>513240.35200000001</v>
      </c>
      <c r="AH236" s="159">
        <f t="shared" si="23"/>
        <v>467249.70500000002</v>
      </c>
      <c r="AI236" s="159">
        <f t="shared" si="23"/>
        <v>352450.47</v>
      </c>
      <c r="AJ236" s="159">
        <f t="shared" si="23"/>
        <v>154415.02900000001</v>
      </c>
      <c r="AK236" s="17">
        <f>SUM(C236:AD236)</f>
        <v>12159214.033</v>
      </c>
    </row>
    <row r="237" spans="1:37" s="8" customFormat="1" x14ac:dyDescent="0.2">
      <c r="A237" s="355" t="s">
        <v>430</v>
      </c>
      <c r="B237" s="354"/>
      <c r="C237" s="382">
        <f>+TRUNC(([104]CONCILIACION!$B$47+-(C262*1500+Entradas!C184*800))/1700,3)+C231</f>
        <v>1269433.4709999999</v>
      </c>
      <c r="D237" s="382">
        <f>+TRUNC(([105]CONCILIACION!$B$47+-(D262*1500+Entradas!D184*800))/1700,3)+D231</f>
        <v>1193419.206</v>
      </c>
      <c r="E237" s="382">
        <f>+TRUNC(([106]CONCILIACION!$B$47+-(E262*1500+Entradas!E184*800))/1700,3)+E231</f>
        <v>1005619.558</v>
      </c>
      <c r="F237" s="382">
        <f>+TRUNC(([107]CONCILIACION!$B$47+-(F262*1500+Entradas!F184*800))/1700,3)+F231</f>
        <v>978938.94099999999</v>
      </c>
      <c r="G237" s="382">
        <f>+TRUNC(([108]CONCILIACION!$B$47+-(G262*1500+Entradas!G184*800))/1700,3)+G231</f>
        <v>706202.76399999997</v>
      </c>
      <c r="H237" s="382">
        <f>+TRUNC(([109]CONCILIACION!$B$47+-(H262*1500+Entradas!H184*800))/1700,3)+H231</f>
        <v>326098.08799999999</v>
      </c>
      <c r="I237" s="382">
        <f>+TRUNC(([110]CONCILIACION!$B$47+-(I262*1500+Entradas!I184*800))/1700,3)+I231</f>
        <v>1296498.058</v>
      </c>
      <c r="J237" s="382">
        <f>+TRUNC(([111]CONCILIACION!$B$47+-(J262*1500+Entradas!J184*800))/1700,3)+J231</f>
        <v>1080961.1469999999</v>
      </c>
      <c r="K237" s="382">
        <f>+TRUNC(([112]CONCILIACION!$B$47+-(K262*1500+Entradas!K184*800))/1700,3)+K231</f>
        <v>1007329.941</v>
      </c>
      <c r="L237" s="382">
        <f>+TRUNC(([113]CONCILIACION!$B$47+-(L262*1500+Entradas!L184*800))/1700,3)+L231</f>
        <v>1009518.205</v>
      </c>
      <c r="M237" s="382">
        <f>+TRUNC(([114]CONCILIACION!$B$47+-(M262*1500+Entradas!M184*800))/1700,3)+M231</f>
        <v>964261.29399999999</v>
      </c>
      <c r="N237" s="382">
        <f>+TRUNC(([115]CONCILIACION!$B$47+-(N262*1500+Entradas!N184*800))/1700,3)+N231</f>
        <v>699032.94099999999</v>
      </c>
      <c r="O237" s="382">
        <f>+TRUNC(([116]CONCILIACION!$B$47+-(O262*1500+Entradas!O184*800))/1700,3)+O231</f>
        <v>308288.147</v>
      </c>
      <c r="P237" s="382">
        <f>+TRUNC(([117]CONCILIACION!$B$47+-(P262*1500+Entradas!P184*800))/1700,3)+P231</f>
        <v>1310069.7349999999</v>
      </c>
      <c r="Q237" s="382">
        <f>+TRUNC(([118]CONCILIACION!$B$47+-(Q262*1500+Entradas!Q184*800))/1700,3)+Q231</f>
        <v>1208059.088</v>
      </c>
      <c r="R237" s="382">
        <f>+TRUNC(([119]CONCILIACION!$B$47+-(R262*1500+Entradas!R184*800))/1700,3)+R231</f>
        <v>1197742.2349999999</v>
      </c>
      <c r="S237" s="382">
        <f>+TRUNC(([120]CONCILIACION!$B$47+-(S262*1500+Entradas!S184*800))/1700,3)+S231</f>
        <v>1091678.2990000001</v>
      </c>
      <c r="T237" s="382">
        <f>+TRUNC(([121]CONCILIACION!$B$47+-(T262*1500+Entradas!T184*800))/1700,3)+T231</f>
        <v>1017457.706</v>
      </c>
      <c r="U237" s="382">
        <f>+TRUNC(([122]CONCILIACION!$B$47+-(U262*1500+Entradas!U184*800))/1700,3)+U231</f>
        <v>725105.647</v>
      </c>
      <c r="V237" s="382">
        <f>+TRUNC(([123]CONCILIACION!$B$47+-(V262*1500+Entradas!V184*800))/1700,3)+V231</f>
        <v>321683.20500000002</v>
      </c>
      <c r="W237" s="382">
        <f>+TRUNC(([124]CONCILIACION!$B$47+-(W262*1500+Entradas!W184*800))/1700,3)+W231</f>
        <v>1319269.9410000001</v>
      </c>
      <c r="X237" s="382">
        <f>+TRUNC(([125]CONCILIACION!$B$47+-(X262*1500+Entradas!X184*800))/1700,3)+X231</f>
        <v>1081621.294</v>
      </c>
      <c r="Y237" s="382">
        <f>+TRUNC(([103]CONCILIACION!$B$49+-(Y262*1500+Entradas!Y184*800))/1700,3)+Y231</f>
        <v>1031934.852</v>
      </c>
      <c r="Z237" s="382">
        <f>+TRUNC(([126]CONCILIACION!$B$47+-(Z262*1500+Entradas!Z184*800))/1700,3)+Z231</f>
        <v>987592.20499999996</v>
      </c>
      <c r="AA237" s="382">
        <f>+TRUNC(([127]CONCILIACION!$B$47+-(AA262*1500+Entradas!AA184*800))/1700,3)+AA231</f>
        <v>1012525</v>
      </c>
      <c r="AB237" s="382">
        <f>+TRUNC(([128]CONCILIACION!$B$47+-(AB262*1500+Entradas!AB184*800))/1700,3)+AB231</f>
        <v>749210.5</v>
      </c>
      <c r="AC237" s="382">
        <f>+TRUNC(([129]CONCILIACION!$B$47+-(AC262*1500+Entradas!AC184*800))/1700,3)+AC231</f>
        <v>326751.05800000002</v>
      </c>
      <c r="AD237" s="382">
        <f>+TRUNC(([130]CONCILIACION!$B$47+-(AD262*1500+Entradas!AD184*800))/1700,3)+AD231</f>
        <v>1532328.7349999999</v>
      </c>
      <c r="AE237" s="382">
        <f>+TRUNC(([131]CONCILIACION!$B$47+-(AE262*1500+Entradas!AE184*800))/1700,3)+AE231</f>
        <v>1382532.882</v>
      </c>
      <c r="AF237" s="382">
        <f>+TRUNC(([132]CONCILIACION!$B$47+-(AF262*1500+Entradas!AF184*800))/1700,3)+AF231</f>
        <v>1238420.075</v>
      </c>
      <c r="AG237" s="382">
        <f>+TRUNC(([133]CONCILIACION!$B$47+-(AG262*1500+Entradas!AG184*800))/1700,3)+AG231</f>
        <v>1124798.098</v>
      </c>
      <c r="AH237" s="382">
        <f>+TRUNC(([134]CONCILIACION!$B$47+-(AH262*1500+Entradas!AH184*800))/1700,3)+AH231</f>
        <v>1056666.858</v>
      </c>
      <c r="AI237" s="382">
        <f>+TRUNC(([135]CONCILIACION!$B$47+-(AI262*1500+Entradas!AI184*800))/1700,3)+AI231</f>
        <v>766494.97</v>
      </c>
      <c r="AJ237" s="382">
        <f>+TRUNC(([136]CONCILIACION!$B$47+-(AJ262*1500+Entradas!AJ184*800))/1700,3)+AJ231</f>
        <v>328679.70500000002</v>
      </c>
    </row>
    <row r="238" spans="1:37" s="8" customFormat="1" x14ac:dyDescent="0.2">
      <c r="C238" s="8">
        <f t="shared" ref="C238:H238" si="24">+C237-C233</f>
        <v>-1105.8830000001471</v>
      </c>
      <c r="D238" s="8">
        <f t="shared" si="24"/>
        <v>-1113.8819999999832</v>
      </c>
      <c r="E238" s="8">
        <f t="shared" si="24"/>
        <v>-1357.6469999999972</v>
      </c>
      <c r="F238" s="8">
        <f t="shared" si="24"/>
        <v>-1044.234999999986</v>
      </c>
      <c r="G238" s="8">
        <f t="shared" si="24"/>
        <v>-196.23600000003353</v>
      </c>
      <c r="H238" s="8">
        <f t="shared" si="24"/>
        <v>0</v>
      </c>
      <c r="I238" s="8">
        <f t="shared" ref="I238:O238" si="25">+I237-I233</f>
        <v>-1133.6470000001136</v>
      </c>
      <c r="J238" s="8">
        <f t="shared" si="25"/>
        <v>-1187.7640000001993</v>
      </c>
      <c r="K238" s="8">
        <f t="shared" si="25"/>
        <v>-1258.8229999999749</v>
      </c>
      <c r="L238" s="8">
        <f t="shared" si="25"/>
        <v>-1152.4710000000196</v>
      </c>
      <c r="M238" s="8">
        <f t="shared" si="25"/>
        <v>-1060.7060000000056</v>
      </c>
      <c r="N238" s="8">
        <f t="shared" si="25"/>
        <v>-182.11800000001676</v>
      </c>
      <c r="O238" s="8">
        <f t="shared" si="25"/>
        <v>0</v>
      </c>
      <c r="P238" s="8">
        <f t="shared" ref="P238:V238" si="26">+P237-P233</f>
        <v>-1173.1770000001416</v>
      </c>
      <c r="Q238" s="8">
        <f t="shared" si="26"/>
        <v>-1172.2360000000335</v>
      </c>
      <c r="R238" s="8">
        <f t="shared" si="26"/>
        <v>-1176</v>
      </c>
      <c r="S238" s="8">
        <f t="shared" si="26"/>
        <v>-1157.1759999999776</v>
      </c>
      <c r="T238" s="8">
        <f t="shared" si="26"/>
        <v>-1098.3530000000028</v>
      </c>
      <c r="U238" s="8">
        <f t="shared" si="26"/>
        <v>-198.11800000001676</v>
      </c>
      <c r="V238" s="8">
        <f t="shared" si="26"/>
        <v>0</v>
      </c>
      <c r="W238" s="8">
        <f t="shared" ref="W238:AC238" si="27">+W237-W233</f>
        <v>-1177.4109999998473</v>
      </c>
      <c r="X238" s="8">
        <f t="shared" si="27"/>
        <v>-1244.2350000001024</v>
      </c>
      <c r="Y238" s="8">
        <f t="shared" si="27"/>
        <v>-1206.1180000000168</v>
      </c>
      <c r="Z238" s="8">
        <f t="shared" si="27"/>
        <v>-1170.3530000000028</v>
      </c>
      <c r="AA238" s="8">
        <f t="shared" si="27"/>
        <v>-1094.5879999999888</v>
      </c>
      <c r="AB238" s="8">
        <f t="shared" si="27"/>
        <v>-231.53000000002794</v>
      </c>
      <c r="AC238" s="8">
        <f t="shared" si="27"/>
        <v>0</v>
      </c>
      <c r="AD238" s="8">
        <f t="shared" ref="AD238:AF238" si="28">+AD237-AD233</f>
        <v>-1167.5290000000969</v>
      </c>
      <c r="AE238" s="8">
        <f t="shared" si="28"/>
        <v>-1241.8830000001471</v>
      </c>
      <c r="AF238" s="8">
        <f t="shared" si="28"/>
        <v>-1227.2950000001583</v>
      </c>
      <c r="AG238" s="8">
        <f t="shared" ref="AG238:AJ238" si="29">+AG237-AG233</f>
        <v>-1251.7639999999665</v>
      </c>
      <c r="AH238" s="8">
        <f t="shared" si="29"/>
        <v>-1082.3530000001192</v>
      </c>
      <c r="AI238" s="8">
        <f t="shared" si="29"/>
        <v>-206.58799999998882</v>
      </c>
      <c r="AJ238" s="8">
        <f t="shared" si="29"/>
        <v>0</v>
      </c>
    </row>
    <row r="239" spans="1:37" s="12" customFormat="1" ht="14.25" x14ac:dyDescent="0.2">
      <c r="A239" s="119" t="s">
        <v>357</v>
      </c>
      <c r="B239" s="7"/>
      <c r="C239" s="145">
        <f>+C233-[104]CONCILIACION!$D$52</f>
        <v>0</v>
      </c>
      <c r="D239" s="145">
        <f>+D233-[105]CONCILIACION!$D$52</f>
        <v>0</v>
      </c>
      <c r="E239" s="145">
        <f>+E233-[106]CONCILIACION!$D$52</f>
        <v>0</v>
      </c>
      <c r="F239" s="145">
        <f>+F233-[107]CONCILIACION!$D$52</f>
        <v>0</v>
      </c>
      <c r="G239" s="145">
        <f>+G233-[108]CONCILIACION!$D$52</f>
        <v>0</v>
      </c>
      <c r="H239" s="145">
        <f>+H233-[109]CONCILIACION!$D$52</f>
        <v>0</v>
      </c>
      <c r="I239" s="145">
        <f>+I233-[110]CONCILIACION!$D$52</f>
        <v>0</v>
      </c>
      <c r="J239" s="145">
        <f>+J233-[111]CONCILIACION!$D$52</f>
        <v>0</v>
      </c>
      <c r="K239" s="145">
        <f>+K233-[112]CONCILIACION!$D$52</f>
        <v>0</v>
      </c>
      <c r="L239" s="145">
        <f>+L233-[113]CONCILIACION!$D$52</f>
        <v>0</v>
      </c>
      <c r="M239" s="145">
        <f>+M233-[114]CONCILIACION!$D$52</f>
        <v>0</v>
      </c>
      <c r="N239" s="145">
        <f>+N233-[115]CONCILIACION!$D$52</f>
        <v>0</v>
      </c>
      <c r="O239" s="145">
        <f>+O233-[116]CONCILIACION!$D$52</f>
        <v>0</v>
      </c>
      <c r="P239" s="145">
        <f>+P233-[117]CONCILIACION!$D$52</f>
        <v>0</v>
      </c>
      <c r="Q239" s="145">
        <f>+Q233-[118]CONCILIACION!$D$52</f>
        <v>0</v>
      </c>
      <c r="R239" s="145">
        <f>+R233-[119]CONCILIACION!$D$52</f>
        <v>0</v>
      </c>
      <c r="S239" s="145">
        <f>+S233-[120]CONCILIACION!$D$52</f>
        <v>0</v>
      </c>
      <c r="T239" s="145">
        <f>+T233-[121]CONCILIACION!$D$52</f>
        <v>0</v>
      </c>
      <c r="U239" s="145">
        <f>+U233-[122]CONCILIACION!$D$52</f>
        <v>0</v>
      </c>
      <c r="V239" s="145">
        <f>+V233-[123]CONCILIACION!$D$52</f>
        <v>0</v>
      </c>
      <c r="W239" s="145">
        <f>+W233-[124]CONCILIACION!$D$52</f>
        <v>0</v>
      </c>
      <c r="X239" s="145">
        <f>+X233-[125]CONCILIACION!$D$52</f>
        <v>0</v>
      </c>
      <c r="Y239" s="145">
        <f>+Y233-[103]CONCILIACION!$D$54</f>
        <v>0</v>
      </c>
      <c r="Z239" s="145">
        <f>+Z233-[126]CONCILIACION!$D$52</f>
        <v>0</v>
      </c>
      <c r="AA239" s="145">
        <f>+AA233-[127]CONCILIACION!$D$52</f>
        <v>0</v>
      </c>
      <c r="AB239" s="145">
        <f>+AB233-[128]CONCILIACION!$D$52</f>
        <v>0</v>
      </c>
      <c r="AC239" s="145">
        <f>+AC233-[129]CONCILIACION!$D$52</f>
        <v>0</v>
      </c>
      <c r="AD239" s="145">
        <f>+AD233-[130]CONCILIACION!$D$52</f>
        <v>0</v>
      </c>
      <c r="AE239" s="145">
        <f>+AE233-[131]CONCILIACION!$D$52</f>
        <v>0</v>
      </c>
      <c r="AF239" s="145">
        <f>+AF233-[132]CONCILIACION!$D$52</f>
        <v>0</v>
      </c>
      <c r="AG239" s="145">
        <f>+AG233-[133]CONCILIACION!$D$52</f>
        <v>0</v>
      </c>
      <c r="AH239" s="145">
        <f>+AH233-[134]CONCILIACION!$D$52</f>
        <v>0</v>
      </c>
      <c r="AI239" s="145">
        <f>+AI233-[135]CONCILIACION!$D$52</f>
        <v>0</v>
      </c>
      <c r="AJ239" s="145">
        <f>+AJ233-[136]CONCILIACION!$D$52</f>
        <v>0</v>
      </c>
    </row>
    <row r="240" spans="1:37" s="12" customFormat="1" ht="14.25" x14ac:dyDescent="0.2">
      <c r="A240" s="119" t="s">
        <v>358</v>
      </c>
      <c r="B240" s="7"/>
      <c r="C240" s="145">
        <f>+C236-[171]CONCILIACION!$D$47</f>
        <v>0</v>
      </c>
      <c r="D240" s="145">
        <f>+D236-[172]CONCILIACION!$D$47</f>
        <v>0</v>
      </c>
      <c r="E240" s="145">
        <f>+E236-[173]CONCILIACION!$D$47</f>
        <v>0</v>
      </c>
      <c r="F240" s="145">
        <f>+F236-[174]CONCILIACION!$D$47</f>
        <v>0</v>
      </c>
      <c r="G240" s="145">
        <f>+G236-[175]CONCILIACION!$D$47</f>
        <v>0</v>
      </c>
      <c r="H240" s="145">
        <f>+H236-[176]CONCILIACION!$D$47</f>
        <v>0</v>
      </c>
      <c r="I240" s="145">
        <f>+I236-[177]CONCILIACION!$D$47</f>
        <v>0</v>
      </c>
      <c r="J240" s="145">
        <f>+J236-[178]CONCILIACION!$D$47</f>
        <v>0</v>
      </c>
      <c r="K240" s="145">
        <f>+K236-[179]CONCILIACION!$D$47</f>
        <v>0</v>
      </c>
      <c r="L240" s="145">
        <f>+L236-[180]CONCILIACION!$D$47</f>
        <v>0</v>
      </c>
      <c r="M240" s="145">
        <f>+M236-[181]CONCILIACION!$D$47</f>
        <v>0</v>
      </c>
      <c r="N240" s="145">
        <f>+N236-[182]CONCILIACION!$D$47</f>
        <v>0</v>
      </c>
      <c r="O240" s="145">
        <f>+O236-[183]CONCILIACION!$D$47</f>
        <v>0</v>
      </c>
      <c r="P240" s="145">
        <f>+P236-[184]CONCILIACION!$D$47</f>
        <v>0</v>
      </c>
      <c r="Q240" s="145">
        <f>+Q236-[185]CONCILIACION!$D$47</f>
        <v>0</v>
      </c>
      <c r="R240" s="145">
        <f>+R236-[186]CONCILIACION!$D$47</f>
        <v>0</v>
      </c>
      <c r="S240" s="145">
        <f>+S236-[187]CONCILIACION!$D$47</f>
        <v>0</v>
      </c>
      <c r="T240" s="145">
        <f>+T236-[188]CONCILIACION!$D$47</f>
        <v>0</v>
      </c>
      <c r="U240" s="145">
        <f>+U236-[189]CONCILIACION!$D$47</f>
        <v>0</v>
      </c>
      <c r="V240" s="145">
        <f>+V236-[190]CONCILIACION!$D$47</f>
        <v>0</v>
      </c>
      <c r="W240" s="145">
        <f>+W236-[191]CONCILIACION!$D$47</f>
        <v>0</v>
      </c>
      <c r="X240" s="145">
        <f>+X236-[192]CONCILIACION!$D$47</f>
        <v>0</v>
      </c>
      <c r="Y240" s="145">
        <f>+Y236-[193]CONCILIACION!$D$47</f>
        <v>0</v>
      </c>
      <c r="Z240" s="145">
        <f>+Z236-[194]CONCILIACION!$D$47</f>
        <v>0</v>
      </c>
      <c r="AA240" s="145">
        <f>+AA236-[195]CONCILIACION!$D$47</f>
        <v>0</v>
      </c>
      <c r="AB240" s="145">
        <f>+AB236-[196]CONCILIACION!$D$47</f>
        <v>0</v>
      </c>
      <c r="AC240" s="145">
        <f>+AC236-[197]CONCILIACION!$D$47</f>
        <v>0</v>
      </c>
      <c r="AD240" s="145">
        <f>+AD236-[198]CONCILIACION!$D$47</f>
        <v>0</v>
      </c>
      <c r="AE240" s="145">
        <f>+AE236-[199]CONCILIACION!$D$47</f>
        <v>0</v>
      </c>
      <c r="AF240" s="145">
        <f>+AF236-[200]CONCILIACION!$D$47</f>
        <v>0</v>
      </c>
      <c r="AG240" s="145">
        <f>+AG236-[201]CONCILIACION!$D$47</f>
        <v>0</v>
      </c>
      <c r="AH240" s="145">
        <f>+AH236-[202]CONCILIACION!$D$47</f>
        <v>0</v>
      </c>
      <c r="AI240" s="145">
        <f>+AI236-[203]CONCILIACION!$D$47</f>
        <v>0</v>
      </c>
      <c r="AJ240" s="145">
        <f>+AJ236-[204]CONCILIACION!$D$47</f>
        <v>0</v>
      </c>
    </row>
    <row r="241" spans="1:36" s="12" customFormat="1" x14ac:dyDescent="0.2">
      <c r="A241" s="120" t="s">
        <v>165</v>
      </c>
      <c r="B241" s="121"/>
      <c r="C241" s="153">
        <f t="shared" ref="C241:H241" si="30">C236+C233</f>
        <v>1881222.2949999999</v>
      </c>
      <c r="D241" s="153">
        <f t="shared" si="30"/>
        <v>1750666.2050000001</v>
      </c>
      <c r="E241" s="153">
        <f t="shared" si="30"/>
        <v>1449150.7339999999</v>
      </c>
      <c r="F241" s="153">
        <f t="shared" si="30"/>
        <v>1414658.8759999999</v>
      </c>
      <c r="G241" s="153">
        <f t="shared" si="30"/>
        <v>1031710</v>
      </c>
      <c r="H241" s="153">
        <f t="shared" si="30"/>
        <v>482304.85199999996</v>
      </c>
      <c r="I241" s="153">
        <f t="shared" ref="I241:O241" si="31">I236+I233</f>
        <v>1924268.675</v>
      </c>
      <c r="J241" s="153">
        <f t="shared" si="31"/>
        <v>1574192.5580000002</v>
      </c>
      <c r="K241" s="153">
        <f t="shared" si="31"/>
        <v>1467458.264</v>
      </c>
      <c r="L241" s="153">
        <f t="shared" si="31"/>
        <v>1465603.3530000001</v>
      </c>
      <c r="M241" s="153">
        <f t="shared" si="31"/>
        <v>1399209.9109999998</v>
      </c>
      <c r="N241" s="153">
        <f t="shared" si="31"/>
        <v>1021149.029</v>
      </c>
      <c r="O241" s="153">
        <f t="shared" si="31"/>
        <v>453404.58799999999</v>
      </c>
      <c r="P241" s="153">
        <f t="shared" ref="P241:V241" si="32">P236+P233</f>
        <v>1886533.706</v>
      </c>
      <c r="Q241" s="153">
        <f t="shared" si="32"/>
        <v>1694301.206</v>
      </c>
      <c r="R241" s="153">
        <f t="shared" si="32"/>
        <v>1725253.264</v>
      </c>
      <c r="S241" s="153">
        <f t="shared" si="32"/>
        <v>1591300.0220000001</v>
      </c>
      <c r="T241" s="153">
        <f t="shared" si="32"/>
        <v>1476468.5589999999</v>
      </c>
      <c r="U241" s="153">
        <f t="shared" si="32"/>
        <v>1058400.1469999999</v>
      </c>
      <c r="V241" s="153">
        <f t="shared" si="32"/>
        <v>470123.82200000004</v>
      </c>
      <c r="W241" s="153">
        <f t="shared" ref="W241:AC241" si="33">W236+W233</f>
        <v>1945907.852</v>
      </c>
      <c r="X241" s="153">
        <f t="shared" si="33"/>
        <v>1570801.4990000001</v>
      </c>
      <c r="Y241" s="153">
        <f t="shared" si="33"/>
        <v>1492335.1170000001</v>
      </c>
      <c r="Z241" s="153">
        <f t="shared" si="33"/>
        <v>1433582.4989999998</v>
      </c>
      <c r="AA241" s="153">
        <f t="shared" si="33"/>
        <v>1459899.588</v>
      </c>
      <c r="AB241" s="153">
        <f t="shared" si="33"/>
        <v>1092559.618</v>
      </c>
      <c r="AC241" s="153">
        <f t="shared" si="33"/>
        <v>486469.11600000004</v>
      </c>
      <c r="AD241" s="153">
        <f t="shared" ref="AD241:AF241" si="34">AD236+AD233</f>
        <v>2242970.1749999998</v>
      </c>
      <c r="AE241" s="153">
        <f t="shared" si="34"/>
        <v>2025499.5290000001</v>
      </c>
      <c r="AF241" s="153">
        <f t="shared" si="34"/>
        <v>1822083.4580000001</v>
      </c>
      <c r="AG241" s="153">
        <f t="shared" ref="AG241:AJ241" si="35">AG236+AG233</f>
        <v>1639290.2139999999</v>
      </c>
      <c r="AH241" s="153">
        <f t="shared" si="35"/>
        <v>1524998.9160000002</v>
      </c>
      <c r="AI241" s="153">
        <f t="shared" si="35"/>
        <v>1119152.0279999999</v>
      </c>
      <c r="AJ241" s="153">
        <f t="shared" si="35"/>
        <v>483094.73400000005</v>
      </c>
    </row>
    <row r="242" spans="1:36" s="12" customFormat="1" x14ac:dyDescent="0.2">
      <c r="A242" s="355" t="s">
        <v>431</v>
      </c>
      <c r="B242" s="356"/>
      <c r="C242" s="357">
        <f t="shared" ref="C242:H242" si="36">+C236+C237</f>
        <v>1880116.412</v>
      </c>
      <c r="D242" s="357">
        <f t="shared" si="36"/>
        <v>1749552.3229999999</v>
      </c>
      <c r="E242" s="357">
        <f t="shared" si="36"/>
        <v>1447793.0869999998</v>
      </c>
      <c r="F242" s="357">
        <f t="shared" si="36"/>
        <v>1413614.6410000001</v>
      </c>
      <c r="G242" s="357">
        <f t="shared" si="36"/>
        <v>1031513.764</v>
      </c>
      <c r="H242" s="357">
        <f t="shared" si="36"/>
        <v>482304.85199999996</v>
      </c>
      <c r="I242" s="357">
        <f t="shared" ref="I242:O242" si="37">+I236+I237</f>
        <v>1923135.0279999999</v>
      </c>
      <c r="J242" s="357">
        <f t="shared" si="37"/>
        <v>1573004.7939999998</v>
      </c>
      <c r="K242" s="357">
        <f t="shared" si="37"/>
        <v>1466199.4410000001</v>
      </c>
      <c r="L242" s="357">
        <f t="shared" si="37"/>
        <v>1464450.882</v>
      </c>
      <c r="M242" s="357">
        <f t="shared" si="37"/>
        <v>1398149.2050000001</v>
      </c>
      <c r="N242" s="357">
        <f t="shared" si="37"/>
        <v>1020966.911</v>
      </c>
      <c r="O242" s="357">
        <f t="shared" si="37"/>
        <v>453404.58799999999</v>
      </c>
      <c r="P242" s="357">
        <f t="shared" ref="P242:V242" si="38">+P236+P237</f>
        <v>1885360.5289999999</v>
      </c>
      <c r="Q242" s="357">
        <f t="shared" si="38"/>
        <v>1693128.97</v>
      </c>
      <c r="R242" s="357">
        <f t="shared" si="38"/>
        <v>1724077.264</v>
      </c>
      <c r="S242" s="357">
        <f t="shared" si="38"/>
        <v>1590142.8460000001</v>
      </c>
      <c r="T242" s="357">
        <f t="shared" si="38"/>
        <v>1475370.206</v>
      </c>
      <c r="U242" s="357">
        <f t="shared" si="38"/>
        <v>1058202.0290000001</v>
      </c>
      <c r="V242" s="357">
        <f t="shared" si="38"/>
        <v>470123.82200000004</v>
      </c>
      <c r="W242" s="357">
        <f t="shared" ref="W242:AC242" si="39">+W236+W237</f>
        <v>1944730.4410000001</v>
      </c>
      <c r="X242" s="357">
        <f t="shared" si="39"/>
        <v>1569557.264</v>
      </c>
      <c r="Y242" s="357">
        <f t="shared" si="39"/>
        <v>1491128.9989999998</v>
      </c>
      <c r="Z242" s="357">
        <f t="shared" si="39"/>
        <v>1432412.1459999999</v>
      </c>
      <c r="AA242" s="357">
        <f t="shared" si="39"/>
        <v>1458805</v>
      </c>
      <c r="AB242" s="357">
        <f t="shared" si="39"/>
        <v>1092328.088</v>
      </c>
      <c r="AC242" s="357">
        <f t="shared" si="39"/>
        <v>486469.11600000004</v>
      </c>
      <c r="AD242" s="357">
        <f t="shared" ref="AD242:AF242" si="40">+AD236+AD237</f>
        <v>2241802.6459999997</v>
      </c>
      <c r="AE242" s="357">
        <f t="shared" si="40"/>
        <v>2024257.6459999999</v>
      </c>
      <c r="AF242" s="357">
        <f t="shared" si="40"/>
        <v>1820856.1629999999</v>
      </c>
      <c r="AG242" s="357">
        <f t="shared" ref="AG242:AJ242" si="41">+AG236+AG237</f>
        <v>1638038.45</v>
      </c>
      <c r="AH242" s="357">
        <f t="shared" si="41"/>
        <v>1523916.5630000001</v>
      </c>
      <c r="AI242" s="357">
        <f t="shared" si="41"/>
        <v>1118945.44</v>
      </c>
      <c r="AJ242" s="357">
        <f t="shared" si="41"/>
        <v>483094.73400000005</v>
      </c>
    </row>
    <row r="243" spans="1:36" s="8" customFormat="1" x14ac:dyDescent="0.2">
      <c r="A243"/>
      <c r="B243"/>
      <c r="C243" s="4">
        <f t="shared" ref="C243:H243" si="42">+C241-C242</f>
        <v>1105.8829999999143</v>
      </c>
      <c r="D243" s="4">
        <f t="shared" si="42"/>
        <v>1113.8820000002161</v>
      </c>
      <c r="E243" s="4">
        <f t="shared" si="42"/>
        <v>1357.6470000001136</v>
      </c>
      <c r="F243" s="4">
        <f t="shared" si="42"/>
        <v>1044.2349999998696</v>
      </c>
      <c r="G243" s="4">
        <f t="shared" si="42"/>
        <v>196.23600000003353</v>
      </c>
      <c r="H243" s="4">
        <f t="shared" si="42"/>
        <v>0</v>
      </c>
      <c r="I243" s="4">
        <f t="shared" ref="I243:O243" si="43">+I241-I242</f>
        <v>1133.6470000001136</v>
      </c>
      <c r="J243" s="4">
        <f t="shared" si="43"/>
        <v>1187.7640000004321</v>
      </c>
      <c r="K243" s="4">
        <f t="shared" si="43"/>
        <v>1258.8229999998584</v>
      </c>
      <c r="L243" s="4">
        <f t="shared" si="43"/>
        <v>1152.471000000136</v>
      </c>
      <c r="M243" s="4">
        <f t="shared" si="43"/>
        <v>1060.7059999997728</v>
      </c>
      <c r="N243" s="4">
        <f t="shared" si="43"/>
        <v>182.11800000001676</v>
      </c>
      <c r="O243" s="4">
        <f t="shared" si="43"/>
        <v>0</v>
      </c>
      <c r="P243" s="4">
        <f t="shared" ref="P243:V243" si="44">+P241-P242</f>
        <v>1173.1770000001416</v>
      </c>
      <c r="Q243" s="4">
        <f t="shared" si="44"/>
        <v>1172.2360000000335</v>
      </c>
      <c r="R243" s="4">
        <f t="shared" si="44"/>
        <v>1176</v>
      </c>
      <c r="S243" s="4">
        <f t="shared" si="44"/>
        <v>1157.1759999999776</v>
      </c>
      <c r="T243" s="4">
        <f t="shared" si="44"/>
        <v>1098.3529999998864</v>
      </c>
      <c r="U243" s="4">
        <f t="shared" si="44"/>
        <v>198.11799999978393</v>
      </c>
      <c r="V243" s="4">
        <f t="shared" si="44"/>
        <v>0</v>
      </c>
      <c r="W243" s="4">
        <f t="shared" ref="W243:AC243" si="45">+W241-W242</f>
        <v>1177.4109999998473</v>
      </c>
      <c r="X243" s="4">
        <f t="shared" si="45"/>
        <v>1244.2350000001024</v>
      </c>
      <c r="Y243" s="4">
        <f t="shared" si="45"/>
        <v>1206.1180000002496</v>
      </c>
      <c r="Z243" s="4">
        <f t="shared" si="45"/>
        <v>1170.3529999998864</v>
      </c>
      <c r="AA243" s="4">
        <f t="shared" si="45"/>
        <v>1094.5879999999888</v>
      </c>
      <c r="AB243" s="4">
        <f t="shared" si="45"/>
        <v>231.53000000002794</v>
      </c>
      <c r="AC243" s="4">
        <f t="shared" si="45"/>
        <v>0</v>
      </c>
      <c r="AD243" s="4">
        <f t="shared" ref="AD243:AF243" si="46">+AD241-AD242</f>
        <v>1167.5290000000969</v>
      </c>
      <c r="AE243" s="4">
        <f t="shared" si="46"/>
        <v>1241.8830000001471</v>
      </c>
      <c r="AF243" s="4">
        <f t="shared" si="46"/>
        <v>1227.2950000001583</v>
      </c>
      <c r="AG243" s="4">
        <f t="shared" ref="AG243:AJ243" si="47">+AG241-AG242</f>
        <v>1251.7639999999665</v>
      </c>
      <c r="AH243" s="4">
        <f t="shared" si="47"/>
        <v>1082.3530000001192</v>
      </c>
      <c r="AI243" s="4">
        <f t="shared" si="47"/>
        <v>206.58799999998882</v>
      </c>
      <c r="AJ243" s="4">
        <f t="shared" si="47"/>
        <v>0</v>
      </c>
    </row>
    <row r="244" spans="1:36" s="8" customFormat="1" x14ac:dyDescent="0.2">
      <c r="A244" s="31" t="s">
        <v>164</v>
      </c>
      <c r="B244" s="31"/>
      <c r="C244" s="8">
        <f>+[104]CONCILIACION!$D$39</f>
        <v>2145741702</v>
      </c>
      <c r="D244" s="8">
        <f>+[105]CONCILIACION!$D$39</f>
        <v>2015548251</v>
      </c>
      <c r="E244" s="8">
        <f>+[106]CONCILIACION!$D$39</f>
        <v>1696641650</v>
      </c>
      <c r="F244" s="8">
        <f>+[107]CONCILIACION!$D$39</f>
        <v>1651268200</v>
      </c>
      <c r="G244" s="8">
        <f>+[108]CONCILIACION!$D$39</f>
        <v>1192026300</v>
      </c>
      <c r="H244" s="8">
        <f>+[109]CONCILIACION!$D$39</f>
        <v>550360950</v>
      </c>
      <c r="I244" s="8">
        <f>+[110]CONCILIACION!$D$39</f>
        <v>2190657300</v>
      </c>
      <c r="J244" s="8">
        <f>+[111]CONCILIACION!$D$39</f>
        <v>1824237350</v>
      </c>
      <c r="K244" s="8">
        <f>+[112]CONCILIACION!$D$39</f>
        <v>1699809300</v>
      </c>
      <c r="L244" s="8">
        <f>+[113]CONCILIACION!$D$39</f>
        <v>1702942150</v>
      </c>
      <c r="M244" s="8">
        <f>+[114]CONCILIACION!$D$39</f>
        <v>1626353600</v>
      </c>
      <c r="N244" s="8">
        <f>+[115]CONCILIACION!$D$39</f>
        <v>1179744001</v>
      </c>
      <c r="O244" s="8">
        <f>+[116]CONCILIACION!$D$39</f>
        <v>520394650</v>
      </c>
      <c r="P244" s="8">
        <f>+[117]CONCILIACION!$D$39</f>
        <v>2213499751</v>
      </c>
      <c r="Q244" s="8">
        <f>+[118]CONCILIACION!$D$39</f>
        <v>2040553251</v>
      </c>
      <c r="R244" s="8">
        <f>+[119]CONCILIACION!$D$39</f>
        <v>2022969800</v>
      </c>
      <c r="S244" s="8">
        <f>+[120]CONCILIACION!$D$39</f>
        <v>1842710309</v>
      </c>
      <c r="T244" s="8">
        <f>+[121]CONCILIACION!$D$39</f>
        <v>1716562701</v>
      </c>
      <c r="U244" s="8">
        <f>+[122]CONCILIACION!$D$39</f>
        <v>1224068801</v>
      </c>
      <c r="V244" s="8">
        <f>+[123]CONCILIACION!$D$39</f>
        <v>542846850</v>
      </c>
      <c r="W244" s="8">
        <f>+[124]CONCILIACION!$D$39</f>
        <v>2229057300</v>
      </c>
      <c r="X244" s="8">
        <f>+[125]CONCILIACION!$D$39</f>
        <v>1825493000</v>
      </c>
      <c r="Y244" s="8">
        <f>+[103]CONCILIACION!$D$39</f>
        <v>1741151850</v>
      </c>
      <c r="Z244" s="8">
        <f>+[126]CONCILIACION!$D$39</f>
        <v>1665938550</v>
      </c>
      <c r="AA244" s="8">
        <f>+[127]CONCILIACION!$D$39</f>
        <v>1708194501</v>
      </c>
      <c r="AB244" s="8">
        <f>+[128]CONCILIACION!$D$39</f>
        <v>1264884051</v>
      </c>
      <c r="AC244" s="8">
        <f>+[129]CONCILIACION!$D$39</f>
        <v>551688000</v>
      </c>
      <c r="AD244" s="8">
        <f>+[130]CONCILIACION!$D$39</f>
        <v>2591291250</v>
      </c>
      <c r="AE244" s="8">
        <f>+[131]CONCILIACION!$D$39</f>
        <v>2336647901</v>
      </c>
      <c r="AF244" s="8">
        <f>+[132]CONCILIACION!$D$39</f>
        <v>2091817729</v>
      </c>
      <c r="AG244" s="8">
        <f>+[133]CONCILIACION!$D$39</f>
        <v>1898788367</v>
      </c>
      <c r="AH244" s="8">
        <f>+[134]CONCILIACION!$D$39</f>
        <v>1782810059</v>
      </c>
      <c r="AI244" s="8">
        <f>+[135]CONCILIACION!$D$39</f>
        <v>1293896250</v>
      </c>
      <c r="AJ244" s="8">
        <f>+[136]CONCILIACION!$D$39</f>
        <v>554874700</v>
      </c>
    </row>
    <row r="245" spans="1:36" s="8" customFormat="1" x14ac:dyDescent="0.2">
      <c r="A245" s="32" t="s">
        <v>45</v>
      </c>
      <c r="B245" s="32"/>
      <c r="C245" s="8">
        <f t="shared" ref="C245:H245" si="48">+(C233*1700)-((C259-C260)*200)</f>
        <v>2145741701.8000002</v>
      </c>
      <c r="D245" s="8">
        <f t="shared" si="48"/>
        <v>2015548249.5999999</v>
      </c>
      <c r="E245" s="8">
        <f t="shared" si="48"/>
        <v>1696641648.5</v>
      </c>
      <c r="F245" s="8">
        <f t="shared" si="48"/>
        <v>1651268199.2</v>
      </c>
      <c r="G245" s="8">
        <f t="shared" si="48"/>
        <v>1192026300</v>
      </c>
      <c r="H245" s="8">
        <f t="shared" si="48"/>
        <v>550360949.60000002</v>
      </c>
      <c r="I245" s="8">
        <f t="shared" ref="I245:O245" si="49">+(I233*1700)-((I259-I260)*200)</f>
        <v>2190657298.5</v>
      </c>
      <c r="J245" s="8">
        <f t="shared" si="49"/>
        <v>1824237348.7</v>
      </c>
      <c r="K245" s="8">
        <f t="shared" si="49"/>
        <v>1699809298.8</v>
      </c>
      <c r="L245" s="8">
        <f t="shared" si="49"/>
        <v>1702942149.2</v>
      </c>
      <c r="M245" s="8">
        <f t="shared" si="49"/>
        <v>1626353600</v>
      </c>
      <c r="N245" s="8">
        <f t="shared" si="49"/>
        <v>1179744000.3</v>
      </c>
      <c r="O245" s="8">
        <f t="shared" si="49"/>
        <v>520394649.89999998</v>
      </c>
      <c r="P245" s="8">
        <f t="shared" ref="P245:V245" si="50">+(P233*1700)-((P259-P260)*200)</f>
        <v>2213499750.4000001</v>
      </c>
      <c r="Q245" s="8">
        <f t="shared" si="50"/>
        <v>2040553250.8</v>
      </c>
      <c r="R245" s="8">
        <f t="shared" si="50"/>
        <v>2022969799.4999998</v>
      </c>
      <c r="S245" s="8">
        <f t="shared" si="50"/>
        <v>1842710307.5000002</v>
      </c>
      <c r="T245" s="8">
        <f t="shared" si="50"/>
        <v>1716562700.3</v>
      </c>
      <c r="U245" s="8">
        <f t="shared" si="50"/>
        <v>1224068800.5</v>
      </c>
      <c r="V245" s="8">
        <f t="shared" si="50"/>
        <v>542846848.5</v>
      </c>
      <c r="W245" s="8">
        <f t="shared" ref="W245:AC245" si="51">+(W233*1700)-((W259-W260)*200)</f>
        <v>2229057298.4000001</v>
      </c>
      <c r="X245" s="8">
        <f t="shared" si="51"/>
        <v>1825492999.3000002</v>
      </c>
      <c r="Y245" s="8">
        <f t="shared" si="51"/>
        <v>1741151849</v>
      </c>
      <c r="Z245" s="8">
        <f t="shared" si="51"/>
        <v>1665938548.5999999</v>
      </c>
      <c r="AA245" s="8">
        <f t="shared" si="51"/>
        <v>1708194499.5999999</v>
      </c>
      <c r="AB245" s="8">
        <f t="shared" si="51"/>
        <v>1264884051</v>
      </c>
      <c r="AC245" s="8">
        <f t="shared" si="51"/>
        <v>551687998.60000002</v>
      </c>
      <c r="AD245" s="8">
        <f t="shared" ref="AD245:AF245" si="52">+(AD233*1700)-((AD259-AD260)*200)</f>
        <v>2591291248.7999997</v>
      </c>
      <c r="AE245" s="8">
        <f t="shared" si="52"/>
        <v>2336647900.5</v>
      </c>
      <c r="AF245" s="8">
        <f t="shared" si="52"/>
        <v>2091817729.0000002</v>
      </c>
      <c r="AG245" s="8">
        <f t="shared" ref="AG245:AJ245" si="53">+(AG233*1700)-((AG259-AG260)*200)</f>
        <v>1898788365.3999999</v>
      </c>
      <c r="AH245" s="8">
        <f t="shared" si="53"/>
        <v>1782810058.7000003</v>
      </c>
      <c r="AI245" s="8">
        <f t="shared" si="53"/>
        <v>1293896248.5999999</v>
      </c>
      <c r="AJ245" s="8">
        <f t="shared" si="53"/>
        <v>554874698.5</v>
      </c>
    </row>
    <row r="246" spans="1:36" s="8" customFormat="1" x14ac:dyDescent="0.2">
      <c r="A246" s="122" t="s">
        <v>46</v>
      </c>
      <c r="B246" s="122"/>
      <c r="C246" s="217">
        <f t="shared" ref="C246:H246" si="54">+C244-C245</f>
        <v>0.19999980926513672</v>
      </c>
      <c r="D246" s="217">
        <f t="shared" si="54"/>
        <v>1.4000000953674316</v>
      </c>
      <c r="E246" s="217">
        <f t="shared" si="54"/>
        <v>1.5</v>
      </c>
      <c r="F246" s="217">
        <f t="shared" si="54"/>
        <v>0.79999995231628418</v>
      </c>
      <c r="G246" s="217">
        <f t="shared" si="54"/>
        <v>0</v>
      </c>
      <c r="H246" s="217">
        <f t="shared" si="54"/>
        <v>0.39999997615814209</v>
      </c>
      <c r="I246" s="217">
        <f t="shared" ref="I246:O246" si="55">+I244-I245</f>
        <v>1.5</v>
      </c>
      <c r="J246" s="217">
        <f t="shared" si="55"/>
        <v>1.2999999523162842</v>
      </c>
      <c r="K246" s="217">
        <f t="shared" si="55"/>
        <v>1.2000000476837158</v>
      </c>
      <c r="L246" s="217">
        <f t="shared" si="55"/>
        <v>0.79999995231628418</v>
      </c>
      <c r="M246" s="217">
        <f t="shared" si="55"/>
        <v>0</v>
      </c>
      <c r="N246" s="217">
        <f t="shared" si="55"/>
        <v>0.70000004768371582</v>
      </c>
      <c r="O246" s="217">
        <f t="shared" si="55"/>
        <v>0.10000002384185791</v>
      </c>
      <c r="P246" s="217">
        <f t="shared" ref="P246:V246" si="56">+P244-P245</f>
        <v>0.59999990463256836</v>
      </c>
      <c r="Q246" s="217">
        <f t="shared" si="56"/>
        <v>0.20000004768371582</v>
      </c>
      <c r="R246" s="217">
        <f t="shared" si="56"/>
        <v>0.5000002384185791</v>
      </c>
      <c r="S246" s="217">
        <f t="shared" si="56"/>
        <v>1.4999997615814209</v>
      </c>
      <c r="T246" s="217">
        <f t="shared" si="56"/>
        <v>0.70000004768371582</v>
      </c>
      <c r="U246" s="217">
        <f t="shared" si="56"/>
        <v>0.5</v>
      </c>
      <c r="V246" s="217">
        <f t="shared" si="56"/>
        <v>1.5</v>
      </c>
      <c r="W246" s="217">
        <f t="shared" ref="W246:AC246" si="57">+W244-W245</f>
        <v>1.5999999046325684</v>
      </c>
      <c r="X246" s="217">
        <f t="shared" si="57"/>
        <v>0.69999980926513672</v>
      </c>
      <c r="Y246" s="217">
        <f t="shared" si="57"/>
        <v>1</v>
      </c>
      <c r="Z246" s="217">
        <f t="shared" si="57"/>
        <v>1.4000000953674316</v>
      </c>
      <c r="AA246" s="217">
        <f t="shared" si="57"/>
        <v>1.4000000953674316</v>
      </c>
      <c r="AB246" s="217">
        <f t="shared" si="57"/>
        <v>0</v>
      </c>
      <c r="AC246" s="217">
        <f t="shared" si="57"/>
        <v>1.3999999761581421</v>
      </c>
      <c r="AD246" s="217">
        <f t="shared" ref="AD246:AF246" si="58">+AD244-AD245</f>
        <v>1.2000002861022949</v>
      </c>
      <c r="AE246" s="217">
        <f t="shared" si="58"/>
        <v>0.5</v>
      </c>
      <c r="AF246" s="217">
        <f t="shared" si="58"/>
        <v>0</v>
      </c>
      <c r="AG246" s="217">
        <f t="shared" ref="AG246:AJ246" si="59">+AG244-AG245</f>
        <v>1.6000001430511475</v>
      </c>
      <c r="AH246" s="217">
        <f t="shared" si="59"/>
        <v>0.29999971389770508</v>
      </c>
      <c r="AI246" s="217">
        <f t="shared" si="59"/>
        <v>1.4000000953674316</v>
      </c>
      <c r="AJ246" s="217">
        <f t="shared" si="59"/>
        <v>1.5</v>
      </c>
    </row>
    <row r="247" spans="1:36" s="8" customForma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</row>
    <row r="248" spans="1:36" s="8" customFormat="1" x14ac:dyDescent="0.2">
      <c r="A248" s="4"/>
      <c r="B248" s="4"/>
      <c r="C248" s="26">
        <f>+C233-'[69]VENTAS TOTALES'!$M$143</f>
        <v>1270539.3540000001</v>
      </c>
      <c r="D248" s="26">
        <f>+D233-'[70]VENTAS TOTALES'!$M$143</f>
        <v>1194533.088</v>
      </c>
      <c r="E248" s="26">
        <f>+E233-'[71]VENTAS TOTALES'!$M$143</f>
        <v>1006977.205</v>
      </c>
      <c r="F248" s="26">
        <f>+F233-'[72]VENTAS TOTALES'!$M$143</f>
        <v>979983.17599999998</v>
      </c>
      <c r="G248" s="26">
        <f>+G233-'[73]VENTAS TOTALES'!$M$143</f>
        <v>706399</v>
      </c>
      <c r="H248" s="26">
        <f>+H233-'[74]VENTAS TOTALES'!$M$143</f>
        <v>326098.08799999999</v>
      </c>
      <c r="I248" s="26">
        <f>+I233-'[75]VENTAS TOTALES'!$M$143</f>
        <v>1297631.7050000001</v>
      </c>
      <c r="J248" s="26">
        <f>+J233-'[76]VENTAS TOTALES'!$M$143</f>
        <v>1082148.9110000001</v>
      </c>
      <c r="K248" s="26">
        <f>+K233-'[77]VENTAS TOTALES'!$M$143</f>
        <v>1008588.764</v>
      </c>
      <c r="L248" s="26">
        <f>+L233-'[78]VENTAS TOTALES'!$M$143</f>
        <v>1010670.676</v>
      </c>
      <c r="M248" s="26">
        <f>+M233-'[79]VENTAS TOTALES'!$M$143</f>
        <v>965322</v>
      </c>
      <c r="N248" s="26">
        <f>+N233-'[80]VENTAS TOTALES'!$M$143</f>
        <v>699215.05900000001</v>
      </c>
      <c r="O248" s="26">
        <f>+O233-'[81]VENTAS TOTALES'!$M$143</f>
        <v>308288.147</v>
      </c>
      <c r="P248" s="26">
        <f>+P233-'[82]VENTAS TOTALES'!$M$143</f>
        <v>1311242.912</v>
      </c>
      <c r="Q248" s="26">
        <f>+Q233-'[83]VENTAS TOTALES'!$M$143</f>
        <v>1209231.324</v>
      </c>
      <c r="R248" s="26">
        <f>+R233-'[84]VENTAS TOTALES'!$M$143</f>
        <v>1198918.2349999999</v>
      </c>
      <c r="S248" s="26">
        <f>+S233-'[85]VENTAS TOTALES'!$M$143</f>
        <v>1092835.4750000001</v>
      </c>
      <c r="T248" s="26">
        <f>+T233-'[86]VENTAS TOTALES'!$M$143</f>
        <v>1018556.059</v>
      </c>
      <c r="U248" s="26">
        <f>+U233-'[87]VENTAS TOTALES'!$M$143</f>
        <v>725303.76500000001</v>
      </c>
      <c r="V248" s="26">
        <f>+V233-'[88]VENTAS TOTALES'!$M$143</f>
        <v>321683.20500000002</v>
      </c>
      <c r="W248" s="26">
        <f>+W233-'[89]VENTAS TOTALES'!$M$143</f>
        <v>1320447.352</v>
      </c>
      <c r="X248" s="26">
        <f>+X233-'[90]VENTAS TOTALES'!$M$143</f>
        <v>1082865.5290000001</v>
      </c>
      <c r="Y248" s="26">
        <f>+Y233-'[91]VENTAS TOTALES'!$M$143</f>
        <v>1033140.97</v>
      </c>
      <c r="Z248" s="26">
        <f>+Z233-'[92]VENTAS TOTALES'!$M$143</f>
        <v>988762.55799999996</v>
      </c>
      <c r="AA248" s="26">
        <f>+AA233-'[93]VENTAS TOTALES'!$M$143</f>
        <v>1013619.588</v>
      </c>
      <c r="AB248" s="26">
        <f>+AB233-'[94]VENTAS TOTALES'!$M$143</f>
        <v>749442.03</v>
      </c>
      <c r="AC248" s="26">
        <f>+AC233-'[95]VENTAS TOTALES'!$M$143</f>
        <v>326751.05800000002</v>
      </c>
      <c r="AD248" s="26">
        <f>+AD233-'[96]VENTAS TOTALES'!$M$143</f>
        <v>1533496.264</v>
      </c>
      <c r="AE248" s="26">
        <f>+AE233-'[97]VENTAS TOTALES'!$M$143</f>
        <v>1383774.7650000001</v>
      </c>
      <c r="AF248" s="26">
        <f>+AF233-'[98]VENTAS TOTALES'!$M$143</f>
        <v>1239647.3700000001</v>
      </c>
      <c r="AG248" s="26">
        <f>+AG233-'[99]VENTAS TOTALES'!$M$143</f>
        <v>1126049.862</v>
      </c>
      <c r="AH248" s="26">
        <f>+AH233-'[100]VENTAS TOTALES'!$M$143</f>
        <v>1057749.2110000001</v>
      </c>
      <c r="AI248" s="26">
        <f>+AI233-'[101]VENTAS TOTALES'!$M$143</f>
        <v>766701.55799999996</v>
      </c>
      <c r="AJ248" s="26">
        <f>+AJ233-'[102]VENTAS TOTALES'!$M$143</f>
        <v>328679.70500000002</v>
      </c>
    </row>
    <row r="249" spans="1:36" s="8" customFormat="1" ht="12" customHeight="1" x14ac:dyDescent="0.2">
      <c r="A249" s="31" t="s">
        <v>166</v>
      </c>
      <c r="B249" s="31"/>
      <c r="C249" s="154">
        <f>+[171]CONCILIACION!$E$34</f>
        <v>1038210950</v>
      </c>
      <c r="D249" s="154">
        <f>+[172]CONCILIACION!$E$34</f>
        <v>945475950</v>
      </c>
      <c r="E249" s="154">
        <f>+[173]CONCILIACION!$E$34</f>
        <v>751748450</v>
      </c>
      <c r="F249" s="154">
        <f>+[174]CONCILIACION!$E$34</f>
        <v>739006400</v>
      </c>
      <c r="G249" s="154">
        <f>+[175]CONCILIACION!$E$34</f>
        <v>553072100</v>
      </c>
      <c r="H249" s="154">
        <f>+[176]CONCILIACION!$E$34</f>
        <v>265596650</v>
      </c>
      <c r="I249" s="154">
        <f>+[177]CONCILIACION!$E$34</f>
        <v>1065385900</v>
      </c>
      <c r="J249" s="154">
        <f>+[178]CONCILIACION!$E$34</f>
        <v>836509450</v>
      </c>
      <c r="K249" s="154">
        <f>+[179]CONCILIACION!$E$34</f>
        <v>780113500</v>
      </c>
      <c r="L249" s="154">
        <f>+[180]CONCILIACION!$E$34</f>
        <v>773447301</v>
      </c>
      <c r="M249" s="154">
        <f>+[181]CONCILIACION!$E$34</f>
        <v>737685850</v>
      </c>
      <c r="N249" s="154">
        <f>+[182]CONCILIACION!$E$34</f>
        <v>547317700</v>
      </c>
      <c r="O249" s="154">
        <f>+[183]CONCILIACION!$E$34</f>
        <v>246729750</v>
      </c>
      <c r="P249" s="154">
        <f>+[184]CONCILIACION!$E$34</f>
        <v>978098350</v>
      </c>
      <c r="Q249" s="154">
        <f>+[185]CONCILIACION!$E$34</f>
        <v>824639600</v>
      </c>
      <c r="R249" s="154">
        <f>+[186]CONCILIACION!$E$34</f>
        <v>894848250</v>
      </c>
      <c r="S249" s="154">
        <f>+[187]CONCILIACION!$E$34</f>
        <v>847416880</v>
      </c>
      <c r="T249" s="154">
        <f>+[188]CONCILIACION!$E$34</f>
        <v>778486350</v>
      </c>
      <c r="U249" s="154">
        <f>+[189]CONCILIACION!$E$34</f>
        <v>566287100</v>
      </c>
      <c r="V249" s="154">
        <f>+[190]CONCILIACION!$E$34</f>
        <v>252365500</v>
      </c>
      <c r="W249" s="154">
        <f>+[191]CONCILIACION!$E$34</f>
        <v>1063339750</v>
      </c>
      <c r="X249" s="154">
        <f>+[192]CONCILIACION!$E$34</f>
        <v>829532450</v>
      </c>
      <c r="Y249" s="154">
        <f>+[193]CONCILIACION!$E$34</f>
        <v>780678500</v>
      </c>
      <c r="Z249" s="154">
        <f>+[194]CONCILIACION!$E$34</f>
        <v>756279850</v>
      </c>
      <c r="AA249" s="154">
        <f>+[195]CONCILIACION!$E$34</f>
        <v>758710900</v>
      </c>
      <c r="AB249" s="154">
        <f>+[196]CONCILIACION!$E$34</f>
        <v>583339150</v>
      </c>
      <c r="AC249" s="154">
        <f>+[197]CONCILIACION!$E$34</f>
        <v>271538850</v>
      </c>
      <c r="AD249" s="154">
        <f>+[198]CONCILIACION!$E$34</f>
        <v>1206192500</v>
      </c>
      <c r="AE249" s="154">
        <f>+[199]CONCILIACION!$E$34</f>
        <v>1091121850</v>
      </c>
      <c r="AF249" s="154">
        <f>+[200]CONCILIACION!$E$34</f>
        <v>990194050</v>
      </c>
      <c r="AG249" s="154">
        <f>+[201]CONCILIACION!$E$34</f>
        <v>872553100</v>
      </c>
      <c r="AH249" s="154">
        <f>+[202]CONCILIACION!$E$34</f>
        <v>794370150</v>
      </c>
      <c r="AI249" s="154">
        <f>+[203]CONCILIACION!$E$34</f>
        <v>599213850</v>
      </c>
      <c r="AJ249" s="154">
        <f>+[204]CONCILIACION!$E$34</f>
        <v>262518150</v>
      </c>
    </row>
    <row r="250" spans="1:36" s="8" customFormat="1" x14ac:dyDescent="0.2">
      <c r="A250" s="32" t="s">
        <v>45</v>
      </c>
      <c r="B250" s="32"/>
      <c r="C250" s="154">
        <f t="shared" ref="C250:H250" si="60">+C236*1700</f>
        <v>1038160999.6999999</v>
      </c>
      <c r="D250" s="154">
        <f t="shared" si="60"/>
        <v>945426298.89999998</v>
      </c>
      <c r="E250" s="154">
        <f t="shared" si="60"/>
        <v>751694999.29999995</v>
      </c>
      <c r="F250" s="154">
        <f t="shared" si="60"/>
        <v>738948690</v>
      </c>
      <c r="G250" s="154">
        <f t="shared" si="60"/>
        <v>553028700</v>
      </c>
      <c r="H250" s="154">
        <f t="shared" si="60"/>
        <v>265551498.79999998</v>
      </c>
      <c r="I250" s="154">
        <f t="shared" ref="I250:O250" si="61">+I236*1700</f>
        <v>1065282849</v>
      </c>
      <c r="J250" s="154">
        <f t="shared" si="61"/>
        <v>836474199.89999998</v>
      </c>
      <c r="K250" s="154">
        <f t="shared" si="61"/>
        <v>780078150</v>
      </c>
      <c r="L250" s="154">
        <f t="shared" si="61"/>
        <v>773385550.9000001</v>
      </c>
      <c r="M250" s="154">
        <f t="shared" si="61"/>
        <v>737609448.69999993</v>
      </c>
      <c r="N250" s="154">
        <f t="shared" si="61"/>
        <v>547287749</v>
      </c>
      <c r="O250" s="154">
        <f t="shared" si="61"/>
        <v>246697949.69999999</v>
      </c>
      <c r="P250" s="154">
        <f t="shared" ref="P250:V250" si="62">+P236*1700</f>
        <v>977994349.79999995</v>
      </c>
      <c r="Q250" s="154">
        <f t="shared" si="62"/>
        <v>824618799.39999998</v>
      </c>
      <c r="R250" s="154">
        <f t="shared" si="62"/>
        <v>894769549.29999995</v>
      </c>
      <c r="S250" s="154">
        <f t="shared" si="62"/>
        <v>847389729.89999998</v>
      </c>
      <c r="T250" s="154">
        <f t="shared" si="62"/>
        <v>778451250</v>
      </c>
      <c r="U250" s="154">
        <f t="shared" si="62"/>
        <v>566263849.39999998</v>
      </c>
      <c r="V250" s="154">
        <f t="shared" si="62"/>
        <v>252349048.90000001</v>
      </c>
      <c r="W250" s="154">
        <f t="shared" ref="W250:AC250" si="63">+W236*1700</f>
        <v>1063282850</v>
      </c>
      <c r="X250" s="154">
        <f t="shared" si="63"/>
        <v>829491149</v>
      </c>
      <c r="Y250" s="154">
        <f t="shared" si="63"/>
        <v>780630049.89999998</v>
      </c>
      <c r="Z250" s="154">
        <f t="shared" si="63"/>
        <v>756193899.69999993</v>
      </c>
      <c r="AA250" s="154">
        <f t="shared" si="63"/>
        <v>758676000</v>
      </c>
      <c r="AB250" s="154">
        <f t="shared" si="63"/>
        <v>583299899.60000002</v>
      </c>
      <c r="AC250" s="154">
        <f t="shared" si="63"/>
        <v>271520698.59999996</v>
      </c>
      <c r="AD250" s="154">
        <f t="shared" ref="AD250:AF250" si="64">+AD236*1700</f>
        <v>1206105648.7</v>
      </c>
      <c r="AE250" s="154">
        <f t="shared" si="64"/>
        <v>1090932098.8</v>
      </c>
      <c r="AF250" s="154">
        <f t="shared" si="64"/>
        <v>990141349.60000002</v>
      </c>
      <c r="AG250" s="154">
        <f t="shared" ref="AG250:AJ250" si="65">+AG236*1700</f>
        <v>872508598.39999998</v>
      </c>
      <c r="AH250" s="154">
        <f t="shared" si="65"/>
        <v>794324498.5</v>
      </c>
      <c r="AI250" s="154">
        <f t="shared" si="65"/>
        <v>599165799</v>
      </c>
      <c r="AJ250" s="154">
        <f t="shared" si="65"/>
        <v>262505549.30000001</v>
      </c>
    </row>
    <row r="251" spans="1:36" s="12" customFormat="1" x14ac:dyDescent="0.2">
      <c r="A251" s="122" t="s">
        <v>46</v>
      </c>
      <c r="B251" s="122"/>
      <c r="C251" s="155">
        <f t="shared" ref="C251:H251" si="66">+C249-C250</f>
        <v>49950.300000071526</v>
      </c>
      <c r="D251" s="155">
        <f t="shared" si="66"/>
        <v>49651.100000023842</v>
      </c>
      <c r="E251" s="155">
        <f t="shared" si="66"/>
        <v>53450.700000047684</v>
      </c>
      <c r="F251" s="155">
        <f t="shared" si="66"/>
        <v>57710</v>
      </c>
      <c r="G251" s="155">
        <f t="shared" si="66"/>
        <v>43400</v>
      </c>
      <c r="H251" s="155">
        <f t="shared" si="66"/>
        <v>45151.200000017881</v>
      </c>
      <c r="I251" s="155">
        <f t="shared" ref="I251:O251" si="67">+I249-I250</f>
        <v>103051</v>
      </c>
      <c r="J251" s="155">
        <f t="shared" si="67"/>
        <v>35250.100000023842</v>
      </c>
      <c r="K251" s="155">
        <f t="shared" si="67"/>
        <v>35350</v>
      </c>
      <c r="L251" s="155">
        <f t="shared" si="67"/>
        <v>61750.099999904633</v>
      </c>
      <c r="M251" s="155">
        <f t="shared" si="67"/>
        <v>76401.300000071526</v>
      </c>
      <c r="N251" s="155">
        <f t="shared" si="67"/>
        <v>29951</v>
      </c>
      <c r="O251" s="155">
        <f t="shared" si="67"/>
        <v>31800.300000011921</v>
      </c>
      <c r="P251" s="155">
        <f t="shared" ref="P251:V251" si="68">+P249-P250</f>
        <v>104000.20000004768</v>
      </c>
      <c r="Q251" s="155">
        <f t="shared" si="68"/>
        <v>20800.600000023842</v>
      </c>
      <c r="R251" s="155">
        <f t="shared" si="68"/>
        <v>78700.700000047684</v>
      </c>
      <c r="S251" s="155">
        <f t="shared" si="68"/>
        <v>27150.100000023842</v>
      </c>
      <c r="T251" s="155">
        <f t="shared" si="68"/>
        <v>35100</v>
      </c>
      <c r="U251" s="155">
        <f t="shared" si="68"/>
        <v>23250.600000023842</v>
      </c>
      <c r="V251" s="155">
        <f t="shared" si="68"/>
        <v>16451.09999999404</v>
      </c>
      <c r="W251" s="155">
        <f t="shared" ref="W251:AC251" si="69">+W249-W250</f>
        <v>56900</v>
      </c>
      <c r="X251" s="155">
        <f t="shared" si="69"/>
        <v>41301</v>
      </c>
      <c r="Y251" s="155">
        <f t="shared" si="69"/>
        <v>48450.100000023842</v>
      </c>
      <c r="Z251" s="155">
        <f t="shared" si="69"/>
        <v>85950.300000071526</v>
      </c>
      <c r="AA251" s="155">
        <f t="shared" si="69"/>
        <v>34900</v>
      </c>
      <c r="AB251" s="155">
        <f t="shared" si="69"/>
        <v>39250.399999976158</v>
      </c>
      <c r="AC251" s="155">
        <f t="shared" si="69"/>
        <v>18151.400000035763</v>
      </c>
      <c r="AD251" s="155">
        <f t="shared" ref="AD251:AF251" si="70">+AD249-AD250</f>
        <v>86851.299999952316</v>
      </c>
      <c r="AE251" s="155">
        <f t="shared" si="70"/>
        <v>189751.20000004768</v>
      </c>
      <c r="AF251" s="155">
        <f t="shared" si="70"/>
        <v>52700.399999976158</v>
      </c>
      <c r="AG251" s="155">
        <f t="shared" ref="AG251:AJ251" si="71">+AG249-AG250</f>
        <v>44501.600000023842</v>
      </c>
      <c r="AH251" s="155">
        <f t="shared" si="71"/>
        <v>45651.5</v>
      </c>
      <c r="AI251" s="155">
        <f t="shared" si="71"/>
        <v>48051</v>
      </c>
      <c r="AJ251" s="155">
        <f t="shared" si="71"/>
        <v>12600.699999988079</v>
      </c>
    </row>
    <row r="252" spans="1:36" s="12" customFormat="1" x14ac:dyDescent="0.2">
      <c r="A252" s="152"/>
      <c r="B252" s="152"/>
      <c r="C252" s="218">
        <f>+C251-[171]CONCILIACION!$E$36</f>
        <v>0.30000007152557373</v>
      </c>
      <c r="D252" s="218">
        <f>+D251-[172]CONCILIACION!$E$36</f>
        <v>1.1000000238418579</v>
      </c>
      <c r="E252" s="218">
        <f>+E251-[173]CONCILIACION!$E$36</f>
        <v>0.70000004768371582</v>
      </c>
      <c r="F252" s="218">
        <f>+F251-[174]CONCILIACION!$E$36</f>
        <v>0</v>
      </c>
      <c r="G252" s="218">
        <f>+G251-[175]CONCILIACION!$E$36</f>
        <v>0</v>
      </c>
      <c r="H252" s="218">
        <f>+H251-[176]CONCILIACION!$E$36</f>
        <v>1.2000000178813934</v>
      </c>
      <c r="I252" s="218">
        <f>+I251-[177]CONCILIACION!$E$36</f>
        <v>1</v>
      </c>
      <c r="J252" s="218">
        <f>+J251-[178]CONCILIACION!$E$36</f>
        <v>0.10000002384185791</v>
      </c>
      <c r="K252" s="218">
        <f>+K251-[179]CONCILIACION!$E$36</f>
        <v>0</v>
      </c>
      <c r="L252" s="218">
        <f>+L251-[180]CONCILIACION!$E$36</f>
        <v>9.9999904632568359E-2</v>
      </c>
      <c r="M252" s="218">
        <f>+M251-[181]CONCILIACION!$E$36</f>
        <v>1.3000000715255737</v>
      </c>
      <c r="N252" s="218">
        <f>+N251-[182]CONCILIACION!$E$36</f>
        <v>1</v>
      </c>
      <c r="O252" s="218">
        <f>+O251-[183]CONCILIACION!$E$36</f>
        <v>0.30000001192092896</v>
      </c>
      <c r="P252" s="218">
        <f>+P251-[184]CONCILIACION!$E$36</f>
        <v>0.20000004768371582</v>
      </c>
      <c r="Q252" s="218">
        <f>+Q251-[185]CONCILIACION!$E$36</f>
        <v>1.6000000238418579</v>
      </c>
      <c r="R252" s="218">
        <f>+R251-[186]CONCILIACION!$E$36</f>
        <v>0.70000004768371582</v>
      </c>
      <c r="S252" s="218">
        <f>+S251-[187]CONCILIACION!$E$36</f>
        <v>0.10000002384185791</v>
      </c>
      <c r="T252" s="218">
        <f>+T251-[188]CONCILIACION!$E$36</f>
        <v>1</v>
      </c>
      <c r="U252" s="218">
        <f>+U251-[189]CONCILIACION!$E$36</f>
        <v>0.60000002384185791</v>
      </c>
      <c r="V252" s="218">
        <f>+V251-[190]CONCILIACION!$E$36</f>
        <v>1.0999999940395355</v>
      </c>
      <c r="W252" s="218">
        <f>+W251-[191]CONCILIACION!$E$36</f>
        <v>0</v>
      </c>
      <c r="X252" s="218">
        <f>+X251-[192]CONCILIACION!$E$36</f>
        <v>1</v>
      </c>
      <c r="Y252" s="218">
        <f>+Y251-[193]CONCILIACION!$E$36</f>
        <v>0.10000002384185791</v>
      </c>
      <c r="Z252" s="218">
        <f>+Z251-[194]CONCILIACION!$E$36</f>
        <v>0.30000007152557373</v>
      </c>
      <c r="AA252" s="218">
        <f>+AA251-[195]CONCILIACION!$E$36</f>
        <v>0</v>
      </c>
      <c r="AB252" s="218">
        <f>+AB251-[196]CONCILIACION!$E$36</f>
        <v>0.39999997615814209</v>
      </c>
      <c r="AC252" s="218">
        <f>+AC251-[197]CONCILIACION!$E$36</f>
        <v>1.4000000357627869</v>
      </c>
      <c r="AD252" s="218">
        <f>+AD251-[198]CONCILIACION!$E$36</f>
        <v>1.2999999523162842</v>
      </c>
      <c r="AE252" s="218">
        <f>+AE251-[199]CONCILIACION!$E$36</f>
        <v>1.2000000476837158</v>
      </c>
      <c r="AF252" s="218">
        <f>+AF251-[200]CONCILIACION!$E$36</f>
        <v>0.39999997615814209</v>
      </c>
      <c r="AG252" s="218">
        <f>+AG251-[201]CONCILIACION!$E$36</f>
        <v>1.6000000238418579</v>
      </c>
      <c r="AH252" s="218">
        <f>+AH251-[202]CONCILIACION!$E$36</f>
        <v>1.5</v>
      </c>
      <c r="AI252" s="218">
        <f>+AI251-[203]CONCILIACION!$E$36</f>
        <v>1</v>
      </c>
      <c r="AJ252" s="218">
        <f>+AJ251-[204]CONCILIACION!$E$36</f>
        <v>0.69999998807907104</v>
      </c>
    </row>
    <row r="253" spans="1:36" s="12" customFormat="1" x14ac:dyDescent="0.2">
      <c r="A253" s="152"/>
      <c r="B253" s="152"/>
      <c r="C253" s="218"/>
      <c r="D253" s="218"/>
      <c r="E253" s="218"/>
      <c r="F253" s="218"/>
      <c r="G253" s="218"/>
      <c r="H253" s="218"/>
      <c r="I253" s="218"/>
      <c r="J253" s="218"/>
      <c r="K253" s="218"/>
      <c r="L253" s="218"/>
      <c r="M253" s="218"/>
      <c r="N253" s="218"/>
      <c r="O253" s="218"/>
      <c r="P253" s="218"/>
      <c r="Q253" s="218"/>
      <c r="R253" s="218"/>
      <c r="S253" s="218"/>
      <c r="T253" s="218"/>
      <c r="U253" s="218"/>
      <c r="V253" s="218"/>
      <c r="W253" s="218"/>
      <c r="X253" s="218"/>
      <c r="Y253" s="218"/>
      <c r="Z253" s="218"/>
      <c r="AA253" s="218"/>
      <c r="AB253" s="218"/>
      <c r="AC253" s="218"/>
      <c r="AD253" s="218"/>
      <c r="AE253" s="218"/>
      <c r="AF253" s="218"/>
      <c r="AG253" s="218"/>
      <c r="AH253" s="218"/>
      <c r="AI253" s="218"/>
      <c r="AJ253" s="218"/>
    </row>
    <row r="254" spans="1:36" s="12" customFormat="1" ht="13.5" thickBot="1" x14ac:dyDescent="0.25"/>
    <row r="255" spans="1:36" s="12" customFormat="1" ht="13.5" thickBot="1" x14ac:dyDescent="0.25">
      <c r="A255" s="123" t="s">
        <v>182</v>
      </c>
      <c r="B255" s="124"/>
      <c r="C255" s="125">
        <f t="shared" ref="C255:H255" si="72">+C245+C250</f>
        <v>3183902701.5</v>
      </c>
      <c r="D255" s="125">
        <f t="shared" si="72"/>
        <v>2960974548.5</v>
      </c>
      <c r="E255" s="125">
        <f t="shared" si="72"/>
        <v>2448336647.8000002</v>
      </c>
      <c r="F255" s="125">
        <f t="shared" si="72"/>
        <v>2390216889.1999998</v>
      </c>
      <c r="G255" s="125">
        <f t="shared" si="72"/>
        <v>1745055000</v>
      </c>
      <c r="H255" s="125">
        <f t="shared" si="72"/>
        <v>815912448.39999998</v>
      </c>
      <c r="I255" s="125">
        <f t="shared" ref="I255:O255" si="73">+I245+I250</f>
        <v>3255940147.5</v>
      </c>
      <c r="J255" s="125">
        <f t="shared" si="73"/>
        <v>2660711548.5999999</v>
      </c>
      <c r="K255" s="125">
        <f t="shared" si="73"/>
        <v>2479887448.8000002</v>
      </c>
      <c r="L255" s="125">
        <f t="shared" si="73"/>
        <v>2476327700.1000004</v>
      </c>
      <c r="M255" s="125">
        <f t="shared" si="73"/>
        <v>2363963048.6999998</v>
      </c>
      <c r="N255" s="125">
        <f t="shared" si="73"/>
        <v>1727031749.3</v>
      </c>
      <c r="O255" s="125">
        <f t="shared" si="73"/>
        <v>767092599.5999999</v>
      </c>
      <c r="P255" s="125">
        <f t="shared" ref="P255:V255" si="74">+P245+P250</f>
        <v>3191494100.1999998</v>
      </c>
      <c r="Q255" s="125">
        <f t="shared" si="74"/>
        <v>2865172050.1999998</v>
      </c>
      <c r="R255" s="125">
        <f t="shared" si="74"/>
        <v>2917739348.7999997</v>
      </c>
      <c r="S255" s="125">
        <f t="shared" si="74"/>
        <v>2690100037.4000001</v>
      </c>
      <c r="T255" s="125">
        <f t="shared" si="74"/>
        <v>2495013950.3000002</v>
      </c>
      <c r="U255" s="125">
        <f t="shared" si="74"/>
        <v>1790332649.9000001</v>
      </c>
      <c r="V255" s="125">
        <f t="shared" si="74"/>
        <v>795195897.39999998</v>
      </c>
      <c r="W255" s="125">
        <f t="shared" ref="W255:AC255" si="75">+W245+W250</f>
        <v>3292340148.4000001</v>
      </c>
      <c r="X255" s="125">
        <f t="shared" si="75"/>
        <v>2654984148.3000002</v>
      </c>
      <c r="Y255" s="125">
        <f t="shared" si="75"/>
        <v>2521781898.9000001</v>
      </c>
      <c r="Z255" s="125">
        <f t="shared" si="75"/>
        <v>2422132448.2999997</v>
      </c>
      <c r="AA255" s="125">
        <f t="shared" si="75"/>
        <v>2466870499.5999999</v>
      </c>
      <c r="AB255" s="125">
        <f t="shared" si="75"/>
        <v>1848183950.5999999</v>
      </c>
      <c r="AC255" s="125">
        <f t="shared" si="75"/>
        <v>823208697.20000005</v>
      </c>
      <c r="AD255" s="125">
        <f t="shared" ref="AD255:AF255" si="76">+AD245+AD250</f>
        <v>3797396897.5</v>
      </c>
      <c r="AE255" s="125">
        <f t="shared" si="76"/>
        <v>3427579999.3000002</v>
      </c>
      <c r="AF255" s="125">
        <f t="shared" si="76"/>
        <v>3081959078.6000004</v>
      </c>
      <c r="AG255" s="125">
        <f t="shared" ref="AG255:AJ255" si="77">+AG245+AG250</f>
        <v>2771296963.7999997</v>
      </c>
      <c r="AH255" s="125">
        <f t="shared" si="77"/>
        <v>2577134557.2000003</v>
      </c>
      <c r="AI255" s="125">
        <f t="shared" si="77"/>
        <v>1893062047.5999999</v>
      </c>
      <c r="AJ255" s="125">
        <f t="shared" si="77"/>
        <v>817380247.79999995</v>
      </c>
    </row>
    <row r="256" spans="1:36" s="12" customFormat="1" ht="13.5" thickBot="1" x14ac:dyDescent="0.25">
      <c r="A256" s="123" t="s">
        <v>183</v>
      </c>
      <c r="B256" s="124"/>
      <c r="C256" s="125">
        <f t="shared" ref="C256:H256" si="78">+C244+C249</f>
        <v>3183952652</v>
      </c>
      <c r="D256" s="125">
        <f t="shared" si="78"/>
        <v>2961024201</v>
      </c>
      <c r="E256" s="125">
        <f t="shared" si="78"/>
        <v>2448390100</v>
      </c>
      <c r="F256" s="125">
        <f t="shared" si="78"/>
        <v>2390274600</v>
      </c>
      <c r="G256" s="125">
        <f t="shared" si="78"/>
        <v>1745098400</v>
      </c>
      <c r="H256" s="125">
        <f t="shared" si="78"/>
        <v>815957600</v>
      </c>
      <c r="I256" s="125">
        <f t="shared" ref="I256:O256" si="79">+I244+I249</f>
        <v>3256043200</v>
      </c>
      <c r="J256" s="125">
        <f t="shared" si="79"/>
        <v>2660746800</v>
      </c>
      <c r="K256" s="125">
        <f t="shared" si="79"/>
        <v>2479922800</v>
      </c>
      <c r="L256" s="125">
        <f t="shared" si="79"/>
        <v>2476389451</v>
      </c>
      <c r="M256" s="125">
        <f t="shared" si="79"/>
        <v>2364039450</v>
      </c>
      <c r="N256" s="125">
        <f t="shared" si="79"/>
        <v>1727061701</v>
      </c>
      <c r="O256" s="125">
        <f t="shared" si="79"/>
        <v>767124400</v>
      </c>
      <c r="P256" s="125">
        <f t="shared" ref="P256:V256" si="80">+P244+P249</f>
        <v>3191598101</v>
      </c>
      <c r="Q256" s="125">
        <f t="shared" si="80"/>
        <v>2865192851</v>
      </c>
      <c r="R256" s="125">
        <f t="shared" si="80"/>
        <v>2917818050</v>
      </c>
      <c r="S256" s="125">
        <f t="shared" si="80"/>
        <v>2690127189</v>
      </c>
      <c r="T256" s="125">
        <f t="shared" si="80"/>
        <v>2495049051</v>
      </c>
      <c r="U256" s="125">
        <f t="shared" si="80"/>
        <v>1790355901</v>
      </c>
      <c r="V256" s="125">
        <f t="shared" si="80"/>
        <v>795212350</v>
      </c>
      <c r="W256" s="125">
        <f t="shared" ref="W256:AC256" si="81">+W244+W249</f>
        <v>3292397050</v>
      </c>
      <c r="X256" s="125">
        <f t="shared" si="81"/>
        <v>2655025450</v>
      </c>
      <c r="Y256" s="125">
        <f t="shared" si="81"/>
        <v>2521830350</v>
      </c>
      <c r="Z256" s="125">
        <f t="shared" si="81"/>
        <v>2422218400</v>
      </c>
      <c r="AA256" s="125">
        <f t="shared" si="81"/>
        <v>2466905401</v>
      </c>
      <c r="AB256" s="125">
        <f t="shared" si="81"/>
        <v>1848223201</v>
      </c>
      <c r="AC256" s="125">
        <f t="shared" si="81"/>
        <v>823226850</v>
      </c>
      <c r="AD256" s="125">
        <f t="shared" ref="AD256:AF256" si="82">+AD244+AD249</f>
        <v>3797483750</v>
      </c>
      <c r="AE256" s="125">
        <f t="shared" si="82"/>
        <v>3427769751</v>
      </c>
      <c r="AF256" s="125">
        <f t="shared" si="82"/>
        <v>3082011779</v>
      </c>
      <c r="AG256" s="125">
        <f t="shared" ref="AG256:AJ256" si="83">+AG244+AG249</f>
        <v>2771341467</v>
      </c>
      <c r="AH256" s="125">
        <f t="shared" si="83"/>
        <v>2577180209</v>
      </c>
      <c r="AI256" s="125">
        <f t="shared" si="83"/>
        <v>1893110100</v>
      </c>
      <c r="AJ256" s="125">
        <f t="shared" si="83"/>
        <v>817392850</v>
      </c>
    </row>
    <row r="257" spans="1:36" s="12" customFormat="1" ht="13.5" thickBot="1" x14ac:dyDescent="0.25">
      <c r="A257" s="123" t="s">
        <v>184</v>
      </c>
      <c r="B257" s="124"/>
      <c r="C257" s="125">
        <f t="shared" ref="C257:H257" si="84">+C251+C246</f>
        <v>49950.499999880791</v>
      </c>
      <c r="D257" s="125">
        <f t="shared" si="84"/>
        <v>49652.500000119209</v>
      </c>
      <c r="E257" s="125">
        <f t="shared" si="84"/>
        <v>53452.200000047684</v>
      </c>
      <c r="F257" s="125">
        <f t="shared" si="84"/>
        <v>57710.799999952316</v>
      </c>
      <c r="G257" s="125">
        <f t="shared" si="84"/>
        <v>43400</v>
      </c>
      <c r="H257" s="125">
        <f t="shared" si="84"/>
        <v>45151.59999999404</v>
      </c>
      <c r="I257" s="125">
        <f t="shared" ref="I257:O257" si="85">+I251+I246</f>
        <v>103052.5</v>
      </c>
      <c r="J257" s="125">
        <f t="shared" si="85"/>
        <v>35251.399999976158</v>
      </c>
      <c r="K257" s="125">
        <f t="shared" si="85"/>
        <v>35351.200000047684</v>
      </c>
      <c r="L257" s="125">
        <f t="shared" si="85"/>
        <v>61750.899999856949</v>
      </c>
      <c r="M257" s="125">
        <f t="shared" si="85"/>
        <v>76401.300000071526</v>
      </c>
      <c r="N257" s="125">
        <f t="shared" si="85"/>
        <v>29951.700000047684</v>
      </c>
      <c r="O257" s="125">
        <f t="shared" si="85"/>
        <v>31800.400000035763</v>
      </c>
      <c r="P257" s="125">
        <f t="shared" ref="P257:V257" si="86">+P251+P246</f>
        <v>104000.79999995232</v>
      </c>
      <c r="Q257" s="125">
        <f t="shared" si="86"/>
        <v>20800.800000071526</v>
      </c>
      <c r="R257" s="125">
        <f t="shared" si="86"/>
        <v>78701.200000286102</v>
      </c>
      <c r="S257" s="125">
        <f t="shared" si="86"/>
        <v>27151.599999785423</v>
      </c>
      <c r="T257" s="125">
        <f t="shared" si="86"/>
        <v>35100.700000047684</v>
      </c>
      <c r="U257" s="125">
        <f t="shared" si="86"/>
        <v>23251.100000023842</v>
      </c>
      <c r="V257" s="125">
        <f t="shared" si="86"/>
        <v>16452.59999999404</v>
      </c>
      <c r="W257" s="125">
        <f t="shared" ref="W257:AC257" si="87">+W251+W246</f>
        <v>56901.599999904633</v>
      </c>
      <c r="X257" s="125">
        <f t="shared" si="87"/>
        <v>41301.699999809265</v>
      </c>
      <c r="Y257" s="125">
        <f t="shared" si="87"/>
        <v>48451.100000023842</v>
      </c>
      <c r="Z257" s="125">
        <f t="shared" si="87"/>
        <v>85951.700000166893</v>
      </c>
      <c r="AA257" s="125">
        <f t="shared" si="87"/>
        <v>34901.400000095367</v>
      </c>
      <c r="AB257" s="125">
        <f t="shared" si="87"/>
        <v>39250.399999976158</v>
      </c>
      <c r="AC257" s="125">
        <f t="shared" si="87"/>
        <v>18152.800000011921</v>
      </c>
      <c r="AD257" s="125">
        <f t="shared" ref="AD257:AF257" si="88">+AD251+AD246</f>
        <v>86852.500000238419</v>
      </c>
      <c r="AE257" s="125">
        <f t="shared" si="88"/>
        <v>189751.70000004768</v>
      </c>
      <c r="AF257" s="125">
        <f t="shared" si="88"/>
        <v>52700.399999976158</v>
      </c>
      <c r="AG257" s="125">
        <f t="shared" ref="AG257:AJ257" si="89">+AG251+AG246</f>
        <v>44503.200000166893</v>
      </c>
      <c r="AH257" s="125">
        <f t="shared" si="89"/>
        <v>45651.799999713898</v>
      </c>
      <c r="AI257" s="125">
        <f t="shared" si="89"/>
        <v>48052.400000095367</v>
      </c>
      <c r="AJ257" s="125">
        <f t="shared" si="89"/>
        <v>12602.199999988079</v>
      </c>
    </row>
    <row r="258" spans="1:36" s="8" customFormat="1" ht="13.5" thickBot="1" x14ac:dyDescent="0.25">
      <c r="A258" s="137"/>
      <c r="B258" s="137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  <c r="AA258" s="137"/>
      <c r="AB258" s="137"/>
      <c r="AC258" s="137"/>
      <c r="AD258" s="137"/>
      <c r="AE258" s="137"/>
      <c r="AF258" s="137"/>
      <c r="AG258" s="137"/>
      <c r="AH258" s="137"/>
      <c r="AI258" s="137"/>
      <c r="AJ258" s="137"/>
    </row>
    <row r="259" spans="1:36" s="8" customFormat="1" ht="13.5" thickBot="1" x14ac:dyDescent="0.25">
      <c r="A259" s="126" t="s">
        <v>130</v>
      </c>
      <c r="B259" s="127"/>
      <c r="C259" s="128">
        <f t="shared" ref="C259:H259" si="90">SUM(C109:C111)</f>
        <v>80451</v>
      </c>
      <c r="D259" s="128">
        <f t="shared" si="90"/>
        <v>85405</v>
      </c>
      <c r="E259" s="128">
        <f t="shared" si="90"/>
        <v>85043</v>
      </c>
      <c r="F259" s="128">
        <f t="shared" si="90"/>
        <v>83207</v>
      </c>
      <c r="G259" s="128">
        <f t="shared" si="90"/>
        <v>51735</v>
      </c>
      <c r="H259" s="128">
        <f t="shared" si="90"/>
        <v>24129</v>
      </c>
      <c r="I259" s="128">
        <f t="shared" ref="I259:O259" si="91">SUM(I109:I111)</f>
        <v>86534</v>
      </c>
      <c r="J259" s="128">
        <f t="shared" si="91"/>
        <v>86071</v>
      </c>
      <c r="K259" s="128">
        <f t="shared" si="91"/>
        <v>82552</v>
      </c>
      <c r="L259" s="128">
        <f t="shared" si="91"/>
        <v>84459</v>
      </c>
      <c r="M259" s="128">
        <f t="shared" si="91"/>
        <v>82155</v>
      </c>
      <c r="N259" s="128">
        <f t="shared" si="91"/>
        <v>51772</v>
      </c>
      <c r="O259" s="128">
        <f t="shared" si="91"/>
        <v>22377</v>
      </c>
      <c r="P259" s="128">
        <f t="shared" ref="P259:V259" si="92">SUM(P109:P111)</f>
        <v>88606</v>
      </c>
      <c r="Q259" s="128">
        <f t="shared" si="92"/>
        <v>86282</v>
      </c>
      <c r="R259" s="128">
        <f t="shared" si="92"/>
        <v>86239</v>
      </c>
      <c r="S259" s="128">
        <f t="shared" si="92"/>
        <v>85242</v>
      </c>
      <c r="T259" s="128">
        <f t="shared" si="92"/>
        <v>84093</v>
      </c>
      <c r="U259" s="128">
        <f t="shared" si="92"/>
        <v>52131</v>
      </c>
      <c r="V259" s="128">
        <f t="shared" si="92"/>
        <v>24117</v>
      </c>
      <c r="W259" s="128">
        <f t="shared" ref="W259:AC259" si="93">SUM(W109:W111)</f>
        <v>88338</v>
      </c>
      <c r="X259" s="128">
        <f t="shared" si="93"/>
        <v>86042</v>
      </c>
      <c r="Y259" s="128">
        <f t="shared" si="93"/>
        <v>84711</v>
      </c>
      <c r="Z259" s="128">
        <f t="shared" si="93"/>
        <v>83565</v>
      </c>
      <c r="AA259" s="128">
        <f t="shared" si="93"/>
        <v>83996</v>
      </c>
      <c r="AB259" s="128">
        <f t="shared" si="93"/>
        <v>53563</v>
      </c>
      <c r="AC259" s="128">
        <f t="shared" si="93"/>
        <v>22840</v>
      </c>
      <c r="AD259" s="128">
        <f t="shared" ref="AD259:AF259" si="94">SUM(AD109:AD111)</f>
        <v>88141</v>
      </c>
      <c r="AE259" s="128">
        <f t="shared" si="94"/>
        <v>88380</v>
      </c>
      <c r="AF259" s="128">
        <f t="shared" si="94"/>
        <v>87322</v>
      </c>
      <c r="AG259" s="128">
        <f t="shared" ref="AG259:AJ259" si="95">SUM(AG109:AG111)</f>
        <v>86948</v>
      </c>
      <c r="AH259" s="128">
        <f t="shared" si="95"/>
        <v>86438</v>
      </c>
      <c r="AI259" s="128">
        <f t="shared" si="95"/>
        <v>55475</v>
      </c>
      <c r="AJ259" s="128">
        <f t="shared" si="95"/>
        <v>23623</v>
      </c>
    </row>
    <row r="260" spans="1:36" s="4" customFormat="1" ht="13.5" thickBot="1" x14ac:dyDescent="0.25">
      <c r="A260" s="138" t="s">
        <v>120</v>
      </c>
      <c r="B260" s="129"/>
      <c r="C260" s="130">
        <f t="shared" ref="C260:H260" si="96">+C110</f>
        <v>9575</v>
      </c>
      <c r="D260" s="130">
        <f t="shared" si="96"/>
        <v>9615</v>
      </c>
      <c r="E260" s="130">
        <f t="shared" si="96"/>
        <v>8945</v>
      </c>
      <c r="F260" s="130">
        <f t="shared" si="96"/>
        <v>9691</v>
      </c>
      <c r="G260" s="130">
        <f t="shared" si="96"/>
        <v>7475</v>
      </c>
      <c r="H260" s="130">
        <f t="shared" si="96"/>
        <v>4100</v>
      </c>
      <c r="I260" s="130">
        <f t="shared" ref="I260:O260" si="97">+I110</f>
        <v>9951</v>
      </c>
      <c r="J260" s="130">
        <f t="shared" si="97"/>
        <v>8992</v>
      </c>
      <c r="K260" s="130">
        <f t="shared" si="97"/>
        <v>8594</v>
      </c>
      <c r="L260" s="130">
        <f t="shared" si="97"/>
        <v>8469</v>
      </c>
      <c r="M260" s="130">
        <f t="shared" si="97"/>
        <v>8686</v>
      </c>
      <c r="N260" s="130">
        <f t="shared" si="97"/>
        <v>7164</v>
      </c>
      <c r="O260" s="130">
        <f t="shared" si="97"/>
        <v>3901</v>
      </c>
      <c r="P260" s="130">
        <f t="shared" ref="P260:V260" si="98">+P110</f>
        <v>10540</v>
      </c>
      <c r="Q260" s="130">
        <f t="shared" si="98"/>
        <v>10582</v>
      </c>
      <c r="R260" s="130">
        <f t="shared" si="98"/>
        <v>10283</v>
      </c>
      <c r="S260" s="130">
        <f t="shared" si="98"/>
        <v>9692</v>
      </c>
      <c r="T260" s="130">
        <f t="shared" si="98"/>
        <v>9180</v>
      </c>
      <c r="U260" s="130">
        <f t="shared" si="98"/>
        <v>7393</v>
      </c>
      <c r="V260" s="130">
        <f t="shared" si="98"/>
        <v>4044</v>
      </c>
      <c r="W260" s="130">
        <f t="shared" ref="W260:AC260" si="99">+W110</f>
        <v>9822</v>
      </c>
      <c r="X260" s="130">
        <f t="shared" si="99"/>
        <v>9150</v>
      </c>
      <c r="Y260" s="130">
        <f t="shared" si="99"/>
        <v>8772</v>
      </c>
      <c r="Z260" s="130">
        <f t="shared" si="99"/>
        <v>8776</v>
      </c>
      <c r="AA260" s="130">
        <f t="shared" si="99"/>
        <v>9202</v>
      </c>
      <c r="AB260" s="130">
        <f t="shared" si="99"/>
        <v>7726</v>
      </c>
      <c r="AC260" s="130">
        <f t="shared" si="99"/>
        <v>3896</v>
      </c>
      <c r="AD260" s="130">
        <f t="shared" ref="AD260:AF260" si="100">+AD110</f>
        <v>9879</v>
      </c>
      <c r="AE260" s="130">
        <f t="shared" si="100"/>
        <v>9534</v>
      </c>
      <c r="AF260" s="130">
        <f t="shared" si="100"/>
        <v>9408</v>
      </c>
      <c r="AG260" s="130">
        <f t="shared" ref="AG260:AJ260" si="101">+AG110</f>
        <v>9466</v>
      </c>
      <c r="AH260" s="130">
        <f t="shared" si="101"/>
        <v>9620</v>
      </c>
      <c r="AI260" s="130">
        <f t="shared" si="101"/>
        <v>7993</v>
      </c>
      <c r="AJ260" s="130">
        <f t="shared" si="101"/>
        <v>4219</v>
      </c>
    </row>
    <row r="261" spans="1:36" s="10" customFormat="1" ht="13.5" thickBot="1" x14ac:dyDescent="0.25">
      <c r="A261" s="139" t="s">
        <v>121</v>
      </c>
      <c r="B261" s="131"/>
      <c r="C261" s="130">
        <f t="shared" ref="C261:H261" si="102">+C109</f>
        <v>40104</v>
      </c>
      <c r="D261" s="130">
        <f t="shared" si="102"/>
        <v>44386</v>
      </c>
      <c r="E261" s="130">
        <f t="shared" si="102"/>
        <v>43120</v>
      </c>
      <c r="F261" s="130">
        <f t="shared" si="102"/>
        <v>41774</v>
      </c>
      <c r="G261" s="130">
        <f t="shared" si="102"/>
        <v>27848</v>
      </c>
      <c r="H261" s="130">
        <f t="shared" si="102"/>
        <v>15047</v>
      </c>
      <c r="I261" s="130">
        <f t="shared" ref="I261:O261" si="103">+I109</f>
        <v>44105</v>
      </c>
      <c r="J261" s="130">
        <f t="shared" si="103"/>
        <v>43921</v>
      </c>
      <c r="K261" s="130">
        <f t="shared" si="103"/>
        <v>41410</v>
      </c>
      <c r="L261" s="130">
        <f t="shared" si="103"/>
        <v>42772</v>
      </c>
      <c r="M261" s="130">
        <f t="shared" si="103"/>
        <v>41073</v>
      </c>
      <c r="N261" s="130">
        <f t="shared" si="103"/>
        <v>28168</v>
      </c>
      <c r="O261" s="130">
        <f t="shared" si="103"/>
        <v>13572</v>
      </c>
      <c r="P261" s="130">
        <f t="shared" ref="P261:V261" si="104">+P109</f>
        <v>45116</v>
      </c>
      <c r="Q261" s="130">
        <f t="shared" si="104"/>
        <v>42530</v>
      </c>
      <c r="R261" s="130">
        <f t="shared" si="104"/>
        <v>42662</v>
      </c>
      <c r="S261" s="130">
        <f t="shared" si="104"/>
        <v>42210</v>
      </c>
      <c r="T261" s="130">
        <f t="shared" si="104"/>
        <v>42187</v>
      </c>
      <c r="U261" s="130">
        <f t="shared" si="104"/>
        <v>28282</v>
      </c>
      <c r="V261" s="130">
        <f t="shared" si="104"/>
        <v>14961</v>
      </c>
      <c r="W261" s="130">
        <f t="shared" ref="W261:AC261" si="105">+W109</f>
        <v>45402</v>
      </c>
      <c r="X261" s="130">
        <f t="shared" si="105"/>
        <v>43718</v>
      </c>
      <c r="Y261" s="130">
        <f t="shared" si="105"/>
        <v>42809</v>
      </c>
      <c r="Z261" s="130">
        <f t="shared" si="105"/>
        <v>42201</v>
      </c>
      <c r="AA261" s="130">
        <f t="shared" si="105"/>
        <v>41542</v>
      </c>
      <c r="AB261" s="130">
        <f t="shared" si="105"/>
        <v>29131</v>
      </c>
      <c r="AC261" s="130">
        <f t="shared" si="105"/>
        <v>13960</v>
      </c>
      <c r="AD261" s="130">
        <f t="shared" ref="AD261:AF261" si="106">+AD109</f>
        <v>45656</v>
      </c>
      <c r="AE261" s="130">
        <f t="shared" si="106"/>
        <v>45964</v>
      </c>
      <c r="AF261" s="130">
        <f t="shared" si="106"/>
        <v>44640</v>
      </c>
      <c r="AG261" s="130">
        <f t="shared" ref="AG261:AJ261" si="107">+AG109</f>
        <v>44558</v>
      </c>
      <c r="AH261" s="130">
        <f t="shared" si="107"/>
        <v>43602</v>
      </c>
      <c r="AI261" s="130">
        <f t="shared" si="107"/>
        <v>30310</v>
      </c>
      <c r="AJ261" s="130">
        <f t="shared" si="107"/>
        <v>14336</v>
      </c>
    </row>
    <row r="262" spans="1:36" s="10" customFormat="1" ht="13.5" thickBot="1" x14ac:dyDescent="0.25">
      <c r="A262" s="139" t="s">
        <v>349</v>
      </c>
      <c r="B262" s="131"/>
      <c r="C262" s="130">
        <f t="shared" ref="C262:H262" si="108">+C111</f>
        <v>30772</v>
      </c>
      <c r="D262" s="130">
        <f t="shared" si="108"/>
        <v>31404</v>
      </c>
      <c r="E262" s="130">
        <f t="shared" si="108"/>
        <v>32978</v>
      </c>
      <c r="F262" s="130">
        <f t="shared" si="108"/>
        <v>31742</v>
      </c>
      <c r="G262" s="130">
        <f t="shared" si="108"/>
        <v>16412</v>
      </c>
      <c r="H262" s="130">
        <f t="shared" si="108"/>
        <v>4982</v>
      </c>
      <c r="I262" s="130">
        <f t="shared" ref="I262:O262" si="109">+I111</f>
        <v>32478</v>
      </c>
      <c r="J262" s="130">
        <f t="shared" si="109"/>
        <v>33158</v>
      </c>
      <c r="K262" s="130">
        <f t="shared" si="109"/>
        <v>32548</v>
      </c>
      <c r="L262" s="130">
        <f t="shared" si="109"/>
        <v>33218</v>
      </c>
      <c r="M262" s="130">
        <f t="shared" si="109"/>
        <v>32396</v>
      </c>
      <c r="N262" s="130">
        <f t="shared" si="109"/>
        <v>16440</v>
      </c>
      <c r="O262" s="130">
        <f t="shared" si="109"/>
        <v>4904</v>
      </c>
      <c r="P262" s="130">
        <f t="shared" ref="P262:V262" si="110">+P111</f>
        <v>32950</v>
      </c>
      <c r="Q262" s="130">
        <f t="shared" si="110"/>
        <v>33170</v>
      </c>
      <c r="R262" s="130">
        <f t="shared" si="110"/>
        <v>33294</v>
      </c>
      <c r="S262" s="130">
        <f t="shared" si="110"/>
        <v>33340</v>
      </c>
      <c r="T262" s="130">
        <f t="shared" si="110"/>
        <v>32726</v>
      </c>
      <c r="U262" s="130">
        <f t="shared" si="110"/>
        <v>16456</v>
      </c>
      <c r="V262" s="130">
        <f t="shared" si="110"/>
        <v>5112</v>
      </c>
      <c r="W262" s="130">
        <f t="shared" ref="W262:AC262" si="111">+W111</f>
        <v>33114</v>
      </c>
      <c r="X262" s="130">
        <f t="shared" si="111"/>
        <v>33174</v>
      </c>
      <c r="Y262" s="130">
        <f t="shared" si="111"/>
        <v>33130</v>
      </c>
      <c r="Z262" s="130">
        <f t="shared" si="111"/>
        <v>32588</v>
      </c>
      <c r="AA262" s="130">
        <f t="shared" si="111"/>
        <v>33252</v>
      </c>
      <c r="AB262" s="130">
        <f t="shared" si="111"/>
        <v>16706</v>
      </c>
      <c r="AC262" s="130">
        <f t="shared" si="111"/>
        <v>4984</v>
      </c>
      <c r="AD262" s="130">
        <f t="shared" ref="AD262:AF262" si="112">+AD111</f>
        <v>32606</v>
      </c>
      <c r="AE262" s="130">
        <f t="shared" si="112"/>
        <v>32882</v>
      </c>
      <c r="AF262" s="130">
        <f t="shared" si="112"/>
        <v>33274</v>
      </c>
      <c r="AG262" s="130">
        <f t="shared" ref="AG262:AJ262" si="113">+AG111</f>
        <v>32924</v>
      </c>
      <c r="AH262" s="130">
        <f t="shared" si="113"/>
        <v>33216</v>
      </c>
      <c r="AI262" s="130">
        <f t="shared" si="113"/>
        <v>17172</v>
      </c>
      <c r="AJ262" s="130">
        <f t="shared" si="113"/>
        <v>5068</v>
      </c>
    </row>
    <row r="263" spans="1:36" s="12" customFormat="1" ht="13.5" thickBot="1" x14ac:dyDescent="0.25">
      <c r="A263" s="132"/>
      <c r="B263" s="133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</row>
    <row r="264" spans="1:36" x14ac:dyDescent="0.2">
      <c r="A264" s="33" t="s">
        <v>179</v>
      </c>
      <c r="B264" s="33"/>
      <c r="C264" s="11">
        <f t="shared" ref="C264:H264" si="114">+C233/C$241</f>
        <v>0.67537970253536683</v>
      </c>
      <c r="D264" s="11">
        <f t="shared" si="114"/>
        <v>0.68233058054604989</v>
      </c>
      <c r="E264" s="11">
        <f t="shared" si="114"/>
        <v>0.69487402612736071</v>
      </c>
      <c r="F264" s="11">
        <f t="shared" si="114"/>
        <v>0.69273461795322588</v>
      </c>
      <c r="G264" s="11">
        <f t="shared" si="114"/>
        <v>0.6846875575500867</v>
      </c>
      <c r="H264" s="11">
        <f t="shared" si="114"/>
        <v>0.67612441933302392</v>
      </c>
      <c r="I264" s="11">
        <f t="shared" ref="I264:O264" si="115">+I233/I$241</f>
        <v>0.67435058412516125</v>
      </c>
      <c r="J264" s="11">
        <f t="shared" si="115"/>
        <v>0.68743109316617668</v>
      </c>
      <c r="K264" s="11">
        <f t="shared" si="115"/>
        <v>0.68730320223948804</v>
      </c>
      <c r="L264" s="11">
        <f t="shared" si="115"/>
        <v>0.689593588832353</v>
      </c>
      <c r="M264" s="11">
        <f t="shared" si="115"/>
        <v>0.68990506171450361</v>
      </c>
      <c r="N264" s="11">
        <f t="shared" si="115"/>
        <v>0.68473360806574302</v>
      </c>
      <c r="O264" s="11">
        <f t="shared" si="115"/>
        <v>0.67994051043876957</v>
      </c>
      <c r="P264" s="11">
        <f t="shared" ref="P264:V264" si="116">+P233/P$241</f>
        <v>0.69505406016848559</v>
      </c>
      <c r="Q264" s="11">
        <f t="shared" si="116"/>
        <v>0.71370504826282932</v>
      </c>
      <c r="R264" s="11">
        <f t="shared" si="116"/>
        <v>0.69492303536948985</v>
      </c>
      <c r="S264" s="11">
        <f t="shared" si="116"/>
        <v>0.68675640035905183</v>
      </c>
      <c r="T264" s="11">
        <f t="shared" si="116"/>
        <v>0.68985963350947321</v>
      </c>
      <c r="U264" s="11">
        <f t="shared" si="116"/>
        <v>0.68528312950054804</v>
      </c>
      <c r="V264" s="11">
        <f t="shared" si="116"/>
        <v>0.68425208412433947</v>
      </c>
      <c r="W264" s="11">
        <f t="shared" ref="W264:AC264" si="117">+W233/W$241</f>
        <v>0.67857650640694367</v>
      </c>
      <c r="X264" s="11">
        <f t="shared" si="117"/>
        <v>0.68937133666435346</v>
      </c>
      <c r="Y264" s="11">
        <f t="shared" si="117"/>
        <v>0.69229823665671997</v>
      </c>
      <c r="Z264" s="11">
        <f t="shared" si="117"/>
        <v>0.68971444523751824</v>
      </c>
      <c r="AA264" s="11">
        <f t="shared" si="117"/>
        <v>0.69430774303362564</v>
      </c>
      <c r="AB264" s="11">
        <f t="shared" si="117"/>
        <v>0.68595069564432687</v>
      </c>
      <c r="AC264" s="11">
        <f t="shared" si="117"/>
        <v>0.67167893552362734</v>
      </c>
      <c r="AD264" s="11">
        <f t="shared" ref="AD264:AF264" si="118">+AD233/AD$241</f>
        <v>0.68368999333662561</v>
      </c>
      <c r="AE264" s="11">
        <f t="shared" si="118"/>
        <v>0.68317703617693615</v>
      </c>
      <c r="AF264" s="11">
        <f t="shared" si="118"/>
        <v>0.6803460975166814</v>
      </c>
      <c r="AG264" s="11">
        <f t="shared" ref="AG264:AJ264" si="119">+AG233/AG$241</f>
        <v>0.68691306297275312</v>
      </c>
      <c r="AH264" s="11">
        <f t="shared" si="119"/>
        <v>0.69360653302916842</v>
      </c>
      <c r="AI264" s="11">
        <f t="shared" si="119"/>
        <v>0.68507364398932225</v>
      </c>
      <c r="AJ264" s="11">
        <f t="shared" si="119"/>
        <v>0.68036283955850363</v>
      </c>
    </row>
    <row r="265" spans="1:36" x14ac:dyDescent="0.2">
      <c r="A265" s="28" t="s">
        <v>180</v>
      </c>
      <c r="B265" s="28"/>
      <c r="C265" s="11">
        <f t="shared" ref="C265:H265" si="120">+C236/C$241</f>
        <v>0.32462029746463322</v>
      </c>
      <c r="D265" s="11">
        <f t="shared" si="120"/>
        <v>0.31766941945395005</v>
      </c>
      <c r="E265" s="11">
        <f t="shared" si="120"/>
        <v>0.30512597387263923</v>
      </c>
      <c r="F265" s="11">
        <f t="shared" si="120"/>
        <v>0.30726538204677412</v>
      </c>
      <c r="G265" s="11">
        <f t="shared" si="120"/>
        <v>0.31531244244991324</v>
      </c>
      <c r="H265" s="11">
        <f t="shared" si="120"/>
        <v>0.32387558066697619</v>
      </c>
      <c r="I265" s="11">
        <f t="shared" ref="I265:O265" si="121">+I236/I$241</f>
        <v>0.32564941587483875</v>
      </c>
      <c r="J265" s="11">
        <f t="shared" si="121"/>
        <v>0.31256890683382327</v>
      </c>
      <c r="K265" s="11">
        <f t="shared" si="121"/>
        <v>0.31269679776051201</v>
      </c>
      <c r="L265" s="11">
        <f t="shared" si="121"/>
        <v>0.31040641116764695</v>
      </c>
      <c r="M265" s="11">
        <f t="shared" si="121"/>
        <v>0.31009493828549645</v>
      </c>
      <c r="N265" s="11">
        <f t="shared" si="121"/>
        <v>0.31526639193425698</v>
      </c>
      <c r="O265" s="11">
        <f t="shared" si="121"/>
        <v>0.32005948956123048</v>
      </c>
      <c r="P265" s="11">
        <f t="shared" ref="P265:V265" si="122">+P236/P$241</f>
        <v>0.30494593983151447</v>
      </c>
      <c r="Q265" s="11">
        <f t="shared" si="122"/>
        <v>0.28629495173717062</v>
      </c>
      <c r="R265" s="11">
        <f t="shared" si="122"/>
        <v>0.30507696463051004</v>
      </c>
      <c r="S265" s="11">
        <f t="shared" si="122"/>
        <v>0.31324359964094817</v>
      </c>
      <c r="T265" s="11">
        <f t="shared" si="122"/>
        <v>0.31014036649052684</v>
      </c>
      <c r="U265" s="11">
        <f t="shared" si="122"/>
        <v>0.31471687049945207</v>
      </c>
      <c r="V265" s="11">
        <f t="shared" si="122"/>
        <v>0.31574791587566048</v>
      </c>
      <c r="W265" s="11">
        <f t="shared" ref="W265:AC265" si="123">+W236/W$241</f>
        <v>0.32142349359305633</v>
      </c>
      <c r="X265" s="11">
        <f t="shared" si="123"/>
        <v>0.31062866333564654</v>
      </c>
      <c r="Y265" s="11">
        <f t="shared" si="123"/>
        <v>0.30770176334327992</v>
      </c>
      <c r="Z265" s="11">
        <f t="shared" si="123"/>
        <v>0.31028555476248182</v>
      </c>
      <c r="AA265" s="11">
        <f t="shared" si="123"/>
        <v>0.30569225696637431</v>
      </c>
      <c r="AB265" s="11">
        <f t="shared" si="123"/>
        <v>0.31404930435567313</v>
      </c>
      <c r="AC265" s="11">
        <f t="shared" si="123"/>
        <v>0.3283210644763726</v>
      </c>
      <c r="AD265" s="11">
        <f t="shared" ref="AD265:AF265" si="124">+AD236/AD$241</f>
        <v>0.31631000666337439</v>
      </c>
      <c r="AE265" s="11">
        <f t="shared" si="124"/>
        <v>0.31682296382306391</v>
      </c>
      <c r="AF265" s="11">
        <f t="shared" si="124"/>
        <v>0.3196539024833186</v>
      </c>
      <c r="AG265" s="11">
        <f t="shared" ref="AG265:AJ265" si="125">+AG236/AG$241</f>
        <v>0.31308693702724688</v>
      </c>
      <c r="AH265" s="11">
        <f t="shared" si="125"/>
        <v>0.30639346697083158</v>
      </c>
      <c r="AI265" s="11">
        <f t="shared" si="125"/>
        <v>0.31492635601067775</v>
      </c>
      <c r="AJ265" s="11">
        <f t="shared" si="125"/>
        <v>0.31963716044149632</v>
      </c>
    </row>
    <row r="269" spans="1:36" x14ac:dyDescent="0.2">
      <c r="A269" t="s">
        <v>201</v>
      </c>
    </row>
    <row r="270" spans="1:36" x14ac:dyDescent="0.2">
      <c r="A270" t="s">
        <v>202</v>
      </c>
    </row>
    <row r="271" spans="1:36" x14ac:dyDescent="0.2">
      <c r="A271" t="s">
        <v>203</v>
      </c>
    </row>
    <row r="272" spans="1:36" s="2" customFormat="1" x14ac:dyDescent="0.2">
      <c r="A272"/>
      <c r="B272"/>
    </row>
    <row r="273" spans="1:2" x14ac:dyDescent="0.2">
      <c r="A273" s="2" t="s">
        <v>213</v>
      </c>
      <c r="B273" s="2"/>
    </row>
    <row r="274" spans="1:2" x14ac:dyDescent="0.2">
      <c r="A274" t="s">
        <v>242</v>
      </c>
    </row>
    <row r="275" spans="1:2" x14ac:dyDescent="0.2">
      <c r="A275" t="s">
        <v>243</v>
      </c>
    </row>
    <row r="276" spans="1:2" x14ac:dyDescent="0.2">
      <c r="A276" t="s">
        <v>244</v>
      </c>
    </row>
  </sheetData>
  <customSheetViews>
    <customSheetView guid="{908C4906-732C-44E1-9B79-8534D37786B4}" scale="75" fitToPage="1" showRuler="0">
      <pane xSplit="2" ySplit="2" topLeftCell="I147" activePane="bottomRight" state="frozen"/>
      <selection pane="bottomRight" activeCell="C161" sqref="C161:M161"/>
      <pageMargins left="0.78740157480314965" right="0.78740157480314965" top="0.51181102362204722" bottom="0.51181102362204722" header="0" footer="0"/>
      <printOptions horizontalCentered="1" verticalCentered="1"/>
      <pageSetup scale="35" orientation="portrait" horizontalDpi="1200" verticalDpi="1200" r:id="rId1"/>
      <headerFooter alignWithMargins="0"/>
    </customSheetView>
    <customSheetView guid="{F458E9CE-89F8-4AC8-8815-C42982D0B712}" scale="75" showPageBreaks="1" fitToPage="1" printArea="1" showRuler="0">
      <pane xSplit="2" ySplit="7" topLeftCell="U134" activePane="bottomRight" state="frozen"/>
      <selection pane="bottomRight" activeCell="X159" sqref="X159:AD159"/>
      <pageMargins left="0.75" right="0.75" top="1" bottom="1" header="0" footer="0"/>
      <pageSetup paperSize="130" scale="36" orientation="portrait" horizontalDpi="1200" verticalDpi="1200" r:id="rId2"/>
      <headerFooter alignWithMargins="0"/>
    </customSheetView>
    <customSheetView guid="{7C4C8CB7-097D-4D84-B918-C1C53F9BC5D9}" scale="75" showPageBreaks="1" fitToPage="1" printArea="1" showRuler="0">
      <pane xSplit="2" ySplit="7" topLeftCell="M128" activePane="bottomRight" state="frozen"/>
      <selection pane="bottomRight" activeCell="Q145" sqref="Q145"/>
      <pageMargins left="0.75" right="0.75" top="1" bottom="1" header="0" footer="0"/>
      <pageSetup paperSize="130" scale="28" orientation="portrait" horizontalDpi="1200" verticalDpi="1200" r:id="rId3"/>
      <headerFooter alignWithMargins="0"/>
    </customSheetView>
    <customSheetView guid="{9CCEB12D-7506-4C24-A88C-6720CB0226C9}" scale="75" showPageBreaks="1" fitToPage="1" printArea="1" showRuler="0">
      <pane xSplit="2" ySplit="3" topLeftCell="S138" activePane="bottomRight" state="frozen"/>
      <selection pane="bottomRight" activeCell="Y175" sqref="Y175"/>
      <pageMargins left="0.78740157480314965" right="0.78740157480314965" top="0.51181102362204722" bottom="0.51181102362204722" header="0" footer="0"/>
      <printOptions horizontalCentered="1" verticalCentered="1"/>
      <pageSetup scale="35" orientation="portrait" horizontalDpi="1200" verticalDpi="1200" r:id="rId4"/>
      <headerFooter alignWithMargins="0"/>
    </customSheetView>
    <customSheetView guid="{647493D2-94D8-4E56-BEE8-B2C37B6B1FFF}" scale="75" showPageBreaks="1" fitToPage="1" printArea="1" showRuler="0">
      <pane xSplit="2" ySplit="3" topLeftCell="C154" activePane="bottomRight" state="frozen"/>
      <selection pane="bottomRight" activeCell="E172" sqref="E172"/>
      <pageMargins left="0.78740157480314965" right="0.78740157480314965" top="0.51181102362204722" bottom="0.51181102362204722" header="0" footer="0"/>
      <printOptions horizontalCentered="1" verticalCentered="1"/>
      <pageSetup scale="35" orientation="portrait" horizontalDpi="1200" verticalDpi="1200" r:id="rId5"/>
      <headerFooter alignWithMargins="0"/>
    </customSheetView>
    <customSheetView guid="{49227DB0-CE85-40C1-97E3-05BD293396BC}" scale="75" showPageBreaks="1" fitToPage="1" printArea="1" showRuler="0">
      <pane xSplit="2" ySplit="3" topLeftCell="AC175" activePane="bottomRight" state="frozen"/>
      <selection pane="bottomRight" activeCell="AI212" sqref="AI212"/>
      <pageMargins left="0.75" right="0.75" top="1" bottom="1" header="0" footer="0"/>
      <pageSetup paperSize="130" scale="20" orientation="portrait" horizontalDpi="1200" verticalDpi="1200" r:id="rId6"/>
      <headerFooter alignWithMargins="0"/>
    </customSheetView>
  </customSheetViews>
  <mergeCells count="7">
    <mergeCell ref="A224:A229"/>
    <mergeCell ref="A163:A223"/>
    <mergeCell ref="A2:B2"/>
    <mergeCell ref="A3:B3"/>
    <mergeCell ref="A5:A111"/>
    <mergeCell ref="A128:A162"/>
    <mergeCell ref="A112:A127"/>
  </mergeCells>
  <phoneticPr fontId="0" type="noConversion"/>
  <pageMargins left="0.75" right="0.75" top="1" bottom="1" header="0" footer="0"/>
  <pageSetup paperSize="130" scale="20" orientation="portrait" horizontalDpi="1200" verticalDpi="1200" r:id="rId7"/>
  <headerFooter alignWithMargins="0"/>
  <drawing r:id="rId8"/>
  <legacyDrawing r:id="rId9"/>
  <oleObjects>
    <mc:AlternateContent xmlns:mc="http://schemas.openxmlformats.org/markup-compatibility/2006">
      <mc:Choice Requires="x14">
        <oleObject progId="PBrush" shapeId="1026" r:id="rId10">
          <objectPr defaultSize="0" autoPict="0" r:id="rId11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1026" r:id="rId10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pageSetUpPr fitToPage="1"/>
  </sheetPr>
  <dimension ref="A1:CZ363"/>
  <sheetViews>
    <sheetView workbookViewId="0">
      <pane xSplit="2" ySplit="4" topLeftCell="CT310" activePane="bottomRight" state="frozen"/>
      <selection pane="topRight" activeCell="C1" sqref="C1"/>
      <selection pane="bottomLeft" activeCell="A5" sqref="A5"/>
      <selection pane="bottomRight" activeCell="CW333" sqref="CW333"/>
    </sheetView>
  </sheetViews>
  <sheetFormatPr baseColWidth="10" defaultRowHeight="12.75" x14ac:dyDescent="0.2"/>
  <cols>
    <col min="1" max="1" width="39.7109375" customWidth="1"/>
    <col min="2" max="2" width="35" bestFit="1" customWidth="1"/>
    <col min="3" max="3" width="20" bestFit="1" customWidth="1"/>
    <col min="4" max="4" width="22.42578125" bestFit="1" customWidth="1"/>
    <col min="5" max="5" width="24.140625" bestFit="1" customWidth="1"/>
    <col min="6" max="6" width="20" bestFit="1" customWidth="1"/>
    <col min="7" max="7" width="22.42578125" bestFit="1" customWidth="1"/>
    <col min="8" max="8" width="24.140625" bestFit="1" customWidth="1"/>
    <col min="9" max="9" width="20" bestFit="1" customWidth="1"/>
    <col min="10" max="10" width="22.42578125" bestFit="1" customWidth="1"/>
    <col min="11" max="11" width="24.140625" bestFit="1" customWidth="1"/>
    <col min="12" max="12" width="20" bestFit="1" customWidth="1"/>
    <col min="13" max="13" width="22.42578125" bestFit="1" customWidth="1"/>
    <col min="14" max="14" width="24.140625" bestFit="1" customWidth="1"/>
    <col min="15" max="15" width="20" bestFit="1" customWidth="1"/>
    <col min="16" max="16" width="22.42578125" bestFit="1" customWidth="1"/>
    <col min="17" max="17" width="24.140625" bestFit="1" customWidth="1"/>
    <col min="18" max="18" width="20" bestFit="1" customWidth="1"/>
    <col min="19" max="19" width="22.42578125" bestFit="1" customWidth="1"/>
    <col min="20" max="20" width="24.140625" bestFit="1" customWidth="1"/>
    <col min="21" max="21" width="20" bestFit="1" customWidth="1"/>
    <col min="22" max="22" width="22.42578125" bestFit="1" customWidth="1"/>
    <col min="23" max="23" width="24.140625" bestFit="1" customWidth="1"/>
    <col min="24" max="24" width="20" bestFit="1" customWidth="1"/>
    <col min="25" max="25" width="22.42578125" bestFit="1" customWidth="1"/>
    <col min="26" max="26" width="24.140625" bestFit="1" customWidth="1"/>
    <col min="27" max="27" width="20" bestFit="1" customWidth="1"/>
    <col min="28" max="28" width="22.42578125" bestFit="1" customWidth="1"/>
    <col min="29" max="29" width="24.140625" bestFit="1" customWidth="1"/>
    <col min="30" max="30" width="20" bestFit="1" customWidth="1"/>
    <col min="31" max="31" width="22.42578125" bestFit="1" customWidth="1"/>
    <col min="32" max="32" width="24.140625" bestFit="1" customWidth="1"/>
    <col min="33" max="33" width="20" bestFit="1" customWidth="1"/>
    <col min="34" max="34" width="22.42578125" bestFit="1" customWidth="1"/>
    <col min="35" max="35" width="24.140625" bestFit="1" customWidth="1"/>
    <col min="36" max="36" width="20" bestFit="1" customWidth="1"/>
    <col min="37" max="37" width="22.42578125" bestFit="1" customWidth="1"/>
    <col min="38" max="38" width="24.140625" bestFit="1" customWidth="1"/>
    <col min="39" max="39" width="20" bestFit="1" customWidth="1"/>
    <col min="40" max="40" width="22.42578125" bestFit="1" customWidth="1"/>
    <col min="41" max="41" width="24.140625" bestFit="1" customWidth="1"/>
    <col min="42" max="42" width="20" bestFit="1" customWidth="1"/>
    <col min="43" max="43" width="22.42578125" bestFit="1" customWidth="1"/>
    <col min="44" max="44" width="24.140625" bestFit="1" customWidth="1"/>
    <col min="45" max="45" width="20" bestFit="1" customWidth="1"/>
    <col min="46" max="46" width="22.42578125" bestFit="1" customWidth="1"/>
    <col min="47" max="47" width="24.140625" bestFit="1" customWidth="1"/>
    <col min="48" max="48" width="20" bestFit="1" customWidth="1"/>
    <col min="49" max="49" width="22.42578125" bestFit="1" customWidth="1"/>
    <col min="50" max="50" width="24.140625" bestFit="1" customWidth="1"/>
    <col min="51" max="51" width="20" bestFit="1" customWidth="1"/>
    <col min="52" max="52" width="22.42578125" bestFit="1" customWidth="1"/>
    <col min="53" max="53" width="24.140625" bestFit="1" customWidth="1"/>
    <col min="54" max="54" width="20" bestFit="1" customWidth="1"/>
    <col min="55" max="55" width="22.42578125" bestFit="1" customWidth="1"/>
    <col min="56" max="56" width="24.140625" bestFit="1" customWidth="1"/>
    <col min="57" max="57" width="20" bestFit="1" customWidth="1"/>
    <col min="58" max="58" width="22.42578125" bestFit="1" customWidth="1"/>
    <col min="59" max="59" width="24.140625" bestFit="1" customWidth="1"/>
    <col min="60" max="60" width="20" bestFit="1" customWidth="1"/>
    <col min="61" max="61" width="22.42578125" bestFit="1" customWidth="1"/>
    <col min="62" max="62" width="24.140625" bestFit="1" customWidth="1"/>
    <col min="63" max="63" width="20" bestFit="1" customWidth="1"/>
    <col min="64" max="64" width="22.42578125" bestFit="1" customWidth="1"/>
    <col min="65" max="65" width="24.140625" bestFit="1" customWidth="1"/>
    <col min="66" max="66" width="20" bestFit="1" customWidth="1"/>
    <col min="67" max="67" width="22.42578125" bestFit="1" customWidth="1"/>
    <col min="68" max="68" width="24.140625" bestFit="1" customWidth="1"/>
    <col min="69" max="69" width="20" bestFit="1" customWidth="1"/>
    <col min="70" max="70" width="22.42578125" bestFit="1" customWidth="1"/>
    <col min="71" max="71" width="24.140625" bestFit="1" customWidth="1"/>
    <col min="72" max="72" width="20" bestFit="1" customWidth="1"/>
    <col min="73" max="73" width="22.42578125" bestFit="1" customWidth="1"/>
    <col min="74" max="74" width="24.140625" bestFit="1" customWidth="1"/>
    <col min="75" max="75" width="20" bestFit="1" customWidth="1"/>
    <col min="76" max="76" width="22.42578125" bestFit="1" customWidth="1"/>
    <col min="77" max="77" width="24.140625" bestFit="1" customWidth="1"/>
    <col min="78" max="78" width="20" bestFit="1" customWidth="1"/>
    <col min="79" max="79" width="22.42578125" bestFit="1" customWidth="1"/>
    <col min="80" max="80" width="24.140625" bestFit="1" customWidth="1"/>
    <col min="81" max="81" width="20" bestFit="1" customWidth="1"/>
    <col min="82" max="82" width="22.42578125" bestFit="1" customWidth="1"/>
    <col min="83" max="83" width="24.140625" bestFit="1" customWidth="1"/>
    <col min="84" max="84" width="20" bestFit="1" customWidth="1"/>
    <col min="85" max="85" width="22.42578125" bestFit="1" customWidth="1"/>
    <col min="86" max="86" width="24.140625" bestFit="1" customWidth="1"/>
    <col min="87" max="87" width="20" bestFit="1" customWidth="1"/>
    <col min="88" max="88" width="22.42578125" bestFit="1" customWidth="1"/>
    <col min="89" max="89" width="24.140625" bestFit="1" customWidth="1"/>
    <col min="90" max="90" width="20" bestFit="1" customWidth="1"/>
    <col min="91" max="91" width="22.42578125" bestFit="1" customWidth="1"/>
    <col min="92" max="92" width="24.140625" bestFit="1" customWidth="1"/>
    <col min="93" max="93" width="20" bestFit="1" customWidth="1"/>
    <col min="94" max="94" width="22.42578125" bestFit="1" customWidth="1"/>
    <col min="95" max="95" width="24.140625" bestFit="1" customWidth="1"/>
    <col min="96" max="96" width="20" bestFit="1" customWidth="1"/>
    <col min="97" max="97" width="22.42578125" bestFit="1" customWidth="1"/>
    <col min="98" max="98" width="24.140625" bestFit="1" customWidth="1"/>
    <col min="99" max="99" width="20" bestFit="1" customWidth="1"/>
    <col min="100" max="100" width="22.42578125" bestFit="1" customWidth="1"/>
    <col min="101" max="101" width="24.140625" bestFit="1" customWidth="1"/>
    <col min="102" max="102" width="20" bestFit="1" customWidth="1"/>
    <col min="103" max="103" width="22.42578125" bestFit="1" customWidth="1"/>
    <col min="104" max="104" width="24.140625" bestFit="1" customWidth="1"/>
  </cols>
  <sheetData>
    <row r="1" spans="1:104" ht="1.5" customHeight="1" x14ac:dyDescent="0.2">
      <c r="A1" s="220"/>
      <c r="B1" s="221"/>
      <c r="C1" s="457" t="s">
        <v>494</v>
      </c>
      <c r="D1" s="458"/>
      <c r="E1" s="459"/>
      <c r="F1" s="457" t="s">
        <v>489</v>
      </c>
      <c r="G1" s="458"/>
      <c r="H1" s="459"/>
      <c r="I1" s="457" t="s">
        <v>490</v>
      </c>
      <c r="J1" s="458"/>
      <c r="K1" s="459"/>
      <c r="L1" s="457" t="s">
        <v>491</v>
      </c>
      <c r="M1" s="458"/>
      <c r="N1" s="459"/>
      <c r="O1" s="457" t="s">
        <v>492</v>
      </c>
      <c r="P1" s="458"/>
      <c r="Q1" s="459"/>
      <c r="R1" s="457" t="s">
        <v>493</v>
      </c>
      <c r="S1" s="458"/>
      <c r="T1" s="459"/>
      <c r="U1" s="457" t="s">
        <v>480</v>
      </c>
      <c r="V1" s="458"/>
      <c r="W1" s="459"/>
      <c r="X1" s="457" t="s">
        <v>494</v>
      </c>
      <c r="Y1" s="458"/>
      <c r="Z1" s="459"/>
      <c r="AA1" s="457" t="s">
        <v>489</v>
      </c>
      <c r="AB1" s="458"/>
      <c r="AC1" s="459"/>
      <c r="AD1" s="457" t="s">
        <v>490</v>
      </c>
      <c r="AE1" s="458"/>
      <c r="AF1" s="459"/>
      <c r="AG1" s="457" t="s">
        <v>491</v>
      </c>
      <c r="AH1" s="458"/>
      <c r="AI1" s="459"/>
      <c r="AJ1" s="457" t="s">
        <v>492</v>
      </c>
      <c r="AK1" s="458"/>
      <c r="AL1" s="459"/>
      <c r="AM1" s="457" t="s">
        <v>493</v>
      </c>
      <c r="AN1" s="458"/>
      <c r="AO1" s="459"/>
      <c r="AP1" s="457" t="s">
        <v>480</v>
      </c>
      <c r="AQ1" s="458"/>
      <c r="AR1" s="459"/>
      <c r="AS1" s="457" t="s">
        <v>494</v>
      </c>
      <c r="AT1" s="458"/>
      <c r="AU1" s="459"/>
      <c r="AV1" s="457" t="s">
        <v>489</v>
      </c>
      <c r="AW1" s="458"/>
      <c r="AX1" s="459"/>
      <c r="AY1" s="457" t="s">
        <v>490</v>
      </c>
      <c r="AZ1" s="458"/>
      <c r="BA1" s="459"/>
      <c r="BB1" s="457" t="s">
        <v>491</v>
      </c>
      <c r="BC1" s="458"/>
      <c r="BD1" s="459"/>
      <c r="BE1" s="457" t="s">
        <v>492</v>
      </c>
      <c r="BF1" s="458"/>
      <c r="BG1" s="459"/>
      <c r="BH1" s="457" t="s">
        <v>493</v>
      </c>
      <c r="BI1" s="458"/>
      <c r="BJ1" s="459"/>
      <c r="BK1" s="457" t="s">
        <v>480</v>
      </c>
      <c r="BL1" s="458"/>
      <c r="BM1" s="459"/>
      <c r="BN1" s="457" t="s">
        <v>494</v>
      </c>
      <c r="BO1" s="458"/>
      <c r="BP1" s="459"/>
      <c r="BQ1" s="457" t="s">
        <v>489</v>
      </c>
      <c r="BR1" s="458"/>
      <c r="BS1" s="459"/>
      <c r="BT1" s="457" t="s">
        <v>490</v>
      </c>
      <c r="BU1" s="458"/>
      <c r="BV1" s="459"/>
      <c r="BW1" s="457" t="s">
        <v>491</v>
      </c>
      <c r="BX1" s="458"/>
      <c r="BY1" s="459"/>
      <c r="BZ1" s="457" t="s">
        <v>492</v>
      </c>
      <c r="CA1" s="458"/>
      <c r="CB1" s="459"/>
      <c r="CC1" s="457" t="s">
        <v>493</v>
      </c>
      <c r="CD1" s="458"/>
      <c r="CE1" s="459"/>
      <c r="CF1" s="457" t="s">
        <v>480</v>
      </c>
      <c r="CG1" s="458"/>
      <c r="CH1" s="459"/>
      <c r="CI1" s="457" t="s">
        <v>494</v>
      </c>
      <c r="CJ1" s="458"/>
      <c r="CK1" s="459"/>
      <c r="CL1" s="457" t="s">
        <v>489</v>
      </c>
      <c r="CM1" s="458"/>
      <c r="CN1" s="459"/>
      <c r="CO1" s="457" t="s">
        <v>490</v>
      </c>
      <c r="CP1" s="458"/>
      <c r="CQ1" s="459"/>
      <c r="CR1" s="457" t="s">
        <v>491</v>
      </c>
      <c r="CS1" s="458"/>
      <c r="CT1" s="459"/>
      <c r="CU1" s="457" t="s">
        <v>492</v>
      </c>
      <c r="CV1" s="458"/>
      <c r="CW1" s="459"/>
      <c r="CX1" s="457" t="s">
        <v>493</v>
      </c>
      <c r="CY1" s="458"/>
      <c r="CZ1" s="459"/>
    </row>
    <row r="2" spans="1:104" ht="13.5" thickBot="1" x14ac:dyDescent="0.25">
      <c r="A2" s="467" t="s">
        <v>283</v>
      </c>
      <c r="B2" s="468" t="s">
        <v>283</v>
      </c>
      <c r="C2" s="460"/>
      <c r="D2" s="461"/>
      <c r="E2" s="462"/>
      <c r="F2" s="460"/>
      <c r="G2" s="461"/>
      <c r="H2" s="462"/>
      <c r="I2" s="460"/>
      <c r="J2" s="461"/>
      <c r="K2" s="462"/>
      <c r="L2" s="460"/>
      <c r="M2" s="461"/>
      <c r="N2" s="462"/>
      <c r="O2" s="460"/>
      <c r="P2" s="461"/>
      <c r="Q2" s="462"/>
      <c r="R2" s="460"/>
      <c r="S2" s="461"/>
      <c r="T2" s="462"/>
      <c r="U2" s="460"/>
      <c r="V2" s="461"/>
      <c r="W2" s="462"/>
      <c r="X2" s="460"/>
      <c r="Y2" s="461"/>
      <c r="Z2" s="462"/>
      <c r="AA2" s="460"/>
      <c r="AB2" s="461"/>
      <c r="AC2" s="462"/>
      <c r="AD2" s="460"/>
      <c r="AE2" s="461"/>
      <c r="AF2" s="462"/>
      <c r="AG2" s="460"/>
      <c r="AH2" s="461"/>
      <c r="AI2" s="462"/>
      <c r="AJ2" s="460"/>
      <c r="AK2" s="461"/>
      <c r="AL2" s="462"/>
      <c r="AM2" s="460"/>
      <c r="AN2" s="461"/>
      <c r="AO2" s="462"/>
      <c r="AP2" s="460"/>
      <c r="AQ2" s="461"/>
      <c r="AR2" s="462"/>
      <c r="AS2" s="460"/>
      <c r="AT2" s="461"/>
      <c r="AU2" s="462"/>
      <c r="AV2" s="460"/>
      <c r="AW2" s="461"/>
      <c r="AX2" s="462"/>
      <c r="AY2" s="460"/>
      <c r="AZ2" s="461"/>
      <c r="BA2" s="462"/>
      <c r="BB2" s="460"/>
      <c r="BC2" s="461"/>
      <c r="BD2" s="462"/>
      <c r="BE2" s="460"/>
      <c r="BF2" s="461"/>
      <c r="BG2" s="462"/>
      <c r="BH2" s="460"/>
      <c r="BI2" s="461"/>
      <c r="BJ2" s="462"/>
      <c r="BK2" s="460"/>
      <c r="BL2" s="461"/>
      <c r="BM2" s="462"/>
      <c r="BN2" s="460"/>
      <c r="BO2" s="461"/>
      <c r="BP2" s="462"/>
      <c r="BQ2" s="460"/>
      <c r="BR2" s="461"/>
      <c r="BS2" s="462"/>
      <c r="BT2" s="460"/>
      <c r="BU2" s="461"/>
      <c r="BV2" s="462"/>
      <c r="BW2" s="460"/>
      <c r="BX2" s="461"/>
      <c r="BY2" s="462"/>
      <c r="BZ2" s="460"/>
      <c r="CA2" s="461"/>
      <c r="CB2" s="462"/>
      <c r="CC2" s="460"/>
      <c r="CD2" s="461"/>
      <c r="CE2" s="462"/>
      <c r="CF2" s="460"/>
      <c r="CG2" s="461"/>
      <c r="CH2" s="462"/>
      <c r="CI2" s="460"/>
      <c r="CJ2" s="461"/>
      <c r="CK2" s="462"/>
      <c r="CL2" s="460"/>
      <c r="CM2" s="461"/>
      <c r="CN2" s="462"/>
      <c r="CO2" s="460"/>
      <c r="CP2" s="461"/>
      <c r="CQ2" s="462"/>
      <c r="CR2" s="460"/>
      <c r="CS2" s="461"/>
      <c r="CT2" s="462"/>
      <c r="CU2" s="460"/>
      <c r="CV2" s="461"/>
      <c r="CW2" s="462"/>
      <c r="CX2" s="460"/>
      <c r="CY2" s="461"/>
      <c r="CZ2" s="462"/>
    </row>
    <row r="3" spans="1:104" ht="12.75" customHeight="1" thickBot="1" x14ac:dyDescent="0.25">
      <c r="A3" s="449" t="s">
        <v>0</v>
      </c>
      <c r="B3" s="469"/>
      <c r="C3" s="463">
        <v>40575</v>
      </c>
      <c r="D3" s="464"/>
      <c r="E3" s="465"/>
      <c r="F3" s="463">
        <v>40576</v>
      </c>
      <c r="G3" s="464"/>
      <c r="H3" s="465"/>
      <c r="I3" s="463">
        <v>40577</v>
      </c>
      <c r="J3" s="464"/>
      <c r="K3" s="465"/>
      <c r="L3" s="463">
        <v>40578</v>
      </c>
      <c r="M3" s="464"/>
      <c r="N3" s="465"/>
      <c r="O3" s="463">
        <v>40579</v>
      </c>
      <c r="P3" s="464"/>
      <c r="Q3" s="465"/>
      <c r="R3" s="463">
        <v>40580</v>
      </c>
      <c r="S3" s="464"/>
      <c r="T3" s="465"/>
      <c r="U3" s="463">
        <v>40581</v>
      </c>
      <c r="V3" s="464"/>
      <c r="W3" s="465"/>
      <c r="X3" s="463">
        <v>40582</v>
      </c>
      <c r="Y3" s="464"/>
      <c r="Z3" s="465"/>
      <c r="AA3" s="463">
        <v>40583</v>
      </c>
      <c r="AB3" s="464"/>
      <c r="AC3" s="465"/>
      <c r="AD3" s="463">
        <v>40584</v>
      </c>
      <c r="AE3" s="464"/>
      <c r="AF3" s="465"/>
      <c r="AG3" s="463">
        <v>40585</v>
      </c>
      <c r="AH3" s="464"/>
      <c r="AI3" s="465"/>
      <c r="AJ3" s="463">
        <v>40586</v>
      </c>
      <c r="AK3" s="464"/>
      <c r="AL3" s="465"/>
      <c r="AM3" s="463">
        <v>40587</v>
      </c>
      <c r="AN3" s="464"/>
      <c r="AO3" s="465"/>
      <c r="AP3" s="463">
        <v>40588</v>
      </c>
      <c r="AQ3" s="464"/>
      <c r="AR3" s="465"/>
      <c r="AS3" s="463">
        <v>40589</v>
      </c>
      <c r="AT3" s="464"/>
      <c r="AU3" s="465"/>
      <c r="AV3" s="463">
        <v>40590</v>
      </c>
      <c r="AW3" s="464"/>
      <c r="AX3" s="465"/>
      <c r="AY3" s="463">
        <v>40591</v>
      </c>
      <c r="AZ3" s="464"/>
      <c r="BA3" s="465"/>
      <c r="BB3" s="463">
        <v>40592</v>
      </c>
      <c r="BC3" s="464"/>
      <c r="BD3" s="465"/>
      <c r="BE3" s="463">
        <v>40593</v>
      </c>
      <c r="BF3" s="464"/>
      <c r="BG3" s="465"/>
      <c r="BH3" s="463">
        <v>40594</v>
      </c>
      <c r="BI3" s="464"/>
      <c r="BJ3" s="465"/>
      <c r="BK3" s="463">
        <v>40595</v>
      </c>
      <c r="BL3" s="464"/>
      <c r="BM3" s="465"/>
      <c r="BN3" s="463">
        <v>40596</v>
      </c>
      <c r="BO3" s="464"/>
      <c r="BP3" s="465"/>
      <c r="BQ3" s="463">
        <v>40597</v>
      </c>
      <c r="BR3" s="464"/>
      <c r="BS3" s="465"/>
      <c r="BT3" s="463">
        <v>40598</v>
      </c>
      <c r="BU3" s="464"/>
      <c r="BV3" s="465"/>
      <c r="BW3" s="463">
        <v>40599</v>
      </c>
      <c r="BX3" s="464"/>
      <c r="BY3" s="465"/>
      <c r="BZ3" s="463">
        <v>40600</v>
      </c>
      <c r="CA3" s="464"/>
      <c r="CB3" s="465"/>
      <c r="CC3" s="463">
        <v>40601</v>
      </c>
      <c r="CD3" s="464"/>
      <c r="CE3" s="465"/>
      <c r="CF3" s="463">
        <v>40602</v>
      </c>
      <c r="CG3" s="464"/>
      <c r="CH3" s="465"/>
      <c r="CI3" s="463">
        <v>40603</v>
      </c>
      <c r="CJ3" s="464"/>
      <c r="CK3" s="465"/>
      <c r="CL3" s="463">
        <v>40604</v>
      </c>
      <c r="CM3" s="464"/>
      <c r="CN3" s="465"/>
      <c r="CO3" s="463">
        <v>40605</v>
      </c>
      <c r="CP3" s="464"/>
      <c r="CQ3" s="465"/>
      <c r="CR3" s="463">
        <v>40606</v>
      </c>
      <c r="CS3" s="464"/>
      <c r="CT3" s="465"/>
      <c r="CU3" s="463">
        <v>40607</v>
      </c>
      <c r="CV3" s="464"/>
      <c r="CW3" s="465"/>
      <c r="CX3" s="463">
        <v>40608</v>
      </c>
      <c r="CY3" s="464"/>
      <c r="CZ3" s="465"/>
    </row>
    <row r="4" spans="1:104" ht="12.75" customHeight="1" thickBot="1" x14ac:dyDescent="0.25">
      <c r="A4" s="147"/>
      <c r="B4" s="148"/>
      <c r="C4" s="162" t="s">
        <v>346</v>
      </c>
      <c r="D4" s="150" t="s">
        <v>347</v>
      </c>
      <c r="E4" s="149" t="s">
        <v>348</v>
      </c>
      <c r="F4" s="162" t="s">
        <v>346</v>
      </c>
      <c r="G4" s="150" t="s">
        <v>347</v>
      </c>
      <c r="H4" s="149" t="s">
        <v>348</v>
      </c>
      <c r="I4" s="162" t="s">
        <v>346</v>
      </c>
      <c r="J4" s="150" t="s">
        <v>347</v>
      </c>
      <c r="K4" s="149" t="s">
        <v>348</v>
      </c>
      <c r="L4" s="162" t="s">
        <v>346</v>
      </c>
      <c r="M4" s="150" t="s">
        <v>347</v>
      </c>
      <c r="N4" s="149" t="s">
        <v>348</v>
      </c>
      <c r="O4" s="162" t="s">
        <v>346</v>
      </c>
      <c r="P4" s="150" t="s">
        <v>347</v>
      </c>
      <c r="Q4" s="149" t="s">
        <v>348</v>
      </c>
      <c r="R4" s="162" t="s">
        <v>346</v>
      </c>
      <c r="S4" s="150" t="s">
        <v>347</v>
      </c>
      <c r="T4" s="149" t="s">
        <v>348</v>
      </c>
      <c r="U4" s="162" t="s">
        <v>346</v>
      </c>
      <c r="V4" s="150" t="s">
        <v>347</v>
      </c>
      <c r="W4" s="149" t="s">
        <v>348</v>
      </c>
      <c r="X4" s="162" t="s">
        <v>346</v>
      </c>
      <c r="Y4" s="150" t="s">
        <v>347</v>
      </c>
      <c r="Z4" s="149" t="s">
        <v>348</v>
      </c>
      <c r="AA4" s="162" t="s">
        <v>346</v>
      </c>
      <c r="AB4" s="150" t="s">
        <v>347</v>
      </c>
      <c r="AC4" s="149" t="s">
        <v>348</v>
      </c>
      <c r="AD4" s="162" t="s">
        <v>346</v>
      </c>
      <c r="AE4" s="150" t="s">
        <v>347</v>
      </c>
      <c r="AF4" s="149" t="s">
        <v>348</v>
      </c>
      <c r="AG4" s="162" t="s">
        <v>346</v>
      </c>
      <c r="AH4" s="150" t="s">
        <v>347</v>
      </c>
      <c r="AI4" s="149" t="s">
        <v>348</v>
      </c>
      <c r="AJ4" s="162" t="s">
        <v>346</v>
      </c>
      <c r="AK4" s="150" t="s">
        <v>347</v>
      </c>
      <c r="AL4" s="149" t="s">
        <v>348</v>
      </c>
      <c r="AM4" s="162" t="s">
        <v>346</v>
      </c>
      <c r="AN4" s="150" t="s">
        <v>347</v>
      </c>
      <c r="AO4" s="149" t="s">
        <v>348</v>
      </c>
      <c r="AP4" s="162" t="s">
        <v>346</v>
      </c>
      <c r="AQ4" s="150" t="s">
        <v>347</v>
      </c>
      <c r="AR4" s="149" t="s">
        <v>348</v>
      </c>
      <c r="AS4" s="162" t="s">
        <v>346</v>
      </c>
      <c r="AT4" s="150" t="s">
        <v>347</v>
      </c>
      <c r="AU4" s="149" t="s">
        <v>348</v>
      </c>
      <c r="AV4" s="162" t="s">
        <v>346</v>
      </c>
      <c r="AW4" s="150" t="s">
        <v>347</v>
      </c>
      <c r="AX4" s="149" t="s">
        <v>348</v>
      </c>
      <c r="AY4" s="162" t="s">
        <v>346</v>
      </c>
      <c r="AZ4" s="150" t="s">
        <v>347</v>
      </c>
      <c r="BA4" s="149" t="s">
        <v>348</v>
      </c>
      <c r="BB4" s="162" t="s">
        <v>346</v>
      </c>
      <c r="BC4" s="150" t="s">
        <v>347</v>
      </c>
      <c r="BD4" s="149" t="s">
        <v>348</v>
      </c>
      <c r="BE4" s="162" t="s">
        <v>346</v>
      </c>
      <c r="BF4" s="150" t="s">
        <v>347</v>
      </c>
      <c r="BG4" s="149" t="s">
        <v>348</v>
      </c>
      <c r="BH4" s="162" t="s">
        <v>346</v>
      </c>
      <c r="BI4" s="150" t="s">
        <v>347</v>
      </c>
      <c r="BJ4" s="149" t="s">
        <v>348</v>
      </c>
      <c r="BK4" s="162" t="s">
        <v>346</v>
      </c>
      <c r="BL4" s="150" t="s">
        <v>347</v>
      </c>
      <c r="BM4" s="149" t="s">
        <v>348</v>
      </c>
      <c r="BN4" s="162" t="s">
        <v>346</v>
      </c>
      <c r="BO4" s="150" t="s">
        <v>347</v>
      </c>
      <c r="BP4" s="149" t="s">
        <v>348</v>
      </c>
      <c r="BQ4" s="162" t="s">
        <v>346</v>
      </c>
      <c r="BR4" s="150" t="s">
        <v>347</v>
      </c>
      <c r="BS4" s="149" t="s">
        <v>348</v>
      </c>
      <c r="BT4" s="162" t="s">
        <v>346</v>
      </c>
      <c r="BU4" s="150" t="s">
        <v>347</v>
      </c>
      <c r="BV4" s="149" t="s">
        <v>348</v>
      </c>
      <c r="BW4" s="162" t="s">
        <v>346</v>
      </c>
      <c r="BX4" s="150" t="s">
        <v>347</v>
      </c>
      <c r="BY4" s="149" t="s">
        <v>348</v>
      </c>
      <c r="BZ4" s="162" t="s">
        <v>346</v>
      </c>
      <c r="CA4" s="150" t="s">
        <v>347</v>
      </c>
      <c r="CB4" s="149" t="s">
        <v>348</v>
      </c>
      <c r="CC4" s="162" t="s">
        <v>346</v>
      </c>
      <c r="CD4" s="150" t="s">
        <v>347</v>
      </c>
      <c r="CE4" s="149" t="s">
        <v>348</v>
      </c>
      <c r="CF4" s="162" t="s">
        <v>346</v>
      </c>
      <c r="CG4" s="150" t="s">
        <v>347</v>
      </c>
      <c r="CH4" s="149" t="s">
        <v>348</v>
      </c>
      <c r="CI4" s="162" t="s">
        <v>346</v>
      </c>
      <c r="CJ4" s="150" t="s">
        <v>347</v>
      </c>
      <c r="CK4" s="149" t="s">
        <v>348</v>
      </c>
      <c r="CL4" s="162" t="s">
        <v>346</v>
      </c>
      <c r="CM4" s="150" t="s">
        <v>347</v>
      </c>
      <c r="CN4" s="149" t="s">
        <v>348</v>
      </c>
      <c r="CO4" s="162" t="s">
        <v>346</v>
      </c>
      <c r="CP4" s="150" t="s">
        <v>347</v>
      </c>
      <c r="CQ4" s="149" t="s">
        <v>348</v>
      </c>
      <c r="CR4" s="162" t="s">
        <v>346</v>
      </c>
      <c r="CS4" s="150" t="s">
        <v>347</v>
      </c>
      <c r="CT4" s="149" t="s">
        <v>348</v>
      </c>
      <c r="CU4" s="162" t="s">
        <v>346</v>
      </c>
      <c r="CV4" s="150" t="s">
        <v>347</v>
      </c>
      <c r="CW4" s="149" t="s">
        <v>348</v>
      </c>
      <c r="CX4" s="162" t="s">
        <v>346</v>
      </c>
      <c r="CY4" s="150" t="s">
        <v>347</v>
      </c>
      <c r="CZ4" s="149" t="s">
        <v>348</v>
      </c>
    </row>
    <row r="5" spans="1:104" x14ac:dyDescent="0.2">
      <c r="A5" s="442" t="s">
        <v>181</v>
      </c>
      <c r="B5" s="64" t="s">
        <v>1</v>
      </c>
      <c r="C5" s="248">
        <f>'[69]VENTAS TOTALES'!$F$10</f>
        <v>12299</v>
      </c>
      <c r="D5" s="249">
        <f>'[69]VENTAS TOTALES'!$G$10</f>
        <v>8038900</v>
      </c>
      <c r="E5" s="249">
        <f>'[69]VENTAS TOTALES'!$H$10</f>
        <v>28947200</v>
      </c>
      <c r="F5" s="248">
        <f>'[70]VENTAS TOTALES'!$F$10</f>
        <v>12153</v>
      </c>
      <c r="G5" s="249">
        <f>'[70]VENTAS TOTALES'!$G$10</f>
        <v>6669700</v>
      </c>
      <c r="H5" s="249">
        <f>'[70]VENTAS TOTALES'!$H$10</f>
        <v>27329800</v>
      </c>
      <c r="I5" s="248">
        <f>'[71]VENTAS TOTALES'!$F$10</f>
        <v>9688</v>
      </c>
      <c r="J5" s="249">
        <f>'[71]VENTAS TOTALES'!$G$10</f>
        <v>4837100</v>
      </c>
      <c r="K5" s="249">
        <f>'[71]VENTAS TOTALES'!$H$10</f>
        <v>21306700</v>
      </c>
      <c r="L5" s="248">
        <f>'[72]VENTAS TOTALES'!$F$10</f>
        <v>10335</v>
      </c>
      <c r="M5" s="249">
        <f>'[72]VENTAS TOTALES'!$G$10</f>
        <v>3776900</v>
      </c>
      <c r="N5" s="249">
        <f>'[72]VENTAS TOTALES'!$H$10</f>
        <v>21346400</v>
      </c>
      <c r="O5" s="248">
        <f>'[73]VENTAS TOTALES'!$F$10</f>
        <v>9078</v>
      </c>
      <c r="P5" s="249">
        <f>'[73]VENTAS TOTALES'!$G$10</f>
        <v>3294800</v>
      </c>
      <c r="Q5" s="249">
        <f>'[73]VENTAS TOTALES'!$H$10</f>
        <v>18727400</v>
      </c>
      <c r="R5" s="248">
        <f>'[74]VENTAS TOTALES'!$F$10</f>
        <v>5982</v>
      </c>
      <c r="S5" s="249">
        <f>'[74]VENTAS TOTALES'!$G$10</f>
        <v>2592100</v>
      </c>
      <c r="T5" s="249">
        <f>'[74]VENTAS TOTALES'!$H$10</f>
        <v>12761500</v>
      </c>
      <c r="U5" s="248">
        <f>'[75]VENTAS TOTALES'!$F$10</f>
        <v>12440</v>
      </c>
      <c r="V5" s="249">
        <f>'[75]VENTAS TOTALES'!$G$10</f>
        <v>7555200</v>
      </c>
      <c r="W5" s="249">
        <f>'[75]VENTAS TOTALES'!$H$10</f>
        <v>28703200</v>
      </c>
      <c r="X5" s="248">
        <f>'[76]VENTAS TOTALES'!$F$10</f>
        <v>10846</v>
      </c>
      <c r="Y5" s="249">
        <f>'[76]VENTAS TOTALES'!$G$10</f>
        <v>4344750</v>
      </c>
      <c r="Z5" s="249">
        <f>'[76]VENTAS TOTALES'!$H$10</f>
        <v>22782950</v>
      </c>
      <c r="AA5" s="248">
        <f>'[77]VENTAS TOTALES'!$F$10</f>
        <v>10072</v>
      </c>
      <c r="AB5" s="249">
        <f>'[77]VENTAS TOTALES'!$G$10</f>
        <v>4941700</v>
      </c>
      <c r="AC5" s="249">
        <f>'[77]VENTAS TOTALES'!$H$10</f>
        <v>22064100</v>
      </c>
      <c r="AD5" s="248">
        <f>'[78]VENTAS TOTALES'!$F$10</f>
        <v>9745</v>
      </c>
      <c r="AE5" s="249">
        <f>'[78]VENTAS TOTALES'!$G$10</f>
        <v>4427400</v>
      </c>
      <c r="AF5" s="249">
        <f>'[78]VENTAS TOTALES'!$H$10</f>
        <v>20993900</v>
      </c>
      <c r="AG5" s="248">
        <f>'[79]VENTAS TOTALES'!$F$10</f>
        <v>10074</v>
      </c>
      <c r="AH5" s="249">
        <f>'[79]VENTAS TOTALES'!$G$10</f>
        <v>3839300</v>
      </c>
      <c r="AI5" s="249">
        <f>'[79]VENTAS TOTALES'!$H$10</f>
        <v>20965100</v>
      </c>
      <c r="AJ5" s="248">
        <f>'[80]VENTAS TOTALES'!$F$10</f>
        <v>8886</v>
      </c>
      <c r="AK5" s="249">
        <f>'[80]VENTAS TOTALES'!$G$10</f>
        <v>3458800</v>
      </c>
      <c r="AL5" s="249">
        <f>'[80]VENTAS TOTALES'!$H$10</f>
        <v>18565000</v>
      </c>
      <c r="AM5" s="248">
        <f>'[81]VENTAS TOTALES'!$F$10</f>
        <v>5371</v>
      </c>
      <c r="AN5" s="249">
        <f>'[81]VENTAS TOTALES'!$G$10</f>
        <v>2319300</v>
      </c>
      <c r="AO5" s="249">
        <f>'[81]VENTAS TOTALES'!$H$10</f>
        <v>11450000</v>
      </c>
      <c r="AP5" s="248">
        <f>'[82]VENTAS TOTALES'!$F$10</f>
        <v>14182</v>
      </c>
      <c r="AQ5" s="249">
        <f>'[82]VENTAS TOTALES'!$G$10</f>
        <v>8178800</v>
      </c>
      <c r="AR5" s="249">
        <f>'[82]VENTAS TOTALES'!$H$10</f>
        <v>32288200</v>
      </c>
      <c r="AS5" s="248">
        <f>'[83]VENTAS TOTALES'!$F$10</f>
        <v>12925</v>
      </c>
      <c r="AT5" s="249">
        <f>'[83]VENTAS TOTALES'!$G$10</f>
        <v>7122250</v>
      </c>
      <c r="AU5" s="249">
        <f>'[83]VENTAS TOTALES'!$H$10</f>
        <v>29094750</v>
      </c>
      <c r="AV5" s="248">
        <f>'[84]VENTAS TOTALES'!$F$10</f>
        <v>11814</v>
      </c>
      <c r="AW5" s="249">
        <f>'[84]VENTAS TOTALES'!$G$10</f>
        <v>8827100</v>
      </c>
      <c r="AX5" s="249">
        <f>'[84]VENTAS TOTALES'!$H$10</f>
        <v>28910900</v>
      </c>
      <c r="AY5" s="248">
        <f>'[85]VENTAS TOTALES'!$F$10</f>
        <v>11572</v>
      </c>
      <c r="AZ5" s="249">
        <f>'[85]VENTAS TOTALES'!$G$10</f>
        <v>6601500</v>
      </c>
      <c r="BA5" s="249">
        <f>'[85]VENTAS TOTALES'!$H$10</f>
        <v>26273900</v>
      </c>
      <c r="BB5" s="248">
        <f>'[86]VENTAS TOTALES'!$F$10</f>
        <v>11114</v>
      </c>
      <c r="BC5" s="249">
        <f>'[86]VENTAS TOTALES'!$G$10</f>
        <v>4471850</v>
      </c>
      <c r="BD5" s="249">
        <f>'[86]VENTAS TOTALES'!$H$10</f>
        <v>23365650</v>
      </c>
      <c r="BE5" s="248">
        <f>'[87]VENTAS TOTALES'!$F$10</f>
        <v>9416</v>
      </c>
      <c r="BF5" s="249">
        <f>'[87]VENTAS TOTALES'!$G$10</f>
        <v>3580100</v>
      </c>
      <c r="BG5" s="249">
        <f>'[87]VENTAS TOTALES'!$H$10</f>
        <v>19587300</v>
      </c>
      <c r="BH5" s="248">
        <f>'[88]VENTAS TOTALES'!$F$10</f>
        <v>6108</v>
      </c>
      <c r="BI5" s="249">
        <f>'[88]VENTAS TOTALES'!$G$10</f>
        <v>2496100</v>
      </c>
      <c r="BJ5" s="249">
        <f>'[88]VENTAS TOTALES'!$H$10</f>
        <v>12879700</v>
      </c>
      <c r="BK5" s="248">
        <f>'[89]VENTAS TOTALES'!$F$10</f>
        <v>13114</v>
      </c>
      <c r="BL5" s="249">
        <f>'[89]VENTAS TOTALES'!$G$10</f>
        <v>7079400</v>
      </c>
      <c r="BM5" s="249">
        <f>'[89]VENTAS TOTALES'!$H$10</f>
        <v>29373200</v>
      </c>
      <c r="BN5" s="248">
        <f>'[90]VENTAS TOTALES'!$F$10</f>
        <v>10554</v>
      </c>
      <c r="BO5" s="249">
        <f>'[90]VENTAS TOTALES'!$G$10</f>
        <v>5056800</v>
      </c>
      <c r="BP5" s="249">
        <f>'[90]VENTAS TOTALES'!$H$10</f>
        <v>22998600</v>
      </c>
      <c r="BQ5" s="248">
        <f>'[91]VENTAS TOTALES'!$F$10</f>
        <v>9896</v>
      </c>
      <c r="BR5" s="249">
        <f>'[91]VENTAS TOTALES'!$G$10</f>
        <v>3990000</v>
      </c>
      <c r="BS5" s="249">
        <f>'[91]VENTAS TOTALES'!$H$10</f>
        <v>20813200</v>
      </c>
      <c r="BT5" s="248">
        <f>'[92]VENTAS TOTALES'!$F$10</f>
        <v>10419</v>
      </c>
      <c r="BU5" s="249">
        <f>'[92]VENTAS TOTALES'!$G$10</f>
        <v>4312000</v>
      </c>
      <c r="BV5" s="249">
        <f>'[92]VENTAS TOTALES'!$H$10</f>
        <v>22024300</v>
      </c>
      <c r="BW5" s="248">
        <f>'[93]VENTAS TOTALES'!$F$10</f>
        <v>10707</v>
      </c>
      <c r="BX5" s="249">
        <f>'[93]VENTAS TOTALES'!$G$10</f>
        <v>4771400</v>
      </c>
      <c r="BY5" s="249">
        <f>'[93]VENTAS TOTALES'!$H$10</f>
        <v>22973300</v>
      </c>
      <c r="BZ5" s="248">
        <f>'[94]VENTAS TOTALES'!$F$10</f>
        <v>9720</v>
      </c>
      <c r="CA5" s="249">
        <f>'[94]VENTAS TOTALES'!$G$10</f>
        <v>3811800</v>
      </c>
      <c r="CB5" s="249">
        <f>'[94]VENTAS TOTALES'!$H$10</f>
        <v>20335800</v>
      </c>
      <c r="CC5" s="248">
        <f>'[95]VENTAS TOTALES'!$F$10</f>
        <v>6396</v>
      </c>
      <c r="CD5" s="249">
        <f>'[95]VENTAS TOTALES'!$G$10</f>
        <v>3071000</v>
      </c>
      <c r="CE5" s="249">
        <f>'[95]VENTAS TOTALES'!$H$10</f>
        <v>13944200</v>
      </c>
      <c r="CF5" s="248">
        <f>'[96]VENTAS TOTALES'!$F$10</f>
        <v>15083</v>
      </c>
      <c r="CG5" s="249">
        <f>'[96]VENTAS TOTALES'!$G$10</f>
        <v>9946800</v>
      </c>
      <c r="CH5" s="249">
        <f>'[96]VENTAS TOTALES'!$H$10</f>
        <v>35587900</v>
      </c>
      <c r="CI5" s="248">
        <f>'[97]VENTAS TOTALES'!$F$10</f>
        <v>14150</v>
      </c>
      <c r="CJ5" s="249">
        <f>'[97]VENTAS TOTALES'!$G$10</f>
        <v>9659800</v>
      </c>
      <c r="CK5" s="249">
        <f>'[97]VENTAS TOTALES'!$H$10</f>
        <v>33714800</v>
      </c>
      <c r="CL5" s="248">
        <f>'[98]VENTAS TOTALES'!$F$10</f>
        <v>12276</v>
      </c>
      <c r="CM5" s="249">
        <f>'[98]VENTAS TOTALES'!$G$10</f>
        <v>8085750</v>
      </c>
      <c r="CN5" s="249">
        <f>'[98]VENTAS TOTALES'!$H$10</f>
        <v>28954950</v>
      </c>
      <c r="CO5" s="248">
        <f>'[99]VENTAS TOTALES'!$F$10</f>
        <v>11802</v>
      </c>
      <c r="CP5" s="249">
        <f>'[99]VENTAS TOTALES'!$G$10</f>
        <v>6492150</v>
      </c>
      <c r="CQ5" s="249">
        <f>'[99]VENTAS TOTALES'!$H$10</f>
        <v>26555550</v>
      </c>
      <c r="CR5" s="248">
        <f>'[100]VENTAS TOTALES'!$F$10</f>
        <v>10881</v>
      </c>
      <c r="CS5" s="249">
        <f>'[100]VENTAS TOTALES'!$G$10</f>
        <v>4527851</v>
      </c>
      <c r="CT5" s="249">
        <f>'[100]VENTAS TOTALES'!$H$10</f>
        <v>23025551</v>
      </c>
      <c r="CU5" s="248">
        <f>'[101]VENTAS TOTALES'!$F$10</f>
        <v>10068</v>
      </c>
      <c r="CV5" s="249">
        <f>'[101]VENTAS TOTALES'!$G$10</f>
        <v>3611400</v>
      </c>
      <c r="CW5" s="249">
        <f>'[101]VENTAS TOTALES'!$H$10</f>
        <v>20727000</v>
      </c>
      <c r="CX5" s="248">
        <f>'[102]VENTAS TOTALES'!$F$10</f>
        <v>6140</v>
      </c>
      <c r="CY5" s="249">
        <f>'[102]VENTAS TOTALES'!$G$10</f>
        <v>3171000</v>
      </c>
      <c r="CZ5" s="249">
        <f>'[102]VENTAS TOTALES'!$H$10</f>
        <v>13609000</v>
      </c>
    </row>
    <row r="6" spans="1:104" x14ac:dyDescent="0.2">
      <c r="A6" s="443"/>
      <c r="B6" s="39" t="s">
        <v>2</v>
      </c>
      <c r="C6" s="250">
        <f>'[69]VENTAS TOTALES'!$F14</f>
        <v>6189</v>
      </c>
      <c r="D6" s="251">
        <f>'[69]VENTAS TOTALES'!$G14</f>
        <v>2289900</v>
      </c>
      <c r="E6" s="251">
        <f>'[69]VENTAS TOTALES'!$H14</f>
        <v>12811200</v>
      </c>
      <c r="F6" s="250">
        <f>'[70]VENTAS TOTALES'!$F14</f>
        <v>5952</v>
      </c>
      <c r="G6" s="251">
        <f>'[70]VENTAS TOTALES'!$G14</f>
        <v>2197000</v>
      </c>
      <c r="H6" s="251">
        <f>'[70]VENTAS TOTALES'!$H14</f>
        <v>12315400</v>
      </c>
      <c r="I6" s="250">
        <f>'[71]VENTAS TOTALES'!$F14</f>
        <v>4966</v>
      </c>
      <c r="J6" s="251">
        <f>'[71]VENTAS TOTALES'!$G14</f>
        <v>1104800</v>
      </c>
      <c r="K6" s="251">
        <f>'[71]VENTAS TOTALES'!$H14</f>
        <v>9547000</v>
      </c>
      <c r="L6" s="250">
        <f>'[72]VENTAS TOTALES'!$F14</f>
        <v>4970</v>
      </c>
      <c r="M6" s="251">
        <f>'[72]VENTAS TOTALES'!$G14</f>
        <v>1080300</v>
      </c>
      <c r="N6" s="251">
        <f>'[72]VENTAS TOTALES'!$H14</f>
        <v>9529300</v>
      </c>
      <c r="O6" s="250">
        <f>'[73]VENTAS TOTALES'!$F14</f>
        <v>3895</v>
      </c>
      <c r="P6" s="251">
        <f>'[73]VENTAS TOTALES'!$G14</f>
        <v>1002400</v>
      </c>
      <c r="Q6" s="251">
        <f>'[73]VENTAS TOTALES'!$H14</f>
        <v>7623900</v>
      </c>
      <c r="R6" s="250">
        <f>'[74]VENTAS TOTALES'!$F14</f>
        <v>2135</v>
      </c>
      <c r="S6" s="251">
        <f>'[74]VENTAS TOTALES'!$G14</f>
        <v>389300</v>
      </c>
      <c r="T6" s="251">
        <f>'[74]VENTAS TOTALES'!$H14</f>
        <v>4018800</v>
      </c>
      <c r="U6" s="250">
        <f>'[75]VENTAS TOTALES'!$F14</f>
        <v>6660</v>
      </c>
      <c r="V6" s="251">
        <f>'[75]VENTAS TOTALES'!$G14</f>
        <v>1948600</v>
      </c>
      <c r="W6" s="251">
        <f>'[75]VENTAS TOTALES'!$H14</f>
        <v>13270600</v>
      </c>
      <c r="X6" s="250">
        <f>'[76]VENTAS TOTALES'!$F14</f>
        <v>5476</v>
      </c>
      <c r="Y6" s="251">
        <f>'[76]VENTAS TOTALES'!$G14</f>
        <v>1334500</v>
      </c>
      <c r="Z6" s="251">
        <f>'[76]VENTAS TOTALES'!$H14</f>
        <v>10643700</v>
      </c>
      <c r="AA6" s="250">
        <f>'[77]VENTAS TOTALES'!$F14</f>
        <v>5283</v>
      </c>
      <c r="AB6" s="251">
        <f>'[77]VENTAS TOTALES'!$G14</f>
        <v>1198500</v>
      </c>
      <c r="AC6" s="251">
        <f>'[77]VENTAS TOTALES'!$H14</f>
        <v>10179600</v>
      </c>
      <c r="AD6" s="250">
        <f>'[78]VENTAS TOTALES'!$F14</f>
        <v>5059</v>
      </c>
      <c r="AE6" s="251">
        <f>'[78]VENTAS TOTALES'!$G14</f>
        <v>1273050</v>
      </c>
      <c r="AF6" s="251">
        <f>'[78]VENTAS TOTALES'!$H14</f>
        <v>9873350</v>
      </c>
      <c r="AG6" s="250">
        <f>'[79]VENTAS TOTALES'!$F14</f>
        <v>4999</v>
      </c>
      <c r="AH6" s="251">
        <f>'[79]VENTAS TOTALES'!$G14</f>
        <v>1226600</v>
      </c>
      <c r="AI6" s="251">
        <f>'[79]VENTAS TOTALES'!$H14</f>
        <v>9724900</v>
      </c>
      <c r="AJ6" s="250">
        <f>'[80]VENTAS TOTALES'!$F14</f>
        <v>4162</v>
      </c>
      <c r="AK6" s="251">
        <f>'[80]VENTAS TOTALES'!$G14</f>
        <v>847800</v>
      </c>
      <c r="AL6" s="251">
        <f>'[80]VENTAS TOTALES'!$H14</f>
        <v>7923200</v>
      </c>
      <c r="AM6" s="250">
        <f>'[81]VENTAS TOTALES'!$F14</f>
        <v>2095</v>
      </c>
      <c r="AN6" s="251">
        <f>'[81]VENTAS TOTALES'!$G14</f>
        <v>396500</v>
      </c>
      <c r="AO6" s="251">
        <f>'[81]VENTAS TOTALES'!$H14</f>
        <v>3958000</v>
      </c>
      <c r="AP6" s="250">
        <f>'[82]VENTAS TOTALES'!$F14</f>
        <v>6774</v>
      </c>
      <c r="AQ6" s="251">
        <f>'[82]VENTAS TOTALES'!$G14</f>
        <v>2221400</v>
      </c>
      <c r="AR6" s="251">
        <f>'[82]VENTAS TOTALES'!$H14</f>
        <v>13737200</v>
      </c>
      <c r="AS6" s="250">
        <f>'[83]VENTAS TOTALES'!$F14</f>
        <v>5928</v>
      </c>
      <c r="AT6" s="251">
        <f>'[83]VENTAS TOTALES'!$G14</f>
        <v>2064600</v>
      </c>
      <c r="AU6" s="251">
        <f>'[83]VENTAS TOTALES'!$H14</f>
        <v>12142200</v>
      </c>
      <c r="AV6" s="250">
        <f>'[84]VENTAS TOTALES'!$F14</f>
        <v>6191</v>
      </c>
      <c r="AW6" s="251">
        <f>'[84]VENTAS TOTALES'!$G14</f>
        <v>2273000</v>
      </c>
      <c r="AX6" s="251">
        <f>'[84]VENTAS TOTALES'!$H14</f>
        <v>12797700</v>
      </c>
      <c r="AY6" s="250">
        <f>'[85]VENTAS TOTALES'!$F14</f>
        <v>5692</v>
      </c>
      <c r="AZ6" s="251">
        <f>'[85]VENTAS TOTALES'!$G14</f>
        <v>1512500</v>
      </c>
      <c r="BA6" s="251">
        <f>'[85]VENTAS TOTALES'!$H14</f>
        <v>11188900</v>
      </c>
      <c r="BB6" s="250">
        <f>'[86]VENTAS TOTALES'!$F14</f>
        <v>5475</v>
      </c>
      <c r="BC6" s="251">
        <f>'[86]VENTAS TOTALES'!$G14</f>
        <v>1409700</v>
      </c>
      <c r="BD6" s="251">
        <f>'[86]VENTAS TOTALES'!$H14</f>
        <v>10717200</v>
      </c>
      <c r="BE6" s="250">
        <f>'[87]VENTAS TOTALES'!$F14</f>
        <v>4033</v>
      </c>
      <c r="BF6" s="251">
        <f>'[87]VENTAS TOTALES'!$G14</f>
        <v>913700</v>
      </c>
      <c r="BG6" s="251">
        <f>'[87]VENTAS TOTALES'!$H14</f>
        <v>7769800</v>
      </c>
      <c r="BH6" s="250">
        <f>'[88]VENTAS TOTALES'!$F14</f>
        <v>2142</v>
      </c>
      <c r="BI6" s="251">
        <f>'[88]VENTAS TOTALES'!$G14</f>
        <v>407550</v>
      </c>
      <c r="BJ6" s="251">
        <f>'[88]VENTAS TOTALES'!$H14</f>
        <v>4048950</v>
      </c>
      <c r="BK6" s="250">
        <f>'[89]VENTAS TOTALES'!$F14</f>
        <v>6460</v>
      </c>
      <c r="BL6" s="251">
        <f>'[89]VENTAS TOTALES'!$G14</f>
        <v>2058100</v>
      </c>
      <c r="BM6" s="251">
        <f>'[89]VENTAS TOTALES'!$H14</f>
        <v>13040100</v>
      </c>
      <c r="BN6" s="250">
        <f>'[90]VENTAS TOTALES'!$F14</f>
        <v>5559</v>
      </c>
      <c r="BO6" s="251">
        <f>'[90]VENTAS TOTALES'!$G14</f>
        <v>1607200</v>
      </c>
      <c r="BP6" s="251">
        <f>'[90]VENTAS TOTALES'!$H14</f>
        <v>11057500</v>
      </c>
      <c r="BQ6" s="250">
        <f>'[91]VENTAS TOTALES'!$F14</f>
        <v>5544</v>
      </c>
      <c r="BR6" s="251">
        <f>'[91]VENTAS TOTALES'!$G14</f>
        <v>1422300</v>
      </c>
      <c r="BS6" s="251">
        <f>'[91]VENTAS TOTALES'!$H14</f>
        <v>10847100</v>
      </c>
      <c r="BT6" s="250">
        <f>'[92]VENTAS TOTALES'!$F14</f>
        <v>4856</v>
      </c>
      <c r="BU6" s="251">
        <f>'[92]VENTAS TOTALES'!$G14</f>
        <v>1026400</v>
      </c>
      <c r="BV6" s="251">
        <f>'[92]VENTAS TOTALES'!$H14</f>
        <v>9281600</v>
      </c>
      <c r="BW6" s="250">
        <f>'[93]VENTAS TOTALES'!$F14</f>
        <v>5348</v>
      </c>
      <c r="BX6" s="251">
        <f>'[93]VENTAS TOTALES'!$G14</f>
        <v>1495900</v>
      </c>
      <c r="BY6" s="251">
        <f>'[93]VENTAS TOTALES'!$H14</f>
        <v>10587500</v>
      </c>
      <c r="BZ6" s="250">
        <f>'[94]VENTAS TOTALES'!$F14</f>
        <v>4304</v>
      </c>
      <c r="CA6" s="251">
        <f>'[94]VENTAS TOTALES'!$G14</f>
        <v>1023800</v>
      </c>
      <c r="CB6" s="251">
        <f>'[94]VENTAS TOTALES'!$H14</f>
        <v>8340600</v>
      </c>
      <c r="CC6" s="250">
        <f>'[95]VENTAS TOTALES'!$F14</f>
        <v>2212</v>
      </c>
      <c r="CD6" s="251">
        <f>'[95]VENTAS TOTALES'!$G14</f>
        <v>476600</v>
      </c>
      <c r="CE6" s="251">
        <f>'[95]VENTAS TOTALES'!$H14</f>
        <v>4237000</v>
      </c>
      <c r="CF6" s="250">
        <f>'[96]VENTAS TOTALES'!$F14</f>
        <v>7099</v>
      </c>
      <c r="CG6" s="251">
        <f>'[96]VENTAS TOTALES'!$G14</f>
        <v>3026000</v>
      </c>
      <c r="CH6" s="251">
        <f>'[96]VENTAS TOTALES'!$H14</f>
        <v>15094300</v>
      </c>
      <c r="CI6" s="250">
        <f>'[97]VENTAS TOTALES'!$F14</f>
        <v>6521</v>
      </c>
      <c r="CJ6" s="251">
        <f>'[97]VENTAS TOTALES'!$G14</f>
        <v>3161200</v>
      </c>
      <c r="CK6" s="251">
        <f>'[97]VENTAS TOTALES'!$H14</f>
        <v>14246900</v>
      </c>
      <c r="CL6" s="250">
        <f>'[98]VENTAS TOTALES'!$F14</f>
        <v>6558</v>
      </c>
      <c r="CM6" s="251">
        <f>'[98]VENTAS TOTALES'!$G14</f>
        <v>1986500</v>
      </c>
      <c r="CN6" s="251">
        <f>'[98]VENTAS TOTALES'!$H14</f>
        <v>13135100</v>
      </c>
      <c r="CO6" s="250">
        <f>'[99]VENTAS TOTALES'!$F14</f>
        <v>5833</v>
      </c>
      <c r="CP6" s="251">
        <f>'[99]VENTAS TOTALES'!$G14</f>
        <v>1732100</v>
      </c>
      <c r="CQ6" s="251">
        <f>'[99]VENTAS TOTALES'!$H14</f>
        <v>11648200</v>
      </c>
      <c r="CR6" s="250">
        <f>'[100]VENTAS TOTALES'!$F14</f>
        <v>5331</v>
      </c>
      <c r="CS6" s="251">
        <f>'[100]VENTAS TOTALES'!$G14</f>
        <v>1174950</v>
      </c>
      <c r="CT6" s="251">
        <f>'[100]VENTAS TOTALES'!$H14</f>
        <v>10237650</v>
      </c>
      <c r="CU6" s="250">
        <f>'[101]VENTAS TOTALES'!$F14</f>
        <v>4382</v>
      </c>
      <c r="CV6" s="251">
        <f>'[101]VENTAS TOTALES'!$G14</f>
        <v>977100</v>
      </c>
      <c r="CW6" s="251">
        <f>'[101]VENTAS TOTALES'!$H14</f>
        <v>8426500</v>
      </c>
      <c r="CX6" s="250">
        <f>'[102]VENTAS TOTALES'!$F14</f>
        <v>2299</v>
      </c>
      <c r="CY6" s="251">
        <f>'[102]VENTAS TOTALES'!$G14</f>
        <v>416150</v>
      </c>
      <c r="CZ6" s="251">
        <f>'[102]VENTAS TOTALES'!$H14</f>
        <v>4324450</v>
      </c>
    </row>
    <row r="7" spans="1:104" x14ac:dyDescent="0.2">
      <c r="A7" s="443"/>
      <c r="B7" s="39" t="s">
        <v>3</v>
      </c>
      <c r="C7" s="250">
        <f>'[69]VENTAS TOTALES'!$F15</f>
        <v>6562</v>
      </c>
      <c r="D7" s="251">
        <f>'[69]VENTAS TOTALES'!$G15</f>
        <v>1694300</v>
      </c>
      <c r="E7" s="251">
        <f>'[69]VENTAS TOTALES'!$H15</f>
        <v>12849700</v>
      </c>
      <c r="F7" s="250">
        <f>'[70]VENTAS TOTALES'!$F15</f>
        <v>5573</v>
      </c>
      <c r="G7" s="251">
        <f>'[70]VENTAS TOTALES'!$G15</f>
        <v>1647100</v>
      </c>
      <c r="H7" s="251">
        <f>'[70]VENTAS TOTALES'!$H15</f>
        <v>11121200</v>
      </c>
      <c r="I7" s="250">
        <f>'[71]VENTAS TOTALES'!$F15</f>
        <v>5117</v>
      </c>
      <c r="J7" s="251">
        <f>'[71]VENTAS TOTALES'!$G15</f>
        <v>995800</v>
      </c>
      <c r="K7" s="251">
        <f>'[71]VENTAS TOTALES'!$H15</f>
        <v>9694700</v>
      </c>
      <c r="L7" s="250">
        <f>'[72]VENTAS TOTALES'!$F15</f>
        <v>5033</v>
      </c>
      <c r="M7" s="251">
        <f>'[72]VENTAS TOTALES'!$G15</f>
        <v>1048200</v>
      </c>
      <c r="N7" s="251">
        <f>'[72]VENTAS TOTALES'!$H15</f>
        <v>9604300</v>
      </c>
      <c r="O7" s="250">
        <f>'[73]VENTAS TOTALES'!$F15</f>
        <v>3547</v>
      </c>
      <c r="P7" s="251">
        <f>'[73]VENTAS TOTALES'!$G15</f>
        <v>889600</v>
      </c>
      <c r="Q7" s="251">
        <f>'[73]VENTAS TOTALES'!$H15</f>
        <v>6919500</v>
      </c>
      <c r="R7" s="250">
        <f>'[74]VENTAS TOTALES'!$F15</f>
        <v>1709</v>
      </c>
      <c r="S7" s="251">
        <f>'[74]VENTAS TOTALES'!$G15</f>
        <v>415700</v>
      </c>
      <c r="T7" s="251">
        <f>'[74]VENTAS TOTALES'!$H15</f>
        <v>3321000</v>
      </c>
      <c r="U7" s="250">
        <f>'[75]VENTAS TOTALES'!$F15</f>
        <v>6094</v>
      </c>
      <c r="V7" s="251">
        <f>'[75]VENTAS TOTALES'!$G15</f>
        <v>1729500</v>
      </c>
      <c r="W7" s="251">
        <f>'[75]VENTAS TOTALES'!$H15</f>
        <v>12089300</v>
      </c>
      <c r="X7" s="250">
        <f>'[76]VENTAS TOTALES'!$F15</f>
        <v>5356</v>
      </c>
      <c r="Y7" s="251">
        <f>'[76]VENTAS TOTALES'!$G15</f>
        <v>1576600</v>
      </c>
      <c r="Z7" s="251">
        <f>'[76]VENTAS TOTALES'!$H15</f>
        <v>10681800</v>
      </c>
      <c r="AA7" s="250">
        <f>'[77]VENTAS TOTALES'!$F15</f>
        <v>4849</v>
      </c>
      <c r="AB7" s="251">
        <f>'[77]VENTAS TOTALES'!$G15</f>
        <v>1224100</v>
      </c>
      <c r="AC7" s="251">
        <f>'[77]VENTAS TOTALES'!$H15</f>
        <v>9467400</v>
      </c>
      <c r="AD7" s="250">
        <f>'[78]VENTAS TOTALES'!$F15</f>
        <v>4811</v>
      </c>
      <c r="AE7" s="251">
        <f>'[78]VENTAS TOTALES'!$G15</f>
        <v>1083200</v>
      </c>
      <c r="AF7" s="251">
        <f>'[78]VENTAS TOTALES'!$H15</f>
        <v>9261900</v>
      </c>
      <c r="AG7" s="250">
        <f>'[79]VENTAS TOTALES'!$F15</f>
        <v>4776</v>
      </c>
      <c r="AH7" s="251">
        <f>'[79]VENTAS TOTALES'!$G15</f>
        <v>1075100</v>
      </c>
      <c r="AI7" s="251">
        <f>'[79]VENTAS TOTALES'!$H15</f>
        <v>9194300</v>
      </c>
      <c r="AJ7" s="250">
        <f>'[80]VENTAS TOTALES'!$F15</f>
        <v>3877</v>
      </c>
      <c r="AK7" s="251">
        <f>'[80]VENTAS TOTALES'!$G15</f>
        <v>1103300</v>
      </c>
      <c r="AL7" s="251">
        <f>'[80]VENTAS TOTALES'!$H15</f>
        <v>7694200</v>
      </c>
      <c r="AM7" s="250">
        <f>'[81]VENTAS TOTALES'!$F15</f>
        <v>1571</v>
      </c>
      <c r="AN7" s="251">
        <f>'[81]VENTAS TOTALES'!$G15</f>
        <v>351000</v>
      </c>
      <c r="AO7" s="251">
        <f>'[81]VENTAS TOTALES'!$H15</f>
        <v>3021700</v>
      </c>
      <c r="AP7" s="250">
        <f>'[82]VENTAS TOTALES'!$F15</f>
        <v>6437</v>
      </c>
      <c r="AQ7" s="251">
        <f>'[82]VENTAS TOTALES'!$G15</f>
        <v>2529000</v>
      </c>
      <c r="AR7" s="251">
        <f>'[82]VENTAS TOTALES'!$H15</f>
        <v>13471900</v>
      </c>
      <c r="AS7" s="250">
        <f>'[83]VENTAS TOTALES'!$F15</f>
        <v>5599</v>
      </c>
      <c r="AT7" s="251">
        <f>'[83]VENTAS TOTALES'!$G15</f>
        <v>2106550</v>
      </c>
      <c r="AU7" s="251">
        <f>'[83]VENTAS TOTALES'!$H15</f>
        <v>11624850</v>
      </c>
      <c r="AV7" s="250">
        <f>'[84]VENTAS TOTALES'!$F15</f>
        <v>5982</v>
      </c>
      <c r="AW7" s="251">
        <f>'[84]VENTAS TOTALES'!$G15</f>
        <v>1900800</v>
      </c>
      <c r="AX7" s="251">
        <f>'[84]VENTAS TOTALES'!$H15</f>
        <v>12070200</v>
      </c>
      <c r="AY7" s="250">
        <f>'[85]VENTAS TOTALES'!$F15</f>
        <v>5478</v>
      </c>
      <c r="AZ7" s="251">
        <f>'[85]VENTAS TOTALES'!$G15</f>
        <v>1875100</v>
      </c>
      <c r="BA7" s="251">
        <f>'[85]VENTAS TOTALES'!$H15</f>
        <v>11187700</v>
      </c>
      <c r="BB7" s="250">
        <f>'[86]VENTAS TOTALES'!$F15</f>
        <v>5267</v>
      </c>
      <c r="BC7" s="251">
        <f>'[86]VENTAS TOTALES'!$G15</f>
        <v>1203800</v>
      </c>
      <c r="BD7" s="251">
        <f>'[86]VENTAS TOTALES'!$H15</f>
        <v>10157700</v>
      </c>
      <c r="BE7" s="250">
        <f>'[87]VENTAS TOTALES'!$F15</f>
        <v>3972</v>
      </c>
      <c r="BF7" s="251">
        <f>'[87]VENTAS TOTALES'!$G15</f>
        <v>936350</v>
      </c>
      <c r="BG7" s="251">
        <f>'[87]VENTAS TOTALES'!$H15</f>
        <v>7688750</v>
      </c>
      <c r="BH7" s="250">
        <f>'[88]VENTAS TOTALES'!$F15</f>
        <v>1699</v>
      </c>
      <c r="BI7" s="251">
        <f>'[88]VENTAS TOTALES'!$G15</f>
        <v>492800</v>
      </c>
      <c r="BJ7" s="251">
        <f>'[88]VENTAS TOTALES'!$H15</f>
        <v>3381100</v>
      </c>
      <c r="BK7" s="250">
        <f>'[89]VENTAS TOTALES'!$F15</f>
        <v>6694</v>
      </c>
      <c r="BL7" s="251">
        <f>'[89]VENTAS TOTALES'!$G15</f>
        <v>1916200</v>
      </c>
      <c r="BM7" s="251">
        <f>'[89]VENTAS TOTALES'!$H15</f>
        <v>13296000</v>
      </c>
      <c r="BN7" s="250">
        <f>'[90]VENTAS TOTALES'!$F15</f>
        <v>5469</v>
      </c>
      <c r="BO7" s="251">
        <f>'[90]VENTAS TOTALES'!$G15</f>
        <v>1105450</v>
      </c>
      <c r="BP7" s="251">
        <f>'[90]VENTAS TOTALES'!$H15</f>
        <v>10402750</v>
      </c>
      <c r="BQ7" s="250">
        <f>'[91]VENTAS TOTALES'!$F15</f>
        <v>5116</v>
      </c>
      <c r="BR7" s="251">
        <f>'[91]VENTAS TOTALES'!$G15</f>
        <v>1371550</v>
      </c>
      <c r="BS7" s="251">
        <f>'[91]VENTAS TOTALES'!$H15</f>
        <v>10068750</v>
      </c>
      <c r="BT7" s="250">
        <f>'[92]VENTAS TOTALES'!$F15</f>
        <v>4993</v>
      </c>
      <c r="BU7" s="251">
        <f>'[92]VENTAS TOTALES'!$G15</f>
        <v>1140900</v>
      </c>
      <c r="BV7" s="251">
        <f>'[92]VENTAS TOTALES'!$H15</f>
        <v>9629000</v>
      </c>
      <c r="BW7" s="250">
        <f>'[93]VENTAS TOTALES'!$F15</f>
        <v>4880</v>
      </c>
      <c r="BX7" s="251">
        <f>'[93]VENTAS TOTALES'!$G15</f>
        <v>1302100</v>
      </c>
      <c r="BY7" s="251">
        <f>'[93]VENTAS TOTALES'!$H15</f>
        <v>9598100</v>
      </c>
      <c r="BZ7" s="250">
        <f>'[94]VENTAS TOTALES'!$F15</f>
        <v>3938</v>
      </c>
      <c r="CA7" s="251">
        <f>'[94]VENTAS TOTALES'!$G15</f>
        <v>891900</v>
      </c>
      <c r="CB7" s="251">
        <f>'[94]VENTAS TOTALES'!$H15</f>
        <v>7586500</v>
      </c>
      <c r="CC7" s="250">
        <f>'[95]VENTAS TOTALES'!$F15</f>
        <v>1895</v>
      </c>
      <c r="CD7" s="251">
        <f>'[95]VENTAS TOTALES'!$G15</f>
        <v>588700</v>
      </c>
      <c r="CE7" s="251">
        <f>'[95]VENTAS TOTALES'!$H15</f>
        <v>3810200</v>
      </c>
      <c r="CF7" s="250">
        <f>'[96]VENTAS TOTALES'!$F15</f>
        <v>6782</v>
      </c>
      <c r="CG7" s="251">
        <f>'[96]VENTAS TOTALES'!$G15</f>
        <v>2417800</v>
      </c>
      <c r="CH7" s="251">
        <f>'[96]VENTAS TOTALES'!$H15</f>
        <v>13947200</v>
      </c>
      <c r="CI7" s="250">
        <f>'[97]VENTAS TOTALES'!$F15</f>
        <v>6387</v>
      </c>
      <c r="CJ7" s="251">
        <f>'[97]VENTAS TOTALES'!$G15</f>
        <v>2646700</v>
      </c>
      <c r="CK7" s="251">
        <f>'[97]VENTAS TOTALES'!$H15</f>
        <v>13504600</v>
      </c>
      <c r="CL7" s="250">
        <f>'[98]VENTAS TOTALES'!$F15</f>
        <v>6037</v>
      </c>
      <c r="CM7" s="251">
        <f>'[98]VENTAS TOTALES'!$G15</f>
        <v>2427600</v>
      </c>
      <c r="CN7" s="251">
        <f>'[98]VENTAS TOTALES'!$H15</f>
        <v>12690500</v>
      </c>
      <c r="CO7" s="250">
        <f>'[99]VENTAS TOTALES'!$F15</f>
        <v>5876</v>
      </c>
      <c r="CP7" s="251">
        <f>'[99]VENTAS TOTALES'!$G15</f>
        <v>2163507</v>
      </c>
      <c r="CQ7" s="251">
        <f>'[99]VENTAS TOTALES'!$H15</f>
        <v>12152707</v>
      </c>
      <c r="CR7" s="250">
        <f>'[100]VENTAS TOTALES'!$F15</f>
        <v>5292</v>
      </c>
      <c r="CS7" s="251">
        <f>'[100]VENTAS TOTALES'!$G15</f>
        <v>1057000</v>
      </c>
      <c r="CT7" s="251">
        <f>'[100]VENTAS TOTALES'!$H15</f>
        <v>10053400</v>
      </c>
      <c r="CU7" s="250">
        <f>'[101]VENTAS TOTALES'!$F15</f>
        <v>3913</v>
      </c>
      <c r="CV7" s="251">
        <f>'[101]VENTAS TOTALES'!$G15</f>
        <v>996650</v>
      </c>
      <c r="CW7" s="251">
        <f>'[101]VENTAS TOTALES'!$H15</f>
        <v>7648750</v>
      </c>
      <c r="CX7" s="250">
        <f>'[102]VENTAS TOTALES'!$F15</f>
        <v>1858</v>
      </c>
      <c r="CY7" s="251">
        <f>'[102]VENTAS TOTALES'!$G15</f>
        <v>602200</v>
      </c>
      <c r="CZ7" s="251">
        <f>'[102]VENTAS TOTALES'!$H15</f>
        <v>3760800</v>
      </c>
    </row>
    <row r="8" spans="1:104" x14ac:dyDescent="0.2">
      <c r="A8" s="443"/>
      <c r="B8" s="39" t="s">
        <v>4</v>
      </c>
      <c r="C8" s="250">
        <f>'[69]VENTAS TOTALES'!$F16</f>
        <v>6690</v>
      </c>
      <c r="D8" s="251">
        <f>'[69]VENTAS TOTALES'!$G16</f>
        <v>2574900</v>
      </c>
      <c r="E8" s="251">
        <f>'[69]VENTAS TOTALES'!$H16</f>
        <v>13947900</v>
      </c>
      <c r="F8" s="250">
        <f>'[70]VENTAS TOTALES'!$F16</f>
        <v>6842</v>
      </c>
      <c r="G8" s="251">
        <f>'[70]VENTAS TOTALES'!$G16</f>
        <v>2590600</v>
      </c>
      <c r="H8" s="251">
        <f>'[70]VENTAS TOTALES'!$H16</f>
        <v>14222000</v>
      </c>
      <c r="I8" s="250">
        <f>'[71]VENTAS TOTALES'!$F16</f>
        <v>5850</v>
      </c>
      <c r="J8" s="251">
        <f>'[71]VENTAS TOTALES'!$G16</f>
        <v>1870200</v>
      </c>
      <c r="K8" s="251">
        <f>'[71]VENTAS TOTALES'!$H16</f>
        <v>11815200</v>
      </c>
      <c r="L8" s="250">
        <f>'[72]VENTAS TOTALES'!$F16</f>
        <v>5893</v>
      </c>
      <c r="M8" s="251">
        <f>'[72]VENTAS TOTALES'!$G16</f>
        <v>1646800</v>
      </c>
      <c r="N8" s="251">
        <f>'[72]VENTAS TOTALES'!$H16</f>
        <v>11664900</v>
      </c>
      <c r="O8" s="250">
        <f>'[73]VENTAS TOTALES'!$F16</f>
        <v>4357</v>
      </c>
      <c r="P8" s="251">
        <f>'[73]VENTAS TOTALES'!$G16</f>
        <v>1044300</v>
      </c>
      <c r="Q8" s="251">
        <f>'[73]VENTAS TOTALES'!$H16</f>
        <v>8451200</v>
      </c>
      <c r="R8" s="250">
        <f>'[74]VENTAS TOTALES'!$F16</f>
        <v>2011</v>
      </c>
      <c r="S8" s="251">
        <f>'[74]VENTAS TOTALES'!$G16</f>
        <v>451200</v>
      </c>
      <c r="T8" s="251">
        <f>'[74]VENTAS TOTALES'!$H16</f>
        <v>3869900</v>
      </c>
      <c r="U8" s="250">
        <f>'[75]VENTAS TOTALES'!$F16</f>
        <v>7532</v>
      </c>
      <c r="V8" s="251">
        <f>'[75]VENTAS TOTALES'!$G16</f>
        <v>2756200</v>
      </c>
      <c r="W8" s="251">
        <f>'[75]VENTAS TOTALES'!$H16</f>
        <v>15560600</v>
      </c>
      <c r="X8" s="250">
        <f>'[76]VENTAS TOTALES'!$F16</f>
        <v>6390</v>
      </c>
      <c r="Y8" s="251">
        <f>'[76]VENTAS TOTALES'!$G16</f>
        <v>1833200</v>
      </c>
      <c r="Z8" s="251">
        <f>'[76]VENTAS TOTALES'!$H16</f>
        <v>12696200</v>
      </c>
      <c r="AA8" s="250">
        <f>'[77]VENTAS TOTALES'!$F16</f>
        <v>6163</v>
      </c>
      <c r="AB8" s="251">
        <f>'[77]VENTAS TOTALES'!$G16</f>
        <v>2033000</v>
      </c>
      <c r="AC8" s="251">
        <f>'[77]VENTAS TOTALES'!$H16</f>
        <v>12510100</v>
      </c>
      <c r="AD8" s="250">
        <f>'[78]VENTAS TOTALES'!$F16</f>
        <v>6148</v>
      </c>
      <c r="AE8" s="251">
        <f>'[78]VENTAS TOTALES'!$G16</f>
        <v>1712900</v>
      </c>
      <c r="AF8" s="251">
        <f>'[78]VENTAS TOTALES'!$H16</f>
        <v>12164500</v>
      </c>
      <c r="AG8" s="250">
        <f>'[79]VENTAS TOTALES'!$F16</f>
        <v>5864</v>
      </c>
      <c r="AH8" s="251">
        <f>'[79]VENTAS TOTALES'!$G16</f>
        <v>1344100</v>
      </c>
      <c r="AI8" s="251">
        <f>'[79]VENTAS TOTALES'!$H16</f>
        <v>11312900</v>
      </c>
      <c r="AJ8" s="250">
        <f>'[80]VENTAS TOTALES'!$F16</f>
        <v>4693</v>
      </c>
      <c r="AK8" s="251">
        <f>'[80]VENTAS TOTALES'!$G16</f>
        <v>1238100</v>
      </c>
      <c r="AL8" s="251">
        <f>'[80]VENTAS TOTALES'!$H16</f>
        <v>9216200</v>
      </c>
      <c r="AM8" s="250">
        <f>'[81]VENTAS TOTALES'!$F16</f>
        <v>1871</v>
      </c>
      <c r="AN8" s="251">
        <f>'[81]VENTAS TOTALES'!$G16</f>
        <v>370200</v>
      </c>
      <c r="AO8" s="251">
        <f>'[81]VENTAS TOTALES'!$H16</f>
        <v>3550900</v>
      </c>
      <c r="AP8" s="250">
        <f>'[82]VENTAS TOTALES'!$F16</f>
        <v>8281</v>
      </c>
      <c r="AQ8" s="251">
        <f>'[82]VENTAS TOTALES'!$G16</f>
        <v>2806100</v>
      </c>
      <c r="AR8" s="251">
        <f>'[82]VENTAS TOTALES'!$H16</f>
        <v>16883800</v>
      </c>
      <c r="AS8" s="250">
        <f>'[83]VENTAS TOTALES'!$F16</f>
        <v>6884</v>
      </c>
      <c r="AT8" s="251">
        <f>'[83]VENTAS TOTALES'!$G16</f>
        <v>2282200</v>
      </c>
      <c r="AU8" s="251">
        <f>'[83]VENTAS TOTALES'!$H16</f>
        <v>13985000</v>
      </c>
      <c r="AV8" s="250">
        <f>'[84]VENTAS TOTALES'!$F16</f>
        <v>7474</v>
      </c>
      <c r="AW8" s="251">
        <f>'[84]VENTAS TOTALES'!$G16</f>
        <v>2795800</v>
      </c>
      <c r="AX8" s="251">
        <f>'[84]VENTAS TOTALES'!$H16</f>
        <v>15501600</v>
      </c>
      <c r="AY8" s="250">
        <f>'[85]VENTAS TOTALES'!$F16</f>
        <v>6544</v>
      </c>
      <c r="AZ8" s="251">
        <f>'[85]VENTAS TOTALES'!$G16</f>
        <v>2371000</v>
      </c>
      <c r="BA8" s="251">
        <f>'[85]VENTAS TOTALES'!$H16</f>
        <v>13495800</v>
      </c>
      <c r="BB8" s="250">
        <f>'[86]VENTAS TOTALES'!$F16</f>
        <v>6105</v>
      </c>
      <c r="BC8" s="251">
        <f>'[86]VENTAS TOTALES'!$G16</f>
        <v>1612500</v>
      </c>
      <c r="BD8" s="251">
        <f>'[86]VENTAS TOTALES'!$H16</f>
        <v>11991000</v>
      </c>
      <c r="BE8" s="250">
        <f>'[87]VENTAS TOTALES'!$F16</f>
        <v>4835</v>
      </c>
      <c r="BF8" s="251">
        <f>'[87]VENTAS TOTALES'!$G16</f>
        <v>1172700</v>
      </c>
      <c r="BG8" s="251">
        <f>'[87]VENTAS TOTALES'!$H16</f>
        <v>9392200</v>
      </c>
      <c r="BH8" s="250">
        <f>'[88]VENTAS TOTALES'!$F16</f>
        <v>2241</v>
      </c>
      <c r="BI8" s="251">
        <f>'[88]VENTAS TOTALES'!$G16</f>
        <v>463700</v>
      </c>
      <c r="BJ8" s="251">
        <f>'[88]VENTAS TOTALES'!$H16</f>
        <v>4273400</v>
      </c>
      <c r="BK8" s="250">
        <f>'[89]VENTAS TOTALES'!$F16</f>
        <v>8019</v>
      </c>
      <c r="BL8" s="251">
        <f>'[89]VENTAS TOTALES'!$G16</f>
        <v>2731600</v>
      </c>
      <c r="BM8" s="251">
        <f>'[89]VENTAS TOTALES'!$H16</f>
        <v>16363900</v>
      </c>
      <c r="BN8" s="250">
        <f>'[90]VENTAS TOTALES'!$F16</f>
        <v>6469</v>
      </c>
      <c r="BO8" s="251">
        <f>'[90]VENTAS TOTALES'!$G16</f>
        <v>1923100</v>
      </c>
      <c r="BP8" s="251">
        <f>'[90]VENTAS TOTALES'!$H16</f>
        <v>12920400</v>
      </c>
      <c r="BQ8" s="250">
        <f>'[91]VENTAS TOTALES'!$F16</f>
        <v>5964</v>
      </c>
      <c r="BR8" s="251">
        <f>'[91]VENTAS TOTALES'!$G16</f>
        <v>1457100</v>
      </c>
      <c r="BS8" s="251">
        <f>'[91]VENTAS TOTALES'!$H16</f>
        <v>11595900</v>
      </c>
      <c r="BT8" s="250">
        <f>'[92]VENTAS TOTALES'!$F16</f>
        <v>6085</v>
      </c>
      <c r="BU8" s="251">
        <f>'[92]VENTAS TOTALES'!$G16</f>
        <v>1687100</v>
      </c>
      <c r="BV8" s="251">
        <f>'[92]VENTAS TOTALES'!$H16</f>
        <v>12031600</v>
      </c>
      <c r="BW8" s="250">
        <f>'[93]VENTAS TOTALES'!$F16</f>
        <v>6107</v>
      </c>
      <c r="BX8" s="251">
        <f>'[93]VENTAS TOTALES'!$G16</f>
        <v>1382600</v>
      </c>
      <c r="BY8" s="251">
        <f>'[93]VENTAS TOTALES'!$H16</f>
        <v>11764500</v>
      </c>
      <c r="BZ8" s="250">
        <f>'[94]VENTAS TOTALES'!$F16</f>
        <v>4632</v>
      </c>
      <c r="CA8" s="251">
        <f>'[94]VENTAS TOTALES'!$G16</f>
        <v>1134600</v>
      </c>
      <c r="CB8" s="251">
        <f>'[94]VENTAS TOTALES'!$H16</f>
        <v>9009000</v>
      </c>
      <c r="CC8" s="250">
        <f>'[95]VENTAS TOTALES'!$F16</f>
        <v>2084</v>
      </c>
      <c r="CD8" s="251">
        <f>'[95]VENTAS TOTALES'!$G16</f>
        <v>457700</v>
      </c>
      <c r="CE8" s="251">
        <f>'[95]VENTAS TOTALES'!$H16</f>
        <v>4000500</v>
      </c>
      <c r="CF8" s="250">
        <f>'[96]VENTAS TOTALES'!$F16</f>
        <v>8792</v>
      </c>
      <c r="CG8" s="251">
        <f>'[96]VENTAS TOTALES'!$G16</f>
        <v>3428800</v>
      </c>
      <c r="CH8" s="251">
        <f>'[96]VENTAS TOTALES'!$H16</f>
        <v>18375200</v>
      </c>
      <c r="CI8" s="250">
        <f>'[97]VENTAS TOTALES'!$F16</f>
        <v>8008</v>
      </c>
      <c r="CJ8" s="251">
        <f>'[97]VENTAS TOTALES'!$G16</f>
        <v>3124600</v>
      </c>
      <c r="CK8" s="251">
        <f>'[97]VENTAS TOTALES'!$H16</f>
        <v>16738200</v>
      </c>
      <c r="CL8" s="250">
        <f>'[98]VENTAS TOTALES'!$F16</f>
        <v>7148</v>
      </c>
      <c r="CM8" s="251">
        <f>'[98]VENTAS TOTALES'!$G16</f>
        <v>2608800</v>
      </c>
      <c r="CN8" s="251">
        <f>'[98]VENTAS TOTALES'!$H16</f>
        <v>14760400</v>
      </c>
      <c r="CO8" s="250">
        <f>'[99]VENTAS TOTALES'!$F16</f>
        <v>6784</v>
      </c>
      <c r="CP8" s="251">
        <f>'[99]VENTAS TOTALES'!$G16</f>
        <v>2367100</v>
      </c>
      <c r="CQ8" s="251">
        <f>'[99]VENTAS TOTALES'!$H16</f>
        <v>13899900</v>
      </c>
      <c r="CR8" s="250">
        <f>'[100]VENTAS TOTALES'!$F16</f>
        <v>6300</v>
      </c>
      <c r="CS8" s="251">
        <f>'[100]VENTAS TOTALES'!$G16</f>
        <v>1666900</v>
      </c>
      <c r="CT8" s="251">
        <f>'[100]VENTAS TOTALES'!$H16</f>
        <v>12376900</v>
      </c>
      <c r="CU8" s="250">
        <f>'[101]VENTAS TOTALES'!$F16</f>
        <v>5076</v>
      </c>
      <c r="CV8" s="251">
        <f>'[101]VENTAS TOTALES'!$G16</f>
        <v>1315600</v>
      </c>
      <c r="CW8" s="251">
        <f>'[101]VENTAS TOTALES'!$H16</f>
        <v>9944800</v>
      </c>
      <c r="CX8" s="250">
        <f>'[102]VENTAS TOTALES'!$F16</f>
        <v>2142</v>
      </c>
      <c r="CY8" s="251">
        <f>'[102]VENTAS TOTALES'!$G16</f>
        <v>520600</v>
      </c>
      <c r="CZ8" s="251">
        <f>'[102]VENTAS TOTALES'!$H16</f>
        <v>4162000</v>
      </c>
    </row>
    <row r="9" spans="1:104" x14ac:dyDescent="0.2">
      <c r="A9" s="443"/>
      <c r="B9" s="39" t="s">
        <v>5</v>
      </c>
      <c r="C9" s="250">
        <f>'[69]VENTAS TOTALES'!$F17</f>
        <v>4974</v>
      </c>
      <c r="D9" s="251">
        <f>'[69]VENTAS TOTALES'!$G17</f>
        <v>1940200</v>
      </c>
      <c r="E9" s="251">
        <f>'[69]VENTAS TOTALES'!$H17</f>
        <v>10396000</v>
      </c>
      <c r="F9" s="250">
        <f>'[70]VENTAS TOTALES'!$F17</f>
        <v>4799</v>
      </c>
      <c r="G9" s="251">
        <f>'[70]VENTAS TOTALES'!$G17</f>
        <v>2151050</v>
      </c>
      <c r="H9" s="251">
        <f>'[70]VENTAS TOTALES'!$H17</f>
        <v>10309350</v>
      </c>
      <c r="I9" s="250">
        <f>'[71]VENTAS TOTALES'!$F17</f>
        <v>3876</v>
      </c>
      <c r="J9" s="251">
        <f>'[71]VENTAS TOTALES'!$G17</f>
        <v>1304900</v>
      </c>
      <c r="K9" s="251">
        <f>'[71]VENTAS TOTALES'!$H17</f>
        <v>7894100</v>
      </c>
      <c r="L9" s="250">
        <f>'[72]VENTAS TOTALES'!$F17</f>
        <v>3309</v>
      </c>
      <c r="M9" s="251">
        <f>'[72]VENTAS TOTALES'!$G17</f>
        <v>993950</v>
      </c>
      <c r="N9" s="251">
        <f>'[72]VENTAS TOTALES'!$H17</f>
        <v>6619250</v>
      </c>
      <c r="O9" s="250">
        <f>'[73]VENTAS TOTALES'!$F17</f>
        <v>3060</v>
      </c>
      <c r="P9" s="251">
        <f>'[73]VENTAS TOTALES'!$G17</f>
        <v>985850</v>
      </c>
      <c r="Q9" s="251">
        <f>'[73]VENTAS TOTALES'!$H17</f>
        <v>6187850</v>
      </c>
      <c r="R9" s="250">
        <f>'[74]VENTAS TOTALES'!$F17</f>
        <v>1550</v>
      </c>
      <c r="S9" s="251">
        <f>'[74]VENTAS TOTALES'!$G17</f>
        <v>302100</v>
      </c>
      <c r="T9" s="251">
        <f>'[74]VENTAS TOTALES'!$H17</f>
        <v>2937100</v>
      </c>
      <c r="U9" s="250">
        <f>'[75]VENTAS TOTALES'!$F17</f>
        <v>5265</v>
      </c>
      <c r="V9" s="251">
        <f>'[75]VENTAS TOTALES'!$G17</f>
        <v>2075800</v>
      </c>
      <c r="W9" s="251">
        <f>'[75]VENTAS TOTALES'!$H17</f>
        <v>11026300</v>
      </c>
      <c r="X9" s="250">
        <f>'[76]VENTAS TOTALES'!$F17</f>
        <v>4486</v>
      </c>
      <c r="Y9" s="251">
        <f>'[76]VENTAS TOTALES'!$G17</f>
        <v>1417750</v>
      </c>
      <c r="Z9" s="251">
        <f>'[76]VENTAS TOTALES'!$H17</f>
        <v>9043950</v>
      </c>
      <c r="AA9" s="250">
        <f>'[77]VENTAS TOTALES'!$F17</f>
        <v>3615</v>
      </c>
      <c r="AB9" s="251">
        <f>'[77]VENTAS TOTALES'!$G17</f>
        <v>1373600</v>
      </c>
      <c r="AC9" s="251">
        <f>'[77]VENTAS TOTALES'!$H17</f>
        <v>7519100</v>
      </c>
      <c r="AD9" s="250">
        <f>'[78]VENTAS TOTALES'!$F17</f>
        <v>3997</v>
      </c>
      <c r="AE9" s="251">
        <f>'[78]VENTAS TOTALES'!$G17</f>
        <v>1570500</v>
      </c>
      <c r="AF9" s="251">
        <f>'[78]VENTAS TOTALES'!$H17</f>
        <v>8365400</v>
      </c>
      <c r="AG9" s="250">
        <f>'[79]VENTAS TOTALES'!$F17</f>
        <v>3786</v>
      </c>
      <c r="AH9" s="251">
        <f>'[79]VENTAS TOTALES'!$G17</f>
        <v>1000300</v>
      </c>
      <c r="AI9" s="251">
        <f>'[79]VENTAS TOTALES'!$H17</f>
        <v>7436500</v>
      </c>
      <c r="AJ9" s="250">
        <f>'[80]VENTAS TOTALES'!$F17</f>
        <v>3137</v>
      </c>
      <c r="AK9" s="251">
        <f>'[80]VENTAS TOTALES'!$G17</f>
        <v>978500</v>
      </c>
      <c r="AL9" s="251">
        <f>'[80]VENTAS TOTALES'!$H17</f>
        <v>6311400</v>
      </c>
      <c r="AM9" s="250">
        <f>'[81]VENTAS TOTALES'!$F17</f>
        <v>1586</v>
      </c>
      <c r="AN9" s="251">
        <f>'[81]VENTAS TOTALES'!$G17</f>
        <v>303500</v>
      </c>
      <c r="AO9" s="251">
        <f>'[81]VENTAS TOTALES'!$H17</f>
        <v>2999700</v>
      </c>
      <c r="AP9" s="250">
        <f>'[82]VENTAS TOTALES'!$F17</f>
        <v>4997</v>
      </c>
      <c r="AQ9" s="251">
        <f>'[82]VENTAS TOTALES'!$G17</f>
        <v>2259000</v>
      </c>
      <c r="AR9" s="251">
        <f>'[82]VENTAS TOTALES'!$H17</f>
        <v>10753900</v>
      </c>
      <c r="AS9" s="250">
        <f>'[83]VENTAS TOTALES'!$F17</f>
        <v>4679</v>
      </c>
      <c r="AT9" s="251">
        <f>'[83]VENTAS TOTALES'!$G17</f>
        <v>1923350</v>
      </c>
      <c r="AU9" s="251">
        <f>'[83]VENTAS TOTALES'!$H17</f>
        <v>9877650</v>
      </c>
      <c r="AV9" s="250">
        <f>'[84]VENTAS TOTALES'!$F17</f>
        <v>4887</v>
      </c>
      <c r="AW9" s="251">
        <f>'[84]VENTAS TOTALES'!$G17</f>
        <v>2354300</v>
      </c>
      <c r="AX9" s="251">
        <f>'[84]VENTAS TOTALES'!$H17</f>
        <v>10662200</v>
      </c>
      <c r="AY9" s="250">
        <f>'[85]VENTAS TOTALES'!$F17</f>
        <v>4380</v>
      </c>
      <c r="AZ9" s="251">
        <f>'[85]VENTAS TOTALES'!$G17</f>
        <v>1713900</v>
      </c>
      <c r="BA9" s="251">
        <f>'[85]VENTAS TOTALES'!$H17</f>
        <v>9159900</v>
      </c>
      <c r="BB9" s="250">
        <f>'[86]VENTAS TOTALES'!$F17</f>
        <v>4159</v>
      </c>
      <c r="BC9" s="251">
        <f>'[86]VENTAS TOTALES'!$G17</f>
        <v>1055200</v>
      </c>
      <c r="BD9" s="251">
        <f>'[86]VENTAS TOTALES'!$H17</f>
        <v>8125500</v>
      </c>
      <c r="BE9" s="250">
        <f>'[87]VENTAS TOTALES'!$F17</f>
        <v>3136</v>
      </c>
      <c r="BF9" s="251">
        <f>'[87]VENTAS TOTALES'!$G17</f>
        <v>892900</v>
      </c>
      <c r="BG9" s="251">
        <f>'[87]VENTAS TOTALES'!$H17</f>
        <v>6224100</v>
      </c>
      <c r="BH9" s="250">
        <f>'[88]VENTAS TOTALES'!$F17</f>
        <v>1652</v>
      </c>
      <c r="BI9" s="251">
        <f>'[88]VENTAS TOTALES'!$G17</f>
        <v>337300</v>
      </c>
      <c r="BJ9" s="251">
        <f>'[88]VENTAS TOTALES'!$H17</f>
        <v>3145700</v>
      </c>
      <c r="BK9" s="250">
        <f>'[89]VENTAS TOTALES'!$F17</f>
        <v>5300</v>
      </c>
      <c r="BL9" s="251">
        <f>'[89]VENTAS TOTALES'!$G17</f>
        <v>1944400</v>
      </c>
      <c r="BM9" s="251">
        <f>'[89]VENTAS TOTALES'!$H17</f>
        <v>10954400</v>
      </c>
      <c r="BN9" s="250">
        <f>'[90]VENTAS TOTALES'!$F17</f>
        <v>4448</v>
      </c>
      <c r="BO9" s="251">
        <f>'[90]VENTAS TOTALES'!$G17</f>
        <v>1180000</v>
      </c>
      <c r="BP9" s="251">
        <f>'[90]VENTAS TOTALES'!$H17</f>
        <v>8741600</v>
      </c>
      <c r="BQ9" s="250">
        <f>'[91]VENTAS TOTALES'!$F17</f>
        <v>4102</v>
      </c>
      <c r="BR9" s="251">
        <f>'[91]VENTAS TOTALES'!$G17</f>
        <v>1304900</v>
      </c>
      <c r="BS9" s="251">
        <f>'[91]VENTAS TOTALES'!$H17</f>
        <v>8278300</v>
      </c>
      <c r="BT9" s="250">
        <f>'[92]VENTAS TOTALES'!$F17</f>
        <v>3973</v>
      </c>
      <c r="BU9" s="251">
        <f>'[92]VENTAS TOTALES'!$G17</f>
        <v>1024400</v>
      </c>
      <c r="BV9" s="251">
        <f>'[92]VENTAS TOTALES'!$H17</f>
        <v>7778500</v>
      </c>
      <c r="BW9" s="250">
        <f>'[93]VENTAS TOTALES'!$F17</f>
        <v>3910</v>
      </c>
      <c r="BX9" s="251">
        <f>'[93]VENTAS TOTALES'!$G17</f>
        <v>917800</v>
      </c>
      <c r="BY9" s="251">
        <f>'[93]VENTAS TOTALES'!$H17</f>
        <v>7564800</v>
      </c>
      <c r="BZ9" s="250">
        <f>'[94]VENTAS TOTALES'!$F17</f>
        <v>3181</v>
      </c>
      <c r="CA9" s="251">
        <f>'[94]VENTAS TOTALES'!$G17</f>
        <v>899200</v>
      </c>
      <c r="CB9" s="251">
        <f>'[94]VENTAS TOTALES'!$H17</f>
        <v>6306900</v>
      </c>
      <c r="CC9" s="250">
        <f>'[95]VENTAS TOTALES'!$F17</f>
        <v>1654</v>
      </c>
      <c r="CD9" s="251">
        <f>'[95]VENTAS TOTALES'!$G17</f>
        <v>420900</v>
      </c>
      <c r="CE9" s="251">
        <f>'[95]VENTAS TOTALES'!$H17</f>
        <v>3232700</v>
      </c>
      <c r="CF9" s="250">
        <f>'[96]VENTAS TOTALES'!$F17</f>
        <v>5986</v>
      </c>
      <c r="CG9" s="251">
        <f>'[96]VENTAS TOTALES'!$G17</f>
        <v>3246300</v>
      </c>
      <c r="CH9" s="251">
        <f>'[96]VENTAS TOTALES'!$H17</f>
        <v>13422500</v>
      </c>
      <c r="CI9" s="250">
        <f>'[97]VENTAS TOTALES'!$F17</f>
        <v>5058</v>
      </c>
      <c r="CJ9" s="251">
        <f>'[97]VENTAS TOTALES'!$G17</f>
        <v>2575700</v>
      </c>
      <c r="CK9" s="251">
        <f>'[97]VENTAS TOTALES'!$H17</f>
        <v>11174300</v>
      </c>
      <c r="CL9" s="250">
        <f>'[98]VENTAS TOTALES'!$F17</f>
        <v>4674</v>
      </c>
      <c r="CM9" s="251">
        <f>'[98]VENTAS TOTALES'!$G17</f>
        <v>1910500</v>
      </c>
      <c r="CN9" s="251">
        <f>'[98]VENTAS TOTALES'!$H17</f>
        <v>9856300</v>
      </c>
      <c r="CO9" s="250">
        <f>'[99]VENTAS TOTALES'!$F17</f>
        <v>4550</v>
      </c>
      <c r="CP9" s="251">
        <f>'[99]VENTAS TOTALES'!$G17</f>
        <v>1859700</v>
      </c>
      <c r="CQ9" s="251">
        <f>'[99]VENTAS TOTALES'!$H17</f>
        <v>9594700</v>
      </c>
      <c r="CR9" s="250">
        <f>'[100]VENTAS TOTALES'!$F17</f>
        <v>3987</v>
      </c>
      <c r="CS9" s="251">
        <f>'[100]VENTAS TOTALES'!$G17</f>
        <v>1042650</v>
      </c>
      <c r="CT9" s="251">
        <f>'[100]VENTAS TOTALES'!$H17</f>
        <v>7820550</v>
      </c>
      <c r="CU9" s="250">
        <f>'[101]VENTAS TOTALES'!$F17</f>
        <v>3255</v>
      </c>
      <c r="CV9" s="251">
        <f>'[101]VENTAS TOTALES'!$G17</f>
        <v>906900</v>
      </c>
      <c r="CW9" s="251">
        <f>'[101]VENTAS TOTALES'!$H17</f>
        <v>6440400</v>
      </c>
      <c r="CX9" s="250">
        <f>'[102]VENTAS TOTALES'!$F17</f>
        <v>1585</v>
      </c>
      <c r="CY9" s="251">
        <f>'[102]VENTAS TOTALES'!$G17</f>
        <v>366700</v>
      </c>
      <c r="CZ9" s="251">
        <f>'[102]VENTAS TOTALES'!$H17</f>
        <v>3061200</v>
      </c>
    </row>
    <row r="10" spans="1:104" x14ac:dyDescent="0.2">
      <c r="A10" s="443"/>
      <c r="B10" s="39" t="s">
        <v>6</v>
      </c>
      <c r="C10" s="250">
        <f>'[69]VENTAS TOTALES'!$F18</f>
        <v>5704</v>
      </c>
      <c r="D10" s="251">
        <f>'[69]VENTAS TOTALES'!$G18</f>
        <v>3265950</v>
      </c>
      <c r="E10" s="251">
        <f>'[69]VENTAS TOTALES'!$H18</f>
        <v>12962750</v>
      </c>
      <c r="F10" s="250">
        <f>'[70]VENTAS TOTALES'!$F18</f>
        <v>5625</v>
      </c>
      <c r="G10" s="251">
        <f>'[70]VENTAS TOTALES'!$G18</f>
        <v>2424800</v>
      </c>
      <c r="H10" s="251">
        <f>'[70]VENTAS TOTALES'!$H18</f>
        <v>11987300</v>
      </c>
      <c r="I10" s="250">
        <f>'[71]VENTAS TOTALES'!$F18</f>
        <v>5022</v>
      </c>
      <c r="J10" s="251">
        <f>'[71]VENTAS TOTALES'!$G18</f>
        <v>1669100</v>
      </c>
      <c r="K10" s="251">
        <f>'[71]VENTAS TOTALES'!$H18</f>
        <v>10206500</v>
      </c>
      <c r="L10" s="250">
        <f>'[72]VENTAS TOTALES'!$F18</f>
        <v>4396</v>
      </c>
      <c r="M10" s="251">
        <f>'[72]VENTAS TOTALES'!$G18</f>
        <v>1528700</v>
      </c>
      <c r="N10" s="251">
        <f>'[72]VENTAS TOTALES'!$H18</f>
        <v>9001900</v>
      </c>
      <c r="O10" s="250">
        <f>'[73]VENTAS TOTALES'!$F18</f>
        <v>3812</v>
      </c>
      <c r="P10" s="251">
        <f>'[73]VENTAS TOTALES'!$G18</f>
        <v>1386000</v>
      </c>
      <c r="Q10" s="251">
        <f>'[73]VENTAS TOTALES'!$H18</f>
        <v>7866400</v>
      </c>
      <c r="R10" s="250">
        <f>'[74]VENTAS TOTALES'!$F18</f>
        <v>1684</v>
      </c>
      <c r="S10" s="251">
        <f>'[74]VENTAS TOTALES'!$G18</f>
        <v>471000</v>
      </c>
      <c r="T10" s="251">
        <f>'[74]VENTAS TOTALES'!$H18</f>
        <v>3333800</v>
      </c>
      <c r="U10" s="250">
        <f>'[75]VENTAS TOTALES'!$F18</f>
        <v>6595</v>
      </c>
      <c r="V10" s="251">
        <f>'[75]VENTAS TOTALES'!$G18</f>
        <v>2807100</v>
      </c>
      <c r="W10" s="251">
        <f>'[75]VENTAS TOTALES'!$H18</f>
        <v>14018600</v>
      </c>
      <c r="X10" s="250">
        <f>'[76]VENTAS TOTALES'!$F18</f>
        <v>5345</v>
      </c>
      <c r="Y10" s="251">
        <f>'[76]VENTAS TOTALES'!$G18</f>
        <v>1904800</v>
      </c>
      <c r="Z10" s="251">
        <f>'[76]VENTAS TOTALES'!$H18</f>
        <v>10991300</v>
      </c>
      <c r="AA10" s="250">
        <f>'[77]VENTAS TOTALES'!$F18</f>
        <v>4968</v>
      </c>
      <c r="AB10" s="251">
        <f>'[77]VENTAS TOTALES'!$G18</f>
        <v>1959500</v>
      </c>
      <c r="AC10" s="251">
        <f>'[77]VENTAS TOTALES'!$H18</f>
        <v>10405100</v>
      </c>
      <c r="AD10" s="250">
        <f>'[78]VENTAS TOTALES'!$F18</f>
        <v>4611</v>
      </c>
      <c r="AE10" s="251">
        <f>'[78]VENTAS TOTALES'!$G18</f>
        <v>1556850</v>
      </c>
      <c r="AF10" s="251">
        <f>'[78]VENTAS TOTALES'!$H18</f>
        <v>9395550</v>
      </c>
      <c r="AG10" s="250">
        <f>'[79]VENTAS TOTALES'!$F18</f>
        <v>4946</v>
      </c>
      <c r="AH10" s="251">
        <f>'[79]VENTAS TOTALES'!$G18</f>
        <v>1390500</v>
      </c>
      <c r="AI10" s="251">
        <f>'[79]VENTAS TOTALES'!$H18</f>
        <v>9798700</v>
      </c>
      <c r="AJ10" s="250">
        <f>'[80]VENTAS TOTALES'!$F18</f>
        <v>3898</v>
      </c>
      <c r="AK10" s="251">
        <f>'[80]VENTAS TOTALES'!$G18</f>
        <v>1041700</v>
      </c>
      <c r="AL10" s="251">
        <f>'[80]VENTAS TOTALES'!$H18</f>
        <v>7668300</v>
      </c>
      <c r="AM10" s="250">
        <f>'[81]VENTAS TOTALES'!$F18</f>
        <v>1763</v>
      </c>
      <c r="AN10" s="251">
        <f>'[81]VENTAS TOTALES'!$G18</f>
        <v>507800</v>
      </c>
      <c r="AO10" s="251">
        <f>'[81]VENTAS TOTALES'!$H18</f>
        <v>3504900</v>
      </c>
      <c r="AP10" s="250">
        <f>'[82]VENTAS TOTALES'!$F18</f>
        <v>6644</v>
      </c>
      <c r="AQ10" s="251">
        <f>'[82]VENTAS TOTALES'!$G18</f>
        <v>2266900</v>
      </c>
      <c r="AR10" s="251">
        <f>'[82]VENTAS TOTALES'!$H18</f>
        <v>13561700</v>
      </c>
      <c r="AS10" s="250">
        <f>'[83]VENTAS TOTALES'!$F18</f>
        <v>6370</v>
      </c>
      <c r="AT10" s="251">
        <f>'[83]VENTAS TOTALES'!$G18</f>
        <v>2356000</v>
      </c>
      <c r="AU10" s="251">
        <f>'[83]VENTAS TOTALES'!$H18</f>
        <v>13185000</v>
      </c>
      <c r="AV10" s="250">
        <f>'[84]VENTAS TOTALES'!$F18</f>
        <v>5792</v>
      </c>
      <c r="AW10" s="251">
        <f>'[84]VENTAS TOTALES'!$G18</f>
        <v>2610100</v>
      </c>
      <c r="AX10" s="251">
        <f>'[84]VENTAS TOTALES'!$H18</f>
        <v>12456500</v>
      </c>
      <c r="AY10" s="250">
        <f>'[85]VENTAS TOTALES'!$F18</f>
        <v>5817</v>
      </c>
      <c r="AZ10" s="251">
        <f>'[85]VENTAS TOTALES'!$G18</f>
        <v>2541200</v>
      </c>
      <c r="BA10" s="251">
        <f>'[85]VENTAS TOTALES'!$H18</f>
        <v>12430100</v>
      </c>
      <c r="BB10" s="250">
        <f>'[86]VENTAS TOTALES'!$F18</f>
        <v>4907</v>
      </c>
      <c r="BC10" s="251">
        <f>'[86]VENTAS TOTALES'!$G18</f>
        <v>1279600</v>
      </c>
      <c r="BD10" s="251">
        <f>'[86]VENTAS TOTALES'!$H18</f>
        <v>9621500</v>
      </c>
      <c r="BE10" s="250">
        <f>'[87]VENTAS TOTALES'!$F18</f>
        <v>4121</v>
      </c>
      <c r="BF10" s="251">
        <f>'[87]VENTAS TOTALES'!$G18</f>
        <v>1458600</v>
      </c>
      <c r="BG10" s="251">
        <f>'[87]VENTAS TOTALES'!$H18</f>
        <v>8464300</v>
      </c>
      <c r="BH10" s="250">
        <f>'[88]VENTAS TOTALES'!$F18</f>
        <v>1860</v>
      </c>
      <c r="BI10" s="251">
        <f>'[88]VENTAS TOTALES'!$G18</f>
        <v>411600</v>
      </c>
      <c r="BJ10" s="251">
        <f>'[88]VENTAS TOTALES'!$H18</f>
        <v>3573600</v>
      </c>
      <c r="BK10" s="250">
        <f>'[89]VENTAS TOTALES'!$F18</f>
        <v>6380</v>
      </c>
      <c r="BL10" s="251">
        <f>'[89]VENTAS TOTALES'!$G18</f>
        <v>2517700</v>
      </c>
      <c r="BM10" s="251">
        <f>'[89]VENTAS TOTALES'!$H18</f>
        <v>13363700</v>
      </c>
      <c r="BN10" s="250">
        <f>'[90]VENTAS TOTALES'!$F18</f>
        <v>4703</v>
      </c>
      <c r="BO10" s="251">
        <f>'[90]VENTAS TOTALES'!$G18</f>
        <v>1588500</v>
      </c>
      <c r="BP10" s="251">
        <f>'[90]VENTAS TOTALES'!$H18</f>
        <v>9583600</v>
      </c>
      <c r="BQ10" s="250">
        <f>'[91]VENTAS TOTALES'!$F18</f>
        <v>5113</v>
      </c>
      <c r="BR10" s="251">
        <f>'[91]VENTAS TOTALES'!$G18</f>
        <v>1511350</v>
      </c>
      <c r="BS10" s="251">
        <f>'[91]VENTAS TOTALES'!$H18</f>
        <v>10203450</v>
      </c>
      <c r="BT10" s="250">
        <f>'[92]VENTAS TOTALES'!$F18</f>
        <v>5144</v>
      </c>
      <c r="BU10" s="251">
        <f>'[92]VENTAS TOTALES'!$G18</f>
        <v>1260800</v>
      </c>
      <c r="BV10" s="251">
        <f>'[92]VENTAS TOTALES'!$H18</f>
        <v>10005600</v>
      </c>
      <c r="BW10" s="250">
        <f>'[93]VENTAS TOTALES'!$F18</f>
        <v>5173</v>
      </c>
      <c r="BX10" s="251">
        <f>'[93]VENTAS TOTALES'!$G18</f>
        <v>1582300</v>
      </c>
      <c r="BY10" s="251">
        <f>'[93]VENTAS TOTALES'!$H18</f>
        <v>10376400</v>
      </c>
      <c r="BZ10" s="250">
        <f>'[94]VENTAS TOTALES'!$F18</f>
        <v>4115</v>
      </c>
      <c r="CA10" s="251">
        <f>'[94]VENTAS TOTALES'!$G18</f>
        <v>1149700</v>
      </c>
      <c r="CB10" s="251">
        <f>'[94]VENTAS TOTALES'!$H18</f>
        <v>8145200</v>
      </c>
      <c r="CC10" s="250">
        <f>'[95]VENTAS TOTALES'!$F18</f>
        <v>1951</v>
      </c>
      <c r="CD10" s="251">
        <f>'[95]VENTAS TOTALES'!$G18</f>
        <v>501700</v>
      </c>
      <c r="CE10" s="251">
        <f>'[95]VENTAS TOTALES'!$H18</f>
        <v>3818400</v>
      </c>
      <c r="CF10" s="250">
        <f>'[96]VENTAS TOTALES'!$F18</f>
        <v>7114</v>
      </c>
      <c r="CG10" s="251">
        <f>'[96]VENTAS TOTALES'!$G18</f>
        <v>3145400</v>
      </c>
      <c r="CH10" s="251">
        <f>'[96]VENTAS TOTALES'!$H18</f>
        <v>15239200</v>
      </c>
      <c r="CI10" s="250">
        <f>'[97]VENTAS TOTALES'!$F18</f>
        <v>6548</v>
      </c>
      <c r="CJ10" s="251">
        <f>'[97]VENTAS TOTALES'!$G18</f>
        <v>3186850</v>
      </c>
      <c r="CK10" s="251">
        <f>'[97]VENTAS TOTALES'!$H18</f>
        <v>14318450</v>
      </c>
      <c r="CL10" s="250">
        <f>'[98]VENTAS TOTALES'!$F18</f>
        <v>6390</v>
      </c>
      <c r="CM10" s="251">
        <f>'[98]VENTAS TOTALES'!$G18</f>
        <v>2369100</v>
      </c>
      <c r="CN10" s="251">
        <f>'[98]VENTAS TOTALES'!$H18</f>
        <v>13232100</v>
      </c>
      <c r="CO10" s="250">
        <f>'[99]VENTAS TOTALES'!$F18</f>
        <v>5132</v>
      </c>
      <c r="CP10" s="251">
        <f>'[99]VENTAS TOTALES'!$G18</f>
        <v>2000500</v>
      </c>
      <c r="CQ10" s="251">
        <f>'[99]VENTAS TOTALES'!$H18</f>
        <v>10724900</v>
      </c>
      <c r="CR10" s="250">
        <f>'[100]VENTAS TOTALES'!$F18</f>
        <v>5296</v>
      </c>
      <c r="CS10" s="251">
        <f>'[100]VENTAS TOTALES'!$G18</f>
        <v>1453600</v>
      </c>
      <c r="CT10" s="251">
        <f>'[100]VENTAS TOTALES'!$H18</f>
        <v>10456800</v>
      </c>
      <c r="CU10" s="250">
        <f>'[101]VENTAS TOTALES'!$F18</f>
        <v>4373</v>
      </c>
      <c r="CV10" s="251">
        <f>'[101]VENTAS TOTALES'!$G18</f>
        <v>1362500</v>
      </c>
      <c r="CW10" s="251">
        <f>'[101]VENTAS TOTALES'!$H18</f>
        <v>8796600</v>
      </c>
      <c r="CX10" s="250">
        <f>'[102]VENTAS TOTALES'!$F18</f>
        <v>1855</v>
      </c>
      <c r="CY10" s="251">
        <f>'[102]VENTAS TOTALES'!$G18</f>
        <v>604500</v>
      </c>
      <c r="CZ10" s="251">
        <f>'[102]VENTAS TOTALES'!$H18</f>
        <v>3758000</v>
      </c>
    </row>
    <row r="11" spans="1:104" x14ac:dyDescent="0.2">
      <c r="A11" s="443"/>
      <c r="B11" s="39" t="s">
        <v>7</v>
      </c>
      <c r="C11" s="250">
        <f>'[69]VENTAS TOTALES'!$F19</f>
        <v>6529</v>
      </c>
      <c r="D11" s="251">
        <f>'[69]VENTAS TOTALES'!$G19</f>
        <v>3632100</v>
      </c>
      <c r="E11" s="251">
        <f>'[69]VENTAS TOTALES'!$H19</f>
        <v>14731400</v>
      </c>
      <c r="F11" s="250">
        <f>'[70]VENTAS TOTALES'!$F19</f>
        <v>6215</v>
      </c>
      <c r="G11" s="251">
        <f>'[70]VENTAS TOTALES'!$G19</f>
        <v>3066900</v>
      </c>
      <c r="H11" s="251">
        <f>'[70]VENTAS TOTALES'!$H19</f>
        <v>13632400</v>
      </c>
      <c r="I11" s="250">
        <f>'[71]VENTAS TOTALES'!$F19</f>
        <v>5701</v>
      </c>
      <c r="J11" s="251">
        <f>'[71]VENTAS TOTALES'!$G19</f>
        <v>2583750</v>
      </c>
      <c r="K11" s="251">
        <f>'[71]VENTAS TOTALES'!$H19</f>
        <v>12275450</v>
      </c>
      <c r="L11" s="250">
        <f>'[72]VENTAS TOTALES'!$F19</f>
        <v>5595</v>
      </c>
      <c r="M11" s="251">
        <f>'[72]VENTAS TOTALES'!$G19</f>
        <v>2065400</v>
      </c>
      <c r="N11" s="251">
        <f>'[72]VENTAS TOTALES'!$H19</f>
        <v>11576900</v>
      </c>
      <c r="O11" s="250">
        <f>'[73]VENTAS TOTALES'!$F19</f>
        <v>3689</v>
      </c>
      <c r="P11" s="251">
        <f>'[73]VENTAS TOTALES'!$G19</f>
        <v>1410000</v>
      </c>
      <c r="Q11" s="251">
        <f>'[73]VENTAS TOTALES'!$H19</f>
        <v>7681300</v>
      </c>
      <c r="R11" s="250">
        <f>'[74]VENTAS TOTALES'!$F19</f>
        <v>1781</v>
      </c>
      <c r="S11" s="251">
        <f>'[74]VENTAS TOTALES'!$G19</f>
        <v>652800</v>
      </c>
      <c r="T11" s="251">
        <f>'[74]VENTAS TOTALES'!$H19</f>
        <v>3680500</v>
      </c>
      <c r="U11" s="250">
        <f>'[75]VENTAS TOTALES'!$F19</f>
        <v>6618</v>
      </c>
      <c r="V11" s="251">
        <f>'[75]VENTAS TOTALES'!$G19</f>
        <v>3508000</v>
      </c>
      <c r="W11" s="251">
        <f>'[75]VENTAS TOTALES'!$H19</f>
        <v>14758600</v>
      </c>
      <c r="X11" s="250">
        <f>'[76]VENTAS TOTALES'!$F19</f>
        <v>5648</v>
      </c>
      <c r="Y11" s="251">
        <f>'[76]VENTAS TOTALES'!$G19</f>
        <v>2603300</v>
      </c>
      <c r="Z11" s="251">
        <f>'[76]VENTAS TOTALES'!$H19</f>
        <v>12204900</v>
      </c>
      <c r="AA11" s="250">
        <f>'[77]VENTAS TOTALES'!$F19</f>
        <v>5414</v>
      </c>
      <c r="AB11" s="251">
        <f>'[77]VENTAS TOTALES'!$G19</f>
        <v>2286950</v>
      </c>
      <c r="AC11" s="251">
        <f>'[77]VENTAS TOTALES'!$H19</f>
        <v>11490750</v>
      </c>
      <c r="AD11" s="250">
        <f>'[78]VENTAS TOTALES'!$F19</f>
        <v>5302</v>
      </c>
      <c r="AE11" s="251">
        <f>'[78]VENTAS TOTALES'!$G19</f>
        <v>2360900</v>
      </c>
      <c r="AF11" s="251">
        <f>'[78]VENTAS TOTALES'!$H19</f>
        <v>11374300</v>
      </c>
      <c r="AG11" s="250">
        <f>'[79]VENTAS TOTALES'!$F19</f>
        <v>5403</v>
      </c>
      <c r="AH11" s="251">
        <f>'[79]VENTAS TOTALES'!$G19</f>
        <v>1875600</v>
      </c>
      <c r="AI11" s="251">
        <f>'[79]VENTAS TOTALES'!$H19</f>
        <v>11060700</v>
      </c>
      <c r="AJ11" s="250">
        <f>'[80]VENTAS TOTALES'!$F19</f>
        <v>3665</v>
      </c>
      <c r="AK11" s="251">
        <f>'[80]VENTAS TOTALES'!$G19</f>
        <v>1475950</v>
      </c>
      <c r="AL11" s="251">
        <f>'[80]VENTAS TOTALES'!$H19</f>
        <v>7706450</v>
      </c>
      <c r="AM11" s="250">
        <f>'[81]VENTAS TOTALES'!$F19</f>
        <v>1462</v>
      </c>
      <c r="AN11" s="251">
        <f>'[81]VENTAS TOTALES'!$G19</f>
        <v>377900</v>
      </c>
      <c r="AO11" s="251">
        <f>'[81]VENTAS TOTALES'!$H19</f>
        <v>2863300</v>
      </c>
      <c r="AP11" s="250">
        <f>'[82]VENTAS TOTALES'!$F19</f>
        <v>6573</v>
      </c>
      <c r="AQ11" s="251">
        <f>'[82]VENTAS TOTALES'!$G19</f>
        <v>3665100</v>
      </c>
      <c r="AR11" s="251">
        <f>'[82]VENTAS TOTALES'!$H19</f>
        <v>14839200</v>
      </c>
      <c r="AS11" s="250">
        <f>'[83]VENTAS TOTALES'!$F19</f>
        <v>6006</v>
      </c>
      <c r="AT11" s="251">
        <f>'[83]VENTAS TOTALES'!$G19</f>
        <v>3233800</v>
      </c>
      <c r="AU11" s="251">
        <f>'[83]VENTAS TOTALES'!$H19</f>
        <v>13444000</v>
      </c>
      <c r="AV11" s="250">
        <f>'[84]VENTAS TOTALES'!$F19</f>
        <v>5927</v>
      </c>
      <c r="AW11" s="251">
        <f>'[84]VENTAS TOTALES'!$G19</f>
        <v>3176700</v>
      </c>
      <c r="AX11" s="251">
        <f>'[84]VENTAS TOTALES'!$H19</f>
        <v>13252600</v>
      </c>
      <c r="AY11" s="250">
        <f>'[85]VENTAS TOTALES'!$F19</f>
        <v>5570</v>
      </c>
      <c r="AZ11" s="251">
        <f>'[85]VENTAS TOTALES'!$G19</f>
        <v>2637700</v>
      </c>
      <c r="BA11" s="251">
        <f>'[85]VENTAS TOTALES'!$H19</f>
        <v>12106700</v>
      </c>
      <c r="BB11" s="250">
        <f>'[86]VENTAS TOTALES'!$F19</f>
        <v>5594</v>
      </c>
      <c r="BC11" s="251">
        <f>'[86]VENTAS TOTALES'!$G19</f>
        <v>2481400</v>
      </c>
      <c r="BD11" s="251">
        <f>'[86]VENTAS TOTALES'!$H19</f>
        <v>11991200</v>
      </c>
      <c r="BE11" s="250">
        <f>'[87]VENTAS TOTALES'!$F19</f>
        <v>4156</v>
      </c>
      <c r="BF11" s="251">
        <f>'[87]VENTAS TOTALES'!$G19</f>
        <v>1489650</v>
      </c>
      <c r="BG11" s="251">
        <f>'[87]VENTAS TOTALES'!$H19</f>
        <v>8554850</v>
      </c>
      <c r="BH11" s="250">
        <f>'[88]VENTAS TOTALES'!$F19</f>
        <v>1565</v>
      </c>
      <c r="BI11" s="251">
        <f>'[88]VENTAS TOTALES'!$G19</f>
        <v>470400</v>
      </c>
      <c r="BJ11" s="251">
        <f>'[88]VENTAS TOTALES'!$H19</f>
        <v>3130900</v>
      </c>
      <c r="BK11" s="250">
        <f>'[89]VENTAS TOTALES'!$F19</f>
        <v>6343</v>
      </c>
      <c r="BL11" s="251">
        <f>'[89]VENTAS TOTALES'!$G19</f>
        <v>3128050</v>
      </c>
      <c r="BM11" s="251">
        <f>'[89]VENTAS TOTALES'!$H19</f>
        <v>13911150</v>
      </c>
      <c r="BN11" s="250">
        <f>'[90]VENTAS TOTALES'!$F19</f>
        <v>5362</v>
      </c>
      <c r="BO11" s="251">
        <f>'[90]VENTAS TOTALES'!$G19</f>
        <v>2709650</v>
      </c>
      <c r="BP11" s="251">
        <f>'[90]VENTAS TOTALES'!$H19</f>
        <v>11825050</v>
      </c>
      <c r="BQ11" s="250">
        <f>'[91]VENTAS TOTALES'!$F19</f>
        <v>5129</v>
      </c>
      <c r="BR11" s="251">
        <f>'[91]VENTAS TOTALES'!$G19</f>
        <v>2390100</v>
      </c>
      <c r="BS11" s="251">
        <f>'[91]VENTAS TOTALES'!$H19</f>
        <v>11109400</v>
      </c>
      <c r="BT11" s="250">
        <f>'[92]VENTAS TOTALES'!$F19</f>
        <v>5256</v>
      </c>
      <c r="BU11" s="251">
        <f>'[92]VENTAS TOTALES'!$G19</f>
        <v>2106650</v>
      </c>
      <c r="BV11" s="251">
        <f>'[92]VENTAS TOTALES'!$H19</f>
        <v>11041850</v>
      </c>
      <c r="BW11" s="250">
        <f>'[93]VENTAS TOTALES'!$F19</f>
        <v>5570</v>
      </c>
      <c r="BX11" s="251">
        <f>'[93]VENTAS TOTALES'!$G19</f>
        <v>2204800</v>
      </c>
      <c r="BY11" s="251">
        <f>'[93]VENTAS TOTALES'!$H19</f>
        <v>11673800</v>
      </c>
      <c r="BZ11" s="250">
        <f>'[94]VENTAS TOTALES'!$F19</f>
        <v>3946</v>
      </c>
      <c r="CA11" s="251">
        <f>'[94]VENTAS TOTALES'!$G19</f>
        <v>1741200</v>
      </c>
      <c r="CB11" s="251">
        <f>'[94]VENTAS TOTALES'!$H19</f>
        <v>8449400</v>
      </c>
      <c r="CC11" s="250">
        <f>'[95]VENTAS TOTALES'!$F19</f>
        <v>1652</v>
      </c>
      <c r="CD11" s="251">
        <f>'[95]VENTAS TOTALES'!$G19</f>
        <v>628300</v>
      </c>
      <c r="CE11" s="251">
        <f>'[95]VENTAS TOTALES'!$H19</f>
        <v>3436700</v>
      </c>
      <c r="CF11" s="250">
        <f>'[96]VENTAS TOTALES'!$F19</f>
        <v>6829</v>
      </c>
      <c r="CG11" s="251">
        <f>'[96]VENTAS TOTALES'!$G19</f>
        <v>5446100</v>
      </c>
      <c r="CH11" s="251">
        <f>'[96]VENTAS TOTALES'!$H19</f>
        <v>17055400</v>
      </c>
      <c r="CI11" s="250">
        <f>'[97]VENTAS TOTALES'!$F19</f>
        <v>6713</v>
      </c>
      <c r="CJ11" s="251">
        <f>'[97]VENTAS TOTALES'!$G19</f>
        <v>4262950</v>
      </c>
      <c r="CK11" s="251">
        <f>'[97]VENTAS TOTALES'!$H19</f>
        <v>15675050</v>
      </c>
      <c r="CL11" s="250">
        <f>'[98]VENTAS TOTALES'!$F19</f>
        <v>6207</v>
      </c>
      <c r="CM11" s="251">
        <f>'[98]VENTAS TOTALES'!$G19</f>
        <v>3465200</v>
      </c>
      <c r="CN11" s="251">
        <f>'[98]VENTAS TOTALES'!$H19</f>
        <v>14017100</v>
      </c>
      <c r="CO11" s="250">
        <f>'[99]VENTAS TOTALES'!$F19</f>
        <v>5727</v>
      </c>
      <c r="CP11" s="251">
        <f>'[99]VENTAS TOTALES'!$G19</f>
        <v>2675300</v>
      </c>
      <c r="CQ11" s="251">
        <f>'[99]VENTAS TOTALES'!$H19</f>
        <v>12411200</v>
      </c>
      <c r="CR11" s="250">
        <f>'[100]VENTAS TOTALES'!$F19</f>
        <v>5849</v>
      </c>
      <c r="CS11" s="251">
        <f>'[100]VENTAS TOTALES'!$G19</f>
        <v>2018650</v>
      </c>
      <c r="CT11" s="251">
        <f>'[100]VENTAS TOTALES'!$H19</f>
        <v>11961950</v>
      </c>
      <c r="CU11" s="250">
        <f>'[101]VENTAS TOTALES'!$F19</f>
        <v>4063</v>
      </c>
      <c r="CV11" s="251">
        <f>'[101]VENTAS TOTALES'!$G19</f>
        <v>1458650</v>
      </c>
      <c r="CW11" s="251">
        <f>'[101]VENTAS TOTALES'!$H19</f>
        <v>8365750</v>
      </c>
      <c r="CX11" s="250">
        <f>'[102]VENTAS TOTALES'!$F19</f>
        <v>1730</v>
      </c>
      <c r="CY11" s="251">
        <f>'[102]VENTAS TOTALES'!$G19</f>
        <v>575500</v>
      </c>
      <c r="CZ11" s="251">
        <f>'[102]VENTAS TOTALES'!$H19</f>
        <v>3516500</v>
      </c>
    </row>
    <row r="12" spans="1:104" x14ac:dyDescent="0.2">
      <c r="A12" s="443"/>
      <c r="B12" s="39" t="s">
        <v>8</v>
      </c>
      <c r="C12" s="250">
        <f>'[69]VENTAS TOTALES'!$F20</f>
        <v>3615</v>
      </c>
      <c r="D12" s="251">
        <f>'[69]VENTAS TOTALES'!$G20</f>
        <v>1582400</v>
      </c>
      <c r="E12" s="251">
        <f>'[69]VENTAS TOTALES'!$H20</f>
        <v>7727900</v>
      </c>
      <c r="F12" s="250">
        <f>'[70]VENTAS TOTALES'!$F20</f>
        <v>3497</v>
      </c>
      <c r="G12" s="251">
        <f>'[70]VENTAS TOTALES'!$G20</f>
        <v>1391300</v>
      </c>
      <c r="H12" s="251">
        <f>'[70]VENTAS TOTALES'!$H20</f>
        <v>7336200</v>
      </c>
      <c r="I12" s="250">
        <f>'[71]VENTAS TOTALES'!$F20</f>
        <v>3285</v>
      </c>
      <c r="J12" s="251">
        <f>'[71]VENTAS TOTALES'!$G20</f>
        <v>1440500</v>
      </c>
      <c r="K12" s="251">
        <f>'[71]VENTAS TOTALES'!$H20</f>
        <v>7025000</v>
      </c>
      <c r="L12" s="250">
        <f>'[72]VENTAS TOTALES'!$F20</f>
        <v>2976</v>
      </c>
      <c r="M12" s="251">
        <f>'[72]VENTAS TOTALES'!$G20</f>
        <v>1097950</v>
      </c>
      <c r="N12" s="251">
        <f>'[72]VENTAS TOTALES'!$H20</f>
        <v>6157150</v>
      </c>
      <c r="O12" s="250">
        <f>'[73]VENTAS TOTALES'!$F20</f>
        <v>2051</v>
      </c>
      <c r="P12" s="251">
        <f>'[73]VENTAS TOTALES'!$G20</f>
        <v>609400</v>
      </c>
      <c r="Q12" s="251">
        <f>'[73]VENTAS TOTALES'!$H20</f>
        <v>4096100</v>
      </c>
      <c r="R12" s="250">
        <f>'[74]VENTAS TOTALES'!$F20</f>
        <v>879</v>
      </c>
      <c r="S12" s="251">
        <f>'[74]VENTAS TOTALES'!$G20</f>
        <v>219900</v>
      </c>
      <c r="T12" s="251">
        <f>'[74]VENTAS TOTALES'!$H20</f>
        <v>1714200</v>
      </c>
      <c r="U12" s="250">
        <f>'[75]VENTAS TOTALES'!$F20</f>
        <v>3930</v>
      </c>
      <c r="V12" s="251">
        <f>'[75]VENTAS TOTALES'!$G20</f>
        <v>2318600</v>
      </c>
      <c r="W12" s="251">
        <f>'[75]VENTAS TOTALES'!$H20</f>
        <v>8999600</v>
      </c>
      <c r="X12" s="250">
        <f>'[76]VENTAS TOTALES'!$F20</f>
        <v>3183</v>
      </c>
      <c r="Y12" s="251">
        <f>'[76]VENTAS TOTALES'!$G20</f>
        <v>1329300</v>
      </c>
      <c r="Z12" s="251">
        <f>'[76]VENTAS TOTALES'!$H20</f>
        <v>6740400</v>
      </c>
      <c r="AA12" s="250">
        <f>'[77]VENTAS TOTALES'!$F20</f>
        <v>3297</v>
      </c>
      <c r="AB12" s="251">
        <f>'[77]VENTAS TOTALES'!$G20</f>
        <v>1147600</v>
      </c>
      <c r="AC12" s="251">
        <f>'[77]VENTAS TOTALES'!$H20</f>
        <v>6752500</v>
      </c>
      <c r="AD12" s="250">
        <f>'[78]VENTAS TOTALES'!$F20</f>
        <v>3019</v>
      </c>
      <c r="AE12" s="251">
        <f>'[78]VENTAS TOTALES'!$G20</f>
        <v>966600</v>
      </c>
      <c r="AF12" s="251">
        <f>'[78]VENTAS TOTALES'!$H20</f>
        <v>6098900</v>
      </c>
      <c r="AG12" s="250">
        <f>'[79]VENTAS TOTALES'!$F20</f>
        <v>2928</v>
      </c>
      <c r="AH12" s="251">
        <f>'[79]VENTAS TOTALES'!$G20</f>
        <v>1156400</v>
      </c>
      <c r="AI12" s="251">
        <f>'[79]VENTAS TOTALES'!$H20</f>
        <v>6134000</v>
      </c>
      <c r="AJ12" s="250">
        <f>'[80]VENTAS TOTALES'!$F20</f>
        <v>2216</v>
      </c>
      <c r="AK12" s="251">
        <f>'[80]VENTAS TOTALES'!$G20</f>
        <v>737700</v>
      </c>
      <c r="AL12" s="251">
        <f>'[80]VENTAS TOTALES'!$H20</f>
        <v>4504900</v>
      </c>
      <c r="AM12" s="250">
        <f>'[81]VENTAS TOTALES'!$F20</f>
        <v>899</v>
      </c>
      <c r="AN12" s="251">
        <f>'[81]VENTAS TOTALES'!$G20</f>
        <v>256300</v>
      </c>
      <c r="AO12" s="251">
        <f>'[81]VENTAS TOTALES'!$H20</f>
        <v>1784600</v>
      </c>
      <c r="AP12" s="250">
        <f>'[82]VENTAS TOTALES'!$F20</f>
        <v>4168</v>
      </c>
      <c r="AQ12" s="251">
        <f>'[82]VENTAS TOTALES'!$G20</f>
        <v>2070000</v>
      </c>
      <c r="AR12" s="251">
        <f>'[82]VENTAS TOTALES'!$H20</f>
        <v>9155600</v>
      </c>
      <c r="AS12" s="250">
        <f>'[83]VENTAS TOTALES'!$F20</f>
        <v>3749</v>
      </c>
      <c r="AT12" s="251">
        <f>'[83]VENTAS TOTALES'!$G20</f>
        <v>1826801</v>
      </c>
      <c r="AU12" s="251">
        <f>'[83]VENTAS TOTALES'!$H20</f>
        <v>8200101</v>
      </c>
      <c r="AV12" s="250">
        <f>'[84]VENTAS TOTALES'!$F20</f>
        <v>3384</v>
      </c>
      <c r="AW12" s="251">
        <f>'[84]VENTAS TOTALES'!$G20</f>
        <v>1532600</v>
      </c>
      <c r="AX12" s="251">
        <f>'[84]VENTAS TOTALES'!$H20</f>
        <v>7285400</v>
      </c>
      <c r="AY12" s="250">
        <f>'[85]VENTAS TOTALES'!$F20</f>
        <v>3296</v>
      </c>
      <c r="AZ12" s="251">
        <f>'[85]VENTAS TOTALES'!$G20</f>
        <v>1405900</v>
      </c>
      <c r="BA12" s="251">
        <f>'[85]VENTAS TOTALES'!$H20</f>
        <v>7009100</v>
      </c>
      <c r="BB12" s="250">
        <f>'[86]VENTAS TOTALES'!$F20</f>
        <v>3221</v>
      </c>
      <c r="BC12" s="251">
        <f>'[86]VENTAS TOTALES'!$G20</f>
        <v>1038200</v>
      </c>
      <c r="BD12" s="251">
        <f>'[86]VENTAS TOTALES'!$H20</f>
        <v>6513900</v>
      </c>
      <c r="BE12" s="250">
        <f>'[87]VENTAS TOTALES'!$F20</f>
        <v>2320</v>
      </c>
      <c r="BF12" s="251">
        <f>'[87]VENTAS TOTALES'!$G20</f>
        <v>854500</v>
      </c>
      <c r="BG12" s="251">
        <f>'[87]VENTAS TOTALES'!$H20</f>
        <v>4798500</v>
      </c>
      <c r="BH12" s="250">
        <f>'[88]VENTAS TOTALES'!$F20</f>
        <v>854</v>
      </c>
      <c r="BI12" s="251">
        <f>'[88]VENTAS TOTALES'!$G20</f>
        <v>251700</v>
      </c>
      <c r="BJ12" s="251">
        <f>'[88]VENTAS TOTALES'!$H20</f>
        <v>1703500</v>
      </c>
      <c r="BK12" s="250">
        <f>'[89]VENTAS TOTALES'!$F20</f>
        <v>3791</v>
      </c>
      <c r="BL12" s="251">
        <f>'[89]VENTAS TOTALES'!$G20</f>
        <v>2263150</v>
      </c>
      <c r="BM12" s="251">
        <f>'[89]VENTAS TOTALES'!$H20</f>
        <v>8707850</v>
      </c>
      <c r="BN12" s="250">
        <f>'[90]VENTAS TOTALES'!$F20</f>
        <v>3221</v>
      </c>
      <c r="BO12" s="251">
        <f>'[90]VENTAS TOTALES'!$G20</f>
        <v>1390700</v>
      </c>
      <c r="BP12" s="251">
        <f>'[90]VENTAS TOTALES'!$H20</f>
        <v>6866400</v>
      </c>
      <c r="BQ12" s="250">
        <f>'[91]VENTAS TOTALES'!$F20</f>
        <v>3133</v>
      </c>
      <c r="BR12" s="251">
        <f>'[91]VENTAS TOTALES'!$G20</f>
        <v>1007800</v>
      </c>
      <c r="BS12" s="251">
        <f>'[91]VENTAS TOTALES'!$H20</f>
        <v>6333900</v>
      </c>
      <c r="BT12" s="250">
        <f>'[92]VENTAS TOTALES'!$F20</f>
        <v>3136</v>
      </c>
      <c r="BU12" s="251">
        <f>'[92]VENTAS TOTALES'!$G20</f>
        <v>1210800</v>
      </c>
      <c r="BV12" s="251">
        <f>'[92]VENTAS TOTALES'!$H20</f>
        <v>6542000</v>
      </c>
      <c r="BW12" s="250">
        <f>'[93]VENTAS TOTALES'!$F20</f>
        <v>3061</v>
      </c>
      <c r="BX12" s="251">
        <f>'[93]VENTAS TOTALES'!$G20</f>
        <v>1050700</v>
      </c>
      <c r="BY12" s="251">
        <f>'[93]VENTAS TOTALES'!$H20</f>
        <v>6254400</v>
      </c>
      <c r="BZ12" s="250">
        <f>'[94]VENTAS TOTALES'!$F20</f>
        <v>2307</v>
      </c>
      <c r="CA12" s="251">
        <f>'[94]VENTAS TOTALES'!$G20</f>
        <v>893200</v>
      </c>
      <c r="CB12" s="251">
        <f>'[94]VENTAS TOTALES'!$H20</f>
        <v>4815100</v>
      </c>
      <c r="CC12" s="250">
        <f>'[95]VENTAS TOTALES'!$F20</f>
        <v>957</v>
      </c>
      <c r="CD12" s="251">
        <f>'[95]VENTAS TOTALES'!$G20</f>
        <v>244400</v>
      </c>
      <c r="CE12" s="251">
        <f>'[95]VENTAS TOTALES'!$H20</f>
        <v>1871300</v>
      </c>
      <c r="CF12" s="250">
        <f>'[96]VENTAS TOTALES'!$F20</f>
        <v>4144</v>
      </c>
      <c r="CG12" s="251">
        <f>'[96]VENTAS TOTALES'!$G20</f>
        <v>2603500</v>
      </c>
      <c r="CH12" s="251">
        <f>'[96]VENTAS TOTALES'!$H20</f>
        <v>9648300</v>
      </c>
      <c r="CI12" s="250">
        <f>'[97]VENTAS TOTALES'!$F20</f>
        <v>3801</v>
      </c>
      <c r="CJ12" s="251">
        <f>'[97]VENTAS TOTALES'!$G20</f>
        <v>1875700</v>
      </c>
      <c r="CK12" s="251">
        <f>'[97]VENTAS TOTALES'!$H20</f>
        <v>8337400</v>
      </c>
      <c r="CL12" s="250">
        <f>'[98]VENTAS TOTALES'!$F20</f>
        <v>3470</v>
      </c>
      <c r="CM12" s="251">
        <f>'[98]VENTAS TOTALES'!$G20</f>
        <v>1476700</v>
      </c>
      <c r="CN12" s="251">
        <f>'[98]VENTAS TOTALES'!$H20</f>
        <v>7375700</v>
      </c>
      <c r="CO12" s="250">
        <f>'[99]VENTAS TOTALES'!$F20</f>
        <v>3372</v>
      </c>
      <c r="CP12" s="251">
        <f>'[99]VENTAS TOTALES'!$G20</f>
        <v>1066200</v>
      </c>
      <c r="CQ12" s="251">
        <f>'[99]VENTAS TOTALES'!$H20</f>
        <v>6798600</v>
      </c>
      <c r="CR12" s="250">
        <f>'[100]VENTAS TOTALES'!$F20</f>
        <v>3308</v>
      </c>
      <c r="CS12" s="251">
        <f>'[100]VENTAS TOTALES'!$G20</f>
        <v>975050</v>
      </c>
      <c r="CT12" s="251">
        <f>'[100]VENTAS TOTALES'!$H20</f>
        <v>6598650</v>
      </c>
      <c r="CU12" s="250">
        <f>'[101]VENTAS TOTALES'!$F20</f>
        <v>2319</v>
      </c>
      <c r="CV12" s="251">
        <f>'[101]VENTAS TOTALES'!$G20</f>
        <v>842300</v>
      </c>
      <c r="CW12" s="251">
        <f>'[101]VENTAS TOTALES'!$H20</f>
        <v>4784600</v>
      </c>
      <c r="CX12" s="250">
        <f>'[102]VENTAS TOTALES'!$F20</f>
        <v>861</v>
      </c>
      <c r="CY12" s="251">
        <f>'[102]VENTAS TOTALES'!$G20</f>
        <v>270400</v>
      </c>
      <c r="CZ12" s="251">
        <f>'[102]VENTAS TOTALES'!$H20</f>
        <v>1734100</v>
      </c>
    </row>
    <row r="13" spans="1:104" x14ac:dyDescent="0.2">
      <c r="A13" s="443"/>
      <c r="B13" s="39" t="s">
        <v>9</v>
      </c>
      <c r="C13" s="250">
        <f>'[69]VENTAS TOTALES'!$F21</f>
        <v>4173</v>
      </c>
      <c r="D13" s="251">
        <f>'[69]VENTAS TOTALES'!$G21</f>
        <v>2837800</v>
      </c>
      <c r="E13" s="251">
        <f>'[69]VENTAS TOTALES'!$H21</f>
        <v>9931900</v>
      </c>
      <c r="F13" s="250">
        <f>'[70]VENTAS TOTALES'!$F21</f>
        <v>4073</v>
      </c>
      <c r="G13" s="251">
        <f>'[70]VENTAS TOTALES'!$G21</f>
        <v>1805200</v>
      </c>
      <c r="H13" s="251">
        <f>'[70]VENTAS TOTALES'!$H21</f>
        <v>8729300</v>
      </c>
      <c r="I13" s="250">
        <f>'[71]VENTAS TOTALES'!$F21</f>
        <v>3594</v>
      </c>
      <c r="J13" s="251">
        <f>'[71]VENTAS TOTALES'!$G21</f>
        <v>1542800</v>
      </c>
      <c r="K13" s="251">
        <f>'[71]VENTAS TOTALES'!$H21</f>
        <v>7652600</v>
      </c>
      <c r="L13" s="250">
        <f>'[72]VENTAS TOTALES'!$F21</f>
        <v>3707</v>
      </c>
      <c r="M13" s="251">
        <f>'[72]VENTAS TOTALES'!$G21</f>
        <v>1275700</v>
      </c>
      <c r="N13" s="251">
        <f>'[72]VENTAS TOTALES'!$H21</f>
        <v>7577600</v>
      </c>
      <c r="O13" s="250">
        <f>'[73]VENTAS TOTALES'!$F21</f>
        <v>3014</v>
      </c>
      <c r="P13" s="251">
        <f>'[73]VENTAS TOTALES'!$G21</f>
        <v>1104500</v>
      </c>
      <c r="Q13" s="251">
        <f>'[73]VENTAS TOTALES'!$H21</f>
        <v>6228300</v>
      </c>
      <c r="R13" s="250">
        <f>'[74]VENTAS TOTALES'!$F21</f>
        <v>1617</v>
      </c>
      <c r="S13" s="251">
        <f>'[74]VENTAS TOTALES'!$G21</f>
        <v>411600</v>
      </c>
      <c r="T13" s="251">
        <f>'[74]VENTAS TOTALES'!$H21</f>
        <v>3160500</v>
      </c>
      <c r="U13" s="250">
        <f>'[75]VENTAS TOTALES'!$F21</f>
        <v>4081</v>
      </c>
      <c r="V13" s="251">
        <f>'[75]VENTAS TOTALES'!$G21</f>
        <v>2259100</v>
      </c>
      <c r="W13" s="251">
        <f>'[75]VENTAS TOTALES'!$H21</f>
        <v>9196800</v>
      </c>
      <c r="X13" s="250">
        <f>'[76]VENTAS TOTALES'!$F21</f>
        <v>3614</v>
      </c>
      <c r="Y13" s="251">
        <f>'[76]VENTAS TOTALES'!$G21</f>
        <v>1435700</v>
      </c>
      <c r="Z13" s="251">
        <f>'[76]VENTAS TOTALES'!$H21</f>
        <v>7579500</v>
      </c>
      <c r="AA13" s="250">
        <f>'[77]VENTAS TOTALES'!$F21</f>
        <v>3545</v>
      </c>
      <c r="AB13" s="251">
        <f>'[77]VENTAS TOTALES'!$G21</f>
        <v>1244500</v>
      </c>
      <c r="AC13" s="251">
        <f>'[77]VENTAS TOTALES'!$H21</f>
        <v>7271000</v>
      </c>
      <c r="AD13" s="250">
        <f>'[78]VENTAS TOTALES'!$F21</f>
        <v>3423</v>
      </c>
      <c r="AE13" s="251">
        <f>'[78]VENTAS TOTALES'!$G21</f>
        <v>1501800</v>
      </c>
      <c r="AF13" s="251">
        <f>'[78]VENTAS TOTALES'!$H21</f>
        <v>7320900</v>
      </c>
      <c r="AG13" s="250">
        <f>'[79]VENTAS TOTALES'!$F21</f>
        <v>3557</v>
      </c>
      <c r="AH13" s="251">
        <f>'[79]VENTAS TOTALES'!$G21</f>
        <v>1093300</v>
      </c>
      <c r="AI13" s="251">
        <f>'[79]VENTAS TOTALES'!$H21</f>
        <v>7140200</v>
      </c>
      <c r="AJ13" s="250">
        <f>'[80]VENTAS TOTALES'!$F21</f>
        <v>2815</v>
      </c>
      <c r="AK13" s="251">
        <f>'[80]VENTAS TOTALES'!$G21</f>
        <v>1068500</v>
      </c>
      <c r="AL13" s="251">
        <f>'[80]VENTAS TOTALES'!$H21</f>
        <v>5854000</v>
      </c>
      <c r="AM13" s="250">
        <f>'[81]VENTAS TOTALES'!$F21</f>
        <v>1434</v>
      </c>
      <c r="AN13" s="251">
        <f>'[81]VENTAS TOTALES'!$G21</f>
        <v>447400</v>
      </c>
      <c r="AO13" s="251">
        <f>'[81]VENTAS TOTALES'!$H21</f>
        <v>2885200</v>
      </c>
      <c r="AP13" s="250">
        <f>'[82]VENTAS TOTALES'!$F21</f>
        <v>4087</v>
      </c>
      <c r="AQ13" s="251">
        <f>'[82]VENTAS TOTALES'!$G21</f>
        <v>2161200</v>
      </c>
      <c r="AR13" s="251">
        <f>'[82]VENTAS TOTALES'!$H21</f>
        <v>9109100</v>
      </c>
      <c r="AS13" s="250">
        <f>'[83]VENTAS TOTALES'!$F21</f>
        <v>4133</v>
      </c>
      <c r="AT13" s="251">
        <f>'[83]VENTAS TOTALES'!$G21</f>
        <v>2180300</v>
      </c>
      <c r="AU13" s="251">
        <f>'[83]VENTAS TOTALES'!$H21</f>
        <v>9206400</v>
      </c>
      <c r="AV13" s="250">
        <f>'[84]VENTAS TOTALES'!$F21</f>
        <v>4137</v>
      </c>
      <c r="AW13" s="251">
        <f>'[84]VENTAS TOTALES'!$G21</f>
        <v>2572200</v>
      </c>
      <c r="AX13" s="251">
        <f>'[84]VENTAS TOTALES'!$H21</f>
        <v>9605100</v>
      </c>
      <c r="AY13" s="250">
        <f>'[85]VENTAS TOTALES'!$F21</f>
        <v>3937</v>
      </c>
      <c r="AZ13" s="251">
        <f>'[85]VENTAS TOTALES'!$G21</f>
        <v>1688750</v>
      </c>
      <c r="BA13" s="251">
        <f>'[85]VENTAS TOTALES'!$H21</f>
        <v>8381650</v>
      </c>
      <c r="BB13" s="250">
        <f>'[86]VENTAS TOTALES'!$F21</f>
        <v>3665</v>
      </c>
      <c r="BC13" s="251">
        <f>'[86]VENTAS TOTALES'!$G21</f>
        <v>1344700</v>
      </c>
      <c r="BD13" s="251">
        <f>'[86]VENTAS TOTALES'!$H21</f>
        <v>7575200</v>
      </c>
      <c r="BE13" s="250">
        <f>'[87]VENTAS TOTALES'!$F21</f>
        <v>2988</v>
      </c>
      <c r="BF13" s="251">
        <f>'[87]VENTAS TOTALES'!$G21</f>
        <v>995200</v>
      </c>
      <c r="BG13" s="251">
        <f>'[87]VENTAS TOTALES'!$H21</f>
        <v>6074800</v>
      </c>
      <c r="BH13" s="250">
        <f>'[88]VENTAS TOTALES'!$F21</f>
        <v>1585</v>
      </c>
      <c r="BI13" s="251">
        <f>'[88]VENTAS TOTALES'!$G21</f>
        <v>383400</v>
      </c>
      <c r="BJ13" s="251">
        <f>'[88]VENTAS TOTALES'!$H21</f>
        <v>3077900</v>
      </c>
      <c r="BK13" s="250">
        <f>'[89]VENTAS TOTALES'!$F21</f>
        <v>4147</v>
      </c>
      <c r="BL13" s="251">
        <f>'[89]VENTAS TOTALES'!$G21</f>
        <v>2336000</v>
      </c>
      <c r="BM13" s="251">
        <f>'[89]VENTAS TOTALES'!$H21</f>
        <v>9385900</v>
      </c>
      <c r="BN13" s="250">
        <f>'[90]VENTAS TOTALES'!$F21</f>
        <v>3789</v>
      </c>
      <c r="BO13" s="251">
        <f>'[90]VENTAS TOTALES'!$G21</f>
        <v>1572600</v>
      </c>
      <c r="BP13" s="251">
        <f>'[90]VENTAS TOTALES'!$H21</f>
        <v>8013900</v>
      </c>
      <c r="BQ13" s="250">
        <f>'[91]VENTAS TOTALES'!$F21</f>
        <v>3710</v>
      </c>
      <c r="BR13" s="251">
        <f>'[91]VENTAS TOTALES'!$G21</f>
        <v>1440400</v>
      </c>
      <c r="BS13" s="251">
        <f>'[91]VENTAS TOTALES'!$H21</f>
        <v>7747400</v>
      </c>
      <c r="BT13" s="250">
        <f>'[92]VENTAS TOTALES'!$F21</f>
        <v>3508</v>
      </c>
      <c r="BU13" s="251">
        <f>'[92]VENTAS TOTALES'!$G21</f>
        <v>1151750</v>
      </c>
      <c r="BV13" s="251">
        <f>'[92]VENTAS TOTALES'!$H21</f>
        <v>7115350</v>
      </c>
      <c r="BW13" s="250">
        <f>'[93]VENTAS TOTALES'!$F21</f>
        <v>3549</v>
      </c>
      <c r="BX13" s="251">
        <f>'[93]VENTAS TOTALES'!$G21</f>
        <v>935000</v>
      </c>
      <c r="BY13" s="251">
        <f>'[93]VENTAS TOTALES'!$H21</f>
        <v>6968300</v>
      </c>
      <c r="BZ13" s="250">
        <f>'[94]VENTAS TOTALES'!$F21</f>
        <v>3048</v>
      </c>
      <c r="CA13" s="251">
        <f>'[94]VENTAS TOTALES'!$G21</f>
        <v>1339000</v>
      </c>
      <c r="CB13" s="251">
        <f>'[94]VENTAS TOTALES'!$H21</f>
        <v>6520600</v>
      </c>
      <c r="CC13" s="250">
        <f>'[95]VENTAS TOTALES'!$F21</f>
        <v>1720</v>
      </c>
      <c r="CD13" s="251">
        <f>'[95]VENTAS TOTALES'!$G21</f>
        <v>532200</v>
      </c>
      <c r="CE13" s="251">
        <f>'[95]VENTAS TOTALES'!$H21</f>
        <v>3456200</v>
      </c>
      <c r="CF13" s="250">
        <f>'[96]VENTAS TOTALES'!$F21</f>
        <v>4638</v>
      </c>
      <c r="CG13" s="251">
        <f>'[96]VENTAS TOTALES'!$G21</f>
        <v>3243100</v>
      </c>
      <c r="CH13" s="251">
        <f>'[96]VENTAS TOTALES'!$H21</f>
        <v>11127700</v>
      </c>
      <c r="CI13" s="250">
        <f>'[97]VENTAS TOTALES'!$F21</f>
        <v>4877</v>
      </c>
      <c r="CJ13" s="251">
        <f>'[97]VENTAS TOTALES'!$G21</f>
        <v>3069600</v>
      </c>
      <c r="CK13" s="251">
        <f>'[97]VENTAS TOTALES'!$H21</f>
        <v>11360500</v>
      </c>
      <c r="CL13" s="250">
        <f>'[98]VENTAS TOTALES'!$F21</f>
        <v>4070</v>
      </c>
      <c r="CM13" s="251">
        <f>'[98]VENTAS TOTALES'!$G21</f>
        <v>1996700</v>
      </c>
      <c r="CN13" s="251">
        <f>'[98]VENTAS TOTALES'!$H21</f>
        <v>8915700</v>
      </c>
      <c r="CO13" s="250">
        <f>'[99]VENTAS TOTALES'!$F21</f>
        <v>3944</v>
      </c>
      <c r="CP13" s="251">
        <f>'[99]VENTAS TOTALES'!$G21</f>
        <v>1795100</v>
      </c>
      <c r="CQ13" s="251">
        <f>'[99]VENTAS TOTALES'!$H21</f>
        <v>8499900</v>
      </c>
      <c r="CR13" s="250">
        <f>'[100]VENTAS TOTALES'!$F21</f>
        <v>3951</v>
      </c>
      <c r="CS13" s="251">
        <f>'[100]VENTAS TOTALES'!$G21</f>
        <v>1201900</v>
      </c>
      <c r="CT13" s="251">
        <f>'[100]VENTAS TOTALES'!$H21</f>
        <v>7918600</v>
      </c>
      <c r="CU13" s="250">
        <f>'[101]VENTAS TOTALES'!$F21</f>
        <v>3457</v>
      </c>
      <c r="CV13" s="251">
        <f>'[101]VENTAS TOTALES'!$G21</f>
        <v>1477300</v>
      </c>
      <c r="CW13" s="251">
        <f>'[101]VENTAS TOTALES'!$H21</f>
        <v>7354200</v>
      </c>
      <c r="CX13" s="250">
        <f>'[102]VENTAS TOTALES'!$F21</f>
        <v>1599</v>
      </c>
      <c r="CY13" s="251">
        <f>'[102]VENTAS TOTALES'!$G21</f>
        <v>438100</v>
      </c>
      <c r="CZ13" s="251">
        <f>'[102]VENTAS TOTALES'!$H21</f>
        <v>3156400</v>
      </c>
    </row>
    <row r="14" spans="1:104" x14ac:dyDescent="0.2">
      <c r="A14" s="443"/>
      <c r="B14" s="39" t="s">
        <v>10</v>
      </c>
      <c r="C14" s="250">
        <f>'[69]VENTAS TOTALES'!$F22</f>
        <v>8836</v>
      </c>
      <c r="D14" s="251">
        <f>'[69]VENTAS TOTALES'!$G22</f>
        <v>4954500</v>
      </c>
      <c r="E14" s="251">
        <f>'[69]VENTAS TOTALES'!$H22</f>
        <v>19975700</v>
      </c>
      <c r="F14" s="250">
        <f>'[70]VENTAS TOTALES'!$F22</f>
        <v>8759</v>
      </c>
      <c r="G14" s="251">
        <f>'[70]VENTAS TOTALES'!$G22</f>
        <v>4195500</v>
      </c>
      <c r="H14" s="251">
        <f>'[70]VENTAS TOTALES'!$H22</f>
        <v>19085800</v>
      </c>
      <c r="I14" s="250">
        <f>'[71]VENTAS TOTALES'!$F22</f>
        <v>7188</v>
      </c>
      <c r="J14" s="251">
        <f>'[71]VENTAS TOTALES'!$G22</f>
        <v>3179600</v>
      </c>
      <c r="K14" s="251">
        <f>'[71]VENTAS TOTALES'!$H22</f>
        <v>15399200</v>
      </c>
      <c r="L14" s="250">
        <f>'[72]VENTAS TOTALES'!$F22</f>
        <v>7332</v>
      </c>
      <c r="M14" s="251">
        <f>'[72]VENTAS TOTALES'!$G22</f>
        <v>2704650</v>
      </c>
      <c r="N14" s="251">
        <f>'[72]VENTAS TOTALES'!$H22</f>
        <v>15169050</v>
      </c>
      <c r="O14" s="250">
        <f>'[73]VENTAS TOTALES'!$F22</f>
        <v>5546</v>
      </c>
      <c r="P14" s="251">
        <f>'[73]VENTAS TOTALES'!$G22</f>
        <v>1938300</v>
      </c>
      <c r="Q14" s="251">
        <f>'[73]VENTAS TOTALES'!$H22</f>
        <v>11366500</v>
      </c>
      <c r="R14" s="250">
        <f>'[74]VENTAS TOTALES'!$F22</f>
        <v>2724</v>
      </c>
      <c r="S14" s="251">
        <f>'[74]VENTAS TOTALES'!$G22</f>
        <v>968650</v>
      </c>
      <c r="T14" s="251">
        <f>'[74]VENTAS TOTALES'!$H22</f>
        <v>5599450</v>
      </c>
      <c r="U14" s="250">
        <f>'[75]VENTAS TOTALES'!$F22</f>
        <v>8400</v>
      </c>
      <c r="V14" s="251">
        <f>'[75]VENTAS TOTALES'!$G22</f>
        <v>4590800</v>
      </c>
      <c r="W14" s="251">
        <f>'[75]VENTAS TOTALES'!$H22</f>
        <v>18870800</v>
      </c>
      <c r="X14" s="250">
        <f>'[76]VENTAS TOTALES'!$F22</f>
        <v>7876</v>
      </c>
      <c r="Y14" s="251">
        <f>'[76]VENTAS TOTALES'!$G22</f>
        <v>3730000</v>
      </c>
      <c r="Z14" s="251">
        <f>'[76]VENTAS TOTALES'!$H22</f>
        <v>17119200</v>
      </c>
      <c r="AA14" s="250">
        <f>'[77]VENTAS TOTALES'!$F22</f>
        <v>7463</v>
      </c>
      <c r="AB14" s="251">
        <f>'[77]VENTAS TOTALES'!$G22</f>
        <v>2756600</v>
      </c>
      <c r="AC14" s="251">
        <f>'[77]VENTAS TOTALES'!$H22</f>
        <v>15443700</v>
      </c>
      <c r="AD14" s="250">
        <f>'[78]VENTAS TOTALES'!$F22</f>
        <v>7157</v>
      </c>
      <c r="AE14" s="251">
        <f>'[78]VENTAS TOTALES'!$G22</f>
        <v>2916750</v>
      </c>
      <c r="AF14" s="251">
        <f>'[78]VENTAS TOTALES'!$H22</f>
        <v>15083650</v>
      </c>
      <c r="AG14" s="250">
        <f>'[79]VENTAS TOTALES'!$F22</f>
        <v>7348</v>
      </c>
      <c r="AH14" s="251">
        <f>'[79]VENTAS TOTALES'!$G22</f>
        <v>2746600</v>
      </c>
      <c r="AI14" s="251">
        <f>'[79]VENTAS TOTALES'!$H22</f>
        <v>15238200</v>
      </c>
      <c r="AJ14" s="250">
        <f>'[80]VENTAS TOTALES'!$F22</f>
        <v>5388</v>
      </c>
      <c r="AK14" s="251">
        <f>'[80]VENTAS TOTALES'!$G22</f>
        <v>1773700</v>
      </c>
      <c r="AL14" s="251">
        <f>'[80]VENTAS TOTALES'!$H22</f>
        <v>10933300</v>
      </c>
      <c r="AM14" s="250">
        <f>'[81]VENTAS TOTALES'!$F22</f>
        <v>2621</v>
      </c>
      <c r="AN14" s="251">
        <f>'[81]VENTAS TOTALES'!$G22</f>
        <v>846400</v>
      </c>
      <c r="AO14" s="251">
        <f>'[81]VENTAS TOTALES'!$H22</f>
        <v>5302100</v>
      </c>
      <c r="AP14" s="250">
        <f>'[82]VENTAS TOTALES'!$F22</f>
        <v>9418</v>
      </c>
      <c r="AQ14" s="251">
        <f>'[82]VENTAS TOTALES'!$G22</f>
        <v>3733450</v>
      </c>
      <c r="AR14" s="251">
        <f>'[82]VENTAS TOTALES'!$H22</f>
        <v>19744050</v>
      </c>
      <c r="AS14" s="250">
        <f>'[83]VENTAS TOTALES'!$F22</f>
        <v>8256</v>
      </c>
      <c r="AT14" s="251">
        <f>'[83]VENTAS TOTALES'!$G22</f>
        <v>5754050</v>
      </c>
      <c r="AU14" s="251">
        <f>'[83]VENTAS TOTALES'!$H22</f>
        <v>19789250</v>
      </c>
      <c r="AV14" s="250">
        <f>'[84]VENTAS TOTALES'!$F22</f>
        <v>8177</v>
      </c>
      <c r="AW14" s="251">
        <f>'[84]VENTAS TOTALES'!$G22</f>
        <v>4236100</v>
      </c>
      <c r="AX14" s="251">
        <f>'[84]VENTAS TOTALES'!$H22</f>
        <v>18137000</v>
      </c>
      <c r="AY14" s="250">
        <f>'[85]VENTAS TOTALES'!$F22</f>
        <v>7902</v>
      </c>
      <c r="AZ14" s="251">
        <f>'[85]VENTAS TOTALES'!$G22</f>
        <v>3714000</v>
      </c>
      <c r="BA14" s="251">
        <f>'[85]VENTAS TOTALES'!$H22</f>
        <v>17147400</v>
      </c>
      <c r="BB14" s="250">
        <f>'[86]VENTAS TOTALES'!$F22</f>
        <v>7641</v>
      </c>
      <c r="BC14" s="251">
        <f>'[86]VENTAS TOTALES'!$G22</f>
        <v>2709000</v>
      </c>
      <c r="BD14" s="251">
        <f>'[86]VENTAS TOTALES'!$H22</f>
        <v>15698700</v>
      </c>
      <c r="BE14" s="250">
        <f>'[87]VENTAS TOTALES'!$F22</f>
        <v>5683</v>
      </c>
      <c r="BF14" s="251">
        <f>'[87]VENTAS TOTALES'!$G22</f>
        <v>2202650</v>
      </c>
      <c r="BG14" s="251">
        <f>'[87]VENTAS TOTALES'!$H22</f>
        <v>11863750</v>
      </c>
      <c r="BH14" s="250">
        <f>'[88]VENTAS TOTALES'!$F22</f>
        <v>2823</v>
      </c>
      <c r="BI14" s="251">
        <f>'[88]VENTAS TOTALES'!$G22</f>
        <v>816100</v>
      </c>
      <c r="BJ14" s="251">
        <f>'[88]VENTAS TOTALES'!$H22</f>
        <v>5615200</v>
      </c>
      <c r="BK14" s="250">
        <f>'[89]VENTAS TOTALES'!$F22</f>
        <v>8943</v>
      </c>
      <c r="BL14" s="251">
        <f>'[89]VENTAS TOTALES'!$G22</f>
        <v>4775950</v>
      </c>
      <c r="BM14" s="251">
        <f>'[89]VENTAS TOTALES'!$H22</f>
        <v>19979050</v>
      </c>
      <c r="BN14" s="250">
        <f>'[90]VENTAS TOTALES'!$F22</f>
        <v>7598</v>
      </c>
      <c r="BO14" s="251">
        <f>'[90]VENTAS TOTALES'!$G22</f>
        <v>3410500</v>
      </c>
      <c r="BP14" s="251">
        <f>'[90]VENTAS TOTALES'!$H22</f>
        <v>16327100</v>
      </c>
      <c r="BQ14" s="250">
        <f>'[91]VENTAS TOTALES'!$F22</f>
        <v>7541</v>
      </c>
      <c r="BR14" s="251">
        <f>'[91]VENTAS TOTALES'!$G22</f>
        <v>3296550</v>
      </c>
      <c r="BS14" s="251">
        <f>'[91]VENTAS TOTALES'!$H22</f>
        <v>16116250</v>
      </c>
      <c r="BT14" s="250">
        <f>'[92]VENTAS TOTALES'!$F22</f>
        <v>7157</v>
      </c>
      <c r="BU14" s="251">
        <f>'[92]VENTAS TOTALES'!$G22</f>
        <v>2535000</v>
      </c>
      <c r="BV14" s="251">
        <f>'[92]VENTAS TOTALES'!$H22</f>
        <v>14701900</v>
      </c>
      <c r="BW14" s="250">
        <f>'[93]VENTAS TOTALES'!$F22</f>
        <v>7473</v>
      </c>
      <c r="BX14" s="251">
        <f>'[93]VENTAS TOTALES'!$G22</f>
        <v>3695700</v>
      </c>
      <c r="BY14" s="251">
        <f>'[93]VENTAS TOTALES'!$H22</f>
        <v>16399800</v>
      </c>
      <c r="BZ14" s="250">
        <f>'[94]VENTAS TOTALES'!$F22</f>
        <v>5535</v>
      </c>
      <c r="CA14" s="251">
        <f>'[94]VENTAS TOTALES'!$G22</f>
        <v>2521950</v>
      </c>
      <c r="CB14" s="251">
        <f>'[94]VENTAS TOTALES'!$H22</f>
        <v>11931450</v>
      </c>
      <c r="CC14" s="250">
        <f>'[95]VENTAS TOTALES'!$F22</f>
        <v>2742</v>
      </c>
      <c r="CD14" s="251">
        <f>'[95]VENTAS TOTALES'!$G22</f>
        <v>839400</v>
      </c>
      <c r="CE14" s="251">
        <f>'[95]VENTAS TOTALES'!$H22</f>
        <v>5500800</v>
      </c>
      <c r="CF14" s="250">
        <f>'[96]VENTAS TOTALES'!$F22</f>
        <v>9889</v>
      </c>
      <c r="CG14" s="251">
        <f>'[96]VENTAS TOTALES'!$G22</f>
        <v>6372800</v>
      </c>
      <c r="CH14" s="251">
        <f>'[96]VENTAS TOTALES'!$H22</f>
        <v>23184100</v>
      </c>
      <c r="CI14" s="250">
        <f>'[97]VENTAS TOTALES'!$F22</f>
        <v>9104</v>
      </c>
      <c r="CJ14" s="251">
        <f>'[97]VENTAS TOTALES'!$G22</f>
        <v>5405700</v>
      </c>
      <c r="CK14" s="251">
        <f>'[97]VENTAS TOTALES'!$H22</f>
        <v>20882500</v>
      </c>
      <c r="CL14" s="250">
        <f>'[98]VENTAS TOTALES'!$F22</f>
        <v>8305</v>
      </c>
      <c r="CM14" s="251">
        <f>'[98]VENTAS TOTALES'!$G22</f>
        <v>4074300</v>
      </c>
      <c r="CN14" s="251">
        <f>'[98]VENTAS TOTALES'!$H22</f>
        <v>18192800</v>
      </c>
      <c r="CO14" s="250">
        <f>'[99]VENTAS TOTALES'!$F22</f>
        <v>7995</v>
      </c>
      <c r="CP14" s="251">
        <f>'[99]VENTAS TOTALES'!$G22</f>
        <v>3897500</v>
      </c>
      <c r="CQ14" s="251">
        <f>'[99]VENTAS TOTALES'!$H22</f>
        <v>17489000</v>
      </c>
      <c r="CR14" s="250">
        <f>'[100]VENTAS TOTALES'!$F22</f>
        <v>7909</v>
      </c>
      <c r="CS14" s="251">
        <f>'[100]VENTAS TOTALES'!$G22</f>
        <v>2901500</v>
      </c>
      <c r="CT14" s="251">
        <f>'[100]VENTAS TOTALES'!$H22</f>
        <v>16346800</v>
      </c>
      <c r="CU14" s="250">
        <f>'[101]VENTAS TOTALES'!$F22</f>
        <v>5700</v>
      </c>
      <c r="CV14" s="251">
        <f>'[101]VENTAS TOTALES'!$G22</f>
        <v>1961200</v>
      </c>
      <c r="CW14" s="251">
        <f>'[101]VENTAS TOTALES'!$H22</f>
        <v>11651200</v>
      </c>
      <c r="CX14" s="250">
        <f>'[102]VENTAS TOTALES'!$F22</f>
        <v>2766</v>
      </c>
      <c r="CY14" s="251">
        <f>'[102]VENTAS TOTALES'!$G22</f>
        <v>829800</v>
      </c>
      <c r="CZ14" s="251">
        <f>'[102]VENTAS TOTALES'!$H22</f>
        <v>5532000</v>
      </c>
    </row>
    <row r="15" spans="1:104" x14ac:dyDescent="0.2">
      <c r="A15" s="443"/>
      <c r="B15" s="39" t="s">
        <v>11</v>
      </c>
      <c r="C15" s="250">
        <f>'[69]VENTAS TOTALES'!$F23</f>
        <v>3756</v>
      </c>
      <c r="D15" s="251">
        <f>'[69]VENTAS TOTALES'!$G23</f>
        <v>1934200</v>
      </c>
      <c r="E15" s="251">
        <f>'[69]VENTAS TOTALES'!$H23</f>
        <v>8319400</v>
      </c>
      <c r="F15" s="250">
        <f>'[70]VENTAS TOTALES'!$F23</f>
        <v>3730</v>
      </c>
      <c r="G15" s="251">
        <f>'[70]VENTAS TOTALES'!$G23</f>
        <v>1379100</v>
      </c>
      <c r="H15" s="251">
        <f>'[70]VENTAS TOTALES'!$H23</f>
        <v>7720100</v>
      </c>
      <c r="I15" s="250">
        <f>'[71]VENTAS TOTALES'!$F23</f>
        <v>3377</v>
      </c>
      <c r="J15" s="251">
        <f>'[71]VENTAS TOTALES'!$G23</f>
        <v>981900</v>
      </c>
      <c r="K15" s="251">
        <f>'[71]VENTAS TOTALES'!$H23</f>
        <v>6722800</v>
      </c>
      <c r="L15" s="250">
        <f>'[72]VENTAS TOTALES'!$F23</f>
        <v>3324</v>
      </c>
      <c r="M15" s="251">
        <f>'[72]VENTAS TOTALES'!$G23</f>
        <v>802700</v>
      </c>
      <c r="N15" s="251">
        <f>'[72]VENTAS TOTALES'!$H23</f>
        <v>6453500</v>
      </c>
      <c r="O15" s="250">
        <f>'[73]VENTAS TOTALES'!$F23</f>
        <v>2284</v>
      </c>
      <c r="P15" s="251">
        <f>'[73]VENTAS TOTALES'!$G23</f>
        <v>636200</v>
      </c>
      <c r="Q15" s="251">
        <f>'[73]VENTAS TOTALES'!$H23</f>
        <v>4519000</v>
      </c>
      <c r="R15" s="250">
        <f>'[74]VENTAS TOTALES'!$F23</f>
        <v>1357</v>
      </c>
      <c r="S15" s="251">
        <f>'[74]VENTAS TOTALES'!$G23</f>
        <v>194100</v>
      </c>
      <c r="T15" s="251">
        <f>'[74]VENTAS TOTALES'!$H23</f>
        <v>2501000</v>
      </c>
      <c r="U15" s="250">
        <f>'[75]VENTAS TOTALES'!$F23</f>
        <v>4032</v>
      </c>
      <c r="V15" s="251">
        <f>'[75]VENTAS TOTALES'!$G23</f>
        <v>1621100</v>
      </c>
      <c r="W15" s="251">
        <f>'[75]VENTAS TOTALES'!$H23</f>
        <v>8475500</v>
      </c>
      <c r="X15" s="250">
        <f>'[76]VENTAS TOTALES'!$F23</f>
        <v>3520</v>
      </c>
      <c r="Y15" s="251">
        <f>'[76]VENTAS TOTALES'!$G23</f>
        <v>1090750</v>
      </c>
      <c r="Z15" s="251">
        <f>'[76]VENTAS TOTALES'!$H23</f>
        <v>7074750</v>
      </c>
      <c r="AA15" s="250">
        <f>'[77]VENTAS TOTALES'!$F23</f>
        <v>3201</v>
      </c>
      <c r="AB15" s="251">
        <f>'[77]VENTAS TOTALES'!$G23</f>
        <v>998100</v>
      </c>
      <c r="AC15" s="251">
        <f>'[77]VENTAS TOTALES'!$H23</f>
        <v>6439800</v>
      </c>
      <c r="AD15" s="250">
        <f>'[78]VENTAS TOTALES'!$F23</f>
        <v>3278</v>
      </c>
      <c r="AE15" s="251">
        <f>'[78]VENTAS TOTALES'!$G23</f>
        <v>914950</v>
      </c>
      <c r="AF15" s="251">
        <f>'[78]VENTAS TOTALES'!$H23</f>
        <v>6487550</v>
      </c>
      <c r="AG15" s="250">
        <f>'[79]VENTAS TOTALES'!$F23</f>
        <v>3021</v>
      </c>
      <c r="AH15" s="251">
        <f>'[79]VENTAS TOTALES'!$G23</f>
        <v>813550</v>
      </c>
      <c r="AI15" s="251">
        <f>'[79]VENTAS TOTALES'!$H23</f>
        <v>5949250</v>
      </c>
      <c r="AJ15" s="250">
        <f>'[80]VENTAS TOTALES'!$F23</f>
        <v>2292</v>
      </c>
      <c r="AK15" s="251">
        <f>'[80]VENTAS TOTALES'!$G23</f>
        <v>516400</v>
      </c>
      <c r="AL15" s="251">
        <f>'[80]VENTAS TOTALES'!$H23</f>
        <v>4412800</v>
      </c>
      <c r="AM15" s="250">
        <f>'[81]VENTAS TOTALES'!$F23</f>
        <v>1064</v>
      </c>
      <c r="AN15" s="251">
        <f>'[81]VENTAS TOTALES'!$G23</f>
        <v>291900</v>
      </c>
      <c r="AO15" s="251">
        <f>'[81]VENTAS TOTALES'!$H23</f>
        <v>2100700</v>
      </c>
      <c r="AP15" s="250">
        <f>'[82]VENTAS TOTALES'!$F23</f>
        <v>4256</v>
      </c>
      <c r="AQ15" s="251">
        <f>'[82]VENTAS TOTALES'!$G23</f>
        <v>1311100</v>
      </c>
      <c r="AR15" s="251">
        <f>'[82]VENTAS TOTALES'!$H23</f>
        <v>8546300</v>
      </c>
      <c r="AS15" s="250">
        <f>'[83]VENTAS TOTALES'!$F23</f>
        <v>3942</v>
      </c>
      <c r="AT15" s="251">
        <f>'[83]VENTAS TOTALES'!$G23</f>
        <v>1413900</v>
      </c>
      <c r="AU15" s="251">
        <f>'[83]VENTAS TOTALES'!$H23</f>
        <v>8115300</v>
      </c>
      <c r="AV15" s="250">
        <f>'[84]VENTAS TOTALES'!$F23</f>
        <v>3382</v>
      </c>
      <c r="AW15" s="251">
        <f>'[84]VENTAS TOTALES'!$G23</f>
        <v>1266500</v>
      </c>
      <c r="AX15" s="251">
        <f>'[84]VENTAS TOTALES'!$H23</f>
        <v>7015900</v>
      </c>
      <c r="AY15" s="250">
        <f>'[85]VENTAS TOTALES'!$F23</f>
        <v>3532</v>
      </c>
      <c r="AZ15" s="251">
        <f>'[85]VENTAS TOTALES'!$G23</f>
        <v>1542600</v>
      </c>
      <c r="BA15" s="251">
        <f>'[85]VENTAS TOTALES'!$H23</f>
        <v>7547000</v>
      </c>
      <c r="BB15" s="250">
        <f>'[86]VENTAS TOTALES'!$F23</f>
        <v>3504</v>
      </c>
      <c r="BC15" s="251">
        <f>'[86]VENTAS TOTALES'!$G23</f>
        <v>1091500</v>
      </c>
      <c r="BD15" s="251">
        <f>'[86]VENTAS TOTALES'!$H23</f>
        <v>7048300</v>
      </c>
      <c r="BE15" s="250">
        <f>'[87]VENTAS TOTALES'!$F23</f>
        <v>2358</v>
      </c>
      <c r="BF15" s="251">
        <f>'[87]VENTAS TOTALES'!$G23</f>
        <v>606700</v>
      </c>
      <c r="BG15" s="251">
        <f>'[87]VENTAS TOTALES'!$H23</f>
        <v>4615300</v>
      </c>
      <c r="BH15" s="250">
        <f>'[88]VENTAS TOTALES'!$F23</f>
        <v>1177</v>
      </c>
      <c r="BI15" s="251">
        <f>'[88]VENTAS TOTALES'!$G23</f>
        <v>286700</v>
      </c>
      <c r="BJ15" s="251">
        <f>'[88]VENTAS TOTALES'!$H23</f>
        <v>2287600</v>
      </c>
      <c r="BK15" s="250">
        <f>'[89]VENTAS TOTALES'!$F23</f>
        <v>3945</v>
      </c>
      <c r="BL15" s="251">
        <f>'[89]VENTAS TOTALES'!$G23</f>
        <v>1248500</v>
      </c>
      <c r="BM15" s="251">
        <f>'[89]VENTAS TOTALES'!$H23</f>
        <v>7955000</v>
      </c>
      <c r="BN15" s="250">
        <f>'[90]VENTAS TOTALES'!$F23</f>
        <v>3641</v>
      </c>
      <c r="BO15" s="251">
        <f>'[90]VENTAS TOTALES'!$G23</f>
        <v>1125500</v>
      </c>
      <c r="BP15" s="251">
        <f>'[90]VENTAS TOTALES'!$H23</f>
        <v>7315200</v>
      </c>
      <c r="BQ15" s="250">
        <f>'[91]VENTAS TOTALES'!$F23</f>
        <v>3499</v>
      </c>
      <c r="BR15" s="251">
        <f>'[91]VENTAS TOTALES'!$G23</f>
        <v>1155900</v>
      </c>
      <c r="BS15" s="251">
        <f>'[91]VENTAS TOTALES'!$H23</f>
        <v>7104200</v>
      </c>
      <c r="BT15" s="250">
        <f>'[92]VENTAS TOTALES'!$F23</f>
        <v>3272</v>
      </c>
      <c r="BU15" s="251">
        <f>'[92]VENTAS TOTALES'!$G23</f>
        <v>863400</v>
      </c>
      <c r="BV15" s="251">
        <f>'[92]VENTAS TOTALES'!$H23</f>
        <v>6425800</v>
      </c>
      <c r="BW15" s="250">
        <f>'[93]VENTAS TOTALES'!$F23</f>
        <v>3428</v>
      </c>
      <c r="BX15" s="251">
        <f>'[93]VENTAS TOTALES'!$G23</f>
        <v>1135400</v>
      </c>
      <c r="BY15" s="251">
        <f>'[93]VENTAS TOTALES'!$H23</f>
        <v>6963000</v>
      </c>
      <c r="BZ15" s="250">
        <f>'[94]VENTAS TOTALES'!$F23</f>
        <v>2469</v>
      </c>
      <c r="CA15" s="251">
        <f>'[94]VENTAS TOTALES'!$G23</f>
        <v>669250</v>
      </c>
      <c r="CB15" s="251">
        <f>'[94]VENTAS TOTALES'!$H23</f>
        <v>4866550</v>
      </c>
      <c r="CC15" s="250">
        <f>'[95]VENTAS TOTALES'!$F23</f>
        <v>1256</v>
      </c>
      <c r="CD15" s="251">
        <f>'[95]VENTAS TOTALES'!$G23</f>
        <v>324200</v>
      </c>
      <c r="CE15" s="251">
        <f>'[95]VENTAS TOTALES'!$H23</f>
        <v>2459400</v>
      </c>
      <c r="CF15" s="250">
        <f>'[96]VENTAS TOTALES'!$F23</f>
        <v>4197</v>
      </c>
      <c r="CG15" s="251">
        <f>'[96]VENTAS TOTALES'!$G23</f>
        <v>2054600</v>
      </c>
      <c r="CH15" s="251">
        <f>'[96]VENTAS TOTALES'!$H23</f>
        <v>9189500</v>
      </c>
      <c r="CI15" s="250">
        <f>'[97]VENTAS TOTALES'!$F23</f>
        <v>4062</v>
      </c>
      <c r="CJ15" s="251">
        <f>'[97]VENTAS TOTALES'!$G23</f>
        <v>1636850</v>
      </c>
      <c r="CK15" s="251">
        <f>'[97]VENTAS TOTALES'!$H23</f>
        <v>8542250</v>
      </c>
      <c r="CL15" s="250">
        <f>'[98]VENTAS TOTALES'!$F23</f>
        <v>3757</v>
      </c>
      <c r="CM15" s="251">
        <f>'[98]VENTAS TOTALES'!$G23</f>
        <v>1365000</v>
      </c>
      <c r="CN15" s="251">
        <f>'[98]VENTAS TOTALES'!$H23</f>
        <v>7751900</v>
      </c>
      <c r="CO15" s="250">
        <f>'[99]VENTAS TOTALES'!$F23</f>
        <v>3587</v>
      </c>
      <c r="CP15" s="251">
        <f>'[99]VENTAS TOTALES'!$G23</f>
        <v>1180900</v>
      </c>
      <c r="CQ15" s="251">
        <f>'[99]VENTAS TOTALES'!$H23</f>
        <v>7278800</v>
      </c>
      <c r="CR15" s="250">
        <f>'[100]VENTAS TOTALES'!$F23</f>
        <v>3512</v>
      </c>
      <c r="CS15" s="251">
        <f>'[100]VENTAS TOTALES'!$G23</f>
        <v>960650</v>
      </c>
      <c r="CT15" s="251">
        <f>'[100]VENTAS TOTALES'!$H23</f>
        <v>6931050</v>
      </c>
      <c r="CU15" s="250">
        <f>'[101]VENTAS TOTALES'!$F23</f>
        <v>2495</v>
      </c>
      <c r="CV15" s="251">
        <f>'[101]VENTAS TOTALES'!$G23</f>
        <v>664400</v>
      </c>
      <c r="CW15" s="251">
        <f>'[101]VENTAS TOTALES'!$H23</f>
        <v>4905900</v>
      </c>
      <c r="CX15" s="250">
        <f>'[102]VENTAS TOTALES'!$F23</f>
        <v>1212</v>
      </c>
      <c r="CY15" s="251">
        <f>'[102]VENTAS TOTALES'!$G23</f>
        <v>384400</v>
      </c>
      <c r="CZ15" s="251">
        <f>'[102]VENTAS TOTALES'!$H23</f>
        <v>2444800</v>
      </c>
    </row>
    <row r="16" spans="1:104" x14ac:dyDescent="0.2">
      <c r="A16" s="443"/>
      <c r="B16" s="39" t="s">
        <v>12</v>
      </c>
      <c r="C16" s="250">
        <f>'[69]VENTAS TOTALES'!$F24</f>
        <v>3000</v>
      </c>
      <c r="D16" s="251">
        <f>'[69]VENTAS TOTALES'!$G24</f>
        <v>1805200</v>
      </c>
      <c r="E16" s="251">
        <f>'[69]VENTAS TOTALES'!$H24</f>
        <v>6905200</v>
      </c>
      <c r="F16" s="250">
        <f>'[70]VENTAS TOTALES'!$F24</f>
        <v>3079</v>
      </c>
      <c r="G16" s="251">
        <f>'[70]VENTAS TOTALES'!$G24</f>
        <v>1533300</v>
      </c>
      <c r="H16" s="251">
        <f>'[70]VENTAS TOTALES'!$H24</f>
        <v>6767600</v>
      </c>
      <c r="I16" s="250">
        <f>'[71]VENTAS TOTALES'!$F24</f>
        <v>2700</v>
      </c>
      <c r="J16" s="251">
        <f>'[71]VENTAS TOTALES'!$G24</f>
        <v>1040600</v>
      </c>
      <c r="K16" s="251">
        <f>'[71]VENTAS TOTALES'!$H24</f>
        <v>5630600</v>
      </c>
      <c r="L16" s="250">
        <f>'[72]VENTAS TOTALES'!$F24</f>
        <v>2788</v>
      </c>
      <c r="M16" s="251">
        <f>'[72]VENTAS TOTALES'!$G24</f>
        <v>1140600</v>
      </c>
      <c r="N16" s="251">
        <f>'[72]VENTAS TOTALES'!$H24</f>
        <v>5880200</v>
      </c>
      <c r="O16" s="250">
        <f>'[73]VENTAS TOTALES'!$F24</f>
        <v>2011</v>
      </c>
      <c r="P16" s="251">
        <f>'[73]VENTAS TOTALES'!$G24</f>
        <v>660700</v>
      </c>
      <c r="Q16" s="251">
        <f>'[73]VENTAS TOTALES'!$H24</f>
        <v>4079400</v>
      </c>
      <c r="R16" s="250">
        <f>'[74]VENTAS TOTALES'!$F24</f>
        <v>1206</v>
      </c>
      <c r="S16" s="251">
        <f>'[74]VENTAS TOTALES'!$G24</f>
        <v>390800</v>
      </c>
      <c r="T16" s="251">
        <f>'[74]VENTAS TOTALES'!$H24</f>
        <v>2441000</v>
      </c>
      <c r="U16" s="250">
        <f>'[75]VENTAS TOTALES'!$F24</f>
        <v>3104</v>
      </c>
      <c r="V16" s="251">
        <f>'[75]VENTAS TOTALES'!$G24</f>
        <v>1858100</v>
      </c>
      <c r="W16" s="251">
        <f>'[75]VENTAS TOTALES'!$H24</f>
        <v>7134900</v>
      </c>
      <c r="X16" s="250">
        <f>'[76]VENTAS TOTALES'!$F24</f>
        <v>2721</v>
      </c>
      <c r="Y16" s="251">
        <f>'[76]VENTAS TOTALES'!$G24</f>
        <v>1289100</v>
      </c>
      <c r="Z16" s="251">
        <f>'[76]VENTAS TOTALES'!$H24</f>
        <v>5914800</v>
      </c>
      <c r="AA16" s="250">
        <f>'[77]VENTAS TOTALES'!$F24</f>
        <v>2781</v>
      </c>
      <c r="AB16" s="251">
        <f>'[77]VENTAS TOTALES'!$G24</f>
        <v>1150500</v>
      </c>
      <c r="AC16" s="251">
        <f>'[77]VENTAS TOTALES'!$H24</f>
        <v>5878200</v>
      </c>
      <c r="AD16" s="250">
        <f>'[78]VENTAS TOTALES'!$F24</f>
        <v>2688</v>
      </c>
      <c r="AE16" s="251">
        <f>'[78]VENTAS TOTALES'!$G24</f>
        <v>1080500</v>
      </c>
      <c r="AF16" s="251">
        <f>'[78]VENTAS TOTALES'!$H24</f>
        <v>5650100</v>
      </c>
      <c r="AG16" s="250">
        <f>'[79]VENTAS TOTALES'!$F24</f>
        <v>2595</v>
      </c>
      <c r="AH16" s="251">
        <f>'[79]VENTAS TOTALES'!$G24</f>
        <v>1010800</v>
      </c>
      <c r="AI16" s="251">
        <f>'[79]VENTAS TOTALES'!$H24</f>
        <v>5422300</v>
      </c>
      <c r="AJ16" s="250">
        <f>'[80]VENTAS TOTALES'!$F24</f>
        <v>2050</v>
      </c>
      <c r="AK16" s="251">
        <f>'[80]VENTAS TOTALES'!$G24</f>
        <v>663750</v>
      </c>
      <c r="AL16" s="251">
        <f>'[80]VENTAS TOTALES'!$H24</f>
        <v>4148750</v>
      </c>
      <c r="AM16" s="250">
        <f>'[81]VENTAS TOTALES'!$F24</f>
        <v>1268</v>
      </c>
      <c r="AN16" s="251">
        <f>'[81]VENTAS TOTALES'!$G24</f>
        <v>342700</v>
      </c>
      <c r="AO16" s="251">
        <f>'[81]VENTAS TOTALES'!$H24</f>
        <v>2498300</v>
      </c>
      <c r="AP16" s="250">
        <f>'[82]VENTAS TOTALES'!$F24</f>
        <v>3353</v>
      </c>
      <c r="AQ16" s="251">
        <f>'[82]VENTAS TOTALES'!$G24</f>
        <v>2022800</v>
      </c>
      <c r="AR16" s="251">
        <f>'[82]VENTAS TOTALES'!$H24</f>
        <v>7722900</v>
      </c>
      <c r="AS16" s="250">
        <f>'[83]VENTAS TOTALES'!$F24</f>
        <v>2983</v>
      </c>
      <c r="AT16" s="251">
        <f>'[83]VENTAS TOTALES'!$G24</f>
        <v>1393000</v>
      </c>
      <c r="AU16" s="251">
        <f>'[83]VENTAS TOTALES'!$H24</f>
        <v>6464100</v>
      </c>
      <c r="AV16" s="250">
        <f>'[84]VENTAS TOTALES'!$F24</f>
        <v>3021</v>
      </c>
      <c r="AW16" s="251">
        <f>'[84]VENTAS TOTALES'!$G24</f>
        <v>1676800</v>
      </c>
      <c r="AX16" s="251">
        <f>'[84]VENTAS TOTALES'!$H24</f>
        <v>6812500</v>
      </c>
      <c r="AY16" s="250">
        <f>'[85]VENTAS TOTALES'!$F24</f>
        <v>2872</v>
      </c>
      <c r="AZ16" s="251">
        <f>'[85]VENTAS TOTALES'!$G24</f>
        <v>1409500</v>
      </c>
      <c r="BA16" s="251">
        <f>'[85]VENTAS TOTALES'!$H24</f>
        <v>6291900</v>
      </c>
      <c r="BB16" s="250">
        <f>'[86]VENTAS TOTALES'!$F24</f>
        <v>3073</v>
      </c>
      <c r="BC16" s="251">
        <f>'[86]VENTAS TOTALES'!$G24</f>
        <v>1252600</v>
      </c>
      <c r="BD16" s="251">
        <f>'[86]VENTAS TOTALES'!$H24</f>
        <v>6476700</v>
      </c>
      <c r="BE16" s="250">
        <f>'[87]VENTAS TOTALES'!$F24</f>
        <v>2152</v>
      </c>
      <c r="BF16" s="251">
        <f>'[87]VENTAS TOTALES'!$G24</f>
        <v>724100</v>
      </c>
      <c r="BG16" s="251">
        <f>'[87]VENTAS TOTALES'!$H24</f>
        <v>4382500</v>
      </c>
      <c r="BH16" s="250">
        <f>'[88]VENTAS TOTALES'!$F24</f>
        <v>1280</v>
      </c>
      <c r="BI16" s="251">
        <f>'[88]VENTAS TOTALES'!$G24</f>
        <v>246200</v>
      </c>
      <c r="BJ16" s="251">
        <f>'[88]VENTAS TOTALES'!$H24</f>
        <v>2422200</v>
      </c>
      <c r="BK16" s="250">
        <f>'[89]VENTAS TOTALES'!$F24</f>
        <v>3203</v>
      </c>
      <c r="BL16" s="251">
        <f>'[89]VENTAS TOTALES'!$G24</f>
        <v>1649400</v>
      </c>
      <c r="BM16" s="251">
        <f>'[89]VENTAS TOTALES'!$H24</f>
        <v>7094500</v>
      </c>
      <c r="BN16" s="250">
        <f>'[90]VENTAS TOTALES'!$F24</f>
        <v>2975</v>
      </c>
      <c r="BO16" s="251">
        <f>'[90]VENTAS TOTALES'!$G24</f>
        <v>1247800</v>
      </c>
      <c r="BP16" s="251">
        <f>'[90]VENTAS TOTALES'!$H24</f>
        <v>6305300</v>
      </c>
      <c r="BQ16" s="250">
        <f>'[91]VENTAS TOTALES'!$F24</f>
        <v>2814</v>
      </c>
      <c r="BR16" s="251">
        <f>'[91]VENTAS TOTALES'!$G24</f>
        <v>1089600</v>
      </c>
      <c r="BS16" s="251">
        <f>'[91]VENTAS TOTALES'!$H24</f>
        <v>5873400</v>
      </c>
      <c r="BT16" s="250">
        <f>'[92]VENTAS TOTALES'!$F24</f>
        <v>2639</v>
      </c>
      <c r="BU16" s="251">
        <f>'[92]VENTAS TOTALES'!$G24</f>
        <v>1093400</v>
      </c>
      <c r="BV16" s="251">
        <f>'[92]VENTAS TOTALES'!$H24</f>
        <v>5579700</v>
      </c>
      <c r="BW16" s="250">
        <f>'[93]VENTAS TOTALES'!$F24</f>
        <v>2902</v>
      </c>
      <c r="BX16" s="251">
        <f>'[93]VENTAS TOTALES'!$G24</f>
        <v>1146500</v>
      </c>
      <c r="BY16" s="251">
        <f>'[93]VENTAS TOTALES'!$H24</f>
        <v>6079900</v>
      </c>
      <c r="BZ16" s="250">
        <f>'[94]VENTAS TOTALES'!$F24</f>
        <v>2140</v>
      </c>
      <c r="CA16" s="251">
        <f>'[94]VENTAS TOTALES'!$G24</f>
        <v>659600</v>
      </c>
      <c r="CB16" s="251">
        <f>'[94]VENTAS TOTALES'!$H24</f>
        <v>4297600</v>
      </c>
      <c r="CC16" s="250">
        <f>'[95]VENTAS TOTALES'!$F24</f>
        <v>1368</v>
      </c>
      <c r="CD16" s="251">
        <f>'[95]VENTAS TOTALES'!$G24</f>
        <v>201000</v>
      </c>
      <c r="CE16" s="251">
        <f>'[95]VENTAS TOTALES'!$H24</f>
        <v>2526600</v>
      </c>
      <c r="CF16" s="250">
        <f>'[96]VENTAS TOTALES'!$F24</f>
        <v>3394</v>
      </c>
      <c r="CG16" s="251">
        <f>'[96]VENTAS TOTALES'!$G24</f>
        <v>2435000</v>
      </c>
      <c r="CH16" s="251">
        <f>'[96]VENTAS TOTALES'!$H24</f>
        <v>8204800</v>
      </c>
      <c r="CI16" s="250">
        <f>'[97]VENTAS TOTALES'!$F24</f>
        <v>3335</v>
      </c>
      <c r="CJ16" s="251">
        <f>'[97]VENTAS TOTALES'!$G24</f>
        <v>1591400</v>
      </c>
      <c r="CK16" s="251">
        <f>'[97]VENTAS TOTALES'!$H24</f>
        <v>7260900</v>
      </c>
      <c r="CL16" s="250">
        <f>'[98]VENTAS TOTALES'!$F24</f>
        <v>3063</v>
      </c>
      <c r="CM16" s="251">
        <f>'[98]VENTAS TOTALES'!$G24</f>
        <v>1719000</v>
      </c>
      <c r="CN16" s="251">
        <f>'[98]VENTAS TOTALES'!$H24</f>
        <v>6926100</v>
      </c>
      <c r="CO16" s="250">
        <f>'[99]VENTAS TOTALES'!$F24</f>
        <v>2762</v>
      </c>
      <c r="CP16" s="251">
        <f>'[99]VENTAS TOTALES'!$G24</f>
        <v>1361600</v>
      </c>
      <c r="CQ16" s="251">
        <f>'[99]VENTAS TOTALES'!$H24</f>
        <v>6057000</v>
      </c>
      <c r="CR16" s="250">
        <f>'[100]VENTAS TOTALES'!$F24</f>
        <v>2749</v>
      </c>
      <c r="CS16" s="251">
        <f>'[100]VENTAS TOTALES'!$G24</f>
        <v>1066400</v>
      </c>
      <c r="CT16" s="251">
        <f>'[100]VENTAS TOTALES'!$H24</f>
        <v>5739700</v>
      </c>
      <c r="CU16" s="250">
        <f>'[101]VENTAS TOTALES'!$F24</f>
        <v>2405</v>
      </c>
      <c r="CV16" s="251">
        <f>'[101]VENTAS TOTALES'!$G24</f>
        <v>813000</v>
      </c>
      <c r="CW16" s="251">
        <f>'[101]VENTAS TOTALES'!$H24</f>
        <v>4901500</v>
      </c>
      <c r="CX16" s="250">
        <f>'[102]VENTAS TOTALES'!$F24</f>
        <v>1254</v>
      </c>
      <c r="CY16" s="251">
        <f>'[102]VENTAS TOTALES'!$G24</f>
        <v>314200</v>
      </c>
      <c r="CZ16" s="251">
        <f>'[102]VENTAS TOTALES'!$H24</f>
        <v>2446000</v>
      </c>
    </row>
    <row r="17" spans="1:104" x14ac:dyDescent="0.2">
      <c r="A17" s="443"/>
      <c r="B17" s="39" t="s">
        <v>13</v>
      </c>
      <c r="C17" s="250">
        <f>'[69]VENTAS TOTALES'!$F25</f>
        <v>2635</v>
      </c>
      <c r="D17" s="251">
        <f>'[69]VENTAS TOTALES'!$G25</f>
        <v>1837800</v>
      </c>
      <c r="E17" s="251">
        <f>'[69]VENTAS TOTALES'!$H25</f>
        <v>6317300</v>
      </c>
      <c r="F17" s="250">
        <f>'[70]VENTAS TOTALES'!$F25</f>
        <v>2543</v>
      </c>
      <c r="G17" s="251">
        <f>'[70]VENTAS TOTALES'!$G25</f>
        <v>1197800</v>
      </c>
      <c r="H17" s="251">
        <f>'[70]VENTAS TOTALES'!$H25</f>
        <v>5520900</v>
      </c>
      <c r="I17" s="250">
        <f>'[71]VENTAS TOTALES'!$F25</f>
        <v>2221</v>
      </c>
      <c r="J17" s="251">
        <f>'[71]VENTAS TOTALES'!$G25</f>
        <v>520400</v>
      </c>
      <c r="K17" s="251">
        <f>'[71]VENTAS TOTALES'!$H25</f>
        <v>4296100</v>
      </c>
      <c r="L17" s="250">
        <f>'[72]VENTAS TOTALES'!$F25</f>
        <v>2187</v>
      </c>
      <c r="M17" s="251">
        <f>'[72]VENTAS TOTALES'!$G25</f>
        <v>770900</v>
      </c>
      <c r="N17" s="251">
        <f>'[72]VENTAS TOTALES'!$H25</f>
        <v>4488800</v>
      </c>
      <c r="O17" s="250">
        <f>'[73]VENTAS TOTALES'!$F25</f>
        <v>2056</v>
      </c>
      <c r="P17" s="251">
        <f>'[73]VENTAS TOTALES'!$G25</f>
        <v>600200</v>
      </c>
      <c r="Q17" s="251">
        <f>'[73]VENTAS TOTALES'!$H25</f>
        <v>4095400</v>
      </c>
      <c r="R17" s="250">
        <f>'[74]VENTAS TOTALES'!$F25</f>
        <v>1064</v>
      </c>
      <c r="S17" s="251">
        <f>'[74]VENTAS TOTALES'!$G25</f>
        <v>297600</v>
      </c>
      <c r="T17" s="251">
        <f>'[74]VENTAS TOTALES'!$H25</f>
        <v>2106400</v>
      </c>
      <c r="U17" s="250">
        <f>'[75]VENTAS TOTALES'!$F25</f>
        <v>2689</v>
      </c>
      <c r="V17" s="251">
        <f>'[75]VENTAS TOTALES'!$G25</f>
        <v>1241100</v>
      </c>
      <c r="W17" s="251">
        <f>'[75]VENTAS TOTALES'!$H25</f>
        <v>5812400</v>
      </c>
      <c r="X17" s="250">
        <f>'[76]VENTAS TOTALES'!$F25</f>
        <v>2379</v>
      </c>
      <c r="Y17" s="251">
        <f>'[76]VENTAS TOTALES'!$G25</f>
        <v>968200</v>
      </c>
      <c r="Z17" s="251">
        <f>'[76]VENTAS TOTALES'!$H25</f>
        <v>5012500</v>
      </c>
      <c r="AA17" s="250">
        <f>'[77]VENTAS TOTALES'!$F25</f>
        <v>2371</v>
      </c>
      <c r="AB17" s="251">
        <f>'[77]VENTAS TOTALES'!$G25</f>
        <v>639400</v>
      </c>
      <c r="AC17" s="251">
        <f>'[77]VENTAS TOTALES'!$H25</f>
        <v>4670100</v>
      </c>
      <c r="AD17" s="250">
        <f>'[78]VENTAS TOTALES'!$F25</f>
        <v>2304</v>
      </c>
      <c r="AE17" s="251">
        <f>'[78]VENTAS TOTALES'!$G25</f>
        <v>778500</v>
      </c>
      <c r="AF17" s="251">
        <f>'[78]VENTAS TOTALES'!$H25</f>
        <v>4695300</v>
      </c>
      <c r="AG17" s="250">
        <f>'[79]VENTAS TOTALES'!$F25</f>
        <v>2399</v>
      </c>
      <c r="AH17" s="251">
        <f>'[79]VENTAS TOTALES'!$G25</f>
        <v>630700</v>
      </c>
      <c r="AI17" s="251">
        <f>'[79]VENTAS TOTALES'!$H25</f>
        <v>4709000</v>
      </c>
      <c r="AJ17" s="250">
        <f>'[80]VENTAS TOTALES'!$F25</f>
        <v>1965</v>
      </c>
      <c r="AK17" s="251">
        <f>'[80]VENTAS TOTALES'!$G25</f>
        <v>620700</v>
      </c>
      <c r="AL17" s="251">
        <f>'[80]VENTAS TOTALES'!$H25</f>
        <v>3961200</v>
      </c>
      <c r="AM17" s="250">
        <f>'[81]VENTAS TOTALES'!$F25</f>
        <v>1000</v>
      </c>
      <c r="AN17" s="251">
        <f>'[81]VENTAS TOTALES'!$G25</f>
        <v>174500</v>
      </c>
      <c r="AO17" s="251">
        <f>'[81]VENTAS TOTALES'!$H25</f>
        <v>1874500</v>
      </c>
      <c r="AP17" s="250">
        <f>'[82]VENTAS TOTALES'!$F25</f>
        <v>2680</v>
      </c>
      <c r="AQ17" s="251">
        <f>'[82]VENTAS TOTALES'!$G25</f>
        <v>1108700</v>
      </c>
      <c r="AR17" s="251">
        <f>'[82]VENTAS TOTALES'!$H25</f>
        <v>5664700</v>
      </c>
      <c r="AS17" s="250">
        <f>'[83]VENTAS TOTALES'!$F25</f>
        <v>2650</v>
      </c>
      <c r="AT17" s="251">
        <f>'[83]VENTAS TOTALES'!$G25</f>
        <v>1174500</v>
      </c>
      <c r="AU17" s="251">
        <f>'[83]VENTAS TOTALES'!$H25</f>
        <v>5679500</v>
      </c>
      <c r="AV17" s="250">
        <f>'[84]VENTAS TOTALES'!$F25</f>
        <v>2531</v>
      </c>
      <c r="AW17" s="251">
        <f>'[84]VENTAS TOTALES'!$G25</f>
        <v>1078300</v>
      </c>
      <c r="AX17" s="251">
        <f>'[84]VENTAS TOTALES'!$H25</f>
        <v>5381000</v>
      </c>
      <c r="AY17" s="250">
        <f>'[85]VENTAS TOTALES'!$F25</f>
        <v>2525</v>
      </c>
      <c r="AZ17" s="251">
        <f>'[85]VENTAS TOTALES'!$G25</f>
        <v>1205200</v>
      </c>
      <c r="BA17" s="251">
        <f>'[85]VENTAS TOTALES'!$H25</f>
        <v>5497700</v>
      </c>
      <c r="BB17" s="250">
        <f>'[86]VENTAS TOTALES'!$F25</f>
        <v>2283</v>
      </c>
      <c r="BC17" s="251">
        <f>'[86]VENTAS TOTALES'!$G25</f>
        <v>840800</v>
      </c>
      <c r="BD17" s="251">
        <f>'[86]VENTAS TOTALES'!$H25</f>
        <v>4721900</v>
      </c>
      <c r="BE17" s="250">
        <f>'[87]VENTAS TOTALES'!$F25</f>
        <v>1809</v>
      </c>
      <c r="BF17" s="251">
        <f>'[87]VENTAS TOTALES'!$G25</f>
        <v>605400</v>
      </c>
      <c r="BG17" s="251">
        <f>'[87]VENTAS TOTALES'!$H25</f>
        <v>3680700</v>
      </c>
      <c r="BH17" s="250">
        <f>'[88]VENTAS TOTALES'!$F25</f>
        <v>1352</v>
      </c>
      <c r="BI17" s="251">
        <f>'[88]VENTAS TOTALES'!$G25</f>
        <v>210900</v>
      </c>
      <c r="BJ17" s="251">
        <f>'[88]VENTAS TOTALES'!$H25</f>
        <v>2509300</v>
      </c>
      <c r="BK17" s="250">
        <f>'[89]VENTAS TOTALES'!$F25</f>
        <v>2788</v>
      </c>
      <c r="BL17" s="251">
        <f>'[89]VENTAS TOTALES'!$G25</f>
        <v>839300</v>
      </c>
      <c r="BM17" s="251">
        <f>'[89]VENTAS TOTALES'!$H25</f>
        <v>5578900</v>
      </c>
      <c r="BN17" s="250">
        <f>'[90]VENTAS TOTALES'!$F25</f>
        <v>2454</v>
      </c>
      <c r="BO17" s="251">
        <f>'[90]VENTAS TOTALES'!$G25</f>
        <v>982900</v>
      </c>
      <c r="BP17" s="251">
        <f>'[90]VENTAS TOTALES'!$H25</f>
        <v>5154700</v>
      </c>
      <c r="BQ17" s="250">
        <f>'[91]VENTAS TOTALES'!$F25</f>
        <v>2307</v>
      </c>
      <c r="BR17" s="251">
        <f>'[91]VENTAS TOTALES'!$G25</f>
        <v>681000</v>
      </c>
      <c r="BS17" s="251">
        <f>'[91]VENTAS TOTALES'!$H25</f>
        <v>4602900</v>
      </c>
      <c r="BT17" s="250">
        <f>'[92]VENTAS TOTALES'!$F25</f>
        <v>2169</v>
      </c>
      <c r="BU17" s="251">
        <f>'[92]VENTAS TOTALES'!$G25</f>
        <v>896800</v>
      </c>
      <c r="BV17" s="251">
        <f>'[92]VENTAS TOTALES'!$H25</f>
        <v>4584100</v>
      </c>
      <c r="BW17" s="250">
        <f>'[93]VENTAS TOTALES'!$F25</f>
        <v>2370</v>
      </c>
      <c r="BX17" s="251">
        <f>'[93]VENTAS TOTALES'!$G25</f>
        <v>826400</v>
      </c>
      <c r="BY17" s="251">
        <f>'[93]VENTAS TOTALES'!$H25</f>
        <v>4855400</v>
      </c>
      <c r="BZ17" s="250">
        <f>'[94]VENTAS TOTALES'!$F25</f>
        <v>2161</v>
      </c>
      <c r="CA17" s="251">
        <f>'[94]VENTAS TOTALES'!$G25</f>
        <v>543100</v>
      </c>
      <c r="CB17" s="251">
        <f>'[94]VENTAS TOTALES'!$H25</f>
        <v>4216800</v>
      </c>
      <c r="CC17" s="250">
        <f>'[95]VENTAS TOTALES'!$F25</f>
        <v>1082</v>
      </c>
      <c r="CD17" s="251">
        <f>'[95]VENTAS TOTALES'!$G25</f>
        <v>261500</v>
      </c>
      <c r="CE17" s="251">
        <f>'[95]VENTAS TOTALES'!$H25</f>
        <v>2100900</v>
      </c>
      <c r="CF17" s="250">
        <f>'[96]VENTAS TOTALES'!$F25</f>
        <v>2745</v>
      </c>
      <c r="CG17" s="251">
        <f>'[96]VENTAS TOTALES'!$G25</f>
        <v>1895750</v>
      </c>
      <c r="CH17" s="251">
        <f>'[96]VENTAS TOTALES'!$H25</f>
        <v>6562250</v>
      </c>
      <c r="CI17" s="250">
        <f>'[97]VENTAS TOTALES'!$F25</f>
        <v>2819</v>
      </c>
      <c r="CJ17" s="251">
        <f>'[97]VENTAS TOTALES'!$G25</f>
        <v>1407500</v>
      </c>
      <c r="CK17" s="251">
        <f>'[97]VENTAS TOTALES'!$H25</f>
        <v>6199800</v>
      </c>
      <c r="CL17" s="250">
        <f>'[98]VENTAS TOTALES'!$F25</f>
        <v>2868</v>
      </c>
      <c r="CM17" s="251">
        <f>'[98]VENTAS TOTALES'!$G25</f>
        <v>1340300</v>
      </c>
      <c r="CN17" s="251">
        <f>'[98]VENTAS TOTALES'!$H25</f>
        <v>6215900</v>
      </c>
      <c r="CO17" s="250">
        <f>'[99]VENTAS TOTALES'!$F25</f>
        <v>2356</v>
      </c>
      <c r="CP17" s="251">
        <f>'[99]VENTAS TOTALES'!$G25</f>
        <v>975500</v>
      </c>
      <c r="CQ17" s="251">
        <f>'[99]VENTAS TOTALES'!$H25</f>
        <v>4980700</v>
      </c>
      <c r="CR17" s="250">
        <f>'[100]VENTAS TOTALES'!$F25</f>
        <v>2433</v>
      </c>
      <c r="CS17" s="251">
        <f>'[100]VENTAS TOTALES'!$G25</f>
        <v>793400</v>
      </c>
      <c r="CT17" s="251">
        <f>'[100]VENTAS TOTALES'!$H25</f>
        <v>4929500</v>
      </c>
      <c r="CU17" s="250">
        <f>'[101]VENTAS TOTALES'!$F25</f>
        <v>2145</v>
      </c>
      <c r="CV17" s="251">
        <f>'[101]VENTAS TOTALES'!$G25</f>
        <v>772100</v>
      </c>
      <c r="CW17" s="251">
        <f>'[101]VENTAS TOTALES'!$H25</f>
        <v>4418600</v>
      </c>
      <c r="CX17" s="250">
        <f>'[102]VENTAS TOTALES'!$F25</f>
        <v>1062</v>
      </c>
      <c r="CY17" s="251">
        <f>'[102]VENTAS TOTALES'!$G25</f>
        <v>171000</v>
      </c>
      <c r="CZ17" s="251">
        <f>'[102]VENTAS TOTALES'!$H25</f>
        <v>1976400</v>
      </c>
    </row>
    <row r="18" spans="1:104" ht="13.5" thickBot="1" x14ac:dyDescent="0.25">
      <c r="A18" s="443"/>
      <c r="B18" s="40" t="s">
        <v>14</v>
      </c>
      <c r="C18" s="261">
        <f>'[69]VENTAS TOTALES'!$F26</f>
        <v>6435</v>
      </c>
      <c r="D18" s="262">
        <f>'[69]VENTAS TOTALES'!$G26</f>
        <v>2509850</v>
      </c>
      <c r="E18" s="262">
        <f>'[69]VENTAS TOTALES'!$H26</f>
        <v>13449350</v>
      </c>
      <c r="F18" s="261">
        <f>'[70]VENTAS TOTALES'!$F26</f>
        <v>6318</v>
      </c>
      <c r="G18" s="262">
        <f>'[70]VENTAS TOTALES'!$G26</f>
        <v>2516300</v>
      </c>
      <c r="H18" s="262">
        <f>'[70]VENTAS TOTALES'!$H26</f>
        <v>13256900</v>
      </c>
      <c r="I18" s="261">
        <f>'[71]VENTAS TOTALES'!$F26</f>
        <v>5158</v>
      </c>
      <c r="J18" s="262">
        <f>'[71]VENTAS TOTALES'!$G26</f>
        <v>1313100</v>
      </c>
      <c r="K18" s="262">
        <f>'[71]VENTAS TOTALES'!$H26</f>
        <v>10081700</v>
      </c>
      <c r="L18" s="261">
        <f>'[72]VENTAS TOTALES'!$F26</f>
        <v>5251</v>
      </c>
      <c r="M18" s="262">
        <f>'[72]VENTAS TOTALES'!$G26</f>
        <v>1827100</v>
      </c>
      <c r="N18" s="262">
        <f>'[72]VENTAS TOTALES'!$H26</f>
        <v>10753800</v>
      </c>
      <c r="O18" s="261">
        <f>'[73]VENTAS TOTALES'!$F26</f>
        <v>4143</v>
      </c>
      <c r="P18" s="262">
        <f>'[73]VENTAS TOTALES'!$G26</f>
        <v>1380300</v>
      </c>
      <c r="Q18" s="262">
        <f>'[73]VENTAS TOTALES'!$H26</f>
        <v>8423400</v>
      </c>
      <c r="R18" s="261">
        <f>'[74]VENTAS TOTALES'!$F26</f>
        <v>1553</v>
      </c>
      <c r="S18" s="262">
        <f>'[74]VENTAS TOTALES'!$G26</f>
        <v>302200</v>
      </c>
      <c r="T18" s="262">
        <f>'[74]VENTAS TOTALES'!$H26</f>
        <v>2942300</v>
      </c>
      <c r="U18" s="261">
        <f>'[75]VENTAS TOTALES'!$F26</f>
        <v>6392</v>
      </c>
      <c r="V18" s="262">
        <f>'[75]VENTAS TOTALES'!$G26</f>
        <v>2232800</v>
      </c>
      <c r="W18" s="262">
        <f>'[75]VENTAS TOTALES'!$H26</f>
        <v>13099200</v>
      </c>
      <c r="X18" s="261">
        <f>'[76]VENTAS TOTALES'!$F26</f>
        <v>5780</v>
      </c>
      <c r="Y18" s="262">
        <f>'[76]VENTAS TOTALES'!$G26</f>
        <v>1797100</v>
      </c>
      <c r="Z18" s="262">
        <f>'[76]VENTAS TOTALES'!$H26</f>
        <v>11623100</v>
      </c>
      <c r="AA18" s="261">
        <f>'[77]VENTAS TOTALES'!$F26</f>
        <v>5577</v>
      </c>
      <c r="AB18" s="262">
        <f>'[77]VENTAS TOTALES'!$G26</f>
        <v>1741050</v>
      </c>
      <c r="AC18" s="262">
        <f>'[77]VENTAS TOTALES'!$H26</f>
        <v>11221950</v>
      </c>
      <c r="AD18" s="261">
        <f>'[78]VENTAS TOTALES'!$F26</f>
        <v>5272</v>
      </c>
      <c r="AE18" s="262">
        <f>'[78]VENTAS TOTALES'!$G26</f>
        <v>1818500</v>
      </c>
      <c r="AF18" s="262">
        <f>'[78]VENTAS TOTALES'!$H26</f>
        <v>10780900</v>
      </c>
      <c r="AG18" s="261">
        <f>'[79]VENTAS TOTALES'!$F26</f>
        <v>5158</v>
      </c>
      <c r="AH18" s="262">
        <f>'[79]VENTAS TOTALES'!$G26</f>
        <v>1312400</v>
      </c>
      <c r="AI18" s="262">
        <f>'[79]VENTAS TOTALES'!$H26</f>
        <v>10081000</v>
      </c>
      <c r="AJ18" s="261">
        <f>'[80]VENTAS TOTALES'!$F26</f>
        <v>4038</v>
      </c>
      <c r="AK18" s="262">
        <f>'[80]VENTAS TOTALES'!$G26</f>
        <v>1020800</v>
      </c>
      <c r="AL18" s="262">
        <f>'[80]VENTAS TOTALES'!$H26</f>
        <v>7885400</v>
      </c>
      <c r="AM18" s="261">
        <f>'[81]VENTAS TOTALES'!$F26</f>
        <v>1485</v>
      </c>
      <c r="AN18" s="262">
        <f>'[81]VENTAS TOTALES'!$G26</f>
        <v>277700</v>
      </c>
      <c r="AO18" s="262">
        <f>'[81]VENTAS TOTALES'!$H26</f>
        <v>2802200</v>
      </c>
      <c r="AP18" s="261">
        <f>'[82]VENTAS TOTALES'!$F26</f>
        <v>6249</v>
      </c>
      <c r="AQ18" s="262">
        <f>'[82]VENTAS TOTALES'!$G26</f>
        <v>2321450</v>
      </c>
      <c r="AR18" s="262">
        <f>'[82]VENTAS TOTALES'!$H26</f>
        <v>12944750</v>
      </c>
      <c r="AS18" s="261">
        <f>'[83]VENTAS TOTALES'!$F26</f>
        <v>6230</v>
      </c>
      <c r="AT18" s="262">
        <f>'[83]VENTAS TOTALES'!$G26</f>
        <v>2702100</v>
      </c>
      <c r="AU18" s="262">
        <f>'[83]VENTAS TOTALES'!$H26</f>
        <v>13293100</v>
      </c>
      <c r="AV18" s="261">
        <f>'[84]VENTAS TOTALES'!$F26</f>
        <v>6043</v>
      </c>
      <c r="AW18" s="262">
        <f>'[84]VENTAS TOTALES'!$G26</f>
        <v>2824500</v>
      </c>
      <c r="AX18" s="262">
        <f>'[84]VENTAS TOTALES'!$H26</f>
        <v>13097600</v>
      </c>
      <c r="AY18" s="261">
        <f>'[85]VENTAS TOTALES'!$F26</f>
        <v>5457</v>
      </c>
      <c r="AZ18" s="262">
        <f>'[85]VENTAS TOTALES'!$G26</f>
        <v>2043800</v>
      </c>
      <c r="BA18" s="262">
        <f>'[85]VENTAS TOTALES'!$H26</f>
        <v>11320700</v>
      </c>
      <c r="BB18" s="261">
        <f>'[86]VENTAS TOTALES'!$F26</f>
        <v>5496</v>
      </c>
      <c r="BC18" s="262">
        <f>'[86]VENTAS TOTALES'!$G26</f>
        <v>1658200</v>
      </c>
      <c r="BD18" s="262">
        <f>'[86]VENTAS TOTALES'!$H26</f>
        <v>11001400</v>
      </c>
      <c r="BE18" s="261">
        <f>'[87]VENTAS TOTALES'!$F26</f>
        <v>3971</v>
      </c>
      <c r="BF18" s="262">
        <f>'[87]VENTAS TOTALES'!$G26</f>
        <v>995950</v>
      </c>
      <c r="BG18" s="262">
        <f>'[87]VENTAS TOTALES'!$H26</f>
        <v>7746650</v>
      </c>
      <c r="BH18" s="261">
        <f>'[88]VENTAS TOTALES'!$F26</f>
        <v>1467</v>
      </c>
      <c r="BI18" s="262">
        <f>'[88]VENTAS TOTALES'!$G26</f>
        <v>262900</v>
      </c>
      <c r="BJ18" s="262">
        <f>'[88]VENTAS TOTALES'!$H26</f>
        <v>2756800</v>
      </c>
      <c r="BK18" s="261">
        <f>'[89]VENTAS TOTALES'!$F26</f>
        <v>6323</v>
      </c>
      <c r="BL18" s="262">
        <f>'[89]VENTAS TOTALES'!$G26</f>
        <v>2629000</v>
      </c>
      <c r="BM18" s="262">
        <f>'[89]VENTAS TOTALES'!$H26</f>
        <v>13378100</v>
      </c>
      <c r="BN18" s="261">
        <f>'[90]VENTAS TOTALES'!$F26</f>
        <v>5486</v>
      </c>
      <c r="BO18" s="262">
        <f>'[90]VENTAS TOTALES'!$G26</f>
        <v>1779400</v>
      </c>
      <c r="BP18" s="262">
        <f>'[90]VENTAS TOTALES'!$H26</f>
        <v>11105600</v>
      </c>
      <c r="BQ18" s="261">
        <f>'[91]VENTAS TOTALES'!$F26</f>
        <v>5221</v>
      </c>
      <c r="BR18" s="262">
        <f>'[91]VENTAS TOTALES'!$G26</f>
        <v>2045300</v>
      </c>
      <c r="BS18" s="262">
        <f>'[91]VENTAS TOTALES'!$H26</f>
        <v>10921000</v>
      </c>
      <c r="BT18" s="261">
        <f>'[92]VENTAS TOTALES'!$F26</f>
        <v>5314</v>
      </c>
      <c r="BU18" s="262">
        <f>'[92]VENTAS TOTALES'!$G26</f>
        <v>1934800</v>
      </c>
      <c r="BV18" s="262">
        <f>'[92]VENTAS TOTALES'!$H26</f>
        <v>10968600</v>
      </c>
      <c r="BW18" s="261">
        <f>'[93]VENTAS TOTALES'!$F26</f>
        <v>5193</v>
      </c>
      <c r="BX18" s="262">
        <f>'[93]VENTAS TOTALES'!$G26</f>
        <v>1531200</v>
      </c>
      <c r="BY18" s="262">
        <f>'[93]VENTAS TOTALES'!$H26</f>
        <v>10359300</v>
      </c>
      <c r="BZ18" s="261">
        <f>'[94]VENTAS TOTALES'!$F26</f>
        <v>4016</v>
      </c>
      <c r="CA18" s="262">
        <f>'[94]VENTAS TOTALES'!$G26</f>
        <v>1230900</v>
      </c>
      <c r="CB18" s="262">
        <f>'[94]VENTAS TOTALES'!$H26</f>
        <v>8058100</v>
      </c>
      <c r="CC18" s="261">
        <f>'[95]VENTAS TOTALES'!$F26</f>
        <v>1464</v>
      </c>
      <c r="CD18" s="262">
        <f>'[95]VENTAS TOTALES'!$G26</f>
        <v>353300</v>
      </c>
      <c r="CE18" s="262">
        <f>'[95]VENTAS TOTALES'!$H26</f>
        <v>2842100</v>
      </c>
      <c r="CF18" s="261">
        <f>'[96]VENTAS TOTALES'!$F26</f>
        <v>6914</v>
      </c>
      <c r="CG18" s="262">
        <f>'[96]VENTAS TOTALES'!$G26</f>
        <v>3652300</v>
      </c>
      <c r="CH18" s="262">
        <f>'[96]VENTAS TOTALES'!$H26</f>
        <v>15406100</v>
      </c>
      <c r="CI18" s="261">
        <f>'[97]VENTAS TOTALES'!$F26</f>
        <v>6492</v>
      </c>
      <c r="CJ18" s="262">
        <f>'[97]VENTAS TOTALES'!$G26</f>
        <v>3128600</v>
      </c>
      <c r="CK18" s="262">
        <f>'[97]VENTAS TOTALES'!$H26</f>
        <v>14165000</v>
      </c>
      <c r="CL18" s="261">
        <f>'[98]VENTAS TOTALES'!$F26</f>
        <v>6290</v>
      </c>
      <c r="CM18" s="262">
        <f>'[98]VENTAS TOTALES'!$G26</f>
        <v>2443850</v>
      </c>
      <c r="CN18" s="262">
        <f>'[98]VENTAS TOTALES'!$H26</f>
        <v>13136850</v>
      </c>
      <c r="CO18" s="261">
        <f>'[99]VENTAS TOTALES'!$F26</f>
        <v>6148</v>
      </c>
      <c r="CP18" s="262">
        <f>'[99]VENTAS TOTALES'!$G26</f>
        <v>2362800</v>
      </c>
      <c r="CQ18" s="262">
        <f>'[99]VENTAS TOTALES'!$H26</f>
        <v>12814400</v>
      </c>
      <c r="CR18" s="261">
        <f>'[100]VENTAS TOTALES'!$F26</f>
        <v>5514</v>
      </c>
      <c r="CS18" s="262">
        <f>'[100]VENTAS TOTALES'!$G26</f>
        <v>1891200</v>
      </c>
      <c r="CT18" s="262">
        <f>'[100]VENTAS TOTALES'!$H26</f>
        <v>11265000</v>
      </c>
      <c r="CU18" s="261">
        <f>'[101]VENTAS TOTALES'!$F26</f>
        <v>4210</v>
      </c>
      <c r="CV18" s="262">
        <f>'[101]VENTAS TOTALES'!$G26</f>
        <v>1333500</v>
      </c>
      <c r="CW18" s="262">
        <f>'[101]VENTAS TOTALES'!$H26</f>
        <v>8490500</v>
      </c>
      <c r="CX18" s="261">
        <f>'[102]VENTAS TOTALES'!$F26</f>
        <v>1536</v>
      </c>
      <c r="CY18" s="262">
        <f>'[102]VENTAS TOTALES'!$G26</f>
        <v>338500</v>
      </c>
      <c r="CZ18" s="262">
        <f>'[102]VENTAS TOTALES'!$H26</f>
        <v>2949700</v>
      </c>
    </row>
    <row r="19" spans="1:104" ht="12" customHeight="1" x14ac:dyDescent="0.2">
      <c r="A19" s="443"/>
      <c r="B19" s="41" t="s">
        <v>15</v>
      </c>
      <c r="C19" s="263">
        <f>'[69]VENTAS TOTALES'!$F27</f>
        <v>16427</v>
      </c>
      <c r="D19" s="264">
        <f>'[69]VENTAS TOTALES'!$G27</f>
        <v>10637600</v>
      </c>
      <c r="E19" s="264">
        <f>'[69]VENTAS TOTALES'!$H27</f>
        <v>38563500</v>
      </c>
      <c r="F19" s="263">
        <f>'[70]VENTAS TOTALES'!$F27</f>
        <v>15422</v>
      </c>
      <c r="G19" s="264">
        <f>'[70]VENTAS TOTALES'!$G27</f>
        <v>9209450</v>
      </c>
      <c r="H19" s="264">
        <f>'[70]VENTAS TOTALES'!$H27</f>
        <v>35426850</v>
      </c>
      <c r="I19" s="263">
        <f>'[71]VENTAS TOTALES'!$F27</f>
        <v>13044</v>
      </c>
      <c r="J19" s="264">
        <f>'[71]VENTAS TOTALES'!$G27</f>
        <v>6320700</v>
      </c>
      <c r="K19" s="264">
        <f>'[71]VENTAS TOTALES'!$H27</f>
        <v>28495500</v>
      </c>
      <c r="L19" s="263">
        <f>'[72]VENTAS TOTALES'!$F27</f>
        <v>12875</v>
      </c>
      <c r="M19" s="264">
        <f>'[72]VENTAS TOTALES'!$G27</f>
        <v>6143800</v>
      </c>
      <c r="N19" s="264">
        <f>'[72]VENTAS TOTALES'!$H27</f>
        <v>28031300</v>
      </c>
      <c r="O19" s="263">
        <f>'[73]VENTAS TOTALES'!$F27</f>
        <v>7847</v>
      </c>
      <c r="P19" s="264">
        <f>'[73]VENTAS TOTALES'!$G27</f>
        <v>3907900</v>
      </c>
      <c r="Q19" s="264">
        <f>'[73]VENTAS TOTALES'!$H27</f>
        <v>17247800</v>
      </c>
      <c r="R19" s="263">
        <f>'[74]VENTAS TOTALES'!$F27</f>
        <v>1870</v>
      </c>
      <c r="S19" s="264">
        <f>'[74]VENTAS TOTALES'!$G27</f>
        <v>823700</v>
      </c>
      <c r="T19" s="264">
        <f>'[74]VENTAS TOTALES'!$H27</f>
        <v>4002700</v>
      </c>
      <c r="U19" s="263">
        <f>'[75]VENTAS TOTALES'!$F27</f>
        <v>15959</v>
      </c>
      <c r="V19" s="264">
        <f>'[75]VENTAS TOTALES'!$G27</f>
        <v>7936850</v>
      </c>
      <c r="W19" s="264">
        <f>'[75]VENTAS TOTALES'!$H27</f>
        <v>35067150</v>
      </c>
      <c r="X19" s="263">
        <f>'[76]VENTAS TOTALES'!$F27</f>
        <v>14371</v>
      </c>
      <c r="Y19" s="264">
        <f>'[76]VENTAS TOTALES'!$G27</f>
        <v>6428400</v>
      </c>
      <c r="Z19" s="264">
        <f>'[76]VENTAS TOTALES'!$H27</f>
        <v>30859100</v>
      </c>
      <c r="AA19" s="263">
        <f>'[77]VENTAS TOTALES'!$F27</f>
        <v>13691</v>
      </c>
      <c r="AB19" s="264">
        <f>'[77]VENTAS TOTALES'!$G27</f>
        <v>6398200</v>
      </c>
      <c r="AC19" s="264">
        <f>'[77]VENTAS TOTALES'!$H27</f>
        <v>29672900</v>
      </c>
      <c r="AD19" s="263">
        <f>'[78]VENTAS TOTALES'!$F27</f>
        <v>14085</v>
      </c>
      <c r="AE19" s="264">
        <f>'[78]VENTAS TOTALES'!$G27</f>
        <v>6956300</v>
      </c>
      <c r="AF19" s="264">
        <f>'[78]VENTAS TOTALES'!$H27</f>
        <v>30900800</v>
      </c>
      <c r="AG19" s="263">
        <f>'[79]VENTAS TOTALES'!$F27</f>
        <v>13023</v>
      </c>
      <c r="AH19" s="264">
        <f>'[79]VENTAS TOTALES'!$G27</f>
        <v>5716300</v>
      </c>
      <c r="AI19" s="264">
        <f>'[79]VENTAS TOTALES'!$H27</f>
        <v>27855400</v>
      </c>
      <c r="AJ19" s="263">
        <f>'[80]VENTAS TOTALES'!$F27</f>
        <v>8145</v>
      </c>
      <c r="AK19" s="264">
        <f>'[80]VENTAS TOTALES'!$G27</f>
        <v>3558600</v>
      </c>
      <c r="AL19" s="264">
        <f>'[80]VENTAS TOTALES'!$H27</f>
        <v>17405100</v>
      </c>
      <c r="AM19" s="263">
        <f>'[81]VENTAS TOTALES'!$F27</f>
        <v>1983</v>
      </c>
      <c r="AN19" s="264">
        <f>'[81]VENTAS TOTALES'!$G27</f>
        <v>665200</v>
      </c>
      <c r="AO19" s="264">
        <f>'[81]VENTAS TOTALES'!$H27</f>
        <v>4036300</v>
      </c>
      <c r="AP19" s="263">
        <f>'[82]VENTAS TOTALES'!$F27</f>
        <v>16431</v>
      </c>
      <c r="AQ19" s="264">
        <f>'[82]VENTAS TOTALES'!$G27</f>
        <v>8745600</v>
      </c>
      <c r="AR19" s="264">
        <f>'[82]VENTAS TOTALES'!$H27</f>
        <v>36678300</v>
      </c>
      <c r="AS19" s="263">
        <f>'[83]VENTAS TOTALES'!$F27</f>
        <v>16598</v>
      </c>
      <c r="AT19" s="264">
        <f>'[83]VENTAS TOTALES'!$G27</f>
        <v>12304350</v>
      </c>
      <c r="AU19" s="264">
        <f>'[83]VENTAS TOTALES'!$H27</f>
        <v>40520950</v>
      </c>
      <c r="AV19" s="263">
        <f>'[84]VENTAS TOTALES'!$F27</f>
        <v>15767</v>
      </c>
      <c r="AW19" s="264">
        <f>'[84]VENTAS TOTALES'!$G27</f>
        <v>9904200</v>
      </c>
      <c r="AX19" s="264">
        <f>'[84]VENTAS TOTALES'!$H27</f>
        <v>36708100</v>
      </c>
      <c r="AY19" s="263">
        <f>'[85]VENTAS TOTALES'!$F27</f>
        <v>15046</v>
      </c>
      <c r="AZ19" s="264">
        <f>'[85]VENTAS TOTALES'!$G27</f>
        <v>8741300</v>
      </c>
      <c r="BA19" s="264">
        <f>'[85]VENTAS TOTALES'!$H27</f>
        <v>34319500</v>
      </c>
      <c r="BB19" s="263">
        <f>'[86]VENTAS TOTALES'!$F27</f>
        <v>13978</v>
      </c>
      <c r="BC19" s="264">
        <f>'[86]VENTAS TOTALES'!$G27</f>
        <v>6301600</v>
      </c>
      <c r="BD19" s="264">
        <f>'[86]VENTAS TOTALES'!$H27</f>
        <v>30064200</v>
      </c>
      <c r="BE19" s="263">
        <f>'[87]VENTAS TOTALES'!$F27</f>
        <v>8423</v>
      </c>
      <c r="BF19" s="264">
        <f>'[87]VENTAS TOTALES'!$G27</f>
        <v>3504700</v>
      </c>
      <c r="BG19" s="264">
        <f>'[87]VENTAS TOTALES'!$H27</f>
        <v>17823800</v>
      </c>
      <c r="BH19" s="263">
        <f>'[88]VENTAS TOTALES'!$F27</f>
        <v>2087</v>
      </c>
      <c r="BI19" s="264">
        <f>'[88]VENTAS TOTALES'!$G27</f>
        <v>567200</v>
      </c>
      <c r="BJ19" s="264">
        <f>'[88]VENTAS TOTALES'!$H27</f>
        <v>4115100</v>
      </c>
      <c r="BK19" s="263">
        <f>'[89]VENTAS TOTALES'!$F27</f>
        <v>16483</v>
      </c>
      <c r="BL19" s="264">
        <f>'[89]VENTAS TOTALES'!$G27</f>
        <v>9401650</v>
      </c>
      <c r="BM19" s="264">
        <f>'[89]VENTAS TOTALES'!$H27</f>
        <v>37422750</v>
      </c>
      <c r="BN19" s="263">
        <f>'[90]VENTAS TOTALES'!$F27</f>
        <v>14549</v>
      </c>
      <c r="BO19" s="264">
        <f>'[90]VENTAS TOTALES'!$G27</f>
        <v>6860000</v>
      </c>
      <c r="BP19" s="264">
        <f>'[90]VENTAS TOTALES'!$H27</f>
        <v>31593300</v>
      </c>
      <c r="BQ19" s="263">
        <f>'[91]VENTAS TOTALES'!$F27</f>
        <v>14315</v>
      </c>
      <c r="BR19" s="264">
        <f>'[91]VENTAS TOTALES'!$G27</f>
        <v>6831900</v>
      </c>
      <c r="BS19" s="264">
        <f>'[91]VENTAS TOTALES'!$H27</f>
        <v>31167400</v>
      </c>
      <c r="BT19" s="263">
        <f>'[92]VENTAS TOTALES'!$F27</f>
        <v>13432</v>
      </c>
      <c r="BU19" s="264">
        <f>'[92]VENTAS TOTALES'!$G27</f>
        <v>6015100</v>
      </c>
      <c r="BV19" s="264">
        <f>'[92]VENTAS TOTALES'!$H27</f>
        <v>28849500</v>
      </c>
      <c r="BW19" s="263">
        <f>'[93]VENTAS TOTALES'!$F27</f>
        <v>13394</v>
      </c>
      <c r="BX19" s="264">
        <f>'[93]VENTAS TOTALES'!$G27</f>
        <v>6746000</v>
      </c>
      <c r="BY19" s="264">
        <f>'[93]VENTAS TOTALES'!$H27</f>
        <v>29515800</v>
      </c>
      <c r="BZ19" s="263">
        <f>'[94]VENTAS TOTALES'!$F27</f>
        <v>8703</v>
      </c>
      <c r="CA19" s="264">
        <f>'[94]VENTAS TOTALES'!$G27</f>
        <v>4207200</v>
      </c>
      <c r="CB19" s="264">
        <f>'[94]VENTAS TOTALES'!$H27</f>
        <v>19002300</v>
      </c>
      <c r="CC19" s="263">
        <f>'[95]VENTAS TOTALES'!$F27</f>
        <v>2157</v>
      </c>
      <c r="CD19" s="264">
        <f>'[95]VENTAS TOTALES'!$G27</f>
        <v>881900</v>
      </c>
      <c r="CE19" s="264">
        <f>'[95]VENTAS TOTALES'!$H27</f>
        <v>4548800</v>
      </c>
      <c r="CF19" s="263">
        <f>'[96]VENTAS TOTALES'!$F27</f>
        <v>18107</v>
      </c>
      <c r="CG19" s="264">
        <f>'[96]VENTAS TOTALES'!$G27</f>
        <v>14350300</v>
      </c>
      <c r="CH19" s="264">
        <f>'[96]VENTAS TOTALES'!$H27</f>
        <v>45132200</v>
      </c>
      <c r="CI19" s="263">
        <f>'[97]VENTAS TOTALES'!$F27</f>
        <v>18290</v>
      </c>
      <c r="CJ19" s="264">
        <f>'[97]VENTAS TOTALES'!$G27</f>
        <v>15171150</v>
      </c>
      <c r="CK19" s="264">
        <f>'[97]VENTAS TOTALES'!$H27</f>
        <v>46264150</v>
      </c>
      <c r="CL19" s="263">
        <f>'[98]VENTAS TOTALES'!$F27</f>
        <v>16648</v>
      </c>
      <c r="CM19" s="264">
        <f>'[98]VENTAS TOTALES'!$G27</f>
        <v>10227300</v>
      </c>
      <c r="CN19" s="264">
        <f>'[98]VENTAS TOTALES'!$H27</f>
        <v>38528900</v>
      </c>
      <c r="CO19" s="263">
        <f>'[99]VENTAS TOTALES'!$F27</f>
        <v>15057</v>
      </c>
      <c r="CP19" s="264">
        <f>'[99]VENTAS TOTALES'!$G27</f>
        <v>8519400</v>
      </c>
      <c r="CQ19" s="264">
        <f>'[99]VENTAS TOTALES'!$H27</f>
        <v>34116300</v>
      </c>
      <c r="CR19" s="263">
        <f>'[100]VENTAS TOTALES'!$F27</f>
        <v>14118</v>
      </c>
      <c r="CS19" s="264">
        <f>'[100]VENTAS TOTALES'!$G27</f>
        <v>6412400</v>
      </c>
      <c r="CT19" s="264">
        <f>'[100]VENTAS TOTALES'!$H27</f>
        <v>30413000</v>
      </c>
      <c r="CU19" s="263">
        <f>'[101]VENTAS TOTALES'!$F27</f>
        <v>9526</v>
      </c>
      <c r="CV19" s="264">
        <f>'[101]VENTAS TOTALES'!$G27</f>
        <v>4449300</v>
      </c>
      <c r="CW19" s="264">
        <f>'[101]VENTAS TOTALES'!$H27</f>
        <v>20643500</v>
      </c>
      <c r="CX19" s="263">
        <f>'[102]VENTAS TOTALES'!$F27</f>
        <v>1993</v>
      </c>
      <c r="CY19" s="264">
        <f>'[102]VENTAS TOTALES'!$G27</f>
        <v>546100</v>
      </c>
      <c r="CZ19" s="264">
        <f>'[102]VENTAS TOTALES'!$H27</f>
        <v>3934200</v>
      </c>
    </row>
    <row r="20" spans="1:104" ht="12" customHeight="1" x14ac:dyDescent="0.2">
      <c r="A20" s="443"/>
      <c r="B20" s="42" t="s">
        <v>17</v>
      </c>
      <c r="C20" s="250">
        <f>'[69]VENTAS TOTALES'!$F28</f>
        <v>13531</v>
      </c>
      <c r="D20" s="251">
        <f>'[69]VENTAS TOTALES'!$G28</f>
        <v>8043700</v>
      </c>
      <c r="E20" s="251">
        <f>'[69]VENTAS TOTALES'!$H28</f>
        <v>31046400</v>
      </c>
      <c r="F20" s="250">
        <f>'[70]VENTAS TOTALES'!$F28</f>
        <v>13041</v>
      </c>
      <c r="G20" s="251">
        <f>'[70]VENTAS TOTALES'!$G28</f>
        <v>5123100</v>
      </c>
      <c r="H20" s="251">
        <f>'[70]VENTAS TOTALES'!$H28</f>
        <v>27292800</v>
      </c>
      <c r="I20" s="250">
        <f>'[71]VENTAS TOTALES'!$F28</f>
        <v>10656</v>
      </c>
      <c r="J20" s="251">
        <f>'[71]VENTAS TOTALES'!$G28</f>
        <v>5100800</v>
      </c>
      <c r="K20" s="251">
        <f>'[71]VENTAS TOTALES'!$H28</f>
        <v>23216000</v>
      </c>
      <c r="L20" s="250">
        <f>'[72]VENTAS TOTALES'!$F28</f>
        <v>10563</v>
      </c>
      <c r="M20" s="251">
        <f>'[72]VENTAS TOTALES'!$G28</f>
        <v>4182100</v>
      </c>
      <c r="N20" s="251">
        <f>'[72]VENTAS TOTALES'!$H28</f>
        <v>22139200</v>
      </c>
      <c r="O20" s="250">
        <f>'[73]VENTAS TOTALES'!$F28</f>
        <v>6425</v>
      </c>
      <c r="P20" s="251">
        <f>'[73]VENTAS TOTALES'!$G28</f>
        <v>3037500</v>
      </c>
      <c r="Q20" s="251">
        <f>'[73]VENTAS TOTALES'!$H28</f>
        <v>13960000</v>
      </c>
      <c r="R20" s="250">
        <f>'[74]VENTAS TOTALES'!$F28</f>
        <v>2246</v>
      </c>
      <c r="S20" s="251">
        <f>'[74]VENTAS TOTALES'!$G28</f>
        <v>926800</v>
      </c>
      <c r="T20" s="251">
        <f>'[74]VENTAS TOTALES'!$H28</f>
        <v>4745000</v>
      </c>
      <c r="U20" s="250">
        <f>'[75]VENTAS TOTALES'!$F28</f>
        <v>12357</v>
      </c>
      <c r="V20" s="251">
        <f>'[75]VENTAS TOTALES'!$G28</f>
        <v>5396700</v>
      </c>
      <c r="W20" s="251">
        <f>'[75]VENTAS TOTALES'!$H28</f>
        <v>26403600</v>
      </c>
      <c r="X20" s="250">
        <f>'[76]VENTAS TOTALES'!$F28</f>
        <v>11451</v>
      </c>
      <c r="Y20" s="251">
        <f>'[76]VENTAS TOTALES'!$G28</f>
        <v>4159000</v>
      </c>
      <c r="Z20" s="251">
        <f>'[76]VENTAS TOTALES'!$H28</f>
        <v>23625700</v>
      </c>
      <c r="AA20" s="250">
        <f>'[77]VENTAS TOTALES'!$F28</f>
        <v>10557</v>
      </c>
      <c r="AB20" s="251">
        <f>'[77]VENTAS TOTALES'!$G28</f>
        <v>3892500</v>
      </c>
      <c r="AC20" s="251">
        <f>'[77]VENTAS TOTALES'!$H28</f>
        <v>21839400</v>
      </c>
      <c r="AD20" s="250">
        <f>'[78]VENTAS TOTALES'!$F28</f>
        <v>11048</v>
      </c>
      <c r="AE20" s="251">
        <f>'[78]VENTAS TOTALES'!$G28</f>
        <v>4346300</v>
      </c>
      <c r="AF20" s="251">
        <f>'[78]VENTAS TOTALES'!$H28</f>
        <v>23127900</v>
      </c>
      <c r="AG20" s="250">
        <f>'[79]VENTAS TOTALES'!$F28</f>
        <v>10203</v>
      </c>
      <c r="AH20" s="251">
        <f>'[79]VENTAS TOTALES'!$G28</f>
        <v>3444550</v>
      </c>
      <c r="AI20" s="251">
        <f>'[79]VENTAS TOTALES'!$H28</f>
        <v>20789650</v>
      </c>
      <c r="AJ20" s="250">
        <f>'[80]VENTAS TOTALES'!$F28</f>
        <v>6926</v>
      </c>
      <c r="AK20" s="251">
        <f>'[80]VENTAS TOTALES'!$G28</f>
        <v>2849700</v>
      </c>
      <c r="AL20" s="251">
        <f>'[80]VENTAS TOTALES'!$H28</f>
        <v>14623900</v>
      </c>
      <c r="AM20" s="250">
        <f>'[81]VENTAS TOTALES'!$F28</f>
        <v>2157</v>
      </c>
      <c r="AN20" s="251">
        <f>'[81]VENTAS TOTALES'!$G28</f>
        <v>868100</v>
      </c>
      <c r="AO20" s="251">
        <f>'[81]VENTAS TOTALES'!$H28</f>
        <v>4535000</v>
      </c>
      <c r="AP20" s="250">
        <f>'[82]VENTAS TOTALES'!$F28</f>
        <v>12207</v>
      </c>
      <c r="AQ20" s="251">
        <f>'[82]VENTAS TOTALES'!$G28</f>
        <v>5311800</v>
      </c>
      <c r="AR20" s="251">
        <f>'[82]VENTAS TOTALES'!$H28</f>
        <v>26063700</v>
      </c>
      <c r="AS20" s="250">
        <f>'[83]VENTAS TOTALES'!$F28</f>
        <v>12575</v>
      </c>
      <c r="AT20" s="251">
        <f>'[83]VENTAS TOTALES'!$G28</f>
        <v>8012500</v>
      </c>
      <c r="AU20" s="251">
        <f>'[83]VENTAS TOTALES'!$H28</f>
        <v>29390000</v>
      </c>
      <c r="AV20" s="250">
        <f>'[84]VENTAS TOTALES'!$F28</f>
        <v>12069</v>
      </c>
      <c r="AW20" s="251">
        <f>'[84]VENTAS TOTALES'!$G28</f>
        <v>7372600</v>
      </c>
      <c r="AX20" s="251">
        <f>'[84]VENTAS TOTALES'!$H28</f>
        <v>27889900</v>
      </c>
      <c r="AY20" s="250">
        <f>'[85]VENTAS TOTALES'!$F28</f>
        <v>10946</v>
      </c>
      <c r="AZ20" s="251">
        <f>'[85]VENTAS TOTALES'!$G28</f>
        <v>5286800</v>
      </c>
      <c r="BA20" s="251">
        <f>'[85]VENTAS TOTALES'!$H28</f>
        <v>23895000</v>
      </c>
      <c r="BB20" s="250">
        <f>'[86]VENTAS TOTALES'!$F28</f>
        <v>10912</v>
      </c>
      <c r="BC20" s="251">
        <f>'[86]VENTAS TOTALES'!$G28</f>
        <v>3873800</v>
      </c>
      <c r="BD20" s="251">
        <f>'[86]VENTAS TOTALES'!$H28</f>
        <v>22424200</v>
      </c>
      <c r="BE20" s="250">
        <f>'[87]VENTAS TOTALES'!$F28</f>
        <v>6913</v>
      </c>
      <c r="BF20" s="251">
        <f>'[87]VENTAS TOTALES'!$G28</f>
        <v>2988200</v>
      </c>
      <c r="BG20" s="251">
        <f>'[87]VENTAS TOTALES'!$H28</f>
        <v>14740300</v>
      </c>
      <c r="BH20" s="250">
        <f>'[88]VENTAS TOTALES'!$F28</f>
        <v>2141</v>
      </c>
      <c r="BI20" s="251">
        <f>'[88]VENTAS TOTALES'!$G28</f>
        <v>827000</v>
      </c>
      <c r="BJ20" s="251">
        <f>'[88]VENTAS TOTALES'!$H28</f>
        <v>4466700</v>
      </c>
      <c r="BK20" s="250">
        <f>'[89]VENTAS TOTALES'!$F28</f>
        <v>12836</v>
      </c>
      <c r="BL20" s="251">
        <f>'[89]VENTAS TOTALES'!$G28</f>
        <v>6382700</v>
      </c>
      <c r="BM20" s="251">
        <f>'[89]VENTAS TOTALES'!$H28</f>
        <v>28203900</v>
      </c>
      <c r="BN20" s="250">
        <f>'[90]VENTAS TOTALES'!$F28</f>
        <v>10933</v>
      </c>
      <c r="BO20" s="251">
        <f>'[90]VENTAS TOTALES'!$G28</f>
        <v>4119400</v>
      </c>
      <c r="BP20" s="251">
        <f>'[90]VENTAS TOTALES'!$H28</f>
        <v>22705500</v>
      </c>
      <c r="BQ20" s="250">
        <f>'[91]VENTAS TOTALES'!$F28</f>
        <v>10744</v>
      </c>
      <c r="BR20" s="251">
        <f>'[91]VENTAS TOTALES'!$G28</f>
        <v>3721700</v>
      </c>
      <c r="BS20" s="251">
        <f>'[91]VENTAS TOTALES'!$H28</f>
        <v>21986500</v>
      </c>
      <c r="BT20" s="250">
        <f>'[92]VENTAS TOTALES'!$F28</f>
        <v>10237</v>
      </c>
      <c r="BU20" s="251">
        <f>'[92]VENTAS TOTALES'!$G28</f>
        <v>3462150</v>
      </c>
      <c r="BV20" s="251">
        <f>'[92]VENTAS TOTALES'!$H28</f>
        <v>20865050</v>
      </c>
      <c r="BW20" s="250">
        <f>'[93]VENTAS TOTALES'!$F28</f>
        <v>10507</v>
      </c>
      <c r="BX20" s="251">
        <f>'[93]VENTAS TOTALES'!$G28</f>
        <v>3590400</v>
      </c>
      <c r="BY20" s="251">
        <f>'[93]VENTAS TOTALES'!$H28</f>
        <v>21452300</v>
      </c>
      <c r="BZ20" s="250">
        <f>'[94]VENTAS TOTALES'!$F28</f>
        <v>7024</v>
      </c>
      <c r="CA20" s="251">
        <f>'[94]VENTAS TOTALES'!$G28</f>
        <v>3105600</v>
      </c>
      <c r="CB20" s="251">
        <f>'[94]VENTAS TOTALES'!$H28</f>
        <v>15046400</v>
      </c>
      <c r="CC20" s="250">
        <f>'[95]VENTAS TOTALES'!$F28</f>
        <v>2237</v>
      </c>
      <c r="CD20" s="251">
        <f>'[95]VENTAS TOTALES'!$G28</f>
        <v>1123500</v>
      </c>
      <c r="CE20" s="251">
        <f>'[95]VENTAS TOTALES'!$H28</f>
        <v>4926400</v>
      </c>
      <c r="CF20" s="250">
        <f>'[96]VENTAS TOTALES'!$F28</f>
        <v>14040</v>
      </c>
      <c r="CG20" s="251">
        <f>'[96]VENTAS TOTALES'!$G28</f>
        <v>7917100</v>
      </c>
      <c r="CH20" s="251">
        <f>'[96]VENTAS TOTALES'!$H28</f>
        <v>31785100</v>
      </c>
      <c r="CI20" s="250">
        <f>'[97]VENTAS TOTALES'!$F28</f>
        <v>13881</v>
      </c>
      <c r="CJ20" s="251">
        <f>'[97]VENTAS TOTALES'!$G28</f>
        <v>8038500</v>
      </c>
      <c r="CK20" s="251">
        <f>'[97]VENTAS TOTALES'!$H28</f>
        <v>31636200</v>
      </c>
      <c r="CL20" s="250">
        <f>'[98]VENTAS TOTALES'!$F28</f>
        <v>12793</v>
      </c>
      <c r="CM20" s="251">
        <f>'[98]VENTAS TOTALES'!$G28</f>
        <v>6070300</v>
      </c>
      <c r="CN20" s="251">
        <f>'[98]VENTAS TOTALES'!$H28</f>
        <v>27818400</v>
      </c>
      <c r="CO20" s="250">
        <f>'[99]VENTAS TOTALES'!$F28</f>
        <v>11159</v>
      </c>
      <c r="CP20" s="251">
        <f>'[99]VENTAS TOTALES'!$G28</f>
        <v>5262000</v>
      </c>
      <c r="CQ20" s="251">
        <f>'[99]VENTAS TOTALES'!$H28</f>
        <v>24232300</v>
      </c>
      <c r="CR20" s="250">
        <f>'[100]VENTAS TOTALES'!$F28</f>
        <v>10531</v>
      </c>
      <c r="CS20" s="251">
        <f>'[100]VENTAS TOTALES'!$G28</f>
        <v>4346800</v>
      </c>
      <c r="CT20" s="251">
        <f>'[100]VENTAS TOTALES'!$H28</f>
        <v>22249500</v>
      </c>
      <c r="CU20" s="250">
        <f>'[101]VENTAS TOTALES'!$F28</f>
        <v>7470</v>
      </c>
      <c r="CV20" s="251">
        <f>'[101]VENTAS TOTALES'!$G28</f>
        <v>3191100</v>
      </c>
      <c r="CW20" s="251">
        <f>'[101]VENTAS TOTALES'!$H28</f>
        <v>15890100</v>
      </c>
      <c r="CX20" s="250">
        <f>'[102]VENTAS TOTALES'!$F28</f>
        <v>2349</v>
      </c>
      <c r="CY20" s="251">
        <f>'[102]VENTAS TOTALES'!$G28</f>
        <v>1075200</v>
      </c>
      <c r="CZ20" s="251">
        <f>'[102]VENTAS TOTALES'!$H28</f>
        <v>5068500</v>
      </c>
    </row>
    <row r="21" spans="1:104" ht="12" customHeight="1" x14ac:dyDescent="0.2">
      <c r="A21" s="443"/>
      <c r="B21" s="39" t="s">
        <v>16</v>
      </c>
      <c r="C21" s="250">
        <f>'[69]VENTAS TOTALES'!$F29</f>
        <v>11290</v>
      </c>
      <c r="D21" s="251">
        <f>'[69]VENTAS TOTALES'!$G29</f>
        <v>6929100</v>
      </c>
      <c r="E21" s="251">
        <f>'[69]VENTAS TOTALES'!$H29</f>
        <v>26122100</v>
      </c>
      <c r="F21" s="250">
        <f>'[70]VENTAS TOTALES'!$F29</f>
        <v>10647</v>
      </c>
      <c r="G21" s="251">
        <f>'[70]VENTAS TOTALES'!$G29</f>
        <v>4692300</v>
      </c>
      <c r="H21" s="251">
        <f>'[70]VENTAS TOTALES'!$H29</f>
        <v>22792200</v>
      </c>
      <c r="I21" s="250">
        <f>'[71]VENTAS TOTALES'!$F29</f>
        <v>8376</v>
      </c>
      <c r="J21" s="251">
        <f>'[71]VENTAS TOTALES'!$G29</f>
        <v>4237700</v>
      </c>
      <c r="K21" s="251">
        <f>'[71]VENTAS TOTALES'!$H29</f>
        <v>18476900</v>
      </c>
      <c r="L21" s="250">
        <f>'[72]VENTAS TOTALES'!$F29</f>
        <v>8358</v>
      </c>
      <c r="M21" s="251">
        <f>'[72]VENTAS TOTALES'!$G29</f>
        <v>3593700</v>
      </c>
      <c r="N21" s="251">
        <f>'[72]VENTAS TOTALES'!$H29</f>
        <v>17802300</v>
      </c>
      <c r="O21" s="250">
        <f>'[73]VENTAS TOTALES'!$F29</f>
        <v>4929</v>
      </c>
      <c r="P21" s="251">
        <f>'[73]VENTAS TOTALES'!$G29</f>
        <v>2330900</v>
      </c>
      <c r="Q21" s="251">
        <f>'[73]VENTAS TOTALES'!$H29</f>
        <v>10710200</v>
      </c>
      <c r="R21" s="250">
        <f>'[74]VENTAS TOTALES'!$F29</f>
        <v>1339</v>
      </c>
      <c r="S21" s="251">
        <f>'[74]VENTAS TOTALES'!$G29</f>
        <v>478300</v>
      </c>
      <c r="T21" s="251">
        <f>'[74]VENTAS TOTALES'!$H29</f>
        <v>2754600</v>
      </c>
      <c r="U21" s="250">
        <f>'[75]VENTAS TOTALES'!$F29</f>
        <v>10255</v>
      </c>
      <c r="V21" s="251">
        <f>'[75]VENTAS TOTALES'!$G29</f>
        <v>5037700</v>
      </c>
      <c r="W21" s="251">
        <f>'[75]VENTAS TOTALES'!$H29</f>
        <v>22471200</v>
      </c>
      <c r="X21" s="250">
        <f>'[76]VENTAS TOTALES'!$F29</f>
        <v>9647</v>
      </c>
      <c r="Y21" s="251">
        <f>'[76]VENTAS TOTALES'!$G29</f>
        <v>3675000</v>
      </c>
      <c r="Z21" s="251">
        <f>'[76]VENTAS TOTALES'!$H29</f>
        <v>20074900</v>
      </c>
      <c r="AA21" s="250">
        <f>'[77]VENTAS TOTALES'!$F29</f>
        <v>8605</v>
      </c>
      <c r="AB21" s="251">
        <f>'[77]VENTAS TOTALES'!$G29</f>
        <v>2920450</v>
      </c>
      <c r="AC21" s="251">
        <f>'[77]VENTAS TOTALES'!$H29</f>
        <v>17548950</v>
      </c>
      <c r="AD21" s="250">
        <f>'[78]VENTAS TOTALES'!$F29</f>
        <v>8733</v>
      </c>
      <c r="AE21" s="251">
        <f>'[78]VENTAS TOTALES'!$G29</f>
        <v>3602700</v>
      </c>
      <c r="AF21" s="251">
        <f>'[78]VENTAS TOTALES'!$H29</f>
        <v>18448800</v>
      </c>
      <c r="AG21" s="250">
        <f>'[79]VENTAS TOTALES'!$F29</f>
        <v>8341</v>
      </c>
      <c r="AH21" s="251">
        <f>'[79]VENTAS TOTALES'!$G29</f>
        <v>3619200</v>
      </c>
      <c r="AI21" s="251">
        <f>'[79]VENTAS TOTALES'!$H29</f>
        <v>17798900</v>
      </c>
      <c r="AJ21" s="250">
        <f>'[80]VENTAS TOTALES'!$F29</f>
        <v>5118</v>
      </c>
      <c r="AK21" s="251">
        <f>'[80]VENTAS TOTALES'!$G29</f>
        <v>2285201</v>
      </c>
      <c r="AL21" s="251">
        <f>'[80]VENTAS TOTALES'!$H29</f>
        <v>10985801</v>
      </c>
      <c r="AM21" s="250">
        <f>'[81]VENTAS TOTALES'!$F29</f>
        <v>1308</v>
      </c>
      <c r="AN21" s="251">
        <f>'[81]VENTAS TOTALES'!$G29</f>
        <v>566900</v>
      </c>
      <c r="AO21" s="251">
        <f>'[81]VENTAS TOTALES'!$H29</f>
        <v>2790500</v>
      </c>
      <c r="AP21" s="250">
        <f>'[82]VENTAS TOTALES'!$F29</f>
        <v>11371</v>
      </c>
      <c r="AQ21" s="251">
        <f>'[82]VENTAS TOTALES'!$G29</f>
        <v>5386600</v>
      </c>
      <c r="AR21" s="251">
        <f>'[82]VENTAS TOTALES'!$H29</f>
        <v>24717300</v>
      </c>
      <c r="AS21" s="250">
        <f>'[83]VENTAS TOTALES'!$F29</f>
        <v>10834</v>
      </c>
      <c r="AT21" s="251">
        <f>'[83]VENTAS TOTALES'!$G29</f>
        <v>6559800</v>
      </c>
      <c r="AU21" s="251">
        <f>'[83]VENTAS TOTALES'!$H29</f>
        <v>24977600</v>
      </c>
      <c r="AV21" s="250">
        <f>'[84]VENTAS TOTALES'!$F29</f>
        <v>10445</v>
      </c>
      <c r="AW21" s="251">
        <f>'[84]VENTAS TOTALES'!$G29</f>
        <v>7041200</v>
      </c>
      <c r="AX21" s="251">
        <f>'[84]VENTAS TOTALES'!$H29</f>
        <v>24797700</v>
      </c>
      <c r="AY21" s="250">
        <f>'[85]VENTAS TOTALES'!$F29</f>
        <v>9642</v>
      </c>
      <c r="AZ21" s="251">
        <f>'[85]VENTAS TOTALES'!$G29</f>
        <v>4417150</v>
      </c>
      <c r="BA21" s="251">
        <f>'[85]VENTAS TOTALES'!$H29</f>
        <v>20808550</v>
      </c>
      <c r="BB21" s="250">
        <f>'[86]VENTAS TOTALES'!$F29</f>
        <v>8978</v>
      </c>
      <c r="BC21" s="251">
        <f>'[86]VENTAS TOTALES'!$G29</f>
        <v>3577300</v>
      </c>
      <c r="BD21" s="251">
        <f>'[86]VENTAS TOTALES'!$H29</f>
        <v>18839900</v>
      </c>
      <c r="BE21" s="250">
        <f>'[87]VENTAS TOTALES'!$F29</f>
        <v>5224</v>
      </c>
      <c r="BF21" s="251">
        <f>'[87]VENTAS TOTALES'!$G29</f>
        <v>2360400</v>
      </c>
      <c r="BG21" s="251">
        <f>'[87]VENTAS TOTALES'!$H29</f>
        <v>11241200</v>
      </c>
      <c r="BH21" s="250">
        <f>'[88]VENTAS TOTALES'!$F29</f>
        <v>1421</v>
      </c>
      <c r="BI21" s="251">
        <f>'[88]VENTAS TOTALES'!$G29</f>
        <v>501400</v>
      </c>
      <c r="BJ21" s="251">
        <f>'[88]VENTAS TOTALES'!$H29</f>
        <v>2917100</v>
      </c>
      <c r="BK21" s="250">
        <f>'[89]VENTAS TOTALES'!$F29</f>
        <v>11437</v>
      </c>
      <c r="BL21" s="251">
        <f>'[89]VENTAS TOTALES'!$G29</f>
        <v>5177100</v>
      </c>
      <c r="BM21" s="251">
        <f>'[89]VENTAS TOTALES'!$H29</f>
        <v>24620000</v>
      </c>
      <c r="BN21" s="250">
        <f>'[90]VENTAS TOTALES'!$F29</f>
        <v>9876</v>
      </c>
      <c r="BO21" s="251">
        <f>'[90]VENTAS TOTALES'!$G29</f>
        <v>4559500</v>
      </c>
      <c r="BP21" s="251">
        <f>'[90]VENTAS TOTALES'!$H29</f>
        <v>21348700</v>
      </c>
      <c r="BQ21" s="250">
        <f>'[91]VENTAS TOTALES'!$F29</f>
        <v>9491</v>
      </c>
      <c r="BR21" s="251">
        <f>'[91]VENTAS TOTALES'!$G29</f>
        <v>4070800</v>
      </c>
      <c r="BS21" s="251">
        <f>'[91]VENTAS TOTALES'!$H29</f>
        <v>20205500</v>
      </c>
      <c r="BT21" s="250">
        <f>'[92]VENTAS TOTALES'!$F29</f>
        <v>8334</v>
      </c>
      <c r="BU21" s="251">
        <f>'[92]VENTAS TOTALES'!$G29</f>
        <v>3657650</v>
      </c>
      <c r="BV21" s="251">
        <f>'[92]VENTAS TOTALES'!$H29</f>
        <v>17825450</v>
      </c>
      <c r="BW21" s="250">
        <f>'[93]VENTAS TOTALES'!$F29</f>
        <v>8704</v>
      </c>
      <c r="BX21" s="251">
        <f>'[93]VENTAS TOTALES'!$G29</f>
        <v>4453800</v>
      </c>
      <c r="BY21" s="251">
        <f>'[93]VENTAS TOTALES'!$H29</f>
        <v>19250600</v>
      </c>
      <c r="BZ21" s="250">
        <f>'[94]VENTAS TOTALES'!$F29</f>
        <v>5335</v>
      </c>
      <c r="CA21" s="251">
        <f>'[94]VENTAS TOTALES'!$G29</f>
        <v>2829100</v>
      </c>
      <c r="CB21" s="251">
        <f>'[94]VENTAS TOTALES'!$H29</f>
        <v>11898600</v>
      </c>
      <c r="CC21" s="250">
        <f>'[95]VENTAS TOTALES'!$F29</f>
        <v>1328</v>
      </c>
      <c r="CD21" s="251">
        <f>'[95]VENTAS TOTALES'!$G29</f>
        <v>543600</v>
      </c>
      <c r="CE21" s="251">
        <f>'[95]VENTAS TOTALES'!$H29</f>
        <v>2801200</v>
      </c>
      <c r="CF21" s="250">
        <f>'[96]VENTAS TOTALES'!$F29</f>
        <v>12607</v>
      </c>
      <c r="CG21" s="251">
        <f>'[96]VENTAS TOTALES'!$G29</f>
        <v>8709800</v>
      </c>
      <c r="CH21" s="251">
        <f>'[96]VENTAS TOTALES'!$H29</f>
        <v>30141700</v>
      </c>
      <c r="CI21" s="250">
        <f>'[97]VENTAS TOTALES'!$F29</f>
        <v>12829</v>
      </c>
      <c r="CJ21" s="251">
        <f>'[97]VENTAS TOTALES'!$G29</f>
        <v>7655400</v>
      </c>
      <c r="CK21" s="251">
        <f>'[97]VENTAS TOTALES'!$H29</f>
        <v>29464700</v>
      </c>
      <c r="CL21" s="250">
        <f>'[98]VENTAS TOTALES'!$F29</f>
        <v>10472</v>
      </c>
      <c r="CM21" s="251">
        <f>'[98]VENTAS TOTALES'!$G29</f>
        <v>6398000</v>
      </c>
      <c r="CN21" s="251">
        <f>'[98]VENTAS TOTALES'!$H29</f>
        <v>24200400</v>
      </c>
      <c r="CO21" s="250">
        <f>'[99]VENTAS TOTALES'!$F29</f>
        <v>10079</v>
      </c>
      <c r="CP21" s="251">
        <f>'[99]VENTAS TOTALES'!$G29</f>
        <v>4383200</v>
      </c>
      <c r="CQ21" s="251">
        <f>'[99]VENTAS TOTALES'!$H29</f>
        <v>21517500</v>
      </c>
      <c r="CR21" s="250">
        <f>'[100]VENTAS TOTALES'!$F29</f>
        <v>9438</v>
      </c>
      <c r="CS21" s="251">
        <f>'[100]VENTAS TOTALES'!$G29</f>
        <v>3671200</v>
      </c>
      <c r="CT21" s="251">
        <f>'[100]VENTAS TOTALES'!$H29</f>
        <v>19715800</v>
      </c>
      <c r="CU21" s="250">
        <f>'[101]VENTAS TOTALES'!$F29</f>
        <v>5595</v>
      </c>
      <c r="CV21" s="251">
        <f>'[101]VENTAS TOTALES'!$G29</f>
        <v>2699300</v>
      </c>
      <c r="CW21" s="251">
        <f>'[101]VENTAS TOTALES'!$H29</f>
        <v>12210800</v>
      </c>
      <c r="CX21" s="250">
        <f>'[102]VENTAS TOTALES'!$F29</f>
        <v>1321</v>
      </c>
      <c r="CY21" s="251">
        <f>'[102]VENTAS TOTALES'!$G29</f>
        <v>419400</v>
      </c>
      <c r="CZ21" s="251">
        <f>'[102]VENTAS TOTALES'!$H29</f>
        <v>2665100</v>
      </c>
    </row>
    <row r="22" spans="1:104" ht="12" customHeight="1" x14ac:dyDescent="0.2">
      <c r="A22" s="443"/>
      <c r="B22" s="43" t="s">
        <v>18</v>
      </c>
      <c r="C22" s="250">
        <f>'[69]VENTAS TOTALES'!$F30</f>
        <v>15583</v>
      </c>
      <c r="D22" s="251">
        <f>'[69]VENTAS TOTALES'!$G30</f>
        <v>6921300</v>
      </c>
      <c r="E22" s="251">
        <f>'[69]VENTAS TOTALES'!$H30</f>
        <v>33412400</v>
      </c>
      <c r="F22" s="250">
        <f>'[70]VENTAS TOTALES'!$F30</f>
        <v>15979</v>
      </c>
      <c r="G22" s="251">
        <f>'[70]VENTAS TOTALES'!$G30</f>
        <v>5842200</v>
      </c>
      <c r="H22" s="251">
        <f>'[70]VENTAS TOTALES'!$H30</f>
        <v>33006500</v>
      </c>
      <c r="I22" s="250">
        <f>'[71]VENTAS TOTALES'!$F30</f>
        <v>13706</v>
      </c>
      <c r="J22" s="251">
        <f>'[71]VENTAS TOTALES'!$G30</f>
        <v>4535500</v>
      </c>
      <c r="K22" s="251">
        <f>'[71]VENTAS TOTALES'!$H30</f>
        <v>27835700</v>
      </c>
      <c r="L22" s="250">
        <f>'[72]VENTAS TOTALES'!$F30</f>
        <v>14117</v>
      </c>
      <c r="M22" s="251">
        <f>'[72]VENTAS TOTALES'!$G30</f>
        <v>3721200</v>
      </c>
      <c r="N22" s="251">
        <f>'[72]VENTAS TOTALES'!$H30</f>
        <v>27720100</v>
      </c>
      <c r="O22" s="250">
        <f>'[73]VENTAS TOTALES'!$F30</f>
        <v>9064</v>
      </c>
      <c r="P22" s="251">
        <f>'[73]VENTAS TOTALES'!$G30</f>
        <v>2449300</v>
      </c>
      <c r="Q22" s="251">
        <f>'[73]VENTAS TOTALES'!$H30</f>
        <v>17858100</v>
      </c>
      <c r="R22" s="250">
        <f>'[74]VENTAS TOTALES'!$F30</f>
        <v>2945</v>
      </c>
      <c r="S22" s="251">
        <f>'[74]VENTAS TOTALES'!$G30</f>
        <v>1191650</v>
      </c>
      <c r="T22" s="251">
        <f>'[74]VENTAS TOTALES'!$H30</f>
        <v>6198150</v>
      </c>
      <c r="U22" s="250">
        <f>'[75]VENTAS TOTALES'!$F30</f>
        <v>16342</v>
      </c>
      <c r="V22" s="251">
        <f>'[75]VENTAS TOTALES'!$G30</f>
        <v>5560650</v>
      </c>
      <c r="W22" s="251">
        <f>'[75]VENTAS TOTALES'!$H30</f>
        <v>33342050</v>
      </c>
      <c r="X22" s="250">
        <f>'[76]VENTAS TOTALES'!$F30</f>
        <v>14579</v>
      </c>
      <c r="Y22" s="251">
        <f>'[76]VENTAS TOTALES'!$G30</f>
        <v>4680200</v>
      </c>
      <c r="Z22" s="251">
        <f>'[76]VENTAS TOTALES'!$H30</f>
        <v>29464500</v>
      </c>
      <c r="AA22" s="250">
        <f>'[77]VENTAS TOTALES'!$F30</f>
        <v>14515</v>
      </c>
      <c r="AB22" s="251">
        <f>'[77]VENTAS TOTALES'!$G30</f>
        <v>4369300</v>
      </c>
      <c r="AC22" s="251">
        <f>'[77]VENTAS TOTALES'!$H30</f>
        <v>29044800</v>
      </c>
      <c r="AD22" s="250">
        <f>'[78]VENTAS TOTALES'!$F30</f>
        <v>14378</v>
      </c>
      <c r="AE22" s="251">
        <f>'[78]VENTAS TOTALES'!$G30</f>
        <v>4170000</v>
      </c>
      <c r="AF22" s="251">
        <f>'[78]VENTAS TOTALES'!$H30</f>
        <v>28612600</v>
      </c>
      <c r="AG22" s="250">
        <f>'[79]VENTAS TOTALES'!$F30</f>
        <v>14057</v>
      </c>
      <c r="AH22" s="251">
        <f>'[79]VENTAS TOTALES'!$G30</f>
        <v>3758900</v>
      </c>
      <c r="AI22" s="251">
        <f>'[79]VENTAS TOTALES'!$H30</f>
        <v>27655800</v>
      </c>
      <c r="AJ22" s="250">
        <f>'[80]VENTAS TOTALES'!$F30</f>
        <v>9095</v>
      </c>
      <c r="AK22" s="251">
        <f>'[80]VENTAS TOTALES'!$G30</f>
        <v>2782300</v>
      </c>
      <c r="AL22" s="251">
        <f>'[80]VENTAS TOTALES'!$H30</f>
        <v>18243800</v>
      </c>
      <c r="AM22" s="250">
        <f>'[81]VENTAS TOTALES'!$F30</f>
        <v>2884</v>
      </c>
      <c r="AN22" s="251">
        <f>'[81]VENTAS TOTALES'!$G30</f>
        <v>859500</v>
      </c>
      <c r="AO22" s="251">
        <f>'[81]VENTAS TOTALES'!$H30</f>
        <v>5762300</v>
      </c>
      <c r="AP22" s="250">
        <f>'[82]VENTAS TOTALES'!$F30</f>
        <v>17171</v>
      </c>
      <c r="AQ22" s="251">
        <f>'[82]VENTAS TOTALES'!$G30</f>
        <v>6170650</v>
      </c>
      <c r="AR22" s="251">
        <f>'[82]VENTAS TOTALES'!$H30</f>
        <v>35361350</v>
      </c>
      <c r="AS22" s="250">
        <f>'[83]VENTAS TOTALES'!$F30</f>
        <v>16986</v>
      </c>
      <c r="AT22" s="251">
        <f>'[83]VENTAS TOTALES'!$G30</f>
        <v>7207100</v>
      </c>
      <c r="AU22" s="251">
        <f>'[83]VENTAS TOTALES'!$H30</f>
        <v>36083300</v>
      </c>
      <c r="AV22" s="250">
        <f>'[84]VENTAS TOTALES'!$F30</f>
        <v>15882</v>
      </c>
      <c r="AW22" s="251">
        <f>'[84]VENTAS TOTALES'!$G30</f>
        <v>6225800</v>
      </c>
      <c r="AX22" s="251">
        <f>'[84]VENTAS TOTALES'!$H30</f>
        <v>33225200</v>
      </c>
      <c r="AY22" s="250">
        <f>'[85]VENTAS TOTALES'!$F30</f>
        <v>15436</v>
      </c>
      <c r="AZ22" s="251">
        <f>'[85]VENTAS TOTALES'!$G30</f>
        <v>5744750</v>
      </c>
      <c r="BA22" s="251">
        <f>'[85]VENTAS TOTALES'!$H30</f>
        <v>31985950</v>
      </c>
      <c r="BB22" s="250">
        <f>'[86]VENTAS TOTALES'!$F30</f>
        <v>14848</v>
      </c>
      <c r="BC22" s="251">
        <f>'[86]VENTAS TOTALES'!$G30</f>
        <v>5040100</v>
      </c>
      <c r="BD22" s="251">
        <f>'[86]VENTAS TOTALES'!$H30</f>
        <v>30281700</v>
      </c>
      <c r="BE22" s="250">
        <f>'[87]VENTAS TOTALES'!$F30</f>
        <v>8922</v>
      </c>
      <c r="BF22" s="251">
        <f>'[87]VENTAS TOTALES'!$G30</f>
        <v>2932950</v>
      </c>
      <c r="BG22" s="251">
        <f>'[87]VENTAS TOTALES'!$H30</f>
        <v>18100350</v>
      </c>
      <c r="BH22" s="250">
        <f>'[88]VENTAS TOTALES'!$F30</f>
        <v>2992</v>
      </c>
      <c r="BI22" s="251">
        <f>'[88]VENTAS TOTALES'!$G30</f>
        <v>1061500</v>
      </c>
      <c r="BJ22" s="251">
        <f>'[88]VENTAS TOTALES'!$H30</f>
        <v>6147900</v>
      </c>
      <c r="BK22" s="250">
        <f>'[89]VENTAS TOTALES'!$F30</f>
        <v>16944</v>
      </c>
      <c r="BL22" s="251">
        <f>'[89]VENTAS TOTALES'!$G30</f>
        <v>5868800</v>
      </c>
      <c r="BM22" s="251">
        <f>'[89]VENTAS TOTALES'!$H30</f>
        <v>34673600</v>
      </c>
      <c r="BN22" s="250">
        <f>'[90]VENTAS TOTALES'!$F30</f>
        <v>15532</v>
      </c>
      <c r="BO22" s="251">
        <f>'[90]VENTAS TOTALES'!$G30</f>
        <v>4701000</v>
      </c>
      <c r="BP22" s="251">
        <f>'[90]VENTAS TOTALES'!$H30</f>
        <v>31105400</v>
      </c>
      <c r="BQ22" s="250">
        <f>'[91]VENTAS TOTALES'!$F30</f>
        <v>14893</v>
      </c>
      <c r="BR22" s="251">
        <f>'[91]VENTAS TOTALES'!$G30</f>
        <v>4363150</v>
      </c>
      <c r="BS22" s="251">
        <f>'[91]VENTAS TOTALES'!$H30</f>
        <v>29681250</v>
      </c>
      <c r="BT22" s="250">
        <f>'[92]VENTAS TOTALES'!$F30</f>
        <v>14109</v>
      </c>
      <c r="BU22" s="251">
        <f>'[92]VENTAS TOTALES'!$G30</f>
        <v>3511350</v>
      </c>
      <c r="BV22" s="251">
        <f>'[92]VENTAS TOTALES'!$H30</f>
        <v>27496650</v>
      </c>
      <c r="BW22" s="250">
        <f>'[93]VENTAS TOTALES'!$F30</f>
        <v>14456</v>
      </c>
      <c r="BX22" s="251">
        <f>'[93]VENTAS TOTALES'!$G30</f>
        <v>4799250</v>
      </c>
      <c r="BY22" s="251">
        <f>'[93]VENTAS TOTALES'!$H30</f>
        <v>29374450</v>
      </c>
      <c r="BZ22" s="250">
        <f>'[94]VENTAS TOTALES'!$F30</f>
        <v>8902</v>
      </c>
      <c r="CA22" s="251">
        <f>'[94]VENTAS TOTALES'!$G30</f>
        <v>2867500</v>
      </c>
      <c r="CB22" s="251">
        <f>'[94]VENTAS TOTALES'!$H30</f>
        <v>18000900</v>
      </c>
      <c r="CC22" s="250">
        <f>'[95]VENTAS TOTALES'!$F30</f>
        <v>3052</v>
      </c>
      <c r="CD22" s="251">
        <f>'[95]VENTAS TOTALES'!$G30</f>
        <v>1380800</v>
      </c>
      <c r="CE22" s="251">
        <f>'[95]VENTAS TOTALES'!$H30</f>
        <v>6569200</v>
      </c>
      <c r="CF22" s="250">
        <f>'[96]VENTAS TOTALES'!$F30</f>
        <v>19007</v>
      </c>
      <c r="CG22" s="251">
        <f>'[96]VENTAS TOTALES'!$G30</f>
        <v>7971350</v>
      </c>
      <c r="CH22" s="251">
        <f>'[96]VENTAS TOTALES'!$H30</f>
        <v>40283250</v>
      </c>
      <c r="CI22" s="250">
        <f>'[97]VENTAS TOTALES'!$F30</f>
        <v>18615</v>
      </c>
      <c r="CJ22" s="251">
        <f>'[97]VENTAS TOTALES'!$G30</f>
        <v>7084000</v>
      </c>
      <c r="CK22" s="251">
        <f>'[97]VENTAS TOTALES'!$H30</f>
        <v>38729500</v>
      </c>
      <c r="CL22" s="250">
        <f>'[98]VENTAS TOTALES'!$F30</f>
        <v>16657</v>
      </c>
      <c r="CM22" s="251">
        <f>'[98]VENTAS TOTALES'!$G30</f>
        <v>5797300</v>
      </c>
      <c r="CN22" s="251">
        <f>'[98]VENTAS TOTALES'!$H30</f>
        <v>34114200</v>
      </c>
      <c r="CO22" s="250">
        <f>'[99]VENTAS TOTALES'!$F30</f>
        <v>15584</v>
      </c>
      <c r="CP22" s="251">
        <f>'[99]VENTAS TOTALES'!$G30</f>
        <v>5401800</v>
      </c>
      <c r="CQ22" s="251">
        <f>'[99]VENTAS TOTALES'!$H30</f>
        <v>31894600</v>
      </c>
      <c r="CR22" s="250">
        <f>'[100]VENTAS TOTALES'!$F30</f>
        <v>14742</v>
      </c>
      <c r="CS22" s="251">
        <f>'[100]VENTAS TOTALES'!$G30</f>
        <v>4478250</v>
      </c>
      <c r="CT22" s="251">
        <f>'[100]VENTAS TOTALES'!$H30</f>
        <v>29539650</v>
      </c>
      <c r="CU22" s="250">
        <f>'[101]VENTAS TOTALES'!$F30</f>
        <v>9574</v>
      </c>
      <c r="CV22" s="251">
        <f>'[101]VENTAS TOTALES'!$G30</f>
        <v>2586950</v>
      </c>
      <c r="CW22" s="251">
        <f>'[101]VENTAS TOTALES'!$H30</f>
        <v>18862750</v>
      </c>
      <c r="CX22" s="250">
        <f>'[102]VENTAS TOTALES'!$F30</f>
        <v>3218</v>
      </c>
      <c r="CY22" s="251">
        <f>'[102]VENTAS TOTALES'!$G30</f>
        <v>921600</v>
      </c>
      <c r="CZ22" s="251">
        <f>'[102]VENTAS TOTALES'!$H30</f>
        <v>6392200</v>
      </c>
    </row>
    <row r="23" spans="1:104" ht="12" customHeight="1" x14ac:dyDescent="0.2">
      <c r="A23" s="443"/>
      <c r="B23" s="43" t="s">
        <v>65</v>
      </c>
      <c r="C23" s="250">
        <f>'[69]VENTAS TOTALES'!$F31</f>
        <v>8940</v>
      </c>
      <c r="D23" s="251">
        <f>'[69]VENTAS TOTALES'!$G31</f>
        <v>4636850</v>
      </c>
      <c r="E23" s="251">
        <f>'[69]VENTAS TOTALES'!$H31</f>
        <v>19834850</v>
      </c>
      <c r="F23" s="250">
        <f>'[70]VENTAS TOTALES'!$F31</f>
        <v>8804</v>
      </c>
      <c r="G23" s="251">
        <f>'[70]VENTAS TOTALES'!$G31</f>
        <v>5457400</v>
      </c>
      <c r="H23" s="251">
        <f>'[70]VENTAS TOTALES'!$H31</f>
        <v>20424200</v>
      </c>
      <c r="I23" s="250">
        <f>'[71]VENTAS TOTALES'!$F31</f>
        <v>7345</v>
      </c>
      <c r="J23" s="251">
        <f>'[71]VENTAS TOTALES'!$G31</f>
        <v>3230450</v>
      </c>
      <c r="K23" s="251">
        <f>'[71]VENTAS TOTALES'!$H31</f>
        <v>15716950</v>
      </c>
      <c r="L23" s="250">
        <f>'[72]VENTAS TOTALES'!$F31</f>
        <v>7692</v>
      </c>
      <c r="M23" s="251">
        <f>'[72]VENTAS TOTALES'!$G31</f>
        <v>3113700</v>
      </c>
      <c r="N23" s="251">
        <f>'[72]VENTAS TOTALES'!$H31</f>
        <v>16190100</v>
      </c>
      <c r="O23" s="250">
        <f>'[73]VENTAS TOTALES'!$F31</f>
        <v>4017</v>
      </c>
      <c r="P23" s="251">
        <f>'[73]VENTAS TOTALES'!$G31</f>
        <v>1725400</v>
      </c>
      <c r="Q23" s="251">
        <f>'[73]VENTAS TOTALES'!$H31</f>
        <v>8554300</v>
      </c>
      <c r="R23" s="250">
        <f>'[74]VENTAS TOTALES'!$F31</f>
        <v>1568</v>
      </c>
      <c r="S23" s="251">
        <f>'[74]VENTAS TOTALES'!$G31</f>
        <v>698300</v>
      </c>
      <c r="T23" s="251">
        <f>'[74]VENTAS TOTALES'!$H31</f>
        <v>3363900</v>
      </c>
      <c r="U23" s="250">
        <f>'[75]VENTAS TOTALES'!$F31</f>
        <v>9088</v>
      </c>
      <c r="V23" s="251">
        <f>'[75]VENTAS TOTALES'!$G31</f>
        <v>3664000</v>
      </c>
      <c r="W23" s="251">
        <f>'[75]VENTAS TOTALES'!$H31</f>
        <v>19113600</v>
      </c>
      <c r="X23" s="250">
        <f>'[76]VENTAS TOTALES'!$F31</f>
        <v>8390</v>
      </c>
      <c r="Y23" s="251">
        <f>'[76]VENTAS TOTALES'!$G31</f>
        <v>3238900</v>
      </c>
      <c r="Z23" s="251">
        <f>'[76]VENTAS TOTALES'!$H31</f>
        <v>17501900</v>
      </c>
      <c r="AA23" s="250">
        <f>'[77]VENTAS TOTALES'!$F31</f>
        <v>7688</v>
      </c>
      <c r="AB23" s="251">
        <f>'[77]VENTAS TOTALES'!$G31</f>
        <v>2890000</v>
      </c>
      <c r="AC23" s="251">
        <f>'[77]VENTAS TOTALES'!$H31</f>
        <v>15959600</v>
      </c>
      <c r="AD23" s="250">
        <f>'[78]VENTAS TOTALES'!$F31</f>
        <v>8235</v>
      </c>
      <c r="AE23" s="251">
        <f>'[78]VENTAS TOTALES'!$G31</f>
        <v>3147300</v>
      </c>
      <c r="AF23" s="251">
        <f>'[78]VENTAS TOTALES'!$H31</f>
        <v>17146800</v>
      </c>
      <c r="AG23" s="250">
        <f>'[79]VENTAS TOTALES'!$F31</f>
        <v>7445</v>
      </c>
      <c r="AH23" s="251">
        <f>'[79]VENTAS TOTALES'!$G31</f>
        <v>2863800</v>
      </c>
      <c r="AI23" s="251">
        <f>'[79]VENTAS TOTALES'!$H31</f>
        <v>15520300</v>
      </c>
      <c r="AJ23" s="250">
        <f>'[80]VENTAS TOTALES'!$F31</f>
        <v>4502</v>
      </c>
      <c r="AK23" s="251">
        <f>'[80]VENTAS TOTALES'!$G31</f>
        <v>1832600</v>
      </c>
      <c r="AL23" s="251">
        <f>'[80]VENTAS TOTALES'!$H31</f>
        <v>9486000</v>
      </c>
      <c r="AM23" s="250">
        <f>'[81]VENTAS TOTALES'!$F31</f>
        <v>1563</v>
      </c>
      <c r="AN23" s="251">
        <f>'[81]VENTAS TOTALES'!$G31</f>
        <v>625200</v>
      </c>
      <c r="AO23" s="251">
        <f>'[81]VENTAS TOTALES'!$H31</f>
        <v>3282300</v>
      </c>
      <c r="AP23" s="250">
        <f>'[82]VENTAS TOTALES'!$F31</f>
        <v>9224</v>
      </c>
      <c r="AQ23" s="251">
        <f>'[82]VENTAS TOTALES'!$G31</f>
        <v>3555150</v>
      </c>
      <c r="AR23" s="251">
        <f>'[82]VENTAS TOTALES'!$H31</f>
        <v>19235950</v>
      </c>
      <c r="AS23" s="250">
        <f>'[83]VENTAS TOTALES'!$F31</f>
        <v>8813</v>
      </c>
      <c r="AT23" s="251">
        <f>'[83]VENTAS TOTALES'!$G31</f>
        <v>5146600</v>
      </c>
      <c r="AU23" s="251">
        <f>'[83]VENTAS TOTALES'!$H31</f>
        <v>20128700</v>
      </c>
      <c r="AV23" s="250">
        <f>'[84]VENTAS TOTALES'!$F31</f>
        <v>8948</v>
      </c>
      <c r="AW23" s="251">
        <f>'[84]VENTAS TOTALES'!$G31</f>
        <v>4767550</v>
      </c>
      <c r="AX23" s="251">
        <f>'[84]VENTAS TOTALES'!$H31</f>
        <v>19979150</v>
      </c>
      <c r="AY23" s="250">
        <f>'[85]VENTAS TOTALES'!$F31</f>
        <v>8538</v>
      </c>
      <c r="AZ23" s="251">
        <f>'[85]VENTAS TOTALES'!$G31</f>
        <v>4279700</v>
      </c>
      <c r="BA23" s="251">
        <f>'[85]VENTAS TOTALES'!$H31</f>
        <v>18794300</v>
      </c>
      <c r="BB23" s="250">
        <f>'[86]VENTAS TOTALES'!$F31</f>
        <v>7610</v>
      </c>
      <c r="BC23" s="251">
        <f>'[86]VENTAS TOTALES'!$G31</f>
        <v>2420250</v>
      </c>
      <c r="BD23" s="251">
        <f>'[86]VENTAS TOTALES'!$H31</f>
        <v>15357250</v>
      </c>
      <c r="BE23" s="250">
        <f>'[87]VENTAS TOTALES'!$F31</f>
        <v>4681</v>
      </c>
      <c r="BF23" s="251">
        <f>'[87]VENTAS TOTALES'!$G31</f>
        <v>1813900</v>
      </c>
      <c r="BG23" s="251">
        <f>'[87]VENTAS TOTALES'!$H31</f>
        <v>9771600</v>
      </c>
      <c r="BH23" s="250">
        <f>'[88]VENTAS TOTALES'!$F31</f>
        <v>1794</v>
      </c>
      <c r="BI23" s="251">
        <f>'[88]VENTAS TOTALES'!$G31</f>
        <v>512100</v>
      </c>
      <c r="BJ23" s="251">
        <f>'[88]VENTAS TOTALES'!$H31</f>
        <v>3561900</v>
      </c>
      <c r="BK23" s="250">
        <f>'[89]VENTAS TOTALES'!$F31</f>
        <v>9045</v>
      </c>
      <c r="BL23" s="251">
        <f>'[89]VENTAS TOTALES'!$G31</f>
        <v>3786650</v>
      </c>
      <c r="BM23" s="251">
        <f>'[89]VENTAS TOTALES'!$H31</f>
        <v>19163150</v>
      </c>
      <c r="BN23" s="250">
        <f>'[90]VENTAS TOTALES'!$F31</f>
        <v>8459</v>
      </c>
      <c r="BO23" s="251">
        <f>'[90]VENTAS TOTALES'!$G31</f>
        <v>3087250</v>
      </c>
      <c r="BP23" s="251">
        <f>'[90]VENTAS TOTALES'!$H31</f>
        <v>17467550</v>
      </c>
      <c r="BQ23" s="250">
        <f>'[91]VENTAS TOTALES'!$F31</f>
        <v>7678</v>
      </c>
      <c r="BR23" s="251">
        <f>'[91]VENTAS TOTALES'!$G31</f>
        <v>2850700</v>
      </c>
      <c r="BS23" s="251">
        <f>'[91]VENTAS TOTALES'!$H31</f>
        <v>15903300</v>
      </c>
      <c r="BT23" s="250">
        <f>'[92]VENTAS TOTALES'!$F31</f>
        <v>7702</v>
      </c>
      <c r="BU23" s="251">
        <f>'[92]VENTAS TOTALES'!$G31</f>
        <v>2275800</v>
      </c>
      <c r="BV23" s="251">
        <f>'[92]VENTAS TOTALES'!$H31</f>
        <v>15369200</v>
      </c>
      <c r="BW23" s="250">
        <f>'[93]VENTAS TOTALES'!$F31</f>
        <v>7386</v>
      </c>
      <c r="BX23" s="251">
        <f>'[93]VENTAS TOTALES'!$G31</f>
        <v>2503150</v>
      </c>
      <c r="BY23" s="251">
        <f>'[93]VENTAS TOTALES'!$H31</f>
        <v>15059350</v>
      </c>
      <c r="BZ23" s="250">
        <f>'[94]VENTAS TOTALES'!$F31</f>
        <v>4899</v>
      </c>
      <c r="CA23" s="251">
        <f>'[94]VENTAS TOTALES'!$G31</f>
        <v>1499400</v>
      </c>
      <c r="CB23" s="251">
        <f>'[94]VENTAS TOTALES'!$H31</f>
        <v>9827700</v>
      </c>
      <c r="CC23" s="250">
        <f>'[95]VENTAS TOTALES'!$F31</f>
        <v>1497</v>
      </c>
      <c r="CD23" s="251">
        <f>'[95]VENTAS TOTALES'!$G31</f>
        <v>515700</v>
      </c>
      <c r="CE23" s="251">
        <f>'[95]VENTAS TOTALES'!$H31</f>
        <v>3060600</v>
      </c>
      <c r="CF23" s="250">
        <f>'[96]VENTAS TOTALES'!$F31</f>
        <v>10376</v>
      </c>
      <c r="CG23" s="251">
        <f>'[96]VENTAS TOTALES'!$G31</f>
        <v>5523500</v>
      </c>
      <c r="CH23" s="251">
        <f>'[96]VENTAS TOTALES'!$H31</f>
        <v>23162700</v>
      </c>
      <c r="CI23" s="250">
        <f>'[97]VENTAS TOTALES'!$F31</f>
        <v>9881</v>
      </c>
      <c r="CJ23" s="251">
        <f>'[97]VENTAS TOTALES'!$G31</f>
        <v>4862400</v>
      </c>
      <c r="CK23" s="251">
        <f>'[97]VENTAS TOTALES'!$H31</f>
        <v>21660100</v>
      </c>
      <c r="CL23" s="250">
        <f>'[98]VENTAS TOTALES'!$F31</f>
        <v>9679</v>
      </c>
      <c r="CM23" s="251">
        <f>'[98]VENTAS TOTALES'!$G31</f>
        <v>3723709</v>
      </c>
      <c r="CN23" s="251">
        <f>'[98]VENTAS TOTALES'!$H31</f>
        <v>20178009</v>
      </c>
      <c r="CO23" s="250">
        <f>'[99]VENTAS TOTALES'!$F31</f>
        <v>8522</v>
      </c>
      <c r="CP23" s="251">
        <f>'[99]VENTAS TOTALES'!$G31</f>
        <v>4377700</v>
      </c>
      <c r="CQ23" s="251">
        <f>'[99]VENTAS TOTALES'!$H31</f>
        <v>18865100</v>
      </c>
      <c r="CR23" s="250">
        <f>'[100]VENTAS TOTALES'!$F31</f>
        <v>8180</v>
      </c>
      <c r="CS23" s="251">
        <f>'[100]VENTAS TOTALES'!$G31</f>
        <v>3150600</v>
      </c>
      <c r="CT23" s="251">
        <f>'[100]VENTAS TOTALES'!$H31</f>
        <v>17056600</v>
      </c>
      <c r="CU23" s="250">
        <f>'[101]VENTAS TOTALES'!$F31</f>
        <v>4695</v>
      </c>
      <c r="CV23" s="251">
        <f>'[101]VENTAS TOTALES'!$G31</f>
        <v>1776700</v>
      </c>
      <c r="CW23" s="251">
        <f>'[101]VENTAS TOTALES'!$H31</f>
        <v>9758200</v>
      </c>
      <c r="CX23" s="250">
        <f>'[102]VENTAS TOTALES'!$F31</f>
        <v>1770</v>
      </c>
      <c r="CY23" s="251">
        <f>'[102]VENTAS TOTALES'!$G31</f>
        <v>724400</v>
      </c>
      <c r="CZ23" s="251">
        <f>'[102]VENTAS TOTALES'!$H31</f>
        <v>3733400</v>
      </c>
    </row>
    <row r="24" spans="1:104" ht="12" customHeight="1" x14ac:dyDescent="0.2">
      <c r="A24" s="443"/>
      <c r="B24" s="43" t="s">
        <v>66</v>
      </c>
      <c r="C24" s="250">
        <f>'[69]VENTAS TOTALES'!$F32</f>
        <v>0</v>
      </c>
      <c r="D24" s="251">
        <f>'[69]VENTAS TOTALES'!$G32</f>
        <v>0</v>
      </c>
      <c r="E24" s="251">
        <f>'[69]VENTAS TOTALES'!$H32</f>
        <v>0</v>
      </c>
      <c r="F24" s="250">
        <f>'[70]VENTAS TOTALES'!$F32</f>
        <v>0</v>
      </c>
      <c r="G24" s="251">
        <f>'[70]VENTAS TOTALES'!$G32</f>
        <v>0</v>
      </c>
      <c r="H24" s="251">
        <f>'[70]VENTAS TOTALES'!$H32</f>
        <v>0</v>
      </c>
      <c r="I24" s="250">
        <f>'[71]VENTAS TOTALES'!$F32</f>
        <v>0</v>
      </c>
      <c r="J24" s="251">
        <f>'[71]VENTAS TOTALES'!$G32</f>
        <v>0</v>
      </c>
      <c r="K24" s="251">
        <f>'[71]VENTAS TOTALES'!$H32</f>
        <v>0</v>
      </c>
      <c r="L24" s="250">
        <f>'[72]VENTAS TOTALES'!$F32</f>
        <v>0</v>
      </c>
      <c r="M24" s="251">
        <f>'[72]VENTAS TOTALES'!$G32</f>
        <v>0</v>
      </c>
      <c r="N24" s="251">
        <f>'[72]VENTAS TOTALES'!$H32</f>
        <v>0</v>
      </c>
      <c r="O24" s="250">
        <f>'[73]VENTAS TOTALES'!$F32</f>
        <v>0</v>
      </c>
      <c r="P24" s="251">
        <f>'[73]VENTAS TOTALES'!$G32</f>
        <v>0</v>
      </c>
      <c r="Q24" s="251">
        <f>'[73]VENTAS TOTALES'!$H32</f>
        <v>0</v>
      </c>
      <c r="R24" s="250">
        <f>'[74]VENTAS TOTALES'!$F32</f>
        <v>0</v>
      </c>
      <c r="S24" s="251">
        <f>'[74]VENTAS TOTALES'!$G32</f>
        <v>0</v>
      </c>
      <c r="T24" s="251">
        <f>'[74]VENTAS TOTALES'!$H32</f>
        <v>0</v>
      </c>
      <c r="U24" s="250">
        <f>'[75]VENTAS TOTALES'!$F32</f>
        <v>0</v>
      </c>
      <c r="V24" s="251">
        <f>'[75]VENTAS TOTALES'!$G32</f>
        <v>0</v>
      </c>
      <c r="W24" s="251">
        <f>'[75]VENTAS TOTALES'!$H32</f>
        <v>0</v>
      </c>
      <c r="X24" s="250">
        <f>'[76]VENTAS TOTALES'!$F32</f>
        <v>0</v>
      </c>
      <c r="Y24" s="251">
        <f>'[76]VENTAS TOTALES'!$G32</f>
        <v>0</v>
      </c>
      <c r="Z24" s="251">
        <f>'[76]VENTAS TOTALES'!$H32</f>
        <v>0</v>
      </c>
      <c r="AA24" s="250">
        <f>'[77]VENTAS TOTALES'!$F32</f>
        <v>0</v>
      </c>
      <c r="AB24" s="251">
        <f>'[77]VENTAS TOTALES'!$G32</f>
        <v>0</v>
      </c>
      <c r="AC24" s="251">
        <f>'[77]VENTAS TOTALES'!$H32</f>
        <v>0</v>
      </c>
      <c r="AD24" s="250">
        <f>'[78]VENTAS TOTALES'!$F32</f>
        <v>0</v>
      </c>
      <c r="AE24" s="251">
        <f>'[78]VENTAS TOTALES'!$G32</f>
        <v>0</v>
      </c>
      <c r="AF24" s="251">
        <f>'[78]VENTAS TOTALES'!$H32</f>
        <v>0</v>
      </c>
      <c r="AG24" s="250">
        <f>'[79]VENTAS TOTALES'!$F32</f>
        <v>0</v>
      </c>
      <c r="AH24" s="251">
        <f>'[79]VENTAS TOTALES'!$G32</f>
        <v>0</v>
      </c>
      <c r="AI24" s="251">
        <f>'[79]VENTAS TOTALES'!$H32</f>
        <v>0</v>
      </c>
      <c r="AJ24" s="250">
        <f>'[80]VENTAS TOTALES'!$F32</f>
        <v>0</v>
      </c>
      <c r="AK24" s="251">
        <f>'[80]VENTAS TOTALES'!$G32</f>
        <v>0</v>
      </c>
      <c r="AL24" s="251">
        <f>'[80]VENTAS TOTALES'!$H32</f>
        <v>0</v>
      </c>
      <c r="AM24" s="250">
        <f>'[81]VENTAS TOTALES'!$F32</f>
        <v>0</v>
      </c>
      <c r="AN24" s="251">
        <f>'[81]VENTAS TOTALES'!$G32</f>
        <v>0</v>
      </c>
      <c r="AO24" s="251">
        <f>'[81]VENTAS TOTALES'!$H32</f>
        <v>0</v>
      </c>
      <c r="AP24" s="250">
        <f>'[82]VENTAS TOTALES'!$F32</f>
        <v>0</v>
      </c>
      <c r="AQ24" s="251">
        <f>'[82]VENTAS TOTALES'!$G32</f>
        <v>0</v>
      </c>
      <c r="AR24" s="251">
        <f>'[82]VENTAS TOTALES'!$H32</f>
        <v>0</v>
      </c>
      <c r="AS24" s="250">
        <f>'[83]VENTAS TOTALES'!$F32</f>
        <v>0</v>
      </c>
      <c r="AT24" s="251">
        <f>'[83]VENTAS TOTALES'!$G32</f>
        <v>0</v>
      </c>
      <c r="AU24" s="251">
        <f>'[83]VENTAS TOTALES'!$H32</f>
        <v>0</v>
      </c>
      <c r="AV24" s="250">
        <f>'[84]VENTAS TOTALES'!$F32</f>
        <v>0</v>
      </c>
      <c r="AW24" s="251">
        <f>'[84]VENTAS TOTALES'!$G32</f>
        <v>0</v>
      </c>
      <c r="AX24" s="251">
        <f>'[84]VENTAS TOTALES'!$H32</f>
        <v>0</v>
      </c>
      <c r="AY24" s="250">
        <f>'[85]VENTAS TOTALES'!$F32</f>
        <v>0</v>
      </c>
      <c r="AZ24" s="251">
        <f>'[85]VENTAS TOTALES'!$G32</f>
        <v>0</v>
      </c>
      <c r="BA24" s="251">
        <f>'[85]VENTAS TOTALES'!$H32</f>
        <v>0</v>
      </c>
      <c r="BB24" s="250">
        <f>'[86]VENTAS TOTALES'!$F32</f>
        <v>0</v>
      </c>
      <c r="BC24" s="251">
        <f>'[86]VENTAS TOTALES'!$G32</f>
        <v>0</v>
      </c>
      <c r="BD24" s="251">
        <f>'[86]VENTAS TOTALES'!$H32</f>
        <v>0</v>
      </c>
      <c r="BE24" s="250">
        <f>'[87]VENTAS TOTALES'!$F32</f>
        <v>0</v>
      </c>
      <c r="BF24" s="251">
        <f>'[87]VENTAS TOTALES'!$G32</f>
        <v>0</v>
      </c>
      <c r="BG24" s="251">
        <f>'[87]VENTAS TOTALES'!$H32</f>
        <v>0</v>
      </c>
      <c r="BH24" s="250">
        <f>'[88]VENTAS TOTALES'!$F32</f>
        <v>0</v>
      </c>
      <c r="BI24" s="251">
        <f>'[88]VENTAS TOTALES'!$G32</f>
        <v>0</v>
      </c>
      <c r="BJ24" s="251">
        <f>'[88]VENTAS TOTALES'!$H32</f>
        <v>0</v>
      </c>
      <c r="BK24" s="250">
        <f>'[89]VENTAS TOTALES'!$F32</f>
        <v>0</v>
      </c>
      <c r="BL24" s="251">
        <f>'[89]VENTAS TOTALES'!$G32</f>
        <v>0</v>
      </c>
      <c r="BM24" s="251">
        <f>'[89]VENTAS TOTALES'!$H32</f>
        <v>0</v>
      </c>
      <c r="BN24" s="250">
        <f>'[90]VENTAS TOTALES'!$F32</f>
        <v>0</v>
      </c>
      <c r="BO24" s="251">
        <f>'[90]VENTAS TOTALES'!$G32</f>
        <v>0</v>
      </c>
      <c r="BP24" s="251">
        <f>'[90]VENTAS TOTALES'!$H32</f>
        <v>0</v>
      </c>
      <c r="BQ24" s="250">
        <f>'[91]VENTAS TOTALES'!$F32</f>
        <v>0</v>
      </c>
      <c r="BR24" s="251">
        <f>'[91]VENTAS TOTALES'!$G32</f>
        <v>0</v>
      </c>
      <c r="BS24" s="251">
        <f>'[91]VENTAS TOTALES'!$H32</f>
        <v>0</v>
      </c>
      <c r="BT24" s="250">
        <f>'[92]VENTAS TOTALES'!$F32</f>
        <v>0</v>
      </c>
      <c r="BU24" s="251">
        <f>'[92]VENTAS TOTALES'!$G32</f>
        <v>0</v>
      </c>
      <c r="BV24" s="251">
        <f>'[92]VENTAS TOTALES'!$H32</f>
        <v>0</v>
      </c>
      <c r="BW24" s="250">
        <f>'[93]VENTAS TOTALES'!$F32</f>
        <v>0</v>
      </c>
      <c r="BX24" s="251">
        <f>'[93]VENTAS TOTALES'!$G32</f>
        <v>0</v>
      </c>
      <c r="BY24" s="251">
        <f>'[93]VENTAS TOTALES'!$H32</f>
        <v>0</v>
      </c>
      <c r="BZ24" s="250">
        <f>'[94]VENTAS TOTALES'!$F32</f>
        <v>0</v>
      </c>
      <c r="CA24" s="251">
        <f>'[94]VENTAS TOTALES'!$G32</f>
        <v>0</v>
      </c>
      <c r="CB24" s="251">
        <f>'[94]VENTAS TOTALES'!$H32</f>
        <v>0</v>
      </c>
      <c r="CC24" s="250">
        <f>'[95]VENTAS TOTALES'!$F32</f>
        <v>0</v>
      </c>
      <c r="CD24" s="251">
        <f>'[95]VENTAS TOTALES'!$G32</f>
        <v>0</v>
      </c>
      <c r="CE24" s="251">
        <f>'[95]VENTAS TOTALES'!$H32</f>
        <v>0</v>
      </c>
      <c r="CF24" s="250">
        <f>'[96]VENTAS TOTALES'!$F32</f>
        <v>0</v>
      </c>
      <c r="CG24" s="251">
        <f>'[96]VENTAS TOTALES'!$G32</f>
        <v>0</v>
      </c>
      <c r="CH24" s="251">
        <f>'[96]VENTAS TOTALES'!$H32</f>
        <v>0</v>
      </c>
      <c r="CI24" s="250">
        <f>'[97]VENTAS TOTALES'!$F32</f>
        <v>0</v>
      </c>
      <c r="CJ24" s="251">
        <f>'[97]VENTAS TOTALES'!$G32</f>
        <v>0</v>
      </c>
      <c r="CK24" s="251">
        <f>'[97]VENTAS TOTALES'!$H32</f>
        <v>0</v>
      </c>
      <c r="CL24" s="250">
        <f>'[98]VENTAS TOTALES'!$F32</f>
        <v>0</v>
      </c>
      <c r="CM24" s="251">
        <f>'[98]VENTAS TOTALES'!$G32</f>
        <v>0</v>
      </c>
      <c r="CN24" s="251">
        <f>'[98]VENTAS TOTALES'!$H32</f>
        <v>0</v>
      </c>
      <c r="CO24" s="250">
        <f>'[99]VENTAS TOTALES'!$F32</f>
        <v>0</v>
      </c>
      <c r="CP24" s="251">
        <f>'[99]VENTAS TOTALES'!$G32</f>
        <v>0</v>
      </c>
      <c r="CQ24" s="251">
        <f>'[99]VENTAS TOTALES'!$H32</f>
        <v>0</v>
      </c>
      <c r="CR24" s="250">
        <f>'[100]VENTAS TOTALES'!$F32</f>
        <v>0</v>
      </c>
      <c r="CS24" s="251">
        <f>'[100]VENTAS TOTALES'!$G32</f>
        <v>0</v>
      </c>
      <c r="CT24" s="251">
        <f>'[100]VENTAS TOTALES'!$H32</f>
        <v>0</v>
      </c>
      <c r="CU24" s="250">
        <f>'[101]VENTAS TOTALES'!$F32</f>
        <v>0</v>
      </c>
      <c r="CV24" s="251">
        <f>'[101]VENTAS TOTALES'!$G32</f>
        <v>0</v>
      </c>
      <c r="CW24" s="251">
        <f>'[101]VENTAS TOTALES'!$H32</f>
        <v>0</v>
      </c>
      <c r="CX24" s="250">
        <f>'[102]VENTAS TOTALES'!$F32</f>
        <v>0</v>
      </c>
      <c r="CY24" s="251">
        <f>'[102]VENTAS TOTALES'!$G32</f>
        <v>0</v>
      </c>
      <c r="CZ24" s="251">
        <f>'[102]VENTAS TOTALES'!$H32</f>
        <v>0</v>
      </c>
    </row>
    <row r="25" spans="1:104" ht="12" customHeight="1" x14ac:dyDescent="0.2">
      <c r="A25" s="443"/>
      <c r="B25" s="43" t="s">
        <v>19</v>
      </c>
      <c r="C25" s="250">
        <f>'[69]VENTAS TOTALES'!$F33</f>
        <v>11807</v>
      </c>
      <c r="D25" s="251">
        <f>'[69]VENTAS TOTALES'!$G33</f>
        <v>4316900</v>
      </c>
      <c r="E25" s="251">
        <f>'[69]VENTAS TOTALES'!$H33</f>
        <v>24388800</v>
      </c>
      <c r="F25" s="250">
        <f>'[70]VENTAS TOTALES'!$F33</f>
        <v>11577</v>
      </c>
      <c r="G25" s="251">
        <f>'[70]VENTAS TOTALES'!$G33</f>
        <v>3670400</v>
      </c>
      <c r="H25" s="251">
        <f>'[70]VENTAS TOTALES'!$H33</f>
        <v>23351300</v>
      </c>
      <c r="I25" s="250">
        <f>'[71]VENTAS TOTALES'!$F33</f>
        <v>10003</v>
      </c>
      <c r="J25" s="251">
        <f>'[71]VENTAS TOTALES'!$G33</f>
        <v>2828300</v>
      </c>
      <c r="K25" s="251">
        <f>'[71]VENTAS TOTALES'!$H33</f>
        <v>19833400</v>
      </c>
      <c r="L25" s="250">
        <f>'[72]VENTAS TOTALES'!$F33</f>
        <v>9575</v>
      </c>
      <c r="M25" s="251">
        <f>'[72]VENTAS TOTALES'!$G33</f>
        <v>2520900</v>
      </c>
      <c r="N25" s="251">
        <f>'[72]VENTAS TOTALES'!$H33</f>
        <v>18798400</v>
      </c>
      <c r="O25" s="250">
        <f>'[73]VENTAS TOTALES'!$F33</f>
        <v>5761</v>
      </c>
      <c r="P25" s="251">
        <f>'[73]VENTAS TOTALES'!$G33</f>
        <v>1857800</v>
      </c>
      <c r="Q25" s="251">
        <f>'[73]VENTAS TOTALES'!$H33</f>
        <v>11651500</v>
      </c>
      <c r="R25" s="250">
        <f>'[74]VENTAS TOTALES'!$F33</f>
        <v>2373</v>
      </c>
      <c r="S25" s="251">
        <f>'[74]VENTAS TOTALES'!$G33</f>
        <v>788200</v>
      </c>
      <c r="T25" s="251">
        <f>'[74]VENTAS TOTALES'!$H33</f>
        <v>4822300</v>
      </c>
      <c r="U25" s="250">
        <f>'[75]VENTAS TOTALES'!$F33</f>
        <v>11809</v>
      </c>
      <c r="V25" s="251">
        <f>'[75]VENTAS TOTALES'!$G33</f>
        <v>3612900</v>
      </c>
      <c r="W25" s="251">
        <f>'[75]VENTAS TOTALES'!$H33</f>
        <v>23688200</v>
      </c>
      <c r="X25" s="250">
        <f>'[76]VENTAS TOTALES'!$F33</f>
        <v>10222</v>
      </c>
      <c r="Y25" s="251">
        <f>'[76]VENTAS TOTALES'!$G33</f>
        <v>2507500</v>
      </c>
      <c r="Z25" s="251">
        <f>'[76]VENTAS TOTALES'!$H33</f>
        <v>19884900</v>
      </c>
      <c r="AA25" s="250">
        <f>'[77]VENTAS TOTALES'!$F33</f>
        <v>10063</v>
      </c>
      <c r="AB25" s="251">
        <f>'[77]VENTAS TOTALES'!$G33</f>
        <v>2216200</v>
      </c>
      <c r="AC25" s="251">
        <f>'[77]VENTAS TOTALES'!$H33</f>
        <v>19323300</v>
      </c>
      <c r="AD25" s="250">
        <f>'[78]VENTAS TOTALES'!$F33</f>
        <v>9673</v>
      </c>
      <c r="AE25" s="251">
        <f>'[78]VENTAS TOTALES'!$G33</f>
        <v>3159550</v>
      </c>
      <c r="AF25" s="251">
        <f>'[78]VENTAS TOTALES'!$H33</f>
        <v>19603650</v>
      </c>
      <c r="AG25" s="250">
        <f>'[79]VENTAS TOTALES'!$F33</f>
        <v>9002</v>
      </c>
      <c r="AH25" s="251">
        <f>'[79]VENTAS TOTALES'!$G33</f>
        <v>2350500</v>
      </c>
      <c r="AI25" s="251">
        <f>'[79]VENTAS TOTALES'!$H33</f>
        <v>17653900</v>
      </c>
      <c r="AJ25" s="250">
        <f>'[80]VENTAS TOTALES'!$F33</f>
        <v>6089</v>
      </c>
      <c r="AK25" s="251">
        <f>'[80]VENTAS TOTALES'!$G33</f>
        <v>1778800</v>
      </c>
      <c r="AL25" s="251">
        <f>'[80]VENTAS TOTALES'!$H33</f>
        <v>12130100</v>
      </c>
      <c r="AM25" s="250">
        <f>'[81]VENTAS TOTALES'!$F33</f>
        <v>2335</v>
      </c>
      <c r="AN25" s="251">
        <f>'[81]VENTAS TOTALES'!$G33</f>
        <v>761000</v>
      </c>
      <c r="AO25" s="251">
        <f>'[81]VENTAS TOTALES'!$H33</f>
        <v>4730500</v>
      </c>
      <c r="AP25" s="250">
        <f>'[82]VENTAS TOTALES'!$F33</f>
        <v>12148</v>
      </c>
      <c r="AQ25" s="251">
        <f>'[82]VENTAS TOTALES'!$G33</f>
        <v>3327550</v>
      </c>
      <c r="AR25" s="251">
        <f>'[82]VENTAS TOTALES'!$H33</f>
        <v>23979150</v>
      </c>
      <c r="AS25" s="250">
        <f>'[83]VENTAS TOTALES'!$F33</f>
        <v>11620</v>
      </c>
      <c r="AT25" s="251">
        <f>'[83]VENTAS TOTALES'!$G33</f>
        <v>4873100</v>
      </c>
      <c r="AU25" s="251">
        <f>'[83]VENTAS TOTALES'!$H33</f>
        <v>24627100</v>
      </c>
      <c r="AV25" s="250">
        <f>'[84]VENTAS TOTALES'!$F33</f>
        <v>10115</v>
      </c>
      <c r="AW25" s="251">
        <f>'[84]VENTAS TOTALES'!$G33</f>
        <v>4017700</v>
      </c>
      <c r="AX25" s="251">
        <f>'[84]VENTAS TOTALES'!$H33</f>
        <v>21213200</v>
      </c>
      <c r="AY25" s="250">
        <f>'[85]VENTAS TOTALES'!$F33</f>
        <v>10088</v>
      </c>
      <c r="AZ25" s="251">
        <f>'[85]VENTAS TOTALES'!$G33</f>
        <v>3494850</v>
      </c>
      <c r="BA25" s="251">
        <f>'[85]VENTAS TOTALES'!$H33</f>
        <v>20644450</v>
      </c>
      <c r="BB25" s="250">
        <f>'[86]VENTAS TOTALES'!$F33</f>
        <v>9866</v>
      </c>
      <c r="BC25" s="251">
        <f>'[86]VENTAS TOTALES'!$G33</f>
        <v>2465150</v>
      </c>
      <c r="BD25" s="251">
        <f>'[86]VENTAS TOTALES'!$H33</f>
        <v>19237350</v>
      </c>
      <c r="BE25" s="250">
        <f>'[87]VENTAS TOTALES'!$F33</f>
        <v>6408</v>
      </c>
      <c r="BF25" s="251">
        <f>'[87]VENTAS TOTALES'!$G33</f>
        <v>1885400</v>
      </c>
      <c r="BG25" s="251">
        <f>'[87]VENTAS TOTALES'!$H33</f>
        <v>12779000</v>
      </c>
      <c r="BH25" s="250">
        <f>'[88]VENTAS TOTALES'!$F33</f>
        <v>2268</v>
      </c>
      <c r="BI25" s="251">
        <f>'[88]VENTAS TOTALES'!$G33</f>
        <v>843000</v>
      </c>
      <c r="BJ25" s="251">
        <f>'[88]VENTAS TOTALES'!$H33</f>
        <v>4698600</v>
      </c>
      <c r="BK25" s="250">
        <f>'[89]VENTAS TOTALES'!$F33</f>
        <v>11855</v>
      </c>
      <c r="BL25" s="251">
        <f>'[89]VENTAS TOTALES'!$G33</f>
        <v>3750200</v>
      </c>
      <c r="BM25" s="251">
        <f>'[89]VENTAS TOTALES'!$H33</f>
        <v>23903700</v>
      </c>
      <c r="BN25" s="250">
        <f>'[90]VENTAS TOTALES'!$F33</f>
        <v>10226</v>
      </c>
      <c r="BO25" s="251">
        <f>'[90]VENTAS TOTALES'!$G33</f>
        <v>2560100</v>
      </c>
      <c r="BP25" s="251">
        <f>'[90]VENTAS TOTALES'!$H33</f>
        <v>19944300</v>
      </c>
      <c r="BQ25" s="250">
        <f>'[91]VENTAS TOTALES'!$F33</f>
        <v>9868</v>
      </c>
      <c r="BR25" s="251">
        <f>'[91]VENTAS TOTALES'!$G33</f>
        <v>2344500</v>
      </c>
      <c r="BS25" s="251">
        <f>'[91]VENTAS TOTALES'!$H33</f>
        <v>19120100</v>
      </c>
      <c r="BT25" s="250">
        <f>'[92]VENTAS TOTALES'!$F33</f>
        <v>9295</v>
      </c>
      <c r="BU25" s="251">
        <f>'[92]VENTAS TOTALES'!$G33</f>
        <v>2657500</v>
      </c>
      <c r="BV25" s="251">
        <f>'[92]VENTAS TOTALES'!$H33</f>
        <v>18459000</v>
      </c>
      <c r="BW25" s="250">
        <f>'[93]VENTAS TOTALES'!$F33</f>
        <v>9402</v>
      </c>
      <c r="BX25" s="251">
        <f>'[93]VENTAS TOTALES'!$G33</f>
        <v>2174800</v>
      </c>
      <c r="BY25" s="251">
        <f>'[93]VENTAS TOTALES'!$H33</f>
        <v>18158200</v>
      </c>
      <c r="BZ25" s="250">
        <f>'[94]VENTAS TOTALES'!$F33</f>
        <v>6522</v>
      </c>
      <c r="CA25" s="251">
        <f>'[94]VENTAS TOTALES'!$G33</f>
        <v>2508000</v>
      </c>
      <c r="CB25" s="251">
        <f>'[94]VENTAS TOTALES'!$H33</f>
        <v>13595400</v>
      </c>
      <c r="CC25" s="250">
        <f>'[95]VENTAS TOTALES'!$F33</f>
        <v>2361</v>
      </c>
      <c r="CD25" s="251">
        <f>'[95]VENTAS TOTALES'!$G33</f>
        <v>772500</v>
      </c>
      <c r="CE25" s="251">
        <f>'[95]VENTAS TOTALES'!$H33</f>
        <v>4786200</v>
      </c>
      <c r="CF25" s="250">
        <f>'[96]VENTAS TOTALES'!$F33</f>
        <v>13051</v>
      </c>
      <c r="CG25" s="251">
        <f>'[96]VENTAS TOTALES'!$G33</f>
        <v>5841400</v>
      </c>
      <c r="CH25" s="251">
        <f>'[96]VENTAS TOTALES'!$H33</f>
        <v>28028100</v>
      </c>
      <c r="CI25" s="250">
        <f>'[97]VENTAS TOTALES'!$F33</f>
        <v>11921</v>
      </c>
      <c r="CJ25" s="251">
        <f>'[97]VENTAS TOTALES'!$G33</f>
        <v>4657100</v>
      </c>
      <c r="CK25" s="251">
        <f>'[97]VENTAS TOTALES'!$H33</f>
        <v>24922800</v>
      </c>
      <c r="CL25" s="250">
        <f>'[98]VENTAS TOTALES'!$F33</f>
        <v>10708</v>
      </c>
      <c r="CM25" s="251">
        <f>'[98]VENTAS TOTALES'!$G33</f>
        <v>3236400</v>
      </c>
      <c r="CN25" s="251">
        <f>'[98]VENTAS TOTALES'!$H33</f>
        <v>21440000</v>
      </c>
      <c r="CO25" s="250">
        <f>'[99]VENTAS TOTALES'!$F33</f>
        <v>10280</v>
      </c>
      <c r="CP25" s="251">
        <f>'[99]VENTAS TOTALES'!$G33</f>
        <v>2887050</v>
      </c>
      <c r="CQ25" s="251">
        <f>'[99]VENTAS TOTALES'!$H33</f>
        <v>20363050</v>
      </c>
      <c r="CR25" s="250">
        <f>'[100]VENTAS TOTALES'!$F33</f>
        <v>9708</v>
      </c>
      <c r="CS25" s="251">
        <f>'[100]VENTAS TOTALES'!$G33</f>
        <v>2546300</v>
      </c>
      <c r="CT25" s="251">
        <f>'[100]VENTAS TOTALES'!$H33</f>
        <v>19049900</v>
      </c>
      <c r="CU25" s="250">
        <f>'[101]VENTAS TOTALES'!$F33</f>
        <v>6640</v>
      </c>
      <c r="CV25" s="251">
        <f>'[101]VENTAS TOTALES'!$G33</f>
        <v>2254200</v>
      </c>
      <c r="CW25" s="251">
        <f>'[101]VENTAS TOTALES'!$H33</f>
        <v>13542200</v>
      </c>
      <c r="CX25" s="250">
        <f>'[102]VENTAS TOTALES'!$F33</f>
        <v>2439</v>
      </c>
      <c r="CY25" s="251">
        <f>'[102]VENTAS TOTALES'!$G33</f>
        <v>792650</v>
      </c>
      <c r="CZ25" s="251">
        <f>'[102]VENTAS TOTALES'!$H33</f>
        <v>4938950</v>
      </c>
    </row>
    <row r="26" spans="1:104" ht="12" customHeight="1" x14ac:dyDescent="0.2">
      <c r="A26" s="443"/>
      <c r="B26" s="43" t="s">
        <v>20</v>
      </c>
      <c r="C26" s="250">
        <f>'[69]VENTAS TOTALES'!$F34</f>
        <v>15169</v>
      </c>
      <c r="D26" s="251">
        <f>'[69]VENTAS TOTALES'!$G34</f>
        <v>5963700</v>
      </c>
      <c r="E26" s="251">
        <f>'[69]VENTAS TOTALES'!$H34</f>
        <v>31751000</v>
      </c>
      <c r="F26" s="250">
        <f>'[70]VENTAS TOTALES'!$F34</f>
        <v>14531</v>
      </c>
      <c r="G26" s="251">
        <f>'[70]VENTAS TOTALES'!$G34</f>
        <v>4810000</v>
      </c>
      <c r="H26" s="251">
        <f>'[70]VENTAS TOTALES'!$H34</f>
        <v>29512700</v>
      </c>
      <c r="I26" s="250">
        <f>'[71]VENTAS TOTALES'!$F34</f>
        <v>12270</v>
      </c>
      <c r="J26" s="251">
        <f>'[71]VENTAS TOTALES'!$G34</f>
        <v>3589300</v>
      </c>
      <c r="K26" s="251">
        <f>'[71]VENTAS TOTALES'!$H34</f>
        <v>24448300</v>
      </c>
      <c r="L26" s="250">
        <f>'[72]VENTAS TOTALES'!$F34</f>
        <v>12433</v>
      </c>
      <c r="M26" s="251">
        <f>'[72]VENTAS TOTALES'!$G34</f>
        <v>3031800</v>
      </c>
      <c r="N26" s="251">
        <f>'[72]VENTAS TOTALES'!$H34</f>
        <v>24167900</v>
      </c>
      <c r="O26" s="250">
        <f>'[73]VENTAS TOTALES'!$F34</f>
        <v>8513</v>
      </c>
      <c r="P26" s="251">
        <f>'[73]VENTAS TOTALES'!$G34</f>
        <v>2546600</v>
      </c>
      <c r="Q26" s="251">
        <f>'[73]VENTAS TOTALES'!$H34</f>
        <v>17018700</v>
      </c>
      <c r="R26" s="250">
        <f>'[74]VENTAS TOTALES'!$F34</f>
        <v>3480</v>
      </c>
      <c r="S26" s="251">
        <f>'[74]VENTAS TOTALES'!$G34</f>
        <v>992900</v>
      </c>
      <c r="T26" s="251">
        <f>'[74]VENTAS TOTALES'!$H34</f>
        <v>6908900</v>
      </c>
      <c r="U26" s="250">
        <f>'[75]VENTAS TOTALES'!$F34</f>
        <v>15819</v>
      </c>
      <c r="V26" s="251">
        <f>'[75]VENTAS TOTALES'!$G34</f>
        <v>4541500</v>
      </c>
      <c r="W26" s="251">
        <f>'[75]VENTAS TOTALES'!$H34</f>
        <v>31433800</v>
      </c>
      <c r="X26" s="250">
        <f>'[76]VENTAS TOTALES'!$F34</f>
        <v>13458</v>
      </c>
      <c r="Y26" s="251">
        <f>'[76]VENTAS TOTALES'!$G34</f>
        <v>3708400</v>
      </c>
      <c r="Z26" s="251">
        <f>'[76]VENTAS TOTALES'!$H34</f>
        <v>26587000</v>
      </c>
      <c r="AA26" s="250">
        <f>'[77]VENTAS TOTALES'!$F34</f>
        <v>12775</v>
      </c>
      <c r="AB26" s="251">
        <f>'[77]VENTAS TOTALES'!$G34</f>
        <v>2989400</v>
      </c>
      <c r="AC26" s="251">
        <f>'[77]VENTAS TOTALES'!$H34</f>
        <v>24706900</v>
      </c>
      <c r="AD26" s="250">
        <f>'[78]VENTAS TOTALES'!$F34</f>
        <v>12844</v>
      </c>
      <c r="AE26" s="251">
        <f>'[78]VENTAS TOTALES'!$G34</f>
        <v>3667600</v>
      </c>
      <c r="AF26" s="251">
        <f>'[78]VENTAS TOTALES'!$H34</f>
        <v>25502400</v>
      </c>
      <c r="AG26" s="250">
        <f>'[79]VENTAS TOTALES'!$F34</f>
        <v>12467</v>
      </c>
      <c r="AH26" s="251">
        <f>'[79]VENTAS TOTALES'!$G34</f>
        <v>3068200</v>
      </c>
      <c r="AI26" s="251">
        <f>'[79]VENTAS TOTALES'!$H34</f>
        <v>24262100</v>
      </c>
      <c r="AJ26" s="250">
        <f>'[80]VENTAS TOTALES'!$F34</f>
        <v>8994</v>
      </c>
      <c r="AK26" s="251">
        <f>'[80]VENTAS TOTALES'!$G34</f>
        <v>2636800</v>
      </c>
      <c r="AL26" s="251">
        <f>'[80]VENTAS TOTALES'!$H34</f>
        <v>17926600</v>
      </c>
      <c r="AM26" s="250">
        <f>'[81]VENTAS TOTALES'!$F34</f>
        <v>3186</v>
      </c>
      <c r="AN26" s="251">
        <f>'[81]VENTAS TOTALES'!$G34</f>
        <v>1129200</v>
      </c>
      <c r="AO26" s="251">
        <f>'[81]VENTAS TOTALES'!$H34</f>
        <v>6545400</v>
      </c>
      <c r="AP26" s="250">
        <f>'[82]VENTAS TOTALES'!$F34</f>
        <v>16057</v>
      </c>
      <c r="AQ26" s="251">
        <f>'[82]VENTAS TOTALES'!$G34</f>
        <v>4148000</v>
      </c>
      <c r="AR26" s="251">
        <f>'[82]VENTAS TOTALES'!$H34</f>
        <v>31444900</v>
      </c>
      <c r="AS26" s="250">
        <f>'[83]VENTAS TOTALES'!$F34</f>
        <v>14778</v>
      </c>
      <c r="AT26" s="251">
        <f>'[83]VENTAS TOTALES'!$G34</f>
        <v>5662400</v>
      </c>
      <c r="AU26" s="251">
        <f>'[83]VENTAS TOTALES'!$H34</f>
        <v>30785000</v>
      </c>
      <c r="AV26" s="250">
        <f>'[84]VENTAS TOTALES'!$F34</f>
        <v>14277</v>
      </c>
      <c r="AW26" s="251">
        <f>'[84]VENTAS TOTALES'!$G34</f>
        <v>5474600</v>
      </c>
      <c r="AX26" s="251">
        <f>'[84]VENTAS TOTALES'!$H34</f>
        <v>29745500</v>
      </c>
      <c r="AY26" s="250">
        <f>'[85]VENTAS TOTALES'!$F34</f>
        <v>13164</v>
      </c>
      <c r="AZ26" s="251">
        <f>'[85]VENTAS TOTALES'!$G34</f>
        <v>4330900</v>
      </c>
      <c r="BA26" s="251">
        <f>'[85]VENTAS TOTALES'!$H34</f>
        <v>26709700</v>
      </c>
      <c r="BB26" s="250">
        <f>'[86]VENTAS TOTALES'!$F34</f>
        <v>13021</v>
      </c>
      <c r="BC26" s="251">
        <f>'[86]VENTAS TOTALES'!$G34</f>
        <v>3659100</v>
      </c>
      <c r="BD26" s="251">
        <f>'[86]VENTAS TOTALES'!$H34</f>
        <v>25794800</v>
      </c>
      <c r="BE26" s="250">
        <f>'[87]VENTAS TOTALES'!$F34</f>
        <v>9179</v>
      </c>
      <c r="BF26" s="251">
        <f>'[87]VENTAS TOTALES'!$G34</f>
        <v>3191600</v>
      </c>
      <c r="BG26" s="251">
        <f>'[87]VENTAS TOTALES'!$H34</f>
        <v>18795900</v>
      </c>
      <c r="BH26" s="250">
        <f>'[88]VENTAS TOTALES'!$F34</f>
        <v>3517</v>
      </c>
      <c r="BI26" s="251">
        <f>'[88]VENTAS TOTALES'!$G34</f>
        <v>1088300</v>
      </c>
      <c r="BJ26" s="251">
        <f>'[88]VENTAS TOTALES'!$H34</f>
        <v>7067200</v>
      </c>
      <c r="BK26" s="250">
        <f>'[89]VENTAS TOTALES'!$F34</f>
        <v>15700</v>
      </c>
      <c r="BL26" s="251">
        <f>'[89]VENTAS TOTALES'!$G34</f>
        <v>5716200</v>
      </c>
      <c r="BM26" s="251">
        <f>'[89]VENTAS TOTALES'!$H34</f>
        <v>32406200</v>
      </c>
      <c r="BN26" s="250">
        <f>'[90]VENTAS TOTALES'!$F34</f>
        <v>13448</v>
      </c>
      <c r="BO26" s="251">
        <f>'[90]VENTAS TOTALES'!$G34</f>
        <v>3701600</v>
      </c>
      <c r="BP26" s="251">
        <f>'[90]VENTAS TOTALES'!$H34</f>
        <v>26563200</v>
      </c>
      <c r="BQ26" s="250">
        <f>'[91]VENTAS TOTALES'!$F34</f>
        <v>12874</v>
      </c>
      <c r="BR26" s="251">
        <f>'[91]VENTAS TOTALES'!$G34</f>
        <v>3716600</v>
      </c>
      <c r="BS26" s="251">
        <f>'[91]VENTAS TOTALES'!$H34</f>
        <v>25602400</v>
      </c>
      <c r="BT26" s="250">
        <f>'[92]VENTAS TOTALES'!$F34</f>
        <v>12543</v>
      </c>
      <c r="BU26" s="251">
        <f>'[92]VENTAS TOTALES'!$G34</f>
        <v>2785900</v>
      </c>
      <c r="BV26" s="251">
        <f>'[92]VENTAS TOTALES'!$H34</f>
        <v>24109000</v>
      </c>
      <c r="BW26" s="250">
        <f>'[93]VENTAS TOTALES'!$F34</f>
        <v>12495</v>
      </c>
      <c r="BX26" s="251">
        <f>'[93]VENTAS TOTALES'!$G34</f>
        <v>3287400</v>
      </c>
      <c r="BY26" s="251">
        <f>'[93]VENTAS TOTALES'!$H34</f>
        <v>24528900</v>
      </c>
      <c r="BZ26" s="250">
        <f>'[94]VENTAS TOTALES'!$F34</f>
        <v>9301</v>
      </c>
      <c r="CA26" s="251">
        <f>'[94]VENTAS TOTALES'!$G34</f>
        <v>3202400</v>
      </c>
      <c r="CB26" s="251">
        <f>'[94]VENTAS TOTALES'!$H34</f>
        <v>19014100</v>
      </c>
      <c r="CC26" s="250">
        <f>'[95]VENTAS TOTALES'!$F34</f>
        <v>3472</v>
      </c>
      <c r="CD26" s="251">
        <f>'[95]VENTAS TOTALES'!$G34</f>
        <v>1075000</v>
      </c>
      <c r="CE26" s="251">
        <f>'[95]VENTAS TOTALES'!$H34</f>
        <v>6977400</v>
      </c>
      <c r="CF26" s="250">
        <f>'[96]VENTAS TOTALES'!$F34</f>
        <v>17035</v>
      </c>
      <c r="CG26" s="251">
        <f>'[96]VENTAS TOTALES'!$G34</f>
        <v>6688400</v>
      </c>
      <c r="CH26" s="251">
        <f>'[96]VENTAS TOTALES'!$H34</f>
        <v>35647900</v>
      </c>
      <c r="CI26" s="250">
        <f>'[97]VENTAS TOTALES'!$F34</f>
        <v>15437</v>
      </c>
      <c r="CJ26" s="251">
        <f>'[97]VENTAS TOTALES'!$G34</f>
        <v>6180600</v>
      </c>
      <c r="CK26" s="251">
        <f>'[97]VENTAS TOTALES'!$H34</f>
        <v>32423500</v>
      </c>
      <c r="CL26" s="250">
        <f>'[98]VENTAS TOTALES'!$F34</f>
        <v>14606</v>
      </c>
      <c r="CM26" s="251">
        <f>'[98]VENTAS TOTALES'!$G34</f>
        <v>5988800</v>
      </c>
      <c r="CN26" s="251">
        <f>'[98]VENTAS TOTALES'!$H34</f>
        <v>30819000</v>
      </c>
      <c r="CO26" s="250">
        <f>'[99]VENTAS TOTALES'!$F34</f>
        <v>13592</v>
      </c>
      <c r="CP26" s="251">
        <f>'[99]VENTAS TOTALES'!$G34</f>
        <v>3944200</v>
      </c>
      <c r="CQ26" s="251">
        <f>'[99]VENTAS TOTALES'!$H34</f>
        <v>27050600</v>
      </c>
      <c r="CR26" s="250">
        <f>'[100]VENTAS TOTALES'!$F34</f>
        <v>13150</v>
      </c>
      <c r="CS26" s="251">
        <f>'[100]VENTAS TOTALES'!$G34</f>
        <v>3267500</v>
      </c>
      <c r="CT26" s="251">
        <f>'[100]VENTAS TOTALES'!$H34</f>
        <v>25622500</v>
      </c>
      <c r="CU26" s="250">
        <f>'[101]VENTAS TOTALES'!$F34</f>
        <v>9891</v>
      </c>
      <c r="CV26" s="251">
        <f>'[101]VENTAS TOTALES'!$G34</f>
        <v>2367500</v>
      </c>
      <c r="CW26" s="251">
        <f>'[101]VENTAS TOTALES'!$H34</f>
        <v>19182200</v>
      </c>
      <c r="CX26" s="250">
        <f>'[102]VENTAS TOTALES'!$F34</f>
        <v>3388</v>
      </c>
      <c r="CY26" s="251">
        <f>'[102]VENTAS TOTALES'!$G34</f>
        <v>1349600</v>
      </c>
      <c r="CZ26" s="251">
        <f>'[102]VENTAS TOTALES'!$H34</f>
        <v>7109200</v>
      </c>
    </row>
    <row r="27" spans="1:104" ht="12" customHeight="1" x14ac:dyDescent="0.2">
      <c r="A27" s="443"/>
      <c r="B27" s="43" t="s">
        <v>21</v>
      </c>
      <c r="C27" s="250">
        <f>'[69]VENTAS TOTALES'!$F35</f>
        <v>12136</v>
      </c>
      <c r="D27" s="251">
        <f>'[69]VENTAS TOTALES'!$G35</f>
        <v>7582000</v>
      </c>
      <c r="E27" s="251">
        <f>'[69]VENTAS TOTALES'!$H35</f>
        <v>28213200</v>
      </c>
      <c r="F27" s="250">
        <f>'[70]VENTAS TOTALES'!$F35</f>
        <v>12344</v>
      </c>
      <c r="G27" s="251">
        <f>'[70]VENTAS TOTALES'!$G35</f>
        <v>5156000</v>
      </c>
      <c r="H27" s="251">
        <f>'[70]VENTAS TOTALES'!$H35</f>
        <v>26140800</v>
      </c>
      <c r="I27" s="250">
        <f>'[71]VENTAS TOTALES'!$F35</f>
        <v>10563</v>
      </c>
      <c r="J27" s="251">
        <f>'[71]VENTAS TOTALES'!$G35</f>
        <v>3864300</v>
      </c>
      <c r="K27" s="251">
        <f>'[71]VENTAS TOTALES'!$H35</f>
        <v>21821400</v>
      </c>
      <c r="L27" s="250">
        <f>'[72]VENTAS TOTALES'!$F35</f>
        <v>10562</v>
      </c>
      <c r="M27" s="251">
        <f>'[72]VENTAS TOTALES'!$G35</f>
        <v>3765400</v>
      </c>
      <c r="N27" s="251">
        <f>'[72]VENTAS TOTALES'!$H35</f>
        <v>21720800</v>
      </c>
      <c r="O27" s="250">
        <f>'[73]VENTAS TOTALES'!$F35</f>
        <v>8522</v>
      </c>
      <c r="P27" s="251">
        <f>'[73]VENTAS TOTALES'!$G35</f>
        <v>3514500</v>
      </c>
      <c r="Q27" s="251">
        <f>'[73]VENTAS TOTALES'!$H35</f>
        <v>18001900</v>
      </c>
      <c r="R27" s="250">
        <f>'[74]VENTAS TOTALES'!$F35</f>
        <v>4551</v>
      </c>
      <c r="S27" s="251">
        <f>'[74]VENTAS TOTALES'!$G35</f>
        <v>1093400</v>
      </c>
      <c r="T27" s="251">
        <f>'[74]VENTAS TOTALES'!$H35</f>
        <v>8830100</v>
      </c>
      <c r="U27" s="250">
        <f>'[75]VENTAS TOTALES'!$F35</f>
        <v>13151</v>
      </c>
      <c r="V27" s="251">
        <f>'[75]VENTAS TOTALES'!$G35</f>
        <v>7014350</v>
      </c>
      <c r="W27" s="251">
        <f>'[75]VENTAS TOTALES'!$H35</f>
        <v>29371050</v>
      </c>
      <c r="X27" s="250">
        <f>'[76]VENTAS TOTALES'!$F35</f>
        <v>11638</v>
      </c>
      <c r="Y27" s="251">
        <f>'[76]VENTAS TOTALES'!$G35</f>
        <v>4795600</v>
      </c>
      <c r="Z27" s="251">
        <f>'[76]VENTAS TOTALES'!$H35</f>
        <v>24580200</v>
      </c>
      <c r="AA27" s="250">
        <f>'[77]VENTAS TOTALES'!$F35</f>
        <v>10366</v>
      </c>
      <c r="AB27" s="251">
        <f>'[77]VENTAS TOTALES'!$G35</f>
        <v>3959300</v>
      </c>
      <c r="AC27" s="251">
        <f>'[77]VENTAS TOTALES'!$H35</f>
        <v>21581500</v>
      </c>
      <c r="AD27" s="250">
        <f>'[78]VENTAS TOTALES'!$F35</f>
        <v>10576</v>
      </c>
      <c r="AE27" s="251">
        <f>'[78]VENTAS TOTALES'!$G35</f>
        <v>4070800</v>
      </c>
      <c r="AF27" s="251">
        <f>'[78]VENTAS TOTALES'!$H35</f>
        <v>22050000</v>
      </c>
      <c r="AG27" s="250">
        <f>'[79]VENTAS TOTALES'!$F35</f>
        <v>10199</v>
      </c>
      <c r="AH27" s="251">
        <f>'[79]VENTAS TOTALES'!$G35</f>
        <v>3296900</v>
      </c>
      <c r="AI27" s="251">
        <f>'[79]VENTAS TOTALES'!$H35</f>
        <v>20635200</v>
      </c>
      <c r="AJ27" s="250">
        <f>'[80]VENTAS TOTALES'!$F35</f>
        <v>8088</v>
      </c>
      <c r="AK27" s="251">
        <f>'[80]VENTAS TOTALES'!$G35</f>
        <v>3271200</v>
      </c>
      <c r="AL27" s="251">
        <f>'[80]VENTAS TOTALES'!$H35</f>
        <v>17020800</v>
      </c>
      <c r="AM27" s="250">
        <f>'[81]VENTAS TOTALES'!$F35</f>
        <v>4344</v>
      </c>
      <c r="AN27" s="251">
        <f>'[81]VENTAS TOTALES'!$G35</f>
        <v>1299500</v>
      </c>
      <c r="AO27" s="251">
        <f>'[81]VENTAS TOTALES'!$H35</f>
        <v>8684300</v>
      </c>
      <c r="AP27" s="250">
        <f>'[82]VENTAS TOTALES'!$F35</f>
        <v>12615</v>
      </c>
      <c r="AQ27" s="251">
        <f>'[82]VENTAS TOTALES'!$G35</f>
        <v>5283850</v>
      </c>
      <c r="AR27" s="251">
        <f>'[82]VENTAS TOTALES'!$H35</f>
        <v>26729350</v>
      </c>
      <c r="AS27" s="250">
        <f>'[83]VENTAS TOTALES'!$F35</f>
        <v>12260</v>
      </c>
      <c r="AT27" s="251">
        <f>'[83]VENTAS TOTALES'!$G35</f>
        <v>7009050</v>
      </c>
      <c r="AU27" s="251">
        <f>'[83]VENTAS TOTALES'!$H35</f>
        <v>27851050</v>
      </c>
      <c r="AV27" s="250">
        <f>'[84]VENTAS TOTALES'!$F35</f>
        <v>10917</v>
      </c>
      <c r="AW27" s="251">
        <f>'[84]VENTAS TOTALES'!$G35</f>
        <v>5266750</v>
      </c>
      <c r="AX27" s="251">
        <f>'[84]VENTAS TOTALES'!$H35</f>
        <v>23825650</v>
      </c>
      <c r="AY27" s="250">
        <f>'[85]VENTAS TOTALES'!$F35</f>
        <v>11324</v>
      </c>
      <c r="AZ27" s="251">
        <f>'[85]VENTAS TOTALES'!$G35</f>
        <v>5446500</v>
      </c>
      <c r="BA27" s="251">
        <f>'[85]VENTAS TOTALES'!$H35</f>
        <v>24697300</v>
      </c>
      <c r="BB27" s="250">
        <f>'[86]VENTAS TOTALES'!$F35</f>
        <v>10690</v>
      </c>
      <c r="BC27" s="251">
        <f>'[86]VENTAS TOTALES'!$G35</f>
        <v>3897400</v>
      </c>
      <c r="BD27" s="251">
        <f>'[86]VENTAS TOTALES'!$H35</f>
        <v>22070400</v>
      </c>
      <c r="BE27" s="250">
        <f>'[87]VENTAS TOTALES'!$F35</f>
        <v>8840</v>
      </c>
      <c r="BF27" s="251">
        <f>'[87]VENTAS TOTALES'!$G35</f>
        <v>3193200</v>
      </c>
      <c r="BG27" s="251">
        <f>'[87]VENTAS TOTALES'!$H35</f>
        <v>18221200</v>
      </c>
      <c r="BH27" s="250">
        <f>'[88]VENTAS TOTALES'!$F35</f>
        <v>4201</v>
      </c>
      <c r="BI27" s="251">
        <f>'[88]VENTAS TOTALES'!$G35</f>
        <v>1322500</v>
      </c>
      <c r="BJ27" s="251">
        <f>'[88]VENTAS TOTALES'!$H35</f>
        <v>8464200</v>
      </c>
      <c r="BK27" s="250">
        <f>'[89]VENTAS TOTALES'!$F35</f>
        <v>13021</v>
      </c>
      <c r="BL27" s="251">
        <f>'[89]VENTAS TOTALES'!$G35</f>
        <v>5553500</v>
      </c>
      <c r="BM27" s="251">
        <f>'[89]VENTAS TOTALES'!$H35</f>
        <v>27689200</v>
      </c>
      <c r="BN27" s="250">
        <f>'[90]VENTAS TOTALES'!$F35</f>
        <v>11326</v>
      </c>
      <c r="BO27" s="251">
        <f>'[90]VENTAS TOTALES'!$G35</f>
        <v>4143050</v>
      </c>
      <c r="BP27" s="251">
        <f>'[90]VENTAS TOTALES'!$H35</f>
        <v>23397250</v>
      </c>
      <c r="BQ27" s="250">
        <f>'[91]VENTAS TOTALES'!$F35</f>
        <v>10739</v>
      </c>
      <c r="BR27" s="251">
        <f>'[91]VENTAS TOTALES'!$G35</f>
        <v>4048600</v>
      </c>
      <c r="BS27" s="251">
        <f>'[91]VENTAS TOTALES'!$H35</f>
        <v>22304900</v>
      </c>
      <c r="BT27" s="250">
        <f>'[92]VENTAS TOTALES'!$F35</f>
        <v>10422</v>
      </c>
      <c r="BU27" s="251">
        <f>'[92]VENTAS TOTALES'!$G35</f>
        <v>3648500</v>
      </c>
      <c r="BV27" s="251">
        <f>'[92]VENTAS TOTALES'!$H35</f>
        <v>21365900</v>
      </c>
      <c r="BW27" s="250">
        <f>'[93]VENTAS TOTALES'!$F35</f>
        <v>10191</v>
      </c>
      <c r="BX27" s="251">
        <f>'[93]VENTAS TOTALES'!$G35</f>
        <v>3635900</v>
      </c>
      <c r="BY27" s="251">
        <f>'[93]VENTAS TOTALES'!$H35</f>
        <v>20960600</v>
      </c>
      <c r="BZ27" s="250">
        <f>'[94]VENTAS TOTALES'!$F35</f>
        <v>8780</v>
      </c>
      <c r="CA27" s="251">
        <f>'[94]VENTAS TOTALES'!$G35</f>
        <v>3486100</v>
      </c>
      <c r="CB27" s="251">
        <f>'[94]VENTAS TOTALES'!$H35</f>
        <v>18412100</v>
      </c>
      <c r="CC27" s="250">
        <f>'[95]VENTAS TOTALES'!$F35</f>
        <v>4332</v>
      </c>
      <c r="CD27" s="251">
        <f>'[95]VENTAS TOTALES'!$G35</f>
        <v>1606900</v>
      </c>
      <c r="CE27" s="251">
        <f>'[95]VENTAS TOTALES'!$H35</f>
        <v>8971300</v>
      </c>
      <c r="CF27" s="250">
        <f>'[96]VENTAS TOTALES'!$F35</f>
        <v>13970</v>
      </c>
      <c r="CG27" s="251">
        <f>'[96]VENTAS TOTALES'!$G35</f>
        <v>7810900</v>
      </c>
      <c r="CH27" s="251">
        <f>'[96]VENTAS TOTALES'!$H35</f>
        <v>31559900</v>
      </c>
      <c r="CI27" s="250">
        <f>'[97]VENTAS TOTALES'!$F35</f>
        <v>12213</v>
      </c>
      <c r="CJ27" s="251">
        <f>'[97]VENTAS TOTALES'!$G35</f>
        <v>7415200</v>
      </c>
      <c r="CK27" s="251">
        <f>'[97]VENTAS TOTALES'!$H35</f>
        <v>28177300</v>
      </c>
      <c r="CL27" s="250">
        <f>'[98]VENTAS TOTALES'!$F35</f>
        <v>11690</v>
      </c>
      <c r="CM27" s="251">
        <f>'[98]VENTAS TOTALES'!$G35</f>
        <v>5754750</v>
      </c>
      <c r="CN27" s="251">
        <f>'[98]VENTAS TOTALES'!$H35</f>
        <v>25627750</v>
      </c>
      <c r="CO27" s="250">
        <f>'[99]VENTAS TOTALES'!$F35</f>
        <v>11461</v>
      </c>
      <c r="CP27" s="251">
        <f>'[99]VENTAS TOTALES'!$G35</f>
        <v>4777050</v>
      </c>
      <c r="CQ27" s="251">
        <f>'[99]VENTAS TOTALES'!$H35</f>
        <v>24260750</v>
      </c>
      <c r="CR27" s="250">
        <f>'[100]VENTAS TOTALES'!$F35</f>
        <v>10983</v>
      </c>
      <c r="CS27" s="251">
        <f>'[100]VENTAS TOTALES'!$G35</f>
        <v>3596850</v>
      </c>
      <c r="CT27" s="251">
        <f>'[100]VENTAS TOTALES'!$H35</f>
        <v>22267950</v>
      </c>
      <c r="CU27" s="250">
        <f>'[101]VENTAS TOTALES'!$F35</f>
        <v>8807</v>
      </c>
      <c r="CV27" s="251">
        <f>'[101]VENTAS TOTALES'!$G35</f>
        <v>3489200</v>
      </c>
      <c r="CW27" s="251">
        <f>'[101]VENTAS TOTALES'!$H35</f>
        <v>18461100</v>
      </c>
      <c r="CX27" s="250">
        <f>'[102]VENTAS TOTALES'!$F35</f>
        <v>4067</v>
      </c>
      <c r="CY27" s="251">
        <f>'[102]VENTAS TOTALES'!$G35</f>
        <v>1301900</v>
      </c>
      <c r="CZ27" s="251">
        <f>'[102]VENTAS TOTALES'!$H35</f>
        <v>8215800</v>
      </c>
    </row>
    <row r="28" spans="1:104" ht="12" customHeight="1" x14ac:dyDescent="0.2">
      <c r="A28" s="443"/>
      <c r="B28" s="43" t="s">
        <v>133</v>
      </c>
      <c r="C28" s="250">
        <f>'[69]VENTAS TOTALES'!$F36</f>
        <v>13678</v>
      </c>
      <c r="D28" s="251">
        <f>'[69]VENTAS TOTALES'!$G36</f>
        <v>6535200</v>
      </c>
      <c r="E28" s="251">
        <f>'[69]VENTAS TOTALES'!$H36</f>
        <v>29787800</v>
      </c>
      <c r="F28" s="250">
        <f>'[70]VENTAS TOTALES'!$F36</f>
        <v>13409</v>
      </c>
      <c r="G28" s="251">
        <f>'[70]VENTAS TOTALES'!$G36</f>
        <v>4991250</v>
      </c>
      <c r="H28" s="251">
        <f>'[70]VENTAS TOTALES'!$H36</f>
        <v>27786550</v>
      </c>
      <c r="I28" s="250">
        <f>'[71]VENTAS TOTALES'!$F36</f>
        <v>12207</v>
      </c>
      <c r="J28" s="251">
        <f>'[71]VENTAS TOTALES'!$G36</f>
        <v>3670000</v>
      </c>
      <c r="K28" s="251">
        <f>'[71]VENTAS TOTALES'!$H36</f>
        <v>24421900</v>
      </c>
      <c r="L28" s="250">
        <f>'[72]VENTAS TOTALES'!$F36</f>
        <v>11882</v>
      </c>
      <c r="M28" s="251">
        <f>'[72]VENTAS TOTALES'!$G36</f>
        <v>3737000</v>
      </c>
      <c r="N28" s="251">
        <f>'[72]VENTAS TOTALES'!$H36</f>
        <v>23936400</v>
      </c>
      <c r="O28" s="250">
        <f>'[73]VENTAS TOTALES'!$F36</f>
        <v>8236</v>
      </c>
      <c r="P28" s="251">
        <f>'[73]VENTAS TOTALES'!$G36</f>
        <v>2814500</v>
      </c>
      <c r="Q28" s="251">
        <f>'[73]VENTAS TOTALES'!$H36</f>
        <v>16815700</v>
      </c>
      <c r="R28" s="250">
        <f>'[74]VENTAS TOTALES'!$F36</f>
        <v>3724</v>
      </c>
      <c r="S28" s="251">
        <f>'[74]VENTAS TOTALES'!$G36</f>
        <v>1076050</v>
      </c>
      <c r="T28" s="251">
        <f>'[74]VENTAS TOTALES'!$H36</f>
        <v>7406850</v>
      </c>
      <c r="U28" s="250">
        <f>'[75]VENTAS TOTALES'!$F36</f>
        <v>15661</v>
      </c>
      <c r="V28" s="251">
        <f>'[75]VENTAS TOTALES'!$G36</f>
        <v>6427600</v>
      </c>
      <c r="W28" s="251">
        <f>'[75]VENTAS TOTALES'!$H36</f>
        <v>33051300</v>
      </c>
      <c r="X28" s="250">
        <f>'[76]VENTAS TOTALES'!$F36</f>
        <v>13670</v>
      </c>
      <c r="Y28" s="251">
        <f>'[76]VENTAS TOTALES'!$G36</f>
        <v>4444050</v>
      </c>
      <c r="Z28" s="251">
        <f>'[76]VENTAS TOTALES'!$H36</f>
        <v>27683050</v>
      </c>
      <c r="AA28" s="250">
        <f>'[77]VENTAS TOTALES'!$F36</f>
        <v>12295</v>
      </c>
      <c r="AB28" s="251">
        <f>'[77]VENTAS TOTALES'!$G36</f>
        <v>3552950</v>
      </c>
      <c r="AC28" s="251">
        <f>'[77]VENTAS TOTALES'!$H36</f>
        <v>24454450</v>
      </c>
      <c r="AD28" s="250">
        <f>'[78]VENTAS TOTALES'!$F36</f>
        <v>12258</v>
      </c>
      <c r="AE28" s="251">
        <f>'[78]VENTAS TOTALES'!$G36</f>
        <v>3497850</v>
      </c>
      <c r="AF28" s="251">
        <f>'[78]VENTAS TOTALES'!$H36</f>
        <v>24336450</v>
      </c>
      <c r="AG28" s="250">
        <f>'[79]VENTAS TOTALES'!$F36</f>
        <v>11570</v>
      </c>
      <c r="AH28" s="251">
        <f>'[79]VENTAS TOTALES'!$G36</f>
        <v>4223200</v>
      </c>
      <c r="AI28" s="251">
        <f>'[79]VENTAS TOTALES'!$H36</f>
        <v>23892200</v>
      </c>
      <c r="AJ28" s="250">
        <f>'[80]VENTAS TOTALES'!$F36</f>
        <v>8099</v>
      </c>
      <c r="AK28" s="251">
        <f>'[80]VENTAS TOTALES'!$G36</f>
        <v>2737950</v>
      </c>
      <c r="AL28" s="251">
        <f>'[80]VENTAS TOTALES'!$H36</f>
        <v>16506250</v>
      </c>
      <c r="AM28" s="250">
        <f>'[81]VENTAS TOTALES'!$F36</f>
        <v>3606</v>
      </c>
      <c r="AN28" s="251">
        <f>'[81]VENTAS TOTALES'!$G36</f>
        <v>969200</v>
      </c>
      <c r="AO28" s="251">
        <f>'[81]VENTAS TOTALES'!$H36</f>
        <v>7099400</v>
      </c>
      <c r="AP28" s="250">
        <f>'[82]VENTAS TOTALES'!$F36</f>
        <v>15858</v>
      </c>
      <c r="AQ28" s="251">
        <f>'[82]VENTAS TOTALES'!$G36</f>
        <v>5503950</v>
      </c>
      <c r="AR28" s="251">
        <f>'[82]VENTAS TOTALES'!$H36</f>
        <v>32462550</v>
      </c>
      <c r="AS28" s="250">
        <f>'[83]VENTAS TOTALES'!$F36</f>
        <v>13664</v>
      </c>
      <c r="AT28" s="251">
        <f>'[83]VENTAS TOTALES'!$G36</f>
        <v>6520600</v>
      </c>
      <c r="AU28" s="251">
        <f>'[83]VENTAS TOTALES'!$H36</f>
        <v>29749400</v>
      </c>
      <c r="AV28" s="250">
        <f>'[84]VENTAS TOTALES'!$F36</f>
        <v>12907</v>
      </c>
      <c r="AW28" s="251">
        <f>'[84]VENTAS TOTALES'!$G36</f>
        <v>5463100</v>
      </c>
      <c r="AX28" s="251">
        <f>'[84]VENTAS TOTALES'!$H36</f>
        <v>27405000</v>
      </c>
      <c r="AY28" s="250">
        <f>'[85]VENTAS TOTALES'!$F36</f>
        <v>12565</v>
      </c>
      <c r="AZ28" s="251">
        <f>'[85]VENTAS TOTALES'!$G36</f>
        <v>4411700</v>
      </c>
      <c r="BA28" s="251">
        <f>'[85]VENTAS TOTALES'!$H36</f>
        <v>25772200</v>
      </c>
      <c r="BB28" s="250">
        <f>'[86]VENTAS TOTALES'!$F36</f>
        <v>12099</v>
      </c>
      <c r="BC28" s="251">
        <f>'[86]VENTAS TOTALES'!$G36</f>
        <v>3599450</v>
      </c>
      <c r="BD28" s="251">
        <f>'[86]VENTAS TOTALES'!$H36</f>
        <v>24167750</v>
      </c>
      <c r="BE28" s="250">
        <f>'[87]VENTAS TOTALES'!$F36</f>
        <v>8719</v>
      </c>
      <c r="BF28" s="251">
        <f>'[87]VENTAS TOTALES'!$G36</f>
        <v>2548900</v>
      </c>
      <c r="BG28" s="251">
        <f>'[87]VENTAS TOTALES'!$H36</f>
        <v>17371200</v>
      </c>
      <c r="BH28" s="250">
        <f>'[88]VENTAS TOTALES'!$F36</f>
        <v>3867</v>
      </c>
      <c r="BI28" s="251">
        <f>'[88]VENTAS TOTALES'!$G36</f>
        <v>955300</v>
      </c>
      <c r="BJ28" s="251">
        <f>'[88]VENTAS TOTALES'!$H36</f>
        <v>7529200</v>
      </c>
      <c r="BK28" s="250">
        <f>'[89]VENTAS TOTALES'!$F36</f>
        <v>15453</v>
      </c>
      <c r="BL28" s="251">
        <f>'[89]VENTAS TOTALES'!$G36</f>
        <v>5979500</v>
      </c>
      <c r="BM28" s="251">
        <f>'[89]VENTAS TOTALES'!$H36</f>
        <v>32249600</v>
      </c>
      <c r="BN28" s="250">
        <f>'[90]VENTAS TOTALES'!$F36</f>
        <v>12943</v>
      </c>
      <c r="BO28" s="251">
        <f>'[90]VENTAS TOTALES'!$G36</f>
        <v>4621300</v>
      </c>
      <c r="BP28" s="251">
        <f>'[90]VENTAS TOTALES'!$H36</f>
        <v>26624400</v>
      </c>
      <c r="BQ28" s="250">
        <f>'[91]VENTAS TOTALES'!$F36</f>
        <v>12384</v>
      </c>
      <c r="BR28" s="251">
        <f>'[91]VENTAS TOTALES'!$G36</f>
        <v>3473750</v>
      </c>
      <c r="BS28" s="251">
        <f>'[91]VENTAS TOTALES'!$H36</f>
        <v>24526550</v>
      </c>
      <c r="BT28" s="250">
        <f>'[92]VENTAS TOTALES'!$F36</f>
        <v>11810</v>
      </c>
      <c r="BU28" s="251">
        <f>'[92]VENTAS TOTALES'!$G36</f>
        <v>3319200</v>
      </c>
      <c r="BV28" s="251">
        <f>'[92]VENTAS TOTALES'!$H36</f>
        <v>23396200</v>
      </c>
      <c r="BW28" s="250">
        <f>'[93]VENTAS TOTALES'!$F36</f>
        <v>11846</v>
      </c>
      <c r="BX28" s="251">
        <f>'[93]VENTAS TOTALES'!$G36</f>
        <v>3682800</v>
      </c>
      <c r="BY28" s="251">
        <f>'[93]VENTAS TOTALES'!$H36</f>
        <v>23821000</v>
      </c>
      <c r="BZ28" s="250">
        <f>'[94]VENTAS TOTALES'!$F36</f>
        <v>8885</v>
      </c>
      <c r="CA28" s="251">
        <f>'[94]VENTAS TOTALES'!$G36</f>
        <v>3064750</v>
      </c>
      <c r="CB28" s="251">
        <f>'[94]VENTAS TOTALES'!$H36</f>
        <v>18169250</v>
      </c>
      <c r="CC28" s="250">
        <f>'[95]VENTAS TOTALES'!$F36</f>
        <v>3797</v>
      </c>
      <c r="CD28" s="251">
        <f>'[95]VENTAS TOTALES'!$G36</f>
        <v>1177550</v>
      </c>
      <c r="CE28" s="251">
        <f>'[95]VENTAS TOTALES'!$H36</f>
        <v>7632450</v>
      </c>
      <c r="CF28" s="250">
        <f>'[96]VENTAS TOTALES'!$F36</f>
        <v>16338</v>
      </c>
      <c r="CG28" s="251">
        <f>'[96]VENTAS TOTALES'!$G36</f>
        <v>7825450</v>
      </c>
      <c r="CH28" s="251">
        <f>'[96]VENTAS TOTALES'!$H36</f>
        <v>35600050</v>
      </c>
      <c r="CI28" s="250">
        <f>'[97]VENTAS TOTALES'!$F36</f>
        <v>14788</v>
      </c>
      <c r="CJ28" s="251">
        <f>'[97]VENTAS TOTALES'!$G36</f>
        <v>6858900</v>
      </c>
      <c r="CK28" s="251">
        <f>'[97]VENTAS TOTALES'!$H36</f>
        <v>31998500</v>
      </c>
      <c r="CL28" s="250">
        <f>'[98]VENTAS TOTALES'!$F36</f>
        <v>13881</v>
      </c>
      <c r="CM28" s="251">
        <f>'[98]VENTAS TOTALES'!$G36</f>
        <v>5125200</v>
      </c>
      <c r="CN28" s="251">
        <f>'[98]VENTAS TOTALES'!$H36</f>
        <v>28722900</v>
      </c>
      <c r="CO28" s="250">
        <f>'[99]VENTAS TOTALES'!$F36</f>
        <v>12981</v>
      </c>
      <c r="CP28" s="251">
        <f>'[99]VENTAS TOTALES'!$G36</f>
        <v>4409300</v>
      </c>
      <c r="CQ28" s="251">
        <f>'[99]VENTAS TOTALES'!$H36</f>
        <v>26477000</v>
      </c>
      <c r="CR28" s="250">
        <f>'[100]VENTAS TOTALES'!$F36</f>
        <v>12513</v>
      </c>
      <c r="CS28" s="251">
        <f>'[100]VENTAS TOTALES'!$G36</f>
        <v>3789400</v>
      </c>
      <c r="CT28" s="251">
        <f>'[100]VENTAS TOTALES'!$H36</f>
        <v>25061500</v>
      </c>
      <c r="CU28" s="250">
        <f>'[101]VENTAS TOTALES'!$F36</f>
        <v>9239</v>
      </c>
      <c r="CV28" s="251">
        <f>'[101]VENTAS TOTALES'!$G36</f>
        <v>2571800</v>
      </c>
      <c r="CW28" s="251">
        <f>'[101]VENTAS TOTALES'!$H36</f>
        <v>18278100</v>
      </c>
      <c r="CX28" s="250">
        <f>'[102]VENTAS TOTALES'!$F36</f>
        <v>3470</v>
      </c>
      <c r="CY28" s="251">
        <f>'[102]VENTAS TOTALES'!$G36</f>
        <v>1120500</v>
      </c>
      <c r="CZ28" s="251">
        <f>'[102]VENTAS TOTALES'!$H36</f>
        <v>7019500</v>
      </c>
    </row>
    <row r="29" spans="1:104" ht="12" customHeight="1" x14ac:dyDescent="0.2">
      <c r="A29" s="443"/>
      <c r="B29" s="43" t="s">
        <v>134</v>
      </c>
      <c r="C29" s="250">
        <f>'[69]VENTAS TOTALES'!$F37</f>
        <v>4014</v>
      </c>
      <c r="D29" s="251">
        <f>'[69]VENTAS TOTALES'!$G37</f>
        <v>3210100</v>
      </c>
      <c r="E29" s="251">
        <f>'[69]VENTAS TOTALES'!$H37</f>
        <v>10033900</v>
      </c>
      <c r="F29" s="250">
        <f>'[70]VENTAS TOTALES'!$F37</f>
        <v>4485</v>
      </c>
      <c r="G29" s="251">
        <f>'[70]VENTAS TOTALES'!$G37</f>
        <v>3282100</v>
      </c>
      <c r="H29" s="251">
        <f>'[70]VENTAS TOTALES'!$H37</f>
        <v>10906600</v>
      </c>
      <c r="I29" s="250">
        <f>'[71]VENTAS TOTALES'!$F37</f>
        <v>3466</v>
      </c>
      <c r="J29" s="251">
        <f>'[71]VENTAS TOTALES'!$G37</f>
        <v>2301000</v>
      </c>
      <c r="K29" s="251">
        <f>'[71]VENTAS TOTALES'!$H37</f>
        <v>8193200</v>
      </c>
      <c r="L29" s="250">
        <f>'[72]VENTAS TOTALES'!$F37</f>
        <v>3182</v>
      </c>
      <c r="M29" s="251">
        <f>'[72]VENTAS TOTALES'!$G37</f>
        <v>1706600</v>
      </c>
      <c r="N29" s="251">
        <f>'[72]VENTAS TOTALES'!$H37</f>
        <v>7116000</v>
      </c>
      <c r="O29" s="250">
        <f>'[73]VENTAS TOTALES'!$F37</f>
        <v>2179</v>
      </c>
      <c r="P29" s="251">
        <f>'[73]VENTAS TOTALES'!$G37</f>
        <v>821400</v>
      </c>
      <c r="Q29" s="251">
        <f>'[73]VENTAS TOTALES'!$H37</f>
        <v>4525700</v>
      </c>
      <c r="R29" s="250">
        <f>'[74]VENTAS TOTALES'!$F37</f>
        <v>1133</v>
      </c>
      <c r="S29" s="251">
        <f>'[74]VENTAS TOTALES'!$G37</f>
        <v>531450</v>
      </c>
      <c r="T29" s="251">
        <f>'[74]VENTAS TOTALES'!$H37</f>
        <v>2457550</v>
      </c>
      <c r="U29" s="250">
        <f>'[75]VENTAS TOTALES'!$F37</f>
        <v>4329</v>
      </c>
      <c r="V29" s="251">
        <f>'[75]VENTAS TOTALES'!$G37</f>
        <v>3244100</v>
      </c>
      <c r="W29" s="251">
        <f>'[75]VENTAS TOTALES'!$H37</f>
        <v>10603400</v>
      </c>
      <c r="X29" s="250">
        <f>'[76]VENTAS TOTALES'!$F37</f>
        <v>3512</v>
      </c>
      <c r="Y29" s="251">
        <f>'[76]VENTAS TOTALES'!$G37</f>
        <v>2498400</v>
      </c>
      <c r="Z29" s="251">
        <f>'[76]VENTAS TOTALES'!$H37</f>
        <v>8468800</v>
      </c>
      <c r="AA29" s="250">
        <f>'[77]VENTAS TOTALES'!$F37</f>
        <v>3230</v>
      </c>
      <c r="AB29" s="251">
        <f>'[77]VENTAS TOTALES'!$G37</f>
        <v>2114600</v>
      </c>
      <c r="AC29" s="251">
        <f>'[77]VENTAS TOTALES'!$H37</f>
        <v>7605600</v>
      </c>
      <c r="AD29" s="250">
        <f>'[78]VENTAS TOTALES'!$F37</f>
        <v>3292</v>
      </c>
      <c r="AE29" s="251">
        <f>'[78]VENTAS TOTALES'!$G37</f>
        <v>2071500</v>
      </c>
      <c r="AF29" s="251">
        <f>'[78]VENTAS TOTALES'!$H37</f>
        <v>7667900</v>
      </c>
      <c r="AG29" s="250">
        <f>'[79]VENTAS TOTALES'!$F37</f>
        <v>2931</v>
      </c>
      <c r="AH29" s="251">
        <f>'[79]VENTAS TOTALES'!$G37</f>
        <v>1928250</v>
      </c>
      <c r="AI29" s="251">
        <f>'[79]VENTAS TOTALES'!$H37</f>
        <v>6910950</v>
      </c>
      <c r="AJ29" s="250">
        <f>'[80]VENTAS TOTALES'!$F37</f>
        <v>1929</v>
      </c>
      <c r="AK29" s="251">
        <f>'[80]VENTAS TOTALES'!$G37</f>
        <v>1017000</v>
      </c>
      <c r="AL29" s="251">
        <f>'[80]VENTAS TOTALES'!$H37</f>
        <v>4296300</v>
      </c>
      <c r="AM29" s="250">
        <f>'[81]VENTAS TOTALES'!$F37</f>
        <v>1057</v>
      </c>
      <c r="AN29" s="251">
        <f>'[81]VENTAS TOTALES'!$G37</f>
        <v>438800</v>
      </c>
      <c r="AO29" s="251">
        <f>'[81]VENTAS TOTALES'!$H37</f>
        <v>2235700</v>
      </c>
      <c r="AP29" s="250">
        <f>'[82]VENTAS TOTALES'!$F37</f>
        <v>4217</v>
      </c>
      <c r="AQ29" s="251">
        <f>'[82]VENTAS TOTALES'!$G37</f>
        <v>3446300</v>
      </c>
      <c r="AR29" s="251">
        <f>'[82]VENTAS TOTALES'!$H37</f>
        <v>10615200</v>
      </c>
      <c r="AS29" s="250">
        <f>'[83]VENTAS TOTALES'!$F37</f>
        <v>3972</v>
      </c>
      <c r="AT29" s="251">
        <f>'[83]VENTAS TOTALES'!$G37</f>
        <v>2988400</v>
      </c>
      <c r="AU29" s="251">
        <f>'[83]VENTAS TOTALES'!$H37</f>
        <v>9740800</v>
      </c>
      <c r="AV29" s="250">
        <f>'[84]VENTAS TOTALES'!$F37</f>
        <v>3669</v>
      </c>
      <c r="AW29" s="251">
        <f>'[84]VENTAS TOTALES'!$G37</f>
        <v>3077700</v>
      </c>
      <c r="AX29" s="251">
        <f>'[84]VENTAS TOTALES'!$H37</f>
        <v>9315000</v>
      </c>
      <c r="AY29" s="250">
        <f>'[85]VENTAS TOTALES'!$F37</f>
        <v>3455</v>
      </c>
      <c r="AZ29" s="251">
        <f>'[85]VENTAS TOTALES'!$G37</f>
        <v>2589200</v>
      </c>
      <c r="BA29" s="251">
        <f>'[85]VENTAS TOTALES'!$H37</f>
        <v>8462700</v>
      </c>
      <c r="BB29" s="250">
        <f>'[86]VENTAS TOTALES'!$F37</f>
        <v>3210</v>
      </c>
      <c r="BC29" s="251">
        <f>'[86]VENTAS TOTALES'!$G37</f>
        <v>1971450</v>
      </c>
      <c r="BD29" s="251">
        <f>'[86]VENTAS TOTALES'!$H37</f>
        <v>7428450</v>
      </c>
      <c r="BE29" s="250">
        <f>'[87]VENTAS TOTALES'!$F37</f>
        <v>2288</v>
      </c>
      <c r="BF29" s="251">
        <f>'[87]VENTAS TOTALES'!$G37</f>
        <v>1027100</v>
      </c>
      <c r="BG29" s="251">
        <f>'[87]VENTAS TOTALES'!$H37</f>
        <v>4916700</v>
      </c>
      <c r="BH29" s="250">
        <f>'[88]VENTAS TOTALES'!$F37</f>
        <v>1080</v>
      </c>
      <c r="BI29" s="251">
        <f>'[88]VENTAS TOTALES'!$G37</f>
        <v>432200</v>
      </c>
      <c r="BJ29" s="251">
        <f>'[88]VENTAS TOTALES'!$H37</f>
        <v>2268200</v>
      </c>
      <c r="BK29" s="250">
        <f>'[89]VENTAS TOTALES'!$F37</f>
        <v>4187</v>
      </c>
      <c r="BL29" s="251">
        <f>'[89]VENTAS TOTALES'!$G37</f>
        <v>3586800</v>
      </c>
      <c r="BM29" s="251">
        <f>'[89]VENTAS TOTALES'!$H37</f>
        <v>10704700</v>
      </c>
      <c r="BN29" s="250">
        <f>'[90]VENTAS TOTALES'!$F37</f>
        <v>3703</v>
      </c>
      <c r="BO29" s="251">
        <f>'[90]VENTAS TOTALES'!$G37</f>
        <v>2045100</v>
      </c>
      <c r="BP29" s="251">
        <f>'[90]VENTAS TOTALES'!$H37</f>
        <v>8340200</v>
      </c>
      <c r="BQ29" s="250">
        <f>'[91]VENTAS TOTALES'!$F37</f>
        <v>3681</v>
      </c>
      <c r="BR29" s="251">
        <f>'[91]VENTAS TOTALES'!$G37</f>
        <v>2161100</v>
      </c>
      <c r="BS29" s="251">
        <f>'[91]VENTAS TOTALES'!$H37</f>
        <v>8418800</v>
      </c>
      <c r="BT29" s="250">
        <f>'[92]VENTAS TOTALES'!$F37</f>
        <v>3111</v>
      </c>
      <c r="BU29" s="251">
        <f>'[92]VENTAS TOTALES'!$G37</f>
        <v>2258700</v>
      </c>
      <c r="BV29" s="251">
        <f>'[92]VENTAS TOTALES'!$H37</f>
        <v>7547400</v>
      </c>
      <c r="BW29" s="250">
        <f>'[93]VENTAS TOTALES'!$F37</f>
        <v>3091</v>
      </c>
      <c r="BX29" s="251">
        <f>'[93]VENTAS TOTALES'!$G37</f>
        <v>1888900</v>
      </c>
      <c r="BY29" s="251">
        <f>'[93]VENTAS TOTALES'!$H37</f>
        <v>7143600</v>
      </c>
      <c r="BZ29" s="250">
        <f>'[94]VENTAS TOTALES'!$F37</f>
        <v>2337</v>
      </c>
      <c r="CA29" s="251">
        <f>'[94]VENTAS TOTALES'!$G37</f>
        <v>1489500</v>
      </c>
      <c r="CB29" s="251">
        <f>'[94]VENTAS TOTALES'!$H37</f>
        <v>5462400</v>
      </c>
      <c r="CC29" s="250">
        <f>'[95]VENTAS TOTALES'!$F37</f>
        <v>1138</v>
      </c>
      <c r="CD29" s="251">
        <f>'[95]VENTAS TOTALES'!$G37</f>
        <v>432200</v>
      </c>
      <c r="CE29" s="251">
        <f>'[95]VENTAS TOTALES'!$H37</f>
        <v>2366800</v>
      </c>
      <c r="CF29" s="250">
        <f>'[96]VENTAS TOTALES'!$F37</f>
        <v>4594</v>
      </c>
      <c r="CG29" s="251">
        <f>'[96]VENTAS TOTALES'!$G37</f>
        <v>4756800</v>
      </c>
      <c r="CH29" s="251">
        <f>'[96]VENTAS TOTALES'!$H37</f>
        <v>12566600</v>
      </c>
      <c r="CI29" s="250">
        <f>'[97]VENTAS TOTALES'!$F37</f>
        <v>4378</v>
      </c>
      <c r="CJ29" s="251">
        <f>'[97]VENTAS TOTALES'!$G37</f>
        <v>3288200</v>
      </c>
      <c r="CK29" s="251">
        <f>'[97]VENTAS TOTALES'!$H37</f>
        <v>10730800</v>
      </c>
      <c r="CL29" s="250">
        <f>'[98]VENTAS TOTALES'!$F37</f>
        <v>4222</v>
      </c>
      <c r="CM29" s="251">
        <f>'[98]VENTAS TOTALES'!$G37</f>
        <v>3150500</v>
      </c>
      <c r="CN29" s="251">
        <f>'[98]VENTAS TOTALES'!$H37</f>
        <v>10327900</v>
      </c>
      <c r="CO29" s="250">
        <f>'[99]VENTAS TOTALES'!$F37</f>
        <v>3844</v>
      </c>
      <c r="CP29" s="251">
        <f>'[99]VENTAS TOTALES'!$G37</f>
        <v>2855200</v>
      </c>
      <c r="CQ29" s="251">
        <f>'[99]VENTAS TOTALES'!$H37</f>
        <v>9390000</v>
      </c>
      <c r="CR29" s="250">
        <f>'[100]VENTAS TOTALES'!$F37</f>
        <v>3405</v>
      </c>
      <c r="CS29" s="251">
        <f>'[100]VENTAS TOTALES'!$G37</f>
        <v>1605200</v>
      </c>
      <c r="CT29" s="251">
        <f>'[100]VENTAS TOTALES'!$H37</f>
        <v>7393700</v>
      </c>
      <c r="CU29" s="250">
        <f>'[101]VENTAS TOTALES'!$F37</f>
        <v>2554</v>
      </c>
      <c r="CV29" s="251">
        <f>'[101]VENTAS TOTALES'!$G37</f>
        <v>1296000</v>
      </c>
      <c r="CW29" s="251">
        <f>'[101]VENTAS TOTALES'!$H37</f>
        <v>5637800</v>
      </c>
      <c r="CX29" s="250">
        <f>'[102]VENTAS TOTALES'!$F37</f>
        <v>1205</v>
      </c>
      <c r="CY29" s="251">
        <f>'[102]VENTAS TOTALES'!$G37</f>
        <v>539500</v>
      </c>
      <c r="CZ29" s="251">
        <f>'[102]VENTAS TOTALES'!$H37</f>
        <v>2588000</v>
      </c>
    </row>
    <row r="30" spans="1:104" ht="12" customHeight="1" x14ac:dyDescent="0.2">
      <c r="A30" s="443"/>
      <c r="B30" s="43" t="s">
        <v>69</v>
      </c>
      <c r="C30" s="250">
        <f>'[69]VENTAS TOTALES'!$F38</f>
        <v>6583</v>
      </c>
      <c r="D30" s="251">
        <f>'[69]VENTAS TOTALES'!$G38</f>
        <v>3802400</v>
      </c>
      <c r="E30" s="251">
        <f>'[69]VENTAS TOTALES'!$H38</f>
        <v>14993500</v>
      </c>
      <c r="F30" s="250">
        <f>'[70]VENTAS TOTALES'!$F38</f>
        <v>6754</v>
      </c>
      <c r="G30" s="251">
        <f>'[70]VENTAS TOTALES'!$G38</f>
        <v>3563150</v>
      </c>
      <c r="H30" s="251">
        <f>'[70]VENTAS TOTALES'!$H38</f>
        <v>15044950</v>
      </c>
      <c r="I30" s="250">
        <f>'[71]VENTAS TOTALES'!$F38</f>
        <v>6054</v>
      </c>
      <c r="J30" s="251">
        <f>'[71]VENTAS TOTALES'!$G38</f>
        <v>2938300</v>
      </c>
      <c r="K30" s="251">
        <f>'[71]VENTAS TOTALES'!$H38</f>
        <v>13230100</v>
      </c>
      <c r="L30" s="250">
        <f>'[72]VENTAS TOTALES'!$F38</f>
        <v>5774</v>
      </c>
      <c r="M30" s="251">
        <f>'[72]VENTAS TOTALES'!$G38</f>
        <v>2511000</v>
      </c>
      <c r="N30" s="251">
        <f>'[72]VENTAS TOTALES'!$H38</f>
        <v>12326800</v>
      </c>
      <c r="O30" s="250">
        <f>'[73]VENTAS TOTALES'!$F38</f>
        <v>4750</v>
      </c>
      <c r="P30" s="251">
        <f>'[73]VENTAS TOTALES'!$G38</f>
        <v>2068200</v>
      </c>
      <c r="Q30" s="251">
        <f>'[73]VENTAS TOTALES'!$H38</f>
        <v>10143200</v>
      </c>
      <c r="R30" s="250">
        <f>'[74]VENTAS TOTALES'!$F38</f>
        <v>1921</v>
      </c>
      <c r="S30" s="251">
        <f>'[74]VENTAS TOTALES'!$G38</f>
        <v>954550</v>
      </c>
      <c r="T30" s="251">
        <f>'[74]VENTAS TOTALES'!$H38</f>
        <v>4220250</v>
      </c>
      <c r="U30" s="250">
        <f>'[75]VENTAS TOTALES'!$F38</f>
        <v>7056</v>
      </c>
      <c r="V30" s="251">
        <f>'[75]VENTAS TOTALES'!$G38</f>
        <v>4028600</v>
      </c>
      <c r="W30" s="251">
        <f>'[75]VENTAS TOTALES'!$H38</f>
        <v>16023800</v>
      </c>
      <c r="X30" s="250">
        <f>'[76]VENTAS TOTALES'!$F38</f>
        <v>6314</v>
      </c>
      <c r="Y30" s="251">
        <f>'[76]VENTAS TOTALES'!$G38</f>
        <v>3279600</v>
      </c>
      <c r="Z30" s="251">
        <f>'[76]VENTAS TOTALES'!$H38</f>
        <v>14013400</v>
      </c>
      <c r="AA30" s="250">
        <f>'[77]VENTAS TOTALES'!$F38</f>
        <v>5994</v>
      </c>
      <c r="AB30" s="251">
        <f>'[77]VENTAS TOTALES'!$G38</f>
        <v>2527900</v>
      </c>
      <c r="AC30" s="251">
        <f>'[77]VENTAS TOTALES'!$H38</f>
        <v>12717700</v>
      </c>
      <c r="AD30" s="250">
        <f>'[78]VENTAS TOTALES'!$F38</f>
        <v>5980</v>
      </c>
      <c r="AE30" s="251">
        <f>'[78]VENTAS TOTALES'!$G38</f>
        <v>2681700</v>
      </c>
      <c r="AF30" s="251">
        <f>'[78]VENTAS TOTALES'!$H38</f>
        <v>12847700</v>
      </c>
      <c r="AG30" s="250">
        <f>'[79]VENTAS TOTALES'!$F38</f>
        <v>5783</v>
      </c>
      <c r="AH30" s="251">
        <f>'[79]VENTAS TOTALES'!$G38</f>
        <v>2698500</v>
      </c>
      <c r="AI30" s="251">
        <f>'[79]VENTAS TOTALES'!$H38</f>
        <v>12529600</v>
      </c>
      <c r="AJ30" s="250">
        <f>'[80]VENTAS TOTALES'!$F38</f>
        <v>4867</v>
      </c>
      <c r="AK30" s="251">
        <f>'[80]VENTAS TOTALES'!$G38</f>
        <v>1853900</v>
      </c>
      <c r="AL30" s="251">
        <f>'[80]VENTAS TOTALES'!$H38</f>
        <v>10127800</v>
      </c>
      <c r="AM30" s="250">
        <f>'[81]VENTAS TOTALES'!$F38</f>
        <v>1987</v>
      </c>
      <c r="AN30" s="251">
        <f>'[81]VENTAS TOTALES'!$G38</f>
        <v>1042900</v>
      </c>
      <c r="AO30" s="251">
        <f>'[81]VENTAS TOTALES'!$H38</f>
        <v>4420800</v>
      </c>
      <c r="AP30" s="250">
        <f>'[82]VENTAS TOTALES'!$F38</f>
        <v>7322</v>
      </c>
      <c r="AQ30" s="251">
        <f>'[82]VENTAS TOTALES'!$G38</f>
        <v>4491150</v>
      </c>
      <c r="AR30" s="251">
        <f>'[82]VENTAS TOTALES'!$H38</f>
        <v>16938550</v>
      </c>
      <c r="AS30" s="250">
        <f>'[83]VENTAS TOTALES'!$F38</f>
        <v>6608</v>
      </c>
      <c r="AT30" s="251">
        <f>'[83]VENTAS TOTALES'!$G38</f>
        <v>4019300</v>
      </c>
      <c r="AU30" s="251">
        <f>'[83]VENTAS TOTALES'!$H38</f>
        <v>15252900</v>
      </c>
      <c r="AV30" s="250">
        <f>'[84]VENTAS TOTALES'!$F38</f>
        <v>6204</v>
      </c>
      <c r="AW30" s="251">
        <f>'[84]VENTAS TOTALES'!$G38</f>
        <v>3380400</v>
      </c>
      <c r="AX30" s="251">
        <f>'[84]VENTAS TOTALES'!$H38</f>
        <v>13927200</v>
      </c>
      <c r="AY30" s="250">
        <f>'[85]VENTAS TOTALES'!$F38</f>
        <v>6074</v>
      </c>
      <c r="AZ30" s="251">
        <f>'[85]VENTAS TOTALES'!$G38</f>
        <v>3314900</v>
      </c>
      <c r="BA30" s="251">
        <f>'[85]VENTAS TOTALES'!$H38</f>
        <v>13640700</v>
      </c>
      <c r="BB30" s="250">
        <f>'[86]VENTAS TOTALES'!$F38</f>
        <v>6132</v>
      </c>
      <c r="BC30" s="251">
        <f>'[86]VENTAS TOTALES'!$G38</f>
        <v>2826500</v>
      </c>
      <c r="BD30" s="251">
        <f>'[86]VENTAS TOTALES'!$H38</f>
        <v>13250900</v>
      </c>
      <c r="BE30" s="250">
        <f>'[87]VENTAS TOTALES'!$F38</f>
        <v>4876</v>
      </c>
      <c r="BF30" s="251">
        <f>'[87]VENTAS TOTALES'!$G38</f>
        <v>2479200</v>
      </c>
      <c r="BG30" s="251">
        <f>'[87]VENTAS TOTALES'!$H38</f>
        <v>10768400</v>
      </c>
      <c r="BH30" s="250">
        <f>'[88]VENTAS TOTALES'!$F38</f>
        <v>1807</v>
      </c>
      <c r="BI30" s="251">
        <f>'[88]VENTAS TOTALES'!$G38</f>
        <v>950950</v>
      </c>
      <c r="BJ30" s="251">
        <f>'[88]VENTAS TOTALES'!$H38</f>
        <v>4022850</v>
      </c>
      <c r="BK30" s="250">
        <f>'[89]VENTAS TOTALES'!$F38</f>
        <v>7292</v>
      </c>
      <c r="BL30" s="251">
        <f>'[89]VENTAS TOTALES'!$G38</f>
        <v>4247600</v>
      </c>
      <c r="BM30" s="251">
        <f>'[89]VENTAS TOTALES'!$H38</f>
        <v>16644000</v>
      </c>
      <c r="BN30" s="250">
        <f>'[90]VENTAS TOTALES'!$F38</f>
        <v>6154</v>
      </c>
      <c r="BO30" s="251">
        <f>'[90]VENTAS TOTALES'!$G38</f>
        <v>2856800</v>
      </c>
      <c r="BP30" s="251">
        <f>'[90]VENTAS TOTALES'!$H38</f>
        <v>13318600</v>
      </c>
      <c r="BQ30" s="250">
        <f>'[91]VENTAS TOTALES'!$F38</f>
        <v>5989</v>
      </c>
      <c r="BR30" s="251">
        <f>'[91]VENTAS TOTALES'!$G38</f>
        <v>2654800</v>
      </c>
      <c r="BS30" s="251">
        <f>'[91]VENTAS TOTALES'!$H38</f>
        <v>12836100</v>
      </c>
      <c r="BT30" s="250">
        <f>'[92]VENTAS TOTALES'!$F38</f>
        <v>5889</v>
      </c>
      <c r="BU30" s="251">
        <f>'[92]VENTAS TOTALES'!$G38</f>
        <v>2813300</v>
      </c>
      <c r="BV30" s="251">
        <f>'[92]VENTAS TOTALES'!$H38</f>
        <v>12824600</v>
      </c>
      <c r="BW30" s="250">
        <f>'[93]VENTAS TOTALES'!$F38</f>
        <v>5349</v>
      </c>
      <c r="BX30" s="251">
        <f>'[93]VENTAS TOTALES'!$G38</f>
        <v>2540700</v>
      </c>
      <c r="BY30" s="251">
        <f>'[93]VENTAS TOTALES'!$H38</f>
        <v>11634000</v>
      </c>
      <c r="BZ30" s="250">
        <f>'[94]VENTAS TOTALES'!$F38</f>
        <v>5068</v>
      </c>
      <c r="CA30" s="251">
        <f>'[94]VENTAS TOTALES'!$G38</f>
        <v>2688000</v>
      </c>
      <c r="CB30" s="251">
        <f>'[94]VENTAS TOTALES'!$H38</f>
        <v>11303600</v>
      </c>
      <c r="CC30" s="250">
        <f>'[95]VENTAS TOTALES'!$F38</f>
        <v>1880</v>
      </c>
      <c r="CD30" s="251">
        <f>'[95]VENTAS TOTALES'!$G38</f>
        <v>766550</v>
      </c>
      <c r="CE30" s="251">
        <f>'[95]VENTAS TOTALES'!$H38</f>
        <v>3962550</v>
      </c>
      <c r="CF30" s="250">
        <f>'[96]VENTAS TOTALES'!$F38</f>
        <v>7415</v>
      </c>
      <c r="CG30" s="251">
        <f>'[96]VENTAS TOTALES'!$G38</f>
        <v>4903200</v>
      </c>
      <c r="CH30" s="251">
        <f>'[96]VENTAS TOTALES'!$H38</f>
        <v>17508700</v>
      </c>
      <c r="CI30" s="250">
        <f>'[97]VENTAS TOTALES'!$F38</f>
        <v>6847</v>
      </c>
      <c r="CJ30" s="251">
        <f>'[97]VENTAS TOTALES'!$G38</f>
        <v>4133400</v>
      </c>
      <c r="CK30" s="251">
        <f>'[97]VENTAS TOTALES'!$H38</f>
        <v>15773300</v>
      </c>
      <c r="CL30" s="250">
        <f>'[98]VENTAS TOTALES'!$F38</f>
        <v>6355</v>
      </c>
      <c r="CM30" s="251">
        <f>'[98]VENTAS TOTALES'!$G38</f>
        <v>3862800</v>
      </c>
      <c r="CN30" s="251">
        <f>'[98]VENTAS TOTALES'!$H38</f>
        <v>14666300</v>
      </c>
      <c r="CO30" s="250">
        <f>'[99]VENTAS TOTALES'!$F38</f>
        <v>5821</v>
      </c>
      <c r="CP30" s="251">
        <f>'[99]VENTAS TOTALES'!$G38</f>
        <v>3169300</v>
      </c>
      <c r="CQ30" s="251">
        <f>'[99]VENTAS TOTALES'!$H38</f>
        <v>13065000</v>
      </c>
      <c r="CR30" s="250">
        <f>'[100]VENTAS TOTALES'!$F38</f>
        <v>6379</v>
      </c>
      <c r="CS30" s="251">
        <f>'[100]VENTAS TOTALES'!$G38</f>
        <v>2928000</v>
      </c>
      <c r="CT30" s="251">
        <f>'[100]VENTAS TOTALES'!$H38</f>
        <v>13772300</v>
      </c>
      <c r="CU30" s="250">
        <f>'[101]VENTAS TOTALES'!$F38</f>
        <v>4975</v>
      </c>
      <c r="CV30" s="251">
        <f>'[101]VENTAS TOTALES'!$G38</f>
        <v>2231300</v>
      </c>
      <c r="CW30" s="251">
        <f>'[101]VENTAS TOTALES'!$H38</f>
        <v>10688800</v>
      </c>
      <c r="CX30" s="250">
        <f>'[102]VENTAS TOTALES'!$F38</f>
        <v>1982</v>
      </c>
      <c r="CY30" s="251">
        <f>'[102]VENTAS TOTALES'!$G38</f>
        <v>757200</v>
      </c>
      <c r="CZ30" s="251">
        <f>'[102]VENTAS TOTALES'!$H38</f>
        <v>4126600</v>
      </c>
    </row>
    <row r="31" spans="1:104" ht="12" customHeight="1" x14ac:dyDescent="0.2">
      <c r="A31" s="443"/>
      <c r="B31" s="43" t="s">
        <v>70</v>
      </c>
      <c r="C31" s="250">
        <f>'[69]VENTAS TOTALES'!$F39</f>
        <v>2853</v>
      </c>
      <c r="D31" s="251">
        <f>'[69]VENTAS TOTALES'!$G39</f>
        <v>3157900</v>
      </c>
      <c r="E31" s="251">
        <f>'[69]VENTAS TOTALES'!$H39</f>
        <v>8008000</v>
      </c>
      <c r="F31" s="250">
        <f>'[70]VENTAS TOTALES'!$F39</f>
        <v>2646</v>
      </c>
      <c r="G31" s="251">
        <f>'[70]VENTAS TOTALES'!$G39</f>
        <v>2864200</v>
      </c>
      <c r="H31" s="251">
        <f>'[70]VENTAS TOTALES'!$H39</f>
        <v>7362400</v>
      </c>
      <c r="I31" s="250">
        <f>'[71]VENTAS TOTALES'!$F39</f>
        <v>2261</v>
      </c>
      <c r="J31" s="251">
        <f>'[71]VENTAS TOTALES'!$G39</f>
        <v>2055100</v>
      </c>
      <c r="K31" s="251">
        <f>'[71]VENTAS TOTALES'!$H39</f>
        <v>5898800</v>
      </c>
      <c r="L31" s="250">
        <f>'[72]VENTAS TOTALES'!$F39</f>
        <v>2125</v>
      </c>
      <c r="M31" s="251">
        <f>'[72]VENTAS TOTALES'!$G39</f>
        <v>1985200</v>
      </c>
      <c r="N31" s="251">
        <f>'[72]VENTAS TOTALES'!$H39</f>
        <v>5597700</v>
      </c>
      <c r="O31" s="250">
        <f>'[73]VENTAS TOTALES'!$F39</f>
        <v>1201</v>
      </c>
      <c r="P31" s="251">
        <f>'[73]VENTAS TOTALES'!$G39</f>
        <v>864000</v>
      </c>
      <c r="Q31" s="251">
        <f>'[73]VENTAS TOTALES'!$H39</f>
        <v>2905700</v>
      </c>
      <c r="R31" s="250">
        <f>'[74]VENTAS TOTALES'!$F39</f>
        <v>809</v>
      </c>
      <c r="S31" s="251">
        <f>'[74]VENTAS TOTALES'!$G39</f>
        <v>455300</v>
      </c>
      <c r="T31" s="251">
        <f>'[74]VENTAS TOTALES'!$H39</f>
        <v>1830600</v>
      </c>
      <c r="U31" s="250">
        <f>'[75]VENTAS TOTALES'!$F39</f>
        <v>3156</v>
      </c>
      <c r="V31" s="251">
        <f>'[75]VENTAS TOTALES'!$G39</f>
        <v>2618600</v>
      </c>
      <c r="W31" s="251">
        <f>'[75]VENTAS TOTALES'!$H39</f>
        <v>7983800</v>
      </c>
      <c r="X31" s="250">
        <f>'[76]VENTAS TOTALES'!$F39</f>
        <v>2563</v>
      </c>
      <c r="Y31" s="251">
        <f>'[76]VENTAS TOTALES'!$G39</f>
        <v>2387500</v>
      </c>
      <c r="Z31" s="251">
        <f>'[76]VENTAS TOTALES'!$H39</f>
        <v>6744600</v>
      </c>
      <c r="AA31" s="250">
        <f>'[77]VENTAS TOTALES'!$F39</f>
        <v>2263</v>
      </c>
      <c r="AB31" s="251">
        <f>'[77]VENTAS TOTALES'!$G39</f>
        <v>2363050</v>
      </c>
      <c r="AC31" s="251">
        <f>'[77]VENTAS TOTALES'!$H39</f>
        <v>6210150</v>
      </c>
      <c r="AD31" s="250">
        <f>'[78]VENTAS TOTALES'!$F39</f>
        <v>2288</v>
      </c>
      <c r="AE31" s="251">
        <f>'[78]VENTAS TOTALES'!$G39</f>
        <v>2185750</v>
      </c>
      <c r="AF31" s="251">
        <f>'[78]VENTAS TOTALES'!$H39</f>
        <v>6075350</v>
      </c>
      <c r="AG31" s="250">
        <f>'[79]VENTAS TOTALES'!$F39</f>
        <v>2060</v>
      </c>
      <c r="AH31" s="251">
        <f>'[79]VENTAS TOTALES'!$G39</f>
        <v>1549500</v>
      </c>
      <c r="AI31" s="251">
        <f>'[79]VENTAS TOTALES'!$H39</f>
        <v>5051500</v>
      </c>
      <c r="AJ31" s="250">
        <f>'[80]VENTAS TOTALES'!$F39</f>
        <v>1154</v>
      </c>
      <c r="AK31" s="251">
        <f>'[80]VENTAS TOTALES'!$G39</f>
        <v>658800</v>
      </c>
      <c r="AL31" s="251">
        <f>'[80]VENTAS TOTALES'!$H39</f>
        <v>2620600</v>
      </c>
      <c r="AM31" s="250">
        <f>'[81]VENTAS TOTALES'!$F39</f>
        <v>758</v>
      </c>
      <c r="AN31" s="251">
        <f>'[81]VENTAS TOTALES'!$G39</f>
        <v>437100</v>
      </c>
      <c r="AO31" s="251">
        <f>'[81]VENTAS TOTALES'!$H39</f>
        <v>1725700</v>
      </c>
      <c r="AP31" s="250">
        <f>'[82]VENTAS TOTALES'!$F39</f>
        <v>3092</v>
      </c>
      <c r="AQ31" s="251">
        <f>'[82]VENTAS TOTALES'!$G39</f>
        <v>2934100</v>
      </c>
      <c r="AR31" s="251">
        <f>'[82]VENTAS TOTALES'!$H39</f>
        <v>8190500</v>
      </c>
      <c r="AS31" s="250">
        <f>'[83]VENTAS TOTALES'!$F39</f>
        <v>2759</v>
      </c>
      <c r="AT31" s="251">
        <f>'[83]VENTAS TOTALES'!$G39</f>
        <v>2816800</v>
      </c>
      <c r="AU31" s="251">
        <f>'[83]VENTAS TOTALES'!$H39</f>
        <v>7507100</v>
      </c>
      <c r="AV31" s="250">
        <f>'[84]VENTAS TOTALES'!$F39</f>
        <v>2557</v>
      </c>
      <c r="AW31" s="251">
        <f>'[84]VENTAS TOTALES'!$G39</f>
        <v>2492950</v>
      </c>
      <c r="AX31" s="251">
        <f>'[84]VENTAS TOTALES'!$H39</f>
        <v>6839850</v>
      </c>
      <c r="AY31" s="250">
        <f>'[85]VENTAS TOTALES'!$F39</f>
        <v>2370</v>
      </c>
      <c r="AZ31" s="251">
        <f>'[85]VENTAS TOTALES'!$G39</f>
        <v>2201250</v>
      </c>
      <c r="BA31" s="251">
        <f>'[85]VENTAS TOTALES'!$H39</f>
        <v>6230250</v>
      </c>
      <c r="BB31" s="250">
        <f>'[86]VENTAS TOTALES'!$F39</f>
        <v>2205</v>
      </c>
      <c r="BC31" s="251">
        <f>'[86]VENTAS TOTALES'!$G39</f>
        <v>1737850</v>
      </c>
      <c r="BD31" s="251">
        <f>'[86]VENTAS TOTALES'!$H39</f>
        <v>5486350</v>
      </c>
      <c r="BE31" s="250">
        <f>'[87]VENTAS TOTALES'!$F39</f>
        <v>1390</v>
      </c>
      <c r="BF31" s="251">
        <f>'[87]VENTAS TOTALES'!$G39</f>
        <v>690900</v>
      </c>
      <c r="BG31" s="251">
        <f>'[87]VENTAS TOTALES'!$H39</f>
        <v>3053900</v>
      </c>
      <c r="BH31" s="250">
        <f>'[88]VENTAS TOTALES'!$F39</f>
        <v>728</v>
      </c>
      <c r="BI31" s="251">
        <f>'[88]VENTAS TOTALES'!$G39</f>
        <v>545400</v>
      </c>
      <c r="BJ31" s="251">
        <f>'[88]VENTAS TOTALES'!$H39</f>
        <v>1783000</v>
      </c>
      <c r="BK31" s="250">
        <f>'[89]VENTAS TOTALES'!$F39</f>
        <v>3061</v>
      </c>
      <c r="BL31" s="251">
        <f>'[89]VENTAS TOTALES'!$G39</f>
        <v>3651400</v>
      </c>
      <c r="BM31" s="251">
        <f>'[89]VENTAS TOTALES'!$H39</f>
        <v>8855100</v>
      </c>
      <c r="BN31" s="250">
        <f>'[90]VENTAS TOTALES'!$F39</f>
        <v>2446</v>
      </c>
      <c r="BO31" s="251">
        <f>'[90]VENTAS TOTALES'!$G39</f>
        <v>2455000</v>
      </c>
      <c r="BP31" s="251">
        <f>'[90]VENTAS TOTALES'!$H39</f>
        <v>6613200</v>
      </c>
      <c r="BQ31" s="250">
        <f>'[91]VENTAS TOTALES'!$F39</f>
        <v>2292</v>
      </c>
      <c r="BR31" s="251">
        <f>'[91]VENTAS TOTALES'!$G39</f>
        <v>1820250</v>
      </c>
      <c r="BS31" s="251">
        <f>'[91]VENTAS TOTALES'!$H39</f>
        <v>5716650</v>
      </c>
      <c r="BT31" s="250">
        <f>'[92]VENTAS TOTALES'!$F39</f>
        <v>2048</v>
      </c>
      <c r="BU31" s="251">
        <f>'[92]VENTAS TOTALES'!$G39</f>
        <v>2282950</v>
      </c>
      <c r="BV31" s="251">
        <f>'[92]VENTAS TOTALES'!$H39</f>
        <v>5764550</v>
      </c>
      <c r="BW31" s="250">
        <f>'[93]VENTAS TOTALES'!$F39</f>
        <v>2278</v>
      </c>
      <c r="BX31" s="251">
        <f>'[93]VENTAS TOTALES'!$G39</f>
        <v>1506050</v>
      </c>
      <c r="BY31" s="251">
        <f>'[93]VENTAS TOTALES'!$H39</f>
        <v>5378650</v>
      </c>
      <c r="BZ31" s="250">
        <f>'[94]VENTAS TOTALES'!$F39</f>
        <v>1361</v>
      </c>
      <c r="CA31" s="251">
        <f>'[94]VENTAS TOTALES'!$G39</f>
        <v>689200</v>
      </c>
      <c r="CB31" s="251">
        <f>'[94]VENTAS TOTALES'!$H39</f>
        <v>3002900</v>
      </c>
      <c r="CC31" s="250">
        <f>'[95]VENTAS TOTALES'!$F39</f>
        <v>699</v>
      </c>
      <c r="CD31" s="251">
        <f>'[95]VENTAS TOTALES'!$G39</f>
        <v>485800</v>
      </c>
      <c r="CE31" s="251">
        <f>'[95]VENTAS TOTALES'!$H39</f>
        <v>1674100</v>
      </c>
      <c r="CF31" s="250">
        <f>'[96]VENTAS TOTALES'!$F39</f>
        <v>3464</v>
      </c>
      <c r="CG31" s="251">
        <f>'[96]VENTAS TOTALES'!$G39</f>
        <v>4005550</v>
      </c>
      <c r="CH31" s="251">
        <f>'[96]VENTAS TOTALES'!$H39</f>
        <v>9894350</v>
      </c>
      <c r="CI31" s="250">
        <f>'[97]VENTAS TOTALES'!$F39</f>
        <v>2949</v>
      </c>
      <c r="CJ31" s="251">
        <f>'[97]VENTAS TOTALES'!$G39</f>
        <v>3925900</v>
      </c>
      <c r="CK31" s="251">
        <f>'[97]VENTAS TOTALES'!$H39</f>
        <v>8939200</v>
      </c>
      <c r="CL31" s="250">
        <f>'[98]VENTAS TOTALES'!$F39</f>
        <v>2769</v>
      </c>
      <c r="CM31" s="251">
        <f>'[98]VENTAS TOTALES'!$G39</f>
        <v>3248900</v>
      </c>
      <c r="CN31" s="251">
        <f>'[98]VENTAS TOTALES'!$H39</f>
        <v>7956200</v>
      </c>
      <c r="CO31" s="250">
        <f>'[99]VENTAS TOTALES'!$F39</f>
        <v>2500</v>
      </c>
      <c r="CP31" s="251">
        <f>'[99]VENTAS TOTALES'!$G39</f>
        <v>2339050</v>
      </c>
      <c r="CQ31" s="251">
        <f>'[99]VENTAS TOTALES'!$H39</f>
        <v>6589050</v>
      </c>
      <c r="CR31" s="250">
        <f>'[100]VENTAS TOTALES'!$F39</f>
        <v>2231</v>
      </c>
      <c r="CS31" s="251">
        <f>'[100]VENTAS TOTALES'!$G39</f>
        <v>1702250</v>
      </c>
      <c r="CT31" s="251">
        <f>'[100]VENTAS TOTALES'!$H39</f>
        <v>5494950</v>
      </c>
      <c r="CU31" s="250">
        <f>'[101]VENTAS TOTALES'!$F39</f>
        <v>1433</v>
      </c>
      <c r="CV31" s="251">
        <f>'[101]VENTAS TOTALES'!$G39</f>
        <v>778700</v>
      </c>
      <c r="CW31" s="251">
        <f>'[101]VENTAS TOTALES'!$H39</f>
        <v>3214800</v>
      </c>
      <c r="CX31" s="250">
        <f>'[102]VENTAS TOTALES'!$F39</f>
        <v>827</v>
      </c>
      <c r="CY31" s="251">
        <f>'[102]VENTAS TOTALES'!$G39</f>
        <v>495600</v>
      </c>
      <c r="CZ31" s="251">
        <f>'[102]VENTAS TOTALES'!$H39</f>
        <v>1901500</v>
      </c>
    </row>
    <row r="32" spans="1:104" ht="12" customHeight="1" x14ac:dyDescent="0.2">
      <c r="A32" s="443"/>
      <c r="B32" s="43" t="s">
        <v>22</v>
      </c>
      <c r="C32" s="250">
        <f>'[69]VENTAS TOTALES'!$F40</f>
        <v>12721</v>
      </c>
      <c r="D32" s="251">
        <f>'[69]VENTAS TOTALES'!$G40</f>
        <v>8492400</v>
      </c>
      <c r="E32" s="251">
        <f>'[69]VENTAS TOTALES'!$H40</f>
        <v>30118100</v>
      </c>
      <c r="F32" s="250">
        <f>'[70]VENTAS TOTALES'!$F40</f>
        <v>13399</v>
      </c>
      <c r="G32" s="251">
        <f>'[70]VENTAS TOTALES'!$G40</f>
        <v>7389300</v>
      </c>
      <c r="H32" s="251">
        <f>'[70]VENTAS TOTALES'!$H40</f>
        <v>30167600</v>
      </c>
      <c r="I32" s="250">
        <f>'[71]VENTAS TOTALES'!$F40</f>
        <v>11978</v>
      </c>
      <c r="J32" s="251">
        <f>'[71]VENTAS TOTALES'!$G40</f>
        <v>5606400</v>
      </c>
      <c r="K32" s="251">
        <f>'[71]VENTAS TOTALES'!$H40</f>
        <v>25969000</v>
      </c>
      <c r="L32" s="250">
        <f>'[72]VENTAS TOTALES'!$F40</f>
        <v>11306</v>
      </c>
      <c r="M32" s="251">
        <f>'[72]VENTAS TOTALES'!$G40</f>
        <v>4655200</v>
      </c>
      <c r="N32" s="251">
        <f>'[72]VENTAS TOTALES'!$H40</f>
        <v>23875400</v>
      </c>
      <c r="O32" s="250">
        <f>'[73]VENTAS TOTALES'!$F40</f>
        <v>8086</v>
      </c>
      <c r="P32" s="251">
        <f>'[73]VENTAS TOTALES'!$G40</f>
        <v>3263600</v>
      </c>
      <c r="Q32" s="251">
        <f>'[73]VENTAS TOTALES'!$H40</f>
        <v>17009800</v>
      </c>
      <c r="R32" s="250">
        <f>'[74]VENTAS TOTALES'!$F40</f>
        <v>4208</v>
      </c>
      <c r="S32" s="251">
        <f>'[74]VENTAS TOTALES'!$G40</f>
        <v>2081900</v>
      </c>
      <c r="T32" s="251">
        <f>'[74]VENTAS TOTALES'!$H40</f>
        <v>9235500</v>
      </c>
      <c r="U32" s="250">
        <f>'[75]VENTAS TOTALES'!$F40</f>
        <v>15351</v>
      </c>
      <c r="V32" s="251">
        <f>'[75]VENTAS TOTALES'!$G40</f>
        <v>9183600</v>
      </c>
      <c r="W32" s="251">
        <f>'[75]VENTAS TOTALES'!$H40</f>
        <v>35280300</v>
      </c>
      <c r="X32" s="250">
        <f>'[76]VENTAS TOTALES'!$F40</f>
        <v>12512</v>
      </c>
      <c r="Y32" s="251">
        <f>'[76]VENTAS TOTALES'!$G40</f>
        <v>6818100</v>
      </c>
      <c r="Z32" s="251">
        <f>'[76]VENTAS TOTALES'!$H40</f>
        <v>28088500</v>
      </c>
      <c r="AA32" s="250">
        <f>'[77]VENTAS TOTALES'!$F40</f>
        <v>11509</v>
      </c>
      <c r="AB32" s="251">
        <f>'[77]VENTAS TOTALES'!$G40</f>
        <v>4895550</v>
      </c>
      <c r="AC32" s="251">
        <f>'[77]VENTAS TOTALES'!$H40</f>
        <v>24460850</v>
      </c>
      <c r="AD32" s="250">
        <f>'[78]VENTAS TOTALES'!$F40</f>
        <v>11668</v>
      </c>
      <c r="AE32" s="251">
        <f>'[78]VENTAS TOTALES'!$G40</f>
        <v>5697300</v>
      </c>
      <c r="AF32" s="251">
        <f>'[78]VENTAS TOTALES'!$H40</f>
        <v>25532900</v>
      </c>
      <c r="AG32" s="250">
        <f>'[79]VENTAS TOTALES'!$F40</f>
        <v>11113</v>
      </c>
      <c r="AH32" s="251">
        <f>'[79]VENTAS TOTALES'!$G40</f>
        <v>5088700</v>
      </c>
      <c r="AI32" s="251">
        <f>'[79]VENTAS TOTALES'!$H40</f>
        <v>23980800</v>
      </c>
      <c r="AJ32" s="250">
        <f>'[80]VENTAS TOTALES'!$F40</f>
        <v>7951</v>
      </c>
      <c r="AK32" s="251">
        <f>'[80]VENTAS TOTALES'!$G40</f>
        <v>3619200</v>
      </c>
      <c r="AL32" s="251">
        <f>'[80]VENTAS TOTALES'!$H40</f>
        <v>17135900</v>
      </c>
      <c r="AM32" s="250">
        <f>'[81]VENTAS TOTALES'!$F40</f>
        <v>4151</v>
      </c>
      <c r="AN32" s="251">
        <f>'[81]VENTAS TOTALES'!$G40</f>
        <v>1694700</v>
      </c>
      <c r="AO32" s="251">
        <f>'[81]VENTAS TOTALES'!$H40</f>
        <v>8751400</v>
      </c>
      <c r="AP32" s="250">
        <f>'[82]VENTAS TOTALES'!$F40</f>
        <v>15448</v>
      </c>
      <c r="AQ32" s="251">
        <f>'[82]VENTAS TOTALES'!$G40</f>
        <v>8329100</v>
      </c>
      <c r="AR32" s="251">
        <f>'[82]VENTAS TOTALES'!$H40</f>
        <v>34590700</v>
      </c>
      <c r="AS32" s="250">
        <f>'[83]VENTAS TOTALES'!$F40</f>
        <v>13236</v>
      </c>
      <c r="AT32" s="251">
        <f>'[83]VENTAS TOTALES'!$G40</f>
        <v>7413550</v>
      </c>
      <c r="AU32" s="251">
        <f>'[83]VENTAS TOTALES'!$H40</f>
        <v>29914750</v>
      </c>
      <c r="AV32" s="250">
        <f>'[84]VENTAS TOTALES'!$F40</f>
        <v>12462</v>
      </c>
      <c r="AW32" s="251">
        <f>'[84]VENTAS TOTALES'!$G40</f>
        <v>7526850</v>
      </c>
      <c r="AX32" s="251">
        <f>'[84]VENTAS TOTALES'!$H40</f>
        <v>28712250</v>
      </c>
      <c r="AY32" s="250">
        <f>'[85]VENTAS TOTALES'!$F40</f>
        <v>12002</v>
      </c>
      <c r="AZ32" s="251">
        <f>'[85]VENTAS TOTALES'!$G40</f>
        <v>5632700</v>
      </c>
      <c r="BA32" s="251">
        <f>'[85]VENTAS TOTALES'!$H40</f>
        <v>26036100</v>
      </c>
      <c r="BB32" s="250">
        <f>'[86]VENTAS TOTALES'!$F40</f>
        <v>11547</v>
      </c>
      <c r="BC32" s="251">
        <f>'[86]VENTAS TOTALES'!$G40</f>
        <v>5383750</v>
      </c>
      <c r="BD32" s="251">
        <f>'[86]VENTAS TOTALES'!$H40</f>
        <v>25013650</v>
      </c>
      <c r="BE32" s="250">
        <f>'[87]VENTAS TOTALES'!$F40</f>
        <v>8238</v>
      </c>
      <c r="BF32" s="251">
        <f>'[87]VENTAS TOTALES'!$G40</f>
        <v>3501500</v>
      </c>
      <c r="BG32" s="251">
        <f>'[87]VENTAS TOTALES'!$H40</f>
        <v>17506100</v>
      </c>
      <c r="BH32" s="250">
        <f>'[88]VENTAS TOTALES'!$F40</f>
        <v>4417</v>
      </c>
      <c r="BI32" s="251">
        <f>'[88]VENTAS TOTALES'!$G40</f>
        <v>1940300</v>
      </c>
      <c r="BJ32" s="251">
        <f>'[88]VENTAS TOTALES'!$H40</f>
        <v>9449200</v>
      </c>
      <c r="BK32" s="250">
        <f>'[89]VENTAS TOTALES'!$F40</f>
        <v>15539</v>
      </c>
      <c r="BL32" s="251">
        <f>'[89]VENTAS TOTALES'!$G40</f>
        <v>8533450</v>
      </c>
      <c r="BM32" s="251">
        <f>'[89]VENTAS TOTALES'!$H40</f>
        <v>34949750</v>
      </c>
      <c r="BN32" s="250">
        <f>'[90]VENTAS TOTALES'!$F40</f>
        <v>12326</v>
      </c>
      <c r="BO32" s="251">
        <f>'[90]VENTAS TOTALES'!$G40</f>
        <v>5388550</v>
      </c>
      <c r="BP32" s="251">
        <f>'[90]VENTAS TOTALES'!$H40</f>
        <v>26342750</v>
      </c>
      <c r="BQ32" s="250">
        <f>'[91]VENTAS TOTALES'!$F40</f>
        <v>11927</v>
      </c>
      <c r="BR32" s="251">
        <f>'[91]VENTAS TOTALES'!$G40</f>
        <v>5275000</v>
      </c>
      <c r="BS32" s="251">
        <f>'[91]VENTAS TOTALES'!$H40</f>
        <v>25550900</v>
      </c>
      <c r="BT32" s="250">
        <f>'[92]VENTAS TOTALES'!$F40</f>
        <v>11419</v>
      </c>
      <c r="BU32" s="251">
        <f>'[92]VENTAS TOTALES'!$G40</f>
        <v>5056150</v>
      </c>
      <c r="BV32" s="251">
        <f>'[92]VENTAS TOTALES'!$H40</f>
        <v>24468450</v>
      </c>
      <c r="BW32" s="250">
        <f>'[93]VENTAS TOTALES'!$F40</f>
        <v>11417</v>
      </c>
      <c r="BX32" s="251">
        <f>'[93]VENTAS TOTALES'!$G40</f>
        <v>5345200</v>
      </c>
      <c r="BY32" s="251">
        <f>'[93]VENTAS TOTALES'!$H40</f>
        <v>24754100</v>
      </c>
      <c r="BZ32" s="250">
        <f>'[94]VENTAS TOTALES'!$F40</f>
        <v>8687</v>
      </c>
      <c r="CA32" s="251">
        <f>'[94]VENTAS TOTALES'!$G40</f>
        <v>4177800</v>
      </c>
      <c r="CB32" s="251">
        <f>'[94]VENTAS TOTALES'!$H40</f>
        <v>18945700</v>
      </c>
      <c r="CC32" s="250">
        <f>'[95]VENTAS TOTALES'!$F40</f>
        <v>4291</v>
      </c>
      <c r="CD32" s="251">
        <f>'[95]VENTAS TOTALES'!$G40</f>
        <v>1976400</v>
      </c>
      <c r="CE32" s="251">
        <f>'[95]VENTAS TOTALES'!$H40</f>
        <v>9271100</v>
      </c>
      <c r="CF32" s="250">
        <f>'[96]VENTAS TOTALES'!$F40</f>
        <v>16386</v>
      </c>
      <c r="CG32" s="251">
        <f>'[96]VENTAS TOTALES'!$G40</f>
        <v>10933800</v>
      </c>
      <c r="CH32" s="251">
        <f>'[96]VENTAS TOTALES'!$H40</f>
        <v>38790000</v>
      </c>
      <c r="CI32" s="250">
        <f>'[97]VENTAS TOTALES'!$F40</f>
        <v>14122</v>
      </c>
      <c r="CJ32" s="251">
        <f>'[97]VENTAS TOTALES'!$G40</f>
        <v>7859700</v>
      </c>
      <c r="CK32" s="251">
        <f>'[97]VENTAS TOTALES'!$H40</f>
        <v>31867100</v>
      </c>
      <c r="CL32" s="250">
        <f>'[98]VENTAS TOTALES'!$F40</f>
        <v>12392</v>
      </c>
      <c r="CM32" s="251">
        <f>'[98]VENTAS TOTALES'!$G40</f>
        <v>6964300</v>
      </c>
      <c r="CN32" s="251">
        <f>'[98]VENTAS TOTALES'!$H40</f>
        <v>28030700</v>
      </c>
      <c r="CO32" s="250">
        <f>'[99]VENTAS TOTALES'!$F40</f>
        <v>12145</v>
      </c>
      <c r="CP32" s="251">
        <f>'[99]VENTAS TOTALES'!$G40</f>
        <v>5837150</v>
      </c>
      <c r="CQ32" s="251">
        <f>'[99]VENTAS TOTALES'!$H40</f>
        <v>26483650</v>
      </c>
      <c r="CR32" s="250">
        <f>'[100]VENTAS TOTALES'!$F40</f>
        <v>11749</v>
      </c>
      <c r="CS32" s="251">
        <f>'[100]VENTAS TOTALES'!$G40</f>
        <v>5243400</v>
      </c>
      <c r="CT32" s="251">
        <f>'[100]VENTAS TOTALES'!$H40</f>
        <v>25216700</v>
      </c>
      <c r="CU32" s="250">
        <f>'[101]VENTAS TOTALES'!$F40</f>
        <v>8841</v>
      </c>
      <c r="CV32" s="251">
        <f>'[101]VENTAS TOTALES'!$G40</f>
        <v>4156950</v>
      </c>
      <c r="CW32" s="251">
        <f>'[101]VENTAS TOTALES'!$H40</f>
        <v>19186650</v>
      </c>
      <c r="CX32" s="250">
        <f>'[102]VENTAS TOTALES'!$F40</f>
        <v>4396</v>
      </c>
      <c r="CY32" s="251">
        <f>'[102]VENTAS TOTALES'!$G40</f>
        <v>2260500</v>
      </c>
      <c r="CZ32" s="251">
        <f>'[102]VENTAS TOTALES'!$H40</f>
        <v>9733700</v>
      </c>
    </row>
    <row r="33" spans="1:104" ht="12" customHeight="1" x14ac:dyDescent="0.2">
      <c r="A33" s="443"/>
      <c r="B33" s="43" t="s">
        <v>71</v>
      </c>
      <c r="C33" s="250">
        <f>'[69]VENTAS TOTALES'!$F41</f>
        <v>6446</v>
      </c>
      <c r="D33" s="251">
        <f>'[69]VENTAS TOTALES'!$G41</f>
        <v>2627000</v>
      </c>
      <c r="E33" s="251">
        <f>'[69]VENTAS TOTALES'!$H41</f>
        <v>13585200</v>
      </c>
      <c r="F33" s="250">
        <f>'[70]VENTAS TOTALES'!$F41</f>
        <v>5956</v>
      </c>
      <c r="G33" s="251">
        <f>'[70]VENTAS TOTALES'!$G41</f>
        <v>2221300</v>
      </c>
      <c r="H33" s="251">
        <f>'[70]VENTAS TOTALES'!$H41</f>
        <v>12346500</v>
      </c>
      <c r="I33" s="250">
        <f>'[71]VENTAS TOTALES'!$F41</f>
        <v>5833</v>
      </c>
      <c r="J33" s="251">
        <f>'[71]VENTAS TOTALES'!$G41</f>
        <v>2241400</v>
      </c>
      <c r="K33" s="251">
        <f>'[71]VENTAS TOTALES'!$H41</f>
        <v>12157500</v>
      </c>
      <c r="L33" s="250">
        <f>'[72]VENTAS TOTALES'!$F41</f>
        <v>5398</v>
      </c>
      <c r="M33" s="251">
        <f>'[72]VENTAS TOTALES'!$G41</f>
        <v>1663900</v>
      </c>
      <c r="N33" s="251">
        <f>'[72]VENTAS TOTALES'!$H41</f>
        <v>10840500</v>
      </c>
      <c r="O33" s="250">
        <f>'[73]VENTAS TOTALES'!$F41</f>
        <v>3964</v>
      </c>
      <c r="P33" s="251">
        <f>'[73]VENTAS TOTALES'!$G41</f>
        <v>1348300</v>
      </c>
      <c r="Q33" s="251">
        <f>'[73]VENTAS TOTALES'!$H41</f>
        <v>8087100</v>
      </c>
      <c r="R33" s="250">
        <f>'[74]VENTAS TOTALES'!$F41</f>
        <v>1500</v>
      </c>
      <c r="S33" s="251">
        <f>'[74]VENTAS TOTALES'!$G41</f>
        <v>584600</v>
      </c>
      <c r="T33" s="251">
        <f>'[74]VENTAS TOTALES'!$H41</f>
        <v>3134600</v>
      </c>
      <c r="U33" s="250">
        <f>'[75]VENTAS TOTALES'!$F41</f>
        <v>7114</v>
      </c>
      <c r="V33" s="251">
        <f>'[75]VENTAS TOTALES'!$G41</f>
        <v>2792800</v>
      </c>
      <c r="W33" s="251">
        <f>'[75]VENTAS TOTALES'!$H41</f>
        <v>14886600</v>
      </c>
      <c r="X33" s="250">
        <f>'[76]VENTAS TOTALES'!$F41</f>
        <v>6291</v>
      </c>
      <c r="Y33" s="251">
        <f>'[76]VENTAS TOTALES'!$G41</f>
        <v>2229500</v>
      </c>
      <c r="Z33" s="251">
        <f>'[76]VENTAS TOTALES'!$H41</f>
        <v>12924200</v>
      </c>
      <c r="AA33" s="250">
        <f>'[77]VENTAS TOTALES'!$F41</f>
        <v>5469</v>
      </c>
      <c r="AB33" s="251">
        <f>'[77]VENTAS TOTALES'!$G41</f>
        <v>1496650</v>
      </c>
      <c r="AC33" s="251">
        <f>'[77]VENTAS TOTALES'!$H41</f>
        <v>10793950</v>
      </c>
      <c r="AD33" s="250">
        <f>'[78]VENTAS TOTALES'!$F41</f>
        <v>5839</v>
      </c>
      <c r="AE33" s="251">
        <f>'[78]VENTAS TOTALES'!$G41</f>
        <v>1889900</v>
      </c>
      <c r="AF33" s="251">
        <f>'[78]VENTAS TOTALES'!$H41</f>
        <v>11816200</v>
      </c>
      <c r="AG33" s="250">
        <f>'[79]VENTAS TOTALES'!$F41</f>
        <v>5790</v>
      </c>
      <c r="AH33" s="251">
        <f>'[79]VENTAS TOTALES'!$G41</f>
        <v>1543800</v>
      </c>
      <c r="AI33" s="251">
        <f>'[79]VENTAS TOTALES'!$H41</f>
        <v>11386800</v>
      </c>
      <c r="AJ33" s="250">
        <f>'[80]VENTAS TOTALES'!$F41</f>
        <v>3952</v>
      </c>
      <c r="AK33" s="251">
        <f>'[80]VENTAS TOTALES'!$G41</f>
        <v>1293600</v>
      </c>
      <c r="AL33" s="251">
        <f>'[80]VENTAS TOTALES'!$H41</f>
        <v>8012000</v>
      </c>
      <c r="AM33" s="250">
        <f>'[81]VENTAS TOTALES'!$F41</f>
        <v>1523</v>
      </c>
      <c r="AN33" s="251">
        <f>'[81]VENTAS TOTALES'!$G41</f>
        <v>620200</v>
      </c>
      <c r="AO33" s="251">
        <f>'[81]VENTAS TOTALES'!$H41</f>
        <v>3209300</v>
      </c>
      <c r="AP33" s="250">
        <f>'[82]VENTAS TOTALES'!$F41</f>
        <v>7597</v>
      </c>
      <c r="AQ33" s="251">
        <f>'[82]VENTAS TOTALES'!$G41</f>
        <v>2547500</v>
      </c>
      <c r="AR33" s="251">
        <f>'[82]VENTAS TOTALES'!$H41</f>
        <v>15462400</v>
      </c>
      <c r="AS33" s="250">
        <f>'[83]VENTAS TOTALES'!$F41</f>
        <v>6214</v>
      </c>
      <c r="AT33" s="251">
        <f>'[83]VENTAS TOTALES'!$G41</f>
        <v>2801200</v>
      </c>
      <c r="AU33" s="251">
        <f>'[83]VENTAS TOTALES'!$H41</f>
        <v>13365000</v>
      </c>
      <c r="AV33" s="250">
        <f>'[84]VENTAS TOTALES'!$F41</f>
        <v>6041</v>
      </c>
      <c r="AW33" s="251">
        <f>'[84]VENTAS TOTALES'!$G41</f>
        <v>2389800</v>
      </c>
      <c r="AX33" s="251">
        <f>'[84]VENTAS TOTALES'!$H41</f>
        <v>12659500</v>
      </c>
      <c r="AY33" s="250">
        <f>'[85]VENTAS TOTALES'!$F41</f>
        <v>5861</v>
      </c>
      <c r="AZ33" s="251">
        <f>'[85]VENTAS TOTALES'!$G41</f>
        <v>2454600</v>
      </c>
      <c r="BA33" s="251">
        <f>'[85]VENTAS TOTALES'!$H41</f>
        <v>12418300</v>
      </c>
      <c r="BB33" s="250">
        <f>'[86]VENTAS TOTALES'!$F41</f>
        <v>5715</v>
      </c>
      <c r="BC33" s="251">
        <f>'[86]VENTAS TOTALES'!$G41</f>
        <v>1972800</v>
      </c>
      <c r="BD33" s="251">
        <f>'[86]VENTAS TOTALES'!$H41</f>
        <v>11688300</v>
      </c>
      <c r="BE33" s="250">
        <f>'[87]VENTAS TOTALES'!$F41</f>
        <v>4191</v>
      </c>
      <c r="BF33" s="251">
        <f>'[87]VENTAS TOTALES'!$G41</f>
        <v>1554800</v>
      </c>
      <c r="BG33" s="251">
        <f>'[87]VENTAS TOTALES'!$H41</f>
        <v>8679500</v>
      </c>
      <c r="BH33" s="250">
        <f>'[88]VENTAS TOTALES'!$F41</f>
        <v>1441</v>
      </c>
      <c r="BI33" s="251">
        <f>'[88]VENTAS TOTALES'!$G41</f>
        <v>469500</v>
      </c>
      <c r="BJ33" s="251">
        <f>'[88]VENTAS TOTALES'!$H41</f>
        <v>2919200</v>
      </c>
      <c r="BK33" s="250">
        <f>'[89]VENTAS TOTALES'!$F41</f>
        <v>7087</v>
      </c>
      <c r="BL33" s="251">
        <f>'[89]VENTAS TOTALES'!$G41</f>
        <v>2459000</v>
      </c>
      <c r="BM33" s="251">
        <f>'[89]VENTAS TOTALES'!$H41</f>
        <v>14506900</v>
      </c>
      <c r="BN33" s="250">
        <f>'[90]VENTAS TOTALES'!$F41</f>
        <v>5760</v>
      </c>
      <c r="BO33" s="251">
        <f>'[90]VENTAS TOTALES'!$G41</f>
        <v>1823800</v>
      </c>
      <c r="BP33" s="251">
        <f>'[90]VENTAS TOTALES'!$H41</f>
        <v>11615800</v>
      </c>
      <c r="BQ33" s="250">
        <f>'[91]VENTAS TOTALES'!$F41</f>
        <v>5576</v>
      </c>
      <c r="BR33" s="251">
        <f>'[91]VENTAS TOTALES'!$G41</f>
        <v>1805300</v>
      </c>
      <c r="BS33" s="251">
        <f>'[91]VENTAS TOTALES'!$H41</f>
        <v>11284500</v>
      </c>
      <c r="BT33" s="250">
        <f>'[92]VENTAS TOTALES'!$F41</f>
        <v>5205</v>
      </c>
      <c r="BU33" s="251">
        <f>'[92]VENTAS TOTALES'!$G41</f>
        <v>1680500</v>
      </c>
      <c r="BV33" s="251">
        <f>'[92]VENTAS TOTALES'!$H41</f>
        <v>10529000</v>
      </c>
      <c r="BW33" s="250">
        <f>'[93]VENTAS TOTALES'!$F41</f>
        <v>5545</v>
      </c>
      <c r="BX33" s="251">
        <f>'[93]VENTAS TOTALES'!$G41</f>
        <v>1540400</v>
      </c>
      <c r="BY33" s="251">
        <f>'[93]VENTAS TOTALES'!$H41</f>
        <v>10966900</v>
      </c>
      <c r="BZ33" s="250">
        <f>'[94]VENTAS TOTALES'!$F41</f>
        <v>4657</v>
      </c>
      <c r="CA33" s="251">
        <f>'[94]VENTAS TOTALES'!$G41</f>
        <v>1799000</v>
      </c>
      <c r="CB33" s="251">
        <f>'[94]VENTAS TOTALES'!$H41</f>
        <v>9715900</v>
      </c>
      <c r="CC33" s="250">
        <f>'[95]VENTAS TOTALES'!$F41</f>
        <v>1466</v>
      </c>
      <c r="CD33" s="251">
        <f>'[95]VENTAS TOTALES'!$G41</f>
        <v>586300</v>
      </c>
      <c r="CE33" s="251">
        <f>'[95]VENTAS TOTALES'!$H41</f>
        <v>3078500</v>
      </c>
      <c r="CF33" s="250">
        <f>'[96]VENTAS TOTALES'!$F41</f>
        <v>7398</v>
      </c>
      <c r="CG33" s="251">
        <f>'[96]VENTAS TOTALES'!$G41</f>
        <v>3334950</v>
      </c>
      <c r="CH33" s="251">
        <f>'[96]VENTAS TOTALES'!$H41</f>
        <v>15911550</v>
      </c>
      <c r="CI33" s="250">
        <f>'[97]VENTAS TOTALES'!$F41</f>
        <v>6780</v>
      </c>
      <c r="CJ33" s="251">
        <f>'[97]VENTAS TOTALES'!$G41</f>
        <v>2856500</v>
      </c>
      <c r="CK33" s="251">
        <f>'[97]VENTAS TOTALES'!$H41</f>
        <v>14382500</v>
      </c>
      <c r="CL33" s="250">
        <f>'[98]VENTAS TOTALES'!$F41</f>
        <v>6152</v>
      </c>
      <c r="CM33" s="251">
        <f>'[98]VENTAS TOTALES'!$G41</f>
        <v>2086400</v>
      </c>
      <c r="CN33" s="251">
        <f>'[98]VENTAS TOTALES'!$H41</f>
        <v>12544800</v>
      </c>
      <c r="CO33" s="250">
        <f>'[99]VENTAS TOTALES'!$F41</f>
        <v>6031</v>
      </c>
      <c r="CP33" s="251">
        <f>'[99]VENTAS TOTALES'!$G41</f>
        <v>2086900</v>
      </c>
      <c r="CQ33" s="251">
        <f>'[99]VENTAS TOTALES'!$H41</f>
        <v>12339600</v>
      </c>
      <c r="CR33" s="250">
        <f>'[100]VENTAS TOTALES'!$F41</f>
        <v>5597</v>
      </c>
      <c r="CS33" s="251">
        <f>'[100]VENTAS TOTALES'!$G41</f>
        <v>2444800</v>
      </c>
      <c r="CT33" s="251">
        <f>'[100]VENTAS TOTALES'!$H41</f>
        <v>11959700</v>
      </c>
      <c r="CU33" s="250">
        <f>'[101]VENTAS TOTALES'!$F41</f>
        <v>4396</v>
      </c>
      <c r="CV33" s="251">
        <f>'[101]VENTAS TOTALES'!$G41</f>
        <v>1362800</v>
      </c>
      <c r="CW33" s="251">
        <f>'[101]VENTAS TOTALES'!$H41</f>
        <v>8836000</v>
      </c>
      <c r="CX33" s="250">
        <f>'[102]VENTAS TOTALES'!$F41</f>
        <v>1590</v>
      </c>
      <c r="CY33" s="251">
        <f>'[102]VENTAS TOTALES'!$G41</f>
        <v>423600</v>
      </c>
      <c r="CZ33" s="251">
        <f>'[102]VENTAS TOTALES'!$H41</f>
        <v>3126600</v>
      </c>
    </row>
    <row r="34" spans="1:104" ht="12" customHeight="1" x14ac:dyDescent="0.2">
      <c r="A34" s="443"/>
      <c r="B34" s="43" t="s">
        <v>72</v>
      </c>
      <c r="C34" s="250">
        <f>'[69]VENTAS TOTALES'!$F42</f>
        <v>2298</v>
      </c>
      <c r="D34" s="251">
        <f>'[69]VENTAS TOTALES'!$G42</f>
        <v>2265400</v>
      </c>
      <c r="E34" s="251">
        <f>'[69]VENTAS TOTALES'!$H42</f>
        <v>6172000</v>
      </c>
      <c r="F34" s="250">
        <f>'[70]VENTAS TOTALES'!$F42</f>
        <v>2414</v>
      </c>
      <c r="G34" s="251">
        <f>'[70]VENTAS TOTALES'!$G42</f>
        <v>1367900</v>
      </c>
      <c r="H34" s="251">
        <f>'[70]VENTAS TOTALES'!$H42</f>
        <v>5471700</v>
      </c>
      <c r="I34" s="250">
        <f>'[71]VENTAS TOTALES'!$F42</f>
        <v>1959</v>
      </c>
      <c r="J34" s="251">
        <f>'[71]VENTAS TOTALES'!$G42</f>
        <v>1236100</v>
      </c>
      <c r="K34" s="251">
        <f>'[71]VENTAS TOTALES'!$H42</f>
        <v>4566400</v>
      </c>
      <c r="L34" s="250">
        <f>'[72]VENTAS TOTALES'!$F42</f>
        <v>1432</v>
      </c>
      <c r="M34" s="251">
        <f>'[72]VENTAS TOTALES'!$G42</f>
        <v>953000</v>
      </c>
      <c r="N34" s="251">
        <f>'[72]VENTAS TOTALES'!$H42</f>
        <v>3387400</v>
      </c>
      <c r="O34" s="250">
        <f>'[73]VENTAS TOTALES'!$F42</f>
        <v>1062</v>
      </c>
      <c r="P34" s="251">
        <f>'[73]VENTAS TOTALES'!$G42</f>
        <v>540000</v>
      </c>
      <c r="Q34" s="251">
        <f>'[73]VENTAS TOTALES'!$H42</f>
        <v>2345400</v>
      </c>
      <c r="R34" s="250">
        <f>'[74]VENTAS TOTALES'!$F42</f>
        <v>505</v>
      </c>
      <c r="S34" s="251">
        <f>'[74]VENTAS TOTALES'!$G42</f>
        <v>303200</v>
      </c>
      <c r="T34" s="251">
        <f>'[74]VENTAS TOTALES'!$H42</f>
        <v>1161700</v>
      </c>
      <c r="U34" s="250">
        <f>'[75]VENTAS TOTALES'!$F42</f>
        <v>2240</v>
      </c>
      <c r="V34" s="251">
        <f>'[75]VENTAS TOTALES'!$G42</f>
        <v>1725100</v>
      </c>
      <c r="W34" s="251">
        <f>'[75]VENTAS TOTALES'!$H42</f>
        <v>5533100</v>
      </c>
      <c r="X34" s="250">
        <f>'[76]VENTAS TOTALES'!$F42</f>
        <v>1657</v>
      </c>
      <c r="Y34" s="251">
        <f>'[76]VENTAS TOTALES'!$G42</f>
        <v>1265100</v>
      </c>
      <c r="Z34" s="251">
        <f>'[76]VENTAS TOTALES'!$H42</f>
        <v>4082000</v>
      </c>
      <c r="AA34" s="250">
        <f>'[77]VENTAS TOTALES'!$F42</f>
        <v>1614</v>
      </c>
      <c r="AB34" s="251">
        <f>'[77]VENTAS TOTALES'!$G42</f>
        <v>1410400</v>
      </c>
      <c r="AC34" s="251">
        <f>'[77]VENTAS TOTALES'!$H42</f>
        <v>4154200</v>
      </c>
      <c r="AD34" s="250">
        <f>'[78]VENTAS TOTALES'!$F42</f>
        <v>1729</v>
      </c>
      <c r="AE34" s="251">
        <f>'[78]VENTAS TOTALES'!$G42</f>
        <v>1223400</v>
      </c>
      <c r="AF34" s="251">
        <f>'[78]VENTAS TOTALES'!$H42</f>
        <v>4162700</v>
      </c>
      <c r="AG34" s="250">
        <f>'[79]VENTAS TOTALES'!$F42</f>
        <v>1557</v>
      </c>
      <c r="AH34" s="251">
        <f>'[79]VENTAS TOTALES'!$G42</f>
        <v>918450</v>
      </c>
      <c r="AI34" s="251">
        <f>'[79]VENTAS TOTALES'!$H42</f>
        <v>3565350</v>
      </c>
      <c r="AJ34" s="250">
        <f>'[80]VENTAS TOTALES'!$F42</f>
        <v>949</v>
      </c>
      <c r="AK34" s="251">
        <f>'[80]VENTAS TOTALES'!$G42</f>
        <v>534900</v>
      </c>
      <c r="AL34" s="251">
        <f>'[80]VENTAS TOTALES'!$H42</f>
        <v>2148200</v>
      </c>
      <c r="AM34" s="250">
        <f>'[81]VENTAS TOTALES'!$F42</f>
        <v>691</v>
      </c>
      <c r="AN34" s="251">
        <f>'[81]VENTAS TOTALES'!$G42</f>
        <v>332100</v>
      </c>
      <c r="AO34" s="251">
        <f>'[81]VENTAS TOTALES'!$H42</f>
        <v>1506800</v>
      </c>
      <c r="AP34" s="250">
        <f>'[82]VENTAS TOTALES'!$F42</f>
        <v>2584</v>
      </c>
      <c r="AQ34" s="251">
        <f>'[82]VENTAS TOTALES'!$G42</f>
        <v>1851700</v>
      </c>
      <c r="AR34" s="251">
        <f>'[82]VENTAS TOTALES'!$H42</f>
        <v>6244500</v>
      </c>
      <c r="AS34" s="250">
        <f>'[83]VENTAS TOTALES'!$F42</f>
        <v>2088</v>
      </c>
      <c r="AT34" s="251">
        <f>'[83]VENTAS TOTALES'!$G42</f>
        <v>1977200</v>
      </c>
      <c r="AU34" s="251">
        <f>'[83]VENTAS TOTALES'!$H42</f>
        <v>5526800</v>
      </c>
      <c r="AV34" s="250">
        <f>'[84]VENTAS TOTALES'!$F42</f>
        <v>1854</v>
      </c>
      <c r="AW34" s="251">
        <f>'[84]VENTAS TOTALES'!$G42</f>
        <v>1586800</v>
      </c>
      <c r="AX34" s="251">
        <f>'[84]VENTAS TOTALES'!$H42</f>
        <v>4738600</v>
      </c>
      <c r="AY34" s="250">
        <f>'[85]VENTAS TOTALES'!$F42</f>
        <v>1910</v>
      </c>
      <c r="AZ34" s="251">
        <f>'[85]VENTAS TOTALES'!$G42</f>
        <v>1391900</v>
      </c>
      <c r="BA34" s="251">
        <f>'[85]VENTAS TOTALES'!$H42</f>
        <v>4638900</v>
      </c>
      <c r="BB34" s="250">
        <f>'[86]VENTAS TOTALES'!$F42</f>
        <v>1717</v>
      </c>
      <c r="BC34" s="251">
        <f>'[86]VENTAS TOTALES'!$G42</f>
        <v>957400</v>
      </c>
      <c r="BD34" s="251">
        <f>'[86]VENTAS TOTALES'!$H42</f>
        <v>3876300</v>
      </c>
      <c r="BE34" s="250">
        <f>'[87]VENTAS TOTALES'!$F42</f>
        <v>974</v>
      </c>
      <c r="BF34" s="251">
        <f>'[87]VENTAS TOTALES'!$G42</f>
        <v>682700</v>
      </c>
      <c r="BG34" s="251">
        <f>'[87]VENTAS TOTALES'!$H42</f>
        <v>2338500</v>
      </c>
      <c r="BH34" s="250">
        <f>'[88]VENTAS TOTALES'!$F42</f>
        <v>551</v>
      </c>
      <c r="BI34" s="251">
        <f>'[88]VENTAS TOTALES'!$G42</f>
        <v>358700</v>
      </c>
      <c r="BJ34" s="251">
        <f>'[88]VENTAS TOTALES'!$H42</f>
        <v>1295400</v>
      </c>
      <c r="BK34" s="250">
        <f>'[89]VENTAS TOTALES'!$F42</f>
        <v>2732</v>
      </c>
      <c r="BL34" s="251">
        <f>'[89]VENTAS TOTALES'!$G42</f>
        <v>1847700</v>
      </c>
      <c r="BM34" s="251">
        <f>'[89]VENTAS TOTALES'!$H42</f>
        <v>6492100</v>
      </c>
      <c r="BN34" s="250">
        <f>'[90]VENTAS TOTALES'!$F42</f>
        <v>1761</v>
      </c>
      <c r="BO34" s="251">
        <f>'[90]VENTAS TOTALES'!$G42</f>
        <v>1330100</v>
      </c>
      <c r="BP34" s="251">
        <f>'[90]VENTAS TOTALES'!$H42</f>
        <v>4323800</v>
      </c>
      <c r="BQ34" s="250">
        <f>'[91]VENTAS TOTALES'!$F42</f>
        <v>1685</v>
      </c>
      <c r="BR34" s="251">
        <f>'[91]VENTAS TOTALES'!$G42</f>
        <v>1071800</v>
      </c>
      <c r="BS34" s="251">
        <f>'[91]VENTAS TOTALES'!$H42</f>
        <v>3936300</v>
      </c>
      <c r="BT34" s="250">
        <f>'[92]VENTAS TOTALES'!$F42</f>
        <v>1612</v>
      </c>
      <c r="BU34" s="251">
        <f>'[92]VENTAS TOTALES'!$G42</f>
        <v>881700</v>
      </c>
      <c r="BV34" s="251">
        <f>'[92]VENTAS TOTALES'!$H42</f>
        <v>3622100</v>
      </c>
      <c r="BW34" s="250">
        <f>'[93]VENTAS TOTALES'!$F42</f>
        <v>1818</v>
      </c>
      <c r="BX34" s="251">
        <f>'[93]VENTAS TOTALES'!$G42</f>
        <v>1030500</v>
      </c>
      <c r="BY34" s="251">
        <f>'[93]VENTAS TOTALES'!$H42</f>
        <v>4121100</v>
      </c>
      <c r="BZ34" s="250">
        <f>'[94]VENTAS TOTALES'!$F42</f>
        <v>1314</v>
      </c>
      <c r="CA34" s="251">
        <f>'[94]VENTAS TOTALES'!$G42</f>
        <v>695500</v>
      </c>
      <c r="CB34" s="251">
        <f>'[94]VENTAS TOTALES'!$H42</f>
        <v>2929300</v>
      </c>
      <c r="CC34" s="250">
        <f>'[95]VENTAS TOTALES'!$F42</f>
        <v>493</v>
      </c>
      <c r="CD34" s="251">
        <f>'[95]VENTAS TOTALES'!$G42</f>
        <v>291800</v>
      </c>
      <c r="CE34" s="251">
        <f>'[95]VENTAS TOTALES'!$H42</f>
        <v>1129900</v>
      </c>
      <c r="CF34" s="250">
        <f>'[96]VENTAS TOTALES'!$F42</f>
        <v>2919</v>
      </c>
      <c r="CG34" s="251">
        <f>'[96]VENTAS TOTALES'!$G42</f>
        <v>2385400</v>
      </c>
      <c r="CH34" s="251">
        <f>'[96]VENTAS TOTALES'!$H42</f>
        <v>7347700</v>
      </c>
      <c r="CI34" s="250">
        <f>'[97]VENTAS TOTALES'!$F42</f>
        <v>2506</v>
      </c>
      <c r="CJ34" s="251">
        <f>'[97]VENTAS TOTALES'!$G42</f>
        <v>1891700</v>
      </c>
      <c r="CK34" s="251">
        <f>'[97]VENTAS TOTALES'!$H42</f>
        <v>6151900</v>
      </c>
      <c r="CL34" s="250">
        <f>'[98]VENTAS TOTALES'!$F42</f>
        <v>2258</v>
      </c>
      <c r="CM34" s="251">
        <f>'[98]VENTAS TOTALES'!$G42</f>
        <v>1752200</v>
      </c>
      <c r="CN34" s="251">
        <f>'[98]VENTAS TOTALES'!$H42</f>
        <v>5590800</v>
      </c>
      <c r="CO34" s="250">
        <f>'[99]VENTAS TOTALES'!$F42</f>
        <v>2107</v>
      </c>
      <c r="CP34" s="251">
        <f>'[99]VENTAS TOTALES'!$G42</f>
        <v>956300</v>
      </c>
      <c r="CQ34" s="251">
        <f>'[99]VENTAS TOTALES'!$H42</f>
        <v>4538200</v>
      </c>
      <c r="CR34" s="250">
        <f>'[100]VENTAS TOTALES'!$F42</f>
        <v>1978</v>
      </c>
      <c r="CS34" s="251">
        <f>'[100]VENTAS TOTALES'!$G42</f>
        <v>1263600</v>
      </c>
      <c r="CT34" s="251">
        <f>'[100]VENTAS TOTALES'!$H42</f>
        <v>4626200</v>
      </c>
      <c r="CU34" s="250">
        <f>'[101]VENTAS TOTALES'!$F42</f>
        <v>1101</v>
      </c>
      <c r="CV34" s="251">
        <f>'[101]VENTAS TOTALES'!$G42</f>
        <v>669300</v>
      </c>
      <c r="CW34" s="251">
        <f>'[101]VENTAS TOTALES'!$H42</f>
        <v>2541000</v>
      </c>
      <c r="CX34" s="250">
        <f>'[102]VENTAS TOTALES'!$F42</f>
        <v>535</v>
      </c>
      <c r="CY34" s="251">
        <f>'[102]VENTAS TOTALES'!$G42</f>
        <v>321200</v>
      </c>
      <c r="CZ34" s="251">
        <f>'[102]VENTAS TOTALES'!$H42</f>
        <v>1230700</v>
      </c>
    </row>
    <row r="35" spans="1:104" ht="12" customHeight="1" x14ac:dyDescent="0.2">
      <c r="A35" s="443"/>
      <c r="B35" s="43" t="s">
        <v>73</v>
      </c>
      <c r="C35" s="250">
        <f>'[69]VENTAS TOTALES'!$F43</f>
        <v>3967</v>
      </c>
      <c r="D35" s="251">
        <f>'[69]VENTAS TOTALES'!$G43</f>
        <v>1834900</v>
      </c>
      <c r="E35" s="251">
        <f>'[69]VENTAS TOTALES'!$H43</f>
        <v>8578800</v>
      </c>
      <c r="F35" s="250">
        <f>'[70]VENTAS TOTALES'!$F43</f>
        <v>4093</v>
      </c>
      <c r="G35" s="251">
        <f>'[70]VENTAS TOTALES'!$G43</f>
        <v>1558000</v>
      </c>
      <c r="H35" s="251">
        <f>'[70]VENTAS TOTALES'!$H43</f>
        <v>8516100</v>
      </c>
      <c r="I35" s="250">
        <f>'[71]VENTAS TOTALES'!$F43</f>
        <v>3781</v>
      </c>
      <c r="J35" s="251">
        <f>'[71]VENTAS TOTALES'!$G43</f>
        <v>1211400</v>
      </c>
      <c r="K35" s="251">
        <f>'[71]VENTAS TOTALES'!$H43</f>
        <v>7639100</v>
      </c>
      <c r="L35" s="250">
        <f>'[72]VENTAS TOTALES'!$F43</f>
        <v>3580</v>
      </c>
      <c r="M35" s="251">
        <f>'[72]VENTAS TOTALES'!$G43</f>
        <v>918200</v>
      </c>
      <c r="N35" s="251">
        <f>'[72]VENTAS TOTALES'!$H43</f>
        <v>7004200</v>
      </c>
      <c r="O35" s="250">
        <f>'[73]VENTAS TOTALES'!$F43</f>
        <v>2496</v>
      </c>
      <c r="P35" s="251">
        <f>'[73]VENTAS TOTALES'!$G43</f>
        <v>685800</v>
      </c>
      <c r="Q35" s="251">
        <f>'[73]VENTAS TOTALES'!$H43</f>
        <v>4929000</v>
      </c>
      <c r="R35" s="250">
        <f>'[74]VENTAS TOTALES'!$F43</f>
        <v>1048</v>
      </c>
      <c r="S35" s="251">
        <f>'[74]VENTAS TOTALES'!$G43</f>
        <v>255700</v>
      </c>
      <c r="T35" s="251">
        <f>'[74]VENTAS TOTALES'!$H43</f>
        <v>2037300</v>
      </c>
      <c r="U35" s="250">
        <f>'[75]VENTAS TOTALES'!$F43</f>
        <v>4590</v>
      </c>
      <c r="V35" s="251">
        <f>'[75]VENTAS TOTALES'!$G43</f>
        <v>1586300</v>
      </c>
      <c r="W35" s="251">
        <f>'[75]VENTAS TOTALES'!$H43</f>
        <v>9389300</v>
      </c>
      <c r="X35" s="250">
        <f>'[76]VENTAS TOTALES'!$F43</f>
        <v>3966</v>
      </c>
      <c r="Y35" s="251">
        <f>'[76]VENTAS TOTALES'!$G43</f>
        <v>895800</v>
      </c>
      <c r="Z35" s="251">
        <f>'[76]VENTAS TOTALES'!$H43</f>
        <v>7638000</v>
      </c>
      <c r="AA35" s="250">
        <f>'[77]VENTAS TOTALES'!$F43</f>
        <v>3755</v>
      </c>
      <c r="AB35" s="251">
        <f>'[77]VENTAS TOTALES'!$G43</f>
        <v>890800</v>
      </c>
      <c r="AC35" s="251">
        <f>'[77]VENTAS TOTALES'!$H43</f>
        <v>7274300</v>
      </c>
      <c r="AD35" s="250">
        <f>'[78]VENTAS TOTALES'!$F43</f>
        <v>3817</v>
      </c>
      <c r="AE35" s="251">
        <f>'[78]VENTAS TOTALES'!$G43</f>
        <v>819000</v>
      </c>
      <c r="AF35" s="251">
        <f>'[78]VENTAS TOTALES'!$H43</f>
        <v>7307900</v>
      </c>
      <c r="AG35" s="250">
        <f>'[79]VENTAS TOTALES'!$F43</f>
        <v>3786</v>
      </c>
      <c r="AH35" s="251">
        <f>'[79]VENTAS TOTALES'!$G43</f>
        <v>915900</v>
      </c>
      <c r="AI35" s="251">
        <f>'[79]VENTAS TOTALES'!$H43</f>
        <v>7352100</v>
      </c>
      <c r="AJ35" s="250">
        <f>'[80]VENTAS TOTALES'!$F43</f>
        <v>2443</v>
      </c>
      <c r="AK35" s="251">
        <f>'[80]VENTAS TOTALES'!$G43</f>
        <v>536500</v>
      </c>
      <c r="AL35" s="251">
        <f>'[80]VENTAS TOTALES'!$H43</f>
        <v>4689600</v>
      </c>
      <c r="AM35" s="250">
        <f>'[81]VENTAS TOTALES'!$F43</f>
        <v>1010</v>
      </c>
      <c r="AN35" s="251">
        <f>'[81]VENTAS TOTALES'!$G43</f>
        <v>243700</v>
      </c>
      <c r="AO35" s="251">
        <f>'[81]VENTAS TOTALES'!$H43</f>
        <v>1960700</v>
      </c>
      <c r="AP35" s="250">
        <f>'[82]VENTAS TOTALES'!$F43</f>
        <v>4749</v>
      </c>
      <c r="AQ35" s="251">
        <f>'[82]VENTAS TOTALES'!$G43</f>
        <v>1719400</v>
      </c>
      <c r="AR35" s="251">
        <f>'[82]VENTAS TOTALES'!$H43</f>
        <v>9792700</v>
      </c>
      <c r="AS35" s="250">
        <f>'[83]VENTAS TOTALES'!$F43</f>
        <v>3881</v>
      </c>
      <c r="AT35" s="251">
        <f>'[83]VENTAS TOTALES'!$G43</f>
        <v>1109500</v>
      </c>
      <c r="AU35" s="251">
        <f>'[83]VENTAS TOTALES'!$H43</f>
        <v>7707200</v>
      </c>
      <c r="AV35" s="250">
        <f>'[84]VENTAS TOTALES'!$F43</f>
        <v>4025</v>
      </c>
      <c r="AW35" s="251">
        <f>'[84]VENTAS TOTALES'!$G43</f>
        <v>1511700</v>
      </c>
      <c r="AX35" s="251">
        <f>'[84]VENTAS TOTALES'!$H43</f>
        <v>8354200</v>
      </c>
      <c r="AY35" s="250">
        <f>'[85]VENTAS TOTALES'!$F43</f>
        <v>4044</v>
      </c>
      <c r="AZ35" s="251">
        <f>'[85]VENTAS TOTALES'!$G43</f>
        <v>1049900</v>
      </c>
      <c r="BA35" s="251">
        <f>'[85]VENTAS TOTALES'!$H43</f>
        <v>7924700</v>
      </c>
      <c r="BB35" s="250">
        <f>'[86]VENTAS TOTALES'!$F43</f>
        <v>3813</v>
      </c>
      <c r="BC35" s="251">
        <f>'[86]VENTAS TOTALES'!$G43</f>
        <v>949200</v>
      </c>
      <c r="BD35" s="251">
        <f>'[86]VENTAS TOTALES'!$H43</f>
        <v>7431300</v>
      </c>
      <c r="BE35" s="250">
        <f>'[87]VENTAS TOTALES'!$F43</f>
        <v>2500</v>
      </c>
      <c r="BF35" s="251">
        <f>'[87]VENTAS TOTALES'!$G43</f>
        <v>541700</v>
      </c>
      <c r="BG35" s="251">
        <f>'[87]VENTAS TOTALES'!$H43</f>
        <v>4791700</v>
      </c>
      <c r="BH35" s="250">
        <f>'[88]VENTAS TOTALES'!$F43</f>
        <v>1128</v>
      </c>
      <c r="BI35" s="251">
        <f>'[88]VENTAS TOTALES'!$G43</f>
        <v>137700</v>
      </c>
      <c r="BJ35" s="251">
        <f>'[88]VENTAS TOTALES'!$H43</f>
        <v>2055300</v>
      </c>
      <c r="BK35" s="250">
        <f>'[89]VENTAS TOTALES'!$F43</f>
        <v>4828</v>
      </c>
      <c r="BL35" s="251">
        <f>'[89]VENTAS TOTALES'!$G43</f>
        <v>1835600</v>
      </c>
      <c r="BM35" s="251">
        <f>'[89]VENTAS TOTALES'!$H43</f>
        <v>10043200</v>
      </c>
      <c r="BN35" s="250">
        <f>'[90]VENTAS TOTALES'!$F43</f>
        <v>3850</v>
      </c>
      <c r="BO35" s="251">
        <f>'[90]VENTAS TOTALES'!$G43</f>
        <v>1279400</v>
      </c>
      <c r="BP35" s="251">
        <f>'[90]VENTAS TOTALES'!$H43</f>
        <v>7824400</v>
      </c>
      <c r="BQ35" s="250">
        <f>'[91]VENTAS TOTALES'!$F43</f>
        <v>3909</v>
      </c>
      <c r="BR35" s="251">
        <f>'[91]VENTAS TOTALES'!$G43</f>
        <v>1100300</v>
      </c>
      <c r="BS35" s="251">
        <f>'[91]VENTAS TOTALES'!$H43</f>
        <v>7745600</v>
      </c>
      <c r="BT35" s="250">
        <f>'[92]VENTAS TOTALES'!$F43</f>
        <v>3617</v>
      </c>
      <c r="BU35" s="251">
        <f>'[92]VENTAS TOTALES'!$G43</f>
        <v>871550</v>
      </c>
      <c r="BV35" s="251">
        <f>'[92]VENTAS TOTALES'!$H43</f>
        <v>7020450</v>
      </c>
      <c r="BW35" s="250">
        <f>'[93]VENTAS TOTALES'!$F43</f>
        <v>3671</v>
      </c>
      <c r="BX35" s="251">
        <f>'[93]VENTAS TOTALES'!$G43</f>
        <v>787500</v>
      </c>
      <c r="BY35" s="251">
        <f>'[93]VENTAS TOTALES'!$H43</f>
        <v>7028200</v>
      </c>
      <c r="BZ35" s="250">
        <f>'[94]VENTAS TOTALES'!$F43</f>
        <v>2553</v>
      </c>
      <c r="CA35" s="251">
        <f>'[94]VENTAS TOTALES'!$G43</f>
        <v>668900</v>
      </c>
      <c r="CB35" s="251">
        <f>'[94]VENTAS TOTALES'!$H43</f>
        <v>5009000</v>
      </c>
      <c r="CC35" s="250">
        <f>'[95]VENTAS TOTALES'!$F43</f>
        <v>1127</v>
      </c>
      <c r="CD35" s="251">
        <f>'[95]VENTAS TOTALES'!$G43</f>
        <v>219700</v>
      </c>
      <c r="CE35" s="251">
        <f>'[95]VENTAS TOTALES'!$H43</f>
        <v>2135600</v>
      </c>
      <c r="CF35" s="250">
        <f>'[96]VENTAS TOTALES'!$F43</f>
        <v>5215</v>
      </c>
      <c r="CG35" s="251">
        <f>'[96]VENTAS TOTALES'!$G43</f>
        <v>2520500</v>
      </c>
      <c r="CH35" s="251">
        <f>'[96]VENTAS TOTALES'!$H43</f>
        <v>11386000</v>
      </c>
      <c r="CI35" s="250">
        <f>'[97]VENTAS TOTALES'!$F43</f>
        <v>4864</v>
      </c>
      <c r="CJ35" s="251">
        <f>'[97]VENTAS TOTALES'!$G43</f>
        <v>1692200</v>
      </c>
      <c r="CK35" s="251">
        <f>'[97]VENTAS TOTALES'!$H43</f>
        <v>9961000</v>
      </c>
      <c r="CL35" s="250">
        <f>'[98]VENTAS TOTALES'!$F43</f>
        <v>4646</v>
      </c>
      <c r="CM35" s="251">
        <f>'[98]VENTAS TOTALES'!$G43</f>
        <v>1694400</v>
      </c>
      <c r="CN35" s="251">
        <f>'[98]VENTAS TOTALES'!$H43</f>
        <v>9592600</v>
      </c>
      <c r="CO35" s="250">
        <f>'[99]VENTAS TOTALES'!$F43</f>
        <v>4451</v>
      </c>
      <c r="CP35" s="251">
        <f>'[99]VENTAS TOTALES'!$G43</f>
        <v>1178800</v>
      </c>
      <c r="CQ35" s="251">
        <f>'[99]VENTAS TOTALES'!$H43</f>
        <v>8745500</v>
      </c>
      <c r="CR35" s="250">
        <f>'[100]VENTAS TOTALES'!$F43</f>
        <v>3778</v>
      </c>
      <c r="CS35" s="251">
        <f>'[100]VENTAS TOTALES'!$G43</f>
        <v>1013900</v>
      </c>
      <c r="CT35" s="251">
        <f>'[100]VENTAS TOTALES'!$H43</f>
        <v>7436500</v>
      </c>
      <c r="CU35" s="250">
        <f>'[101]VENTAS TOTALES'!$F43</f>
        <v>2881</v>
      </c>
      <c r="CV35" s="251">
        <f>'[101]VENTAS TOTALES'!$G43</f>
        <v>1006400</v>
      </c>
      <c r="CW35" s="251">
        <f>'[101]VENTAS TOTALES'!$H43</f>
        <v>5904100</v>
      </c>
      <c r="CX35" s="250">
        <f>'[102]VENTAS TOTALES'!$F43</f>
        <v>1058</v>
      </c>
      <c r="CY35" s="251">
        <f>'[102]VENTAS TOTALES'!$G43</f>
        <v>212500</v>
      </c>
      <c r="CZ35" s="251">
        <f>'[102]VENTAS TOTALES'!$H43</f>
        <v>2011100</v>
      </c>
    </row>
    <row r="36" spans="1:104" ht="12" customHeight="1" x14ac:dyDescent="0.2">
      <c r="A36" s="443"/>
      <c r="B36" s="43" t="s">
        <v>74</v>
      </c>
      <c r="C36" s="250">
        <f>'[69]VENTAS TOTALES'!$F44</f>
        <v>1540</v>
      </c>
      <c r="D36" s="251">
        <f>'[69]VENTAS TOTALES'!$G44</f>
        <v>833650</v>
      </c>
      <c r="E36" s="251">
        <f>'[69]VENTAS TOTALES'!$H44</f>
        <v>3451650</v>
      </c>
      <c r="F36" s="250">
        <f>'[70]VENTAS TOTALES'!$F44</f>
        <v>1093</v>
      </c>
      <c r="G36" s="251">
        <f>'[70]VENTAS TOTALES'!$G44</f>
        <v>638500</v>
      </c>
      <c r="H36" s="251">
        <f>'[70]VENTAS TOTALES'!$H44</f>
        <v>2496600</v>
      </c>
      <c r="I36" s="250">
        <f>'[71]VENTAS TOTALES'!$F44</f>
        <v>1170</v>
      </c>
      <c r="J36" s="251">
        <f>'[71]VENTAS TOTALES'!$G44</f>
        <v>498700</v>
      </c>
      <c r="K36" s="251">
        <f>'[71]VENTAS TOTALES'!$H44</f>
        <v>2487700</v>
      </c>
      <c r="L36" s="250">
        <f>'[72]VENTAS TOTALES'!$F44</f>
        <v>731</v>
      </c>
      <c r="M36" s="251">
        <f>'[72]VENTAS TOTALES'!$G44</f>
        <v>302800</v>
      </c>
      <c r="N36" s="251">
        <f>'[72]VENTAS TOTALES'!$H44</f>
        <v>1545500</v>
      </c>
      <c r="O36" s="250">
        <f>'[73]VENTAS TOTALES'!$F44</f>
        <v>527</v>
      </c>
      <c r="P36" s="251">
        <f>'[73]VENTAS TOTALES'!$G44</f>
        <v>338900</v>
      </c>
      <c r="Q36" s="251">
        <f>'[73]VENTAS TOTALES'!$H44</f>
        <v>1234800</v>
      </c>
      <c r="R36" s="250">
        <f>'[74]VENTAS TOTALES'!$F44</f>
        <v>344</v>
      </c>
      <c r="S36" s="251">
        <f>'[74]VENTAS TOTALES'!$G44</f>
        <v>32000</v>
      </c>
      <c r="T36" s="251">
        <f>'[74]VENTAS TOTALES'!$H44</f>
        <v>616800</v>
      </c>
      <c r="U36" s="250">
        <f>'[75]VENTAS TOTALES'!$F44</f>
        <v>1091</v>
      </c>
      <c r="V36" s="251">
        <f>'[75]VENTAS TOTALES'!$G44</f>
        <v>695350</v>
      </c>
      <c r="W36" s="251">
        <f>'[75]VENTAS TOTALES'!$H44</f>
        <v>2550050</v>
      </c>
      <c r="X36" s="250">
        <f>'[76]VENTAS TOTALES'!$F44</f>
        <v>1014</v>
      </c>
      <c r="Y36" s="251">
        <f>'[76]VENTAS TOTALES'!$G44</f>
        <v>409200</v>
      </c>
      <c r="Z36" s="251">
        <f>'[76]VENTAS TOTALES'!$H44</f>
        <v>2133000</v>
      </c>
      <c r="AA36" s="250">
        <f>'[77]VENTAS TOTALES'!$F44</f>
        <v>846</v>
      </c>
      <c r="AB36" s="251">
        <f>'[77]VENTAS TOTALES'!$G44</f>
        <v>526600</v>
      </c>
      <c r="AC36" s="251">
        <f>'[77]VENTAS TOTALES'!$H44</f>
        <v>1964800</v>
      </c>
      <c r="AD36" s="250">
        <f>'[78]VENTAS TOTALES'!$F44</f>
        <v>892</v>
      </c>
      <c r="AE36" s="251">
        <f>'[78]VENTAS TOTALES'!$G44</f>
        <v>417000</v>
      </c>
      <c r="AF36" s="251">
        <f>'[78]VENTAS TOTALES'!$H44</f>
        <v>1933400</v>
      </c>
      <c r="AG36" s="250">
        <f>'[79]VENTAS TOTALES'!$F44</f>
        <v>746</v>
      </c>
      <c r="AH36" s="251">
        <f>'[79]VENTAS TOTALES'!$G44</f>
        <v>351200</v>
      </c>
      <c r="AI36" s="251">
        <f>'[79]VENTAS TOTALES'!$H44</f>
        <v>1619400</v>
      </c>
      <c r="AJ36" s="250">
        <f>'[80]VENTAS TOTALES'!$F44</f>
        <v>606</v>
      </c>
      <c r="AK36" s="251">
        <f>'[80]VENTAS TOTALES'!$G44</f>
        <v>262200</v>
      </c>
      <c r="AL36" s="251">
        <f>'[80]VENTAS TOTALES'!$H44</f>
        <v>1292400</v>
      </c>
      <c r="AM36" s="250">
        <f>'[81]VENTAS TOTALES'!$F44</f>
        <v>259</v>
      </c>
      <c r="AN36" s="251">
        <f>'[81]VENTAS TOTALES'!$G44</f>
        <v>43600</v>
      </c>
      <c r="AO36" s="251">
        <f>'[81]VENTAS TOTALES'!$H44</f>
        <v>483900</v>
      </c>
      <c r="AP36" s="250">
        <f>'[82]VENTAS TOTALES'!$F44</f>
        <v>1202</v>
      </c>
      <c r="AQ36" s="251">
        <f>'[82]VENTAS TOTALES'!$G44</f>
        <v>611800</v>
      </c>
      <c r="AR36" s="251">
        <f>'[82]VENTAS TOTALES'!$H44</f>
        <v>2655200</v>
      </c>
      <c r="AS36" s="250">
        <f>'[83]VENTAS TOTALES'!$F44</f>
        <v>1100</v>
      </c>
      <c r="AT36" s="251">
        <f>'[83]VENTAS TOTALES'!$G44</f>
        <v>823750</v>
      </c>
      <c r="AU36" s="251">
        <f>'[83]VENTAS TOTALES'!$H44</f>
        <v>2693750</v>
      </c>
      <c r="AV36" s="250">
        <f>'[84]VENTAS TOTALES'!$F44</f>
        <v>971</v>
      </c>
      <c r="AW36" s="251">
        <f>'[84]VENTAS TOTALES'!$G44</f>
        <v>837900</v>
      </c>
      <c r="AX36" s="251">
        <f>'[84]VENTAS TOTALES'!$H44</f>
        <v>2488600</v>
      </c>
      <c r="AY36" s="250">
        <f>'[85]VENTAS TOTALES'!$F44</f>
        <v>885</v>
      </c>
      <c r="AZ36" s="251">
        <f>'[85]VENTAS TOTALES'!$G44</f>
        <v>519400</v>
      </c>
      <c r="BA36" s="251">
        <f>'[85]VENTAS TOTALES'!$H44</f>
        <v>2023900</v>
      </c>
      <c r="BB36" s="250">
        <f>'[86]VENTAS TOTALES'!$F44</f>
        <v>791</v>
      </c>
      <c r="BC36" s="251">
        <f>'[86]VENTAS TOTALES'!$G44</f>
        <v>345400</v>
      </c>
      <c r="BD36" s="251">
        <f>'[86]VENTAS TOTALES'!$H44</f>
        <v>1690100</v>
      </c>
      <c r="BE36" s="250">
        <f>'[87]VENTAS TOTALES'!$F44</f>
        <v>563</v>
      </c>
      <c r="BF36" s="251">
        <f>'[87]VENTAS TOTALES'!$G44</f>
        <v>253400</v>
      </c>
      <c r="BG36" s="251">
        <f>'[87]VENTAS TOTALES'!$H44</f>
        <v>1210500</v>
      </c>
      <c r="BH36" s="250">
        <f>'[88]VENTAS TOTALES'!$F44</f>
        <v>262</v>
      </c>
      <c r="BI36" s="251">
        <f>'[88]VENTAS TOTALES'!$G44</f>
        <v>70800</v>
      </c>
      <c r="BJ36" s="251">
        <f>'[88]VENTAS TOTALES'!$H44</f>
        <v>516200</v>
      </c>
      <c r="BK36" s="250">
        <f>'[89]VENTAS TOTALES'!$F44</f>
        <v>1215</v>
      </c>
      <c r="BL36" s="251">
        <f>'[89]VENTAS TOTALES'!$G44</f>
        <v>450700</v>
      </c>
      <c r="BM36" s="251">
        <f>'[89]VENTAS TOTALES'!$H44</f>
        <v>2516200</v>
      </c>
      <c r="BN36" s="250">
        <f>'[90]VENTAS TOTALES'!$F44</f>
        <v>938</v>
      </c>
      <c r="BO36" s="251">
        <f>'[90]VENTAS TOTALES'!$G44</f>
        <v>587300</v>
      </c>
      <c r="BP36" s="251">
        <f>'[90]VENTAS TOTALES'!$H44</f>
        <v>2181900</v>
      </c>
      <c r="BQ36" s="250">
        <f>'[91]VENTAS TOTALES'!$F44</f>
        <v>915</v>
      </c>
      <c r="BR36" s="251">
        <f>'[91]VENTAS TOTALES'!$G44</f>
        <v>539800</v>
      </c>
      <c r="BS36" s="251">
        <f>'[91]VENTAS TOTALES'!$H44</f>
        <v>2095300</v>
      </c>
      <c r="BT36" s="250">
        <f>'[92]VENTAS TOTALES'!$F44</f>
        <v>909</v>
      </c>
      <c r="BU36" s="251">
        <f>'[92]VENTAS TOTALES'!$G44</f>
        <v>370800</v>
      </c>
      <c r="BV36" s="251">
        <f>'[92]VENTAS TOTALES'!$H44</f>
        <v>1916100</v>
      </c>
      <c r="BW36" s="250">
        <f>'[93]VENTAS TOTALES'!$F44</f>
        <v>833</v>
      </c>
      <c r="BX36" s="251">
        <f>'[93]VENTAS TOTALES'!$G44</f>
        <v>354600</v>
      </c>
      <c r="BY36" s="251">
        <f>'[93]VENTAS TOTALES'!$H44</f>
        <v>1770700</v>
      </c>
      <c r="BZ36" s="250">
        <f>'[94]VENTAS TOTALES'!$F44</f>
        <v>620</v>
      </c>
      <c r="CA36" s="251">
        <f>'[94]VENTAS TOTALES'!$G44</f>
        <v>291100</v>
      </c>
      <c r="CB36" s="251">
        <f>'[94]VENTAS TOTALES'!$H44</f>
        <v>1345100</v>
      </c>
      <c r="CC36" s="250">
        <f>'[95]VENTAS TOTALES'!$F44</f>
        <v>275</v>
      </c>
      <c r="CD36" s="251">
        <f>'[95]VENTAS TOTALES'!$G44</f>
        <v>51000</v>
      </c>
      <c r="CE36" s="251">
        <f>'[95]VENTAS TOTALES'!$H44</f>
        <v>518500</v>
      </c>
      <c r="CF36" s="250">
        <f>'[96]VENTAS TOTALES'!$F44</f>
        <v>1557</v>
      </c>
      <c r="CG36" s="251">
        <f>'[96]VENTAS TOTALES'!$G44</f>
        <v>986500</v>
      </c>
      <c r="CH36" s="251">
        <f>'[96]VENTAS TOTALES'!$H44</f>
        <v>3633400</v>
      </c>
      <c r="CI36" s="250">
        <f>'[97]VENTAS TOTALES'!$F44</f>
        <v>1186</v>
      </c>
      <c r="CJ36" s="251">
        <f>'[97]VENTAS TOTALES'!$G44</f>
        <v>982900</v>
      </c>
      <c r="CK36" s="251">
        <f>'[97]VENTAS TOTALES'!$H44</f>
        <v>2999100</v>
      </c>
      <c r="CL36" s="250">
        <f>'[98]VENTAS TOTALES'!$F44</f>
        <v>1348</v>
      </c>
      <c r="CM36" s="251">
        <f>'[98]VENTAS TOTALES'!$G44</f>
        <v>853100</v>
      </c>
      <c r="CN36" s="251">
        <f>'[98]VENTAS TOTALES'!$H44</f>
        <v>3144700</v>
      </c>
      <c r="CO36" s="250">
        <f>'[99]VENTAS TOTALES'!$F44</f>
        <v>1129</v>
      </c>
      <c r="CP36" s="251">
        <f>'[99]VENTAS TOTALES'!$G44</f>
        <v>571800</v>
      </c>
      <c r="CQ36" s="251">
        <f>'[99]VENTAS TOTALES'!$H44</f>
        <v>2491100</v>
      </c>
      <c r="CR36" s="250">
        <f>'[100]VENTAS TOTALES'!$F44</f>
        <v>897</v>
      </c>
      <c r="CS36" s="251">
        <f>'[100]VENTAS TOTALES'!$G44</f>
        <v>367000</v>
      </c>
      <c r="CT36" s="251">
        <f>'[100]VENTAS TOTALES'!$H44</f>
        <v>1891900</v>
      </c>
      <c r="CU36" s="250">
        <f>'[101]VENTAS TOTALES'!$F44</f>
        <v>528</v>
      </c>
      <c r="CV36" s="251">
        <f>'[101]VENTAS TOTALES'!$G44</f>
        <v>158100</v>
      </c>
      <c r="CW36" s="251">
        <f>'[101]VENTAS TOTALES'!$H44</f>
        <v>1055700</v>
      </c>
      <c r="CX36" s="250">
        <f>'[102]VENTAS TOTALES'!$F44</f>
        <v>302</v>
      </c>
      <c r="CY36" s="251">
        <f>'[102]VENTAS TOTALES'!$G44</f>
        <v>35500</v>
      </c>
      <c r="CZ36" s="251">
        <f>'[102]VENTAS TOTALES'!$H44</f>
        <v>548900</v>
      </c>
    </row>
    <row r="37" spans="1:104" ht="12" customHeight="1" x14ac:dyDescent="0.2">
      <c r="A37" s="443"/>
      <c r="B37" s="43" t="s">
        <v>47</v>
      </c>
      <c r="C37" s="250">
        <f>'[69]VENTAS TOTALES'!$F45</f>
        <v>14944</v>
      </c>
      <c r="D37" s="251">
        <f>'[69]VENTAS TOTALES'!$G45</f>
        <v>6209550</v>
      </c>
      <c r="E37" s="251">
        <f>'[69]VENTAS TOTALES'!$H45</f>
        <v>31614350</v>
      </c>
      <c r="F37" s="250">
        <f>'[70]VENTAS TOTALES'!$F45</f>
        <v>15290</v>
      </c>
      <c r="G37" s="251">
        <f>'[70]VENTAS TOTALES'!$G45</f>
        <v>5081700</v>
      </c>
      <c r="H37" s="251">
        <f>'[70]VENTAS TOTALES'!$H45</f>
        <v>31074700</v>
      </c>
      <c r="I37" s="250">
        <f>'[71]VENTAS TOTALES'!$F45</f>
        <v>13781</v>
      </c>
      <c r="J37" s="251">
        <f>'[71]VENTAS TOTALES'!$G45</f>
        <v>4769600</v>
      </c>
      <c r="K37" s="251">
        <f>'[71]VENTAS TOTALES'!$H45</f>
        <v>28197300</v>
      </c>
      <c r="L37" s="250">
        <f>'[72]VENTAS TOTALES'!$F45</f>
        <v>12967</v>
      </c>
      <c r="M37" s="251">
        <f>'[72]VENTAS TOTALES'!$G45</f>
        <v>2900400</v>
      </c>
      <c r="N37" s="251">
        <f>'[72]VENTAS TOTALES'!$H45</f>
        <v>24944300</v>
      </c>
      <c r="O37" s="250">
        <f>'[73]VENTAS TOTALES'!$F45</f>
        <v>8679</v>
      </c>
      <c r="P37" s="251">
        <f>'[73]VENTAS TOTALES'!$G45</f>
        <v>2650900</v>
      </c>
      <c r="Q37" s="251">
        <f>'[73]VENTAS TOTALES'!$H45</f>
        <v>17405200</v>
      </c>
      <c r="R37" s="250">
        <f>'[74]VENTAS TOTALES'!$F45</f>
        <v>4598</v>
      </c>
      <c r="S37" s="251">
        <f>'[74]VENTAS TOTALES'!$G45</f>
        <v>1493800</v>
      </c>
      <c r="T37" s="251">
        <f>'[74]VENTAS TOTALES'!$H45</f>
        <v>9310400</v>
      </c>
      <c r="U37" s="250">
        <f>'[75]VENTAS TOTALES'!$F45</f>
        <v>17474</v>
      </c>
      <c r="V37" s="251">
        <f>'[75]VENTAS TOTALES'!$G45</f>
        <v>5601800</v>
      </c>
      <c r="W37" s="251">
        <f>'[75]VENTAS TOTALES'!$H45</f>
        <v>35307600</v>
      </c>
      <c r="X37" s="250">
        <f>'[76]VENTAS TOTALES'!$F45</f>
        <v>14886</v>
      </c>
      <c r="Y37" s="251">
        <f>'[76]VENTAS TOTALES'!$G45</f>
        <v>4105350</v>
      </c>
      <c r="Z37" s="251">
        <f>'[76]VENTAS TOTALES'!$H45</f>
        <v>29411550</v>
      </c>
      <c r="AA37" s="250">
        <f>'[77]VENTAS TOTALES'!$F45</f>
        <v>13724</v>
      </c>
      <c r="AB37" s="251">
        <f>'[77]VENTAS TOTALES'!$G45</f>
        <v>2997700</v>
      </c>
      <c r="AC37" s="251">
        <f>'[77]VENTAS TOTALES'!$H45</f>
        <v>26328500</v>
      </c>
      <c r="AD37" s="250">
        <f>'[78]VENTAS TOTALES'!$F45</f>
        <v>13536</v>
      </c>
      <c r="AE37" s="251">
        <f>'[78]VENTAS TOTALES'!$G45</f>
        <v>3351600</v>
      </c>
      <c r="AF37" s="251">
        <f>'[78]VENTAS TOTALES'!$H45</f>
        <v>26362800</v>
      </c>
      <c r="AG37" s="250">
        <f>'[79]VENTAS TOTALES'!$F45</f>
        <v>13263</v>
      </c>
      <c r="AH37" s="251">
        <f>'[79]VENTAS TOTALES'!$G45</f>
        <v>3149700</v>
      </c>
      <c r="AI37" s="251">
        <f>'[79]VENTAS TOTALES'!$H45</f>
        <v>25696800</v>
      </c>
      <c r="AJ37" s="250">
        <f>'[80]VENTAS TOTALES'!$F45</f>
        <v>8949</v>
      </c>
      <c r="AK37" s="251">
        <f>'[80]VENTAS TOTALES'!$G45</f>
        <v>2485100</v>
      </c>
      <c r="AL37" s="251">
        <f>'[80]VENTAS TOTALES'!$H45</f>
        <v>17698400</v>
      </c>
      <c r="AM37" s="250">
        <f>'[81]VENTAS TOTALES'!$F45</f>
        <v>4228</v>
      </c>
      <c r="AN37" s="251">
        <f>'[81]VENTAS TOTALES'!$G45</f>
        <v>1525600</v>
      </c>
      <c r="AO37" s="251">
        <f>'[81]VENTAS TOTALES'!$H45</f>
        <v>8713200</v>
      </c>
      <c r="AP37" s="250">
        <f>'[82]VENTAS TOTALES'!$F45</f>
        <v>17039</v>
      </c>
      <c r="AQ37" s="251">
        <f>'[82]VENTAS TOTALES'!$G45</f>
        <v>5266400</v>
      </c>
      <c r="AR37" s="251">
        <f>'[82]VENTAS TOTALES'!$H45</f>
        <v>34232700</v>
      </c>
      <c r="AS37" s="250">
        <f>'[83]VENTAS TOTALES'!$F45</f>
        <v>14944</v>
      </c>
      <c r="AT37" s="251">
        <f>'[83]VENTAS TOTALES'!$G45</f>
        <v>5647650</v>
      </c>
      <c r="AU37" s="251">
        <f>'[83]VENTAS TOTALES'!$H45</f>
        <v>31052450</v>
      </c>
      <c r="AV37" s="250">
        <f>'[84]VENTAS TOTALES'!$F45</f>
        <v>14676</v>
      </c>
      <c r="AW37" s="251">
        <f>'[84]VENTAS TOTALES'!$G45</f>
        <v>5616600</v>
      </c>
      <c r="AX37" s="251">
        <f>'[84]VENTAS TOTALES'!$H45</f>
        <v>30565800</v>
      </c>
      <c r="AY37" s="250">
        <f>'[85]VENTAS TOTALES'!$F45</f>
        <v>14031</v>
      </c>
      <c r="AZ37" s="251">
        <f>'[85]VENTAS TOTALES'!$G45</f>
        <v>4351150</v>
      </c>
      <c r="BA37" s="251">
        <f>'[85]VENTAS TOTALES'!$H45</f>
        <v>28203850</v>
      </c>
      <c r="BB37" s="250">
        <f>'[86]VENTAS TOTALES'!$F45</f>
        <v>13282</v>
      </c>
      <c r="BC37" s="251">
        <f>'[86]VENTAS TOTALES'!$G45</f>
        <v>3932150</v>
      </c>
      <c r="BD37" s="251">
        <f>'[86]VENTAS TOTALES'!$H45</f>
        <v>26511550</v>
      </c>
      <c r="BE37" s="250">
        <f>'[87]VENTAS TOTALES'!$F45</f>
        <v>9066</v>
      </c>
      <c r="BF37" s="251">
        <f>'[87]VENTAS TOTALES'!$G45</f>
        <v>2376400</v>
      </c>
      <c r="BG37" s="251">
        <f>'[87]VENTAS TOTALES'!$H45</f>
        <v>17788600</v>
      </c>
      <c r="BH37" s="250">
        <f>'[88]VENTAS TOTALES'!$F45</f>
        <v>4314</v>
      </c>
      <c r="BI37" s="251">
        <f>'[88]VENTAS TOTALES'!$G45</f>
        <v>1433500</v>
      </c>
      <c r="BJ37" s="251">
        <f>'[88]VENTAS TOTALES'!$H45</f>
        <v>8767300</v>
      </c>
      <c r="BK37" s="250">
        <f>'[89]VENTAS TOTALES'!$F45</f>
        <v>16805</v>
      </c>
      <c r="BL37" s="251">
        <f>'[89]VENTAS TOTALES'!$G45</f>
        <v>5466050</v>
      </c>
      <c r="BM37" s="251">
        <f>'[89]VENTAS TOTALES'!$H45</f>
        <v>34034550</v>
      </c>
      <c r="BN37" s="250">
        <f>'[90]VENTAS TOTALES'!$F45</f>
        <v>14225</v>
      </c>
      <c r="BO37" s="251">
        <f>'[90]VENTAS TOTALES'!$G45</f>
        <v>4219350</v>
      </c>
      <c r="BP37" s="251">
        <f>'[90]VENTAS TOTALES'!$H45</f>
        <v>28401850</v>
      </c>
      <c r="BQ37" s="250">
        <f>'[91]VENTAS TOTALES'!$F45</f>
        <v>13675</v>
      </c>
      <c r="BR37" s="251">
        <f>'[91]VENTAS TOTALES'!$G45</f>
        <v>4839350</v>
      </c>
      <c r="BS37" s="251">
        <f>'[91]VENTAS TOTALES'!$H45</f>
        <v>28086850</v>
      </c>
      <c r="BT37" s="250">
        <f>'[92]VENTAS TOTALES'!$F45</f>
        <v>12887</v>
      </c>
      <c r="BU37" s="251">
        <f>'[92]VENTAS TOTALES'!$G45</f>
        <v>4125350</v>
      </c>
      <c r="BV37" s="251">
        <f>'[92]VENTAS TOTALES'!$H45</f>
        <v>26033250</v>
      </c>
      <c r="BW37" s="250">
        <f>'[93]VENTAS TOTALES'!$F45</f>
        <v>13163</v>
      </c>
      <c r="BX37" s="251">
        <f>'[93]VENTAS TOTALES'!$G45</f>
        <v>3811700</v>
      </c>
      <c r="BY37" s="251">
        <f>'[93]VENTAS TOTALES'!$H45</f>
        <v>26188800</v>
      </c>
      <c r="BZ37" s="250">
        <f>'[94]VENTAS TOTALES'!$F45</f>
        <v>9410</v>
      </c>
      <c r="CA37" s="251">
        <f>'[94]VENTAS TOTALES'!$G45</f>
        <v>2947100</v>
      </c>
      <c r="CB37" s="251">
        <f>'[94]VENTAS TOTALES'!$H45</f>
        <v>18944100</v>
      </c>
      <c r="CC37" s="250">
        <f>'[95]VENTAS TOTALES'!$F45</f>
        <v>4388</v>
      </c>
      <c r="CD37" s="251">
        <f>'[95]VENTAS TOTALES'!$G45</f>
        <v>1440750</v>
      </c>
      <c r="CE37" s="251">
        <f>'[95]VENTAS TOTALES'!$H45</f>
        <v>8900350</v>
      </c>
      <c r="CF37" s="250">
        <f>'[96]VENTAS TOTALES'!$F45</f>
        <v>18704</v>
      </c>
      <c r="CG37" s="251">
        <f>'[96]VENTAS TOTALES'!$G45</f>
        <v>7219200</v>
      </c>
      <c r="CH37" s="251">
        <f>'[96]VENTAS TOTALES'!$H45</f>
        <v>39016000</v>
      </c>
      <c r="CI37" s="250">
        <f>'[97]VENTAS TOTALES'!$F45</f>
        <v>16699</v>
      </c>
      <c r="CJ37" s="251">
        <f>'[97]VENTAS TOTALES'!$G45</f>
        <v>6380601</v>
      </c>
      <c r="CK37" s="251">
        <f>'[97]VENTAS TOTALES'!$H45</f>
        <v>34768901</v>
      </c>
      <c r="CL37" s="250">
        <f>'[98]VENTAS TOTALES'!$F45</f>
        <v>14815</v>
      </c>
      <c r="CM37" s="251">
        <f>'[98]VENTAS TOTALES'!$G45</f>
        <v>5541400</v>
      </c>
      <c r="CN37" s="251">
        <f>'[98]VENTAS TOTALES'!$H45</f>
        <v>30726900</v>
      </c>
      <c r="CO37" s="250">
        <f>'[99]VENTAS TOTALES'!$F45</f>
        <v>13981</v>
      </c>
      <c r="CP37" s="251">
        <f>'[99]VENTAS TOTALES'!$G45</f>
        <v>4400650</v>
      </c>
      <c r="CQ37" s="251">
        <f>'[99]VENTAS TOTALES'!$H45</f>
        <v>28168350</v>
      </c>
      <c r="CR37" s="250">
        <f>'[100]VENTAS TOTALES'!$F45</f>
        <v>13189</v>
      </c>
      <c r="CS37" s="251">
        <f>'[100]VENTAS TOTALES'!$G45</f>
        <v>3644200</v>
      </c>
      <c r="CT37" s="251">
        <f>'[100]VENTAS TOTALES'!$H45</f>
        <v>26065500</v>
      </c>
      <c r="CU37" s="250">
        <f>'[101]VENTAS TOTALES'!$F45</f>
        <v>10010</v>
      </c>
      <c r="CV37" s="251">
        <f>'[101]VENTAS TOTALES'!$G45</f>
        <v>2612250</v>
      </c>
      <c r="CW37" s="251">
        <f>'[101]VENTAS TOTALES'!$H45</f>
        <v>19629250</v>
      </c>
      <c r="CX37" s="250">
        <f>'[102]VENTAS TOTALES'!$F45</f>
        <v>4144</v>
      </c>
      <c r="CY37" s="251">
        <f>'[102]VENTAS TOTALES'!$G45</f>
        <v>1222800</v>
      </c>
      <c r="CZ37" s="251">
        <f>'[102]VENTAS TOTALES'!$H45</f>
        <v>8267600</v>
      </c>
    </row>
    <row r="38" spans="1:104" s="12" customFormat="1" ht="12" customHeight="1" x14ac:dyDescent="0.2">
      <c r="A38" s="443"/>
      <c r="B38" s="43" t="s">
        <v>48</v>
      </c>
      <c r="C38" s="252">
        <f>'[69]VENTAS TOTALES'!$F46</f>
        <v>3284</v>
      </c>
      <c r="D38" s="253">
        <f>'[69]VENTAS TOTALES'!$G46</f>
        <v>3235600</v>
      </c>
      <c r="E38" s="253">
        <f>'[69]VENTAS TOTALES'!$H46</f>
        <v>8818400</v>
      </c>
      <c r="F38" s="252">
        <f>'[70]VENTAS TOTALES'!$F46</f>
        <v>2632</v>
      </c>
      <c r="G38" s="253">
        <f>'[70]VENTAS TOTALES'!$G46</f>
        <v>2972400</v>
      </c>
      <c r="H38" s="253">
        <f>'[70]VENTAS TOTALES'!$H46</f>
        <v>7446800</v>
      </c>
      <c r="I38" s="252">
        <f>'[71]VENTAS TOTALES'!$F46</f>
        <v>1955</v>
      </c>
      <c r="J38" s="253">
        <f>'[71]VENTAS TOTALES'!$G46</f>
        <v>1726000</v>
      </c>
      <c r="K38" s="253">
        <f>'[71]VENTAS TOTALES'!$H46</f>
        <v>5049500</v>
      </c>
      <c r="L38" s="252">
        <f>'[72]VENTAS TOTALES'!$F46</f>
        <v>1696</v>
      </c>
      <c r="M38" s="253">
        <f>'[72]VENTAS TOTALES'!$G46</f>
        <v>1118600</v>
      </c>
      <c r="N38" s="253">
        <f>'[72]VENTAS TOTALES'!$H46</f>
        <v>4001800</v>
      </c>
      <c r="O38" s="252">
        <f>'[73]VENTAS TOTALES'!$F46</f>
        <v>825</v>
      </c>
      <c r="P38" s="253">
        <f>'[73]VENTAS TOTALES'!$G46</f>
        <v>558800</v>
      </c>
      <c r="Q38" s="253">
        <f>'[73]VENTAS TOTALES'!$H46</f>
        <v>1961300</v>
      </c>
      <c r="R38" s="252">
        <f>'[74]VENTAS TOTALES'!$F46</f>
        <v>326</v>
      </c>
      <c r="S38" s="253">
        <f>'[74]VENTAS TOTALES'!$G46</f>
        <v>66000</v>
      </c>
      <c r="T38" s="253">
        <f>'[74]VENTAS TOTALES'!$H46</f>
        <v>620200</v>
      </c>
      <c r="U38" s="252">
        <f>'[75]VENTAS TOTALES'!$F46</f>
        <v>3089</v>
      </c>
      <c r="V38" s="253">
        <f>'[75]VENTAS TOTALES'!$G46</f>
        <v>2455200</v>
      </c>
      <c r="W38" s="253">
        <f>'[75]VENTAS TOTALES'!$H46</f>
        <v>7706500</v>
      </c>
      <c r="X38" s="252">
        <f>'[76]VENTAS TOTALES'!$F46</f>
        <v>2307</v>
      </c>
      <c r="Y38" s="253">
        <f>'[76]VENTAS TOTALES'!$G46</f>
        <v>2112200</v>
      </c>
      <c r="Z38" s="253">
        <f>'[76]VENTAS TOTALES'!$H46</f>
        <v>6034100</v>
      </c>
      <c r="AA38" s="252">
        <f>'[77]VENTAS TOTALES'!$F46</f>
        <v>2282</v>
      </c>
      <c r="AB38" s="253">
        <f>'[77]VENTAS TOTALES'!$G46</f>
        <v>1577200</v>
      </c>
      <c r="AC38" s="253">
        <f>'[77]VENTAS TOTALES'!$H46</f>
        <v>5456600</v>
      </c>
      <c r="AD38" s="252">
        <f>'[78]VENTAS TOTALES'!$F46</f>
        <v>2065</v>
      </c>
      <c r="AE38" s="253">
        <f>'[78]VENTAS TOTALES'!$G46</f>
        <v>1370450</v>
      </c>
      <c r="AF38" s="253">
        <f>'[78]VENTAS TOTALES'!$H46</f>
        <v>4880950</v>
      </c>
      <c r="AG38" s="252">
        <f>'[79]VENTAS TOTALES'!$F46</f>
        <v>1916</v>
      </c>
      <c r="AH38" s="253">
        <f>'[79]VENTAS TOTALES'!$G46</f>
        <v>1222200</v>
      </c>
      <c r="AI38" s="253">
        <f>'[79]VENTAS TOTALES'!$H46</f>
        <v>4479400</v>
      </c>
      <c r="AJ38" s="252">
        <f>'[80]VENTAS TOTALES'!$F46</f>
        <v>928</v>
      </c>
      <c r="AK38" s="253">
        <f>'[80]VENTAS TOTALES'!$G46</f>
        <v>671400</v>
      </c>
      <c r="AL38" s="253">
        <f>'[80]VENTAS TOTALES'!$H46</f>
        <v>2249000</v>
      </c>
      <c r="AM38" s="252">
        <f>'[81]VENTAS TOTALES'!$F46</f>
        <v>295</v>
      </c>
      <c r="AN38" s="253">
        <f>'[81]VENTAS TOTALES'!$G46</f>
        <v>175200</v>
      </c>
      <c r="AO38" s="253">
        <f>'[81]VENTAS TOTALES'!$H46</f>
        <v>676700</v>
      </c>
      <c r="AP38" s="252">
        <f>'[82]VENTAS TOTALES'!$F46</f>
        <v>3164</v>
      </c>
      <c r="AQ38" s="253">
        <f>'[82]VENTAS TOTALES'!$G46</f>
        <v>2476450</v>
      </c>
      <c r="AR38" s="253">
        <f>'[82]VENTAS TOTALES'!$H46</f>
        <v>7855250</v>
      </c>
      <c r="AS38" s="252">
        <f>'[83]VENTAS TOTALES'!$F46</f>
        <v>3036</v>
      </c>
      <c r="AT38" s="253">
        <f>'[83]VENTAS TOTALES'!$G46</f>
        <v>3007000</v>
      </c>
      <c r="AU38" s="253">
        <f>'[83]VENTAS TOTALES'!$H46</f>
        <v>8168200</v>
      </c>
      <c r="AV38" s="252">
        <f>'[84]VENTAS TOTALES'!$F46</f>
        <v>3230</v>
      </c>
      <c r="AW38" s="253">
        <f>'[84]VENTAS TOTALES'!$G46</f>
        <v>2637700</v>
      </c>
      <c r="AX38" s="253">
        <f>'[84]VENTAS TOTALES'!$H46</f>
        <v>8128700</v>
      </c>
      <c r="AY38" s="252">
        <f>'[85]VENTAS TOTALES'!$F46</f>
        <v>2814</v>
      </c>
      <c r="AZ38" s="253">
        <f>'[85]VENTAS TOTALES'!$G46</f>
        <v>2817550</v>
      </c>
      <c r="BA38" s="253">
        <f>'[85]VENTAS TOTALES'!$H46</f>
        <v>7601350</v>
      </c>
      <c r="BB38" s="252">
        <f>'[86]VENTAS TOTALES'!$F46</f>
        <v>1864</v>
      </c>
      <c r="BC38" s="253">
        <f>'[86]VENTAS TOTALES'!$G46</f>
        <v>1659550</v>
      </c>
      <c r="BD38" s="253">
        <f>'[86]VENTAS TOTALES'!$H46</f>
        <v>4828350</v>
      </c>
      <c r="BE38" s="252">
        <f>'[87]VENTAS TOTALES'!$F46</f>
        <v>1133</v>
      </c>
      <c r="BF38" s="253">
        <f>'[87]VENTAS TOTALES'!$G46</f>
        <v>876500</v>
      </c>
      <c r="BG38" s="253">
        <f>'[87]VENTAS TOTALES'!$H46</f>
        <v>2802600</v>
      </c>
      <c r="BH38" s="252">
        <f>'[88]VENTAS TOTALES'!$F46</f>
        <v>371</v>
      </c>
      <c r="BI38" s="253">
        <f>'[88]VENTAS TOTALES'!$G46</f>
        <v>214500</v>
      </c>
      <c r="BJ38" s="253">
        <f>'[88]VENTAS TOTALES'!$H46</f>
        <v>845200</v>
      </c>
      <c r="BK38" s="252">
        <f>'[89]VENTAS TOTALES'!$F46</f>
        <v>3264</v>
      </c>
      <c r="BL38" s="253">
        <f>'[89]VENTAS TOTALES'!$G46</f>
        <v>2366600</v>
      </c>
      <c r="BM38" s="253">
        <f>'[89]VENTAS TOTALES'!$H46</f>
        <v>7915400</v>
      </c>
      <c r="BN38" s="252">
        <f>'[90]VENTAS TOTALES'!$F46</f>
        <v>2324</v>
      </c>
      <c r="BO38" s="253">
        <f>'[90]VENTAS TOTALES'!$G46</f>
        <v>1760200</v>
      </c>
      <c r="BP38" s="253">
        <f>'[90]VENTAS TOTALES'!$H46</f>
        <v>5711000</v>
      </c>
      <c r="BQ38" s="252">
        <f>'[91]VENTAS TOTALES'!$F46</f>
        <v>2396</v>
      </c>
      <c r="BR38" s="253">
        <f>'[91]VENTAS TOTALES'!$G46</f>
        <v>1868500</v>
      </c>
      <c r="BS38" s="253">
        <f>'[91]VENTAS TOTALES'!$H46</f>
        <v>5941700</v>
      </c>
      <c r="BT38" s="252">
        <f>'[92]VENTAS TOTALES'!$F46</f>
        <v>2255</v>
      </c>
      <c r="BU38" s="253">
        <f>'[92]VENTAS TOTALES'!$G46</f>
        <v>1703600</v>
      </c>
      <c r="BV38" s="253">
        <f>'[92]VENTAS TOTALES'!$H46</f>
        <v>5537100</v>
      </c>
      <c r="BW38" s="252">
        <f>'[93]VENTAS TOTALES'!$F46</f>
        <v>1986</v>
      </c>
      <c r="BX38" s="253">
        <f>'[93]VENTAS TOTALES'!$G46</f>
        <v>1532400</v>
      </c>
      <c r="BY38" s="253">
        <f>'[93]VENTAS TOTALES'!$H46</f>
        <v>4908600</v>
      </c>
      <c r="BZ38" s="252">
        <f>'[94]VENTAS TOTALES'!$F46</f>
        <v>1170</v>
      </c>
      <c r="CA38" s="253">
        <f>'[94]VENTAS TOTALES'!$G46</f>
        <v>1027900</v>
      </c>
      <c r="CB38" s="253">
        <f>'[94]VENTAS TOTALES'!$H46</f>
        <v>3016900</v>
      </c>
      <c r="CC38" s="252">
        <f>'[95]VENTAS TOTALES'!$F46</f>
        <v>387</v>
      </c>
      <c r="CD38" s="253">
        <f>'[95]VENTAS TOTALES'!$G46</f>
        <v>232500</v>
      </c>
      <c r="CE38" s="253">
        <f>'[95]VENTAS TOTALES'!$H46</f>
        <v>890400</v>
      </c>
      <c r="CF38" s="252">
        <f>'[96]VENTAS TOTALES'!$F46</f>
        <v>3759</v>
      </c>
      <c r="CG38" s="253">
        <f>'[96]VENTAS TOTALES'!$G46</f>
        <v>3116400</v>
      </c>
      <c r="CH38" s="253">
        <f>'[96]VENTAS TOTALES'!$H46</f>
        <v>9506700</v>
      </c>
      <c r="CI38" s="252">
        <f>'[97]VENTAS TOTALES'!$F46</f>
        <v>3908</v>
      </c>
      <c r="CJ38" s="253">
        <f>'[97]VENTAS TOTALES'!$G46</f>
        <v>4099400</v>
      </c>
      <c r="CK38" s="253">
        <f>'[97]VENTAS TOTALES'!$H46</f>
        <v>10743000</v>
      </c>
      <c r="CL38" s="252">
        <f>'[98]VENTAS TOTALES'!$F46</f>
        <v>3343</v>
      </c>
      <c r="CM38" s="253">
        <f>'[98]VENTAS TOTALES'!$G46</f>
        <v>2990600</v>
      </c>
      <c r="CN38" s="253">
        <f>'[98]VENTAS TOTALES'!$H46</f>
        <v>8673700</v>
      </c>
      <c r="CO38" s="252">
        <f>'[99]VENTAS TOTALES'!$F46</f>
        <v>2851</v>
      </c>
      <c r="CP38" s="253">
        <f>'[99]VENTAS TOTALES'!$G46</f>
        <v>2263600</v>
      </c>
      <c r="CQ38" s="253">
        <f>'[99]VENTAS TOTALES'!$H46</f>
        <v>7110300</v>
      </c>
      <c r="CR38" s="252">
        <f>'[100]VENTAS TOTALES'!$F46</f>
        <v>2384</v>
      </c>
      <c r="CS38" s="253">
        <f>'[100]VENTAS TOTALES'!$G46</f>
        <v>1513200</v>
      </c>
      <c r="CT38" s="253">
        <f>'[100]VENTAS TOTALES'!$H46</f>
        <v>5566000</v>
      </c>
      <c r="CU38" s="252">
        <f>'[101]VENTAS TOTALES'!$F46</f>
        <v>1225</v>
      </c>
      <c r="CV38" s="253">
        <f>'[101]VENTAS TOTALES'!$G46</f>
        <v>541500</v>
      </c>
      <c r="CW38" s="253">
        <f>'[101]VENTAS TOTALES'!$H46</f>
        <v>2624000</v>
      </c>
      <c r="CX38" s="252">
        <f>'[102]VENTAS TOTALES'!$F46</f>
        <v>331</v>
      </c>
      <c r="CY38" s="253">
        <f>'[102]VENTAS TOTALES'!$G46</f>
        <v>137500</v>
      </c>
      <c r="CZ38" s="253">
        <f>'[102]VENTAS TOTALES'!$H46</f>
        <v>700200</v>
      </c>
    </row>
    <row r="39" spans="1:104" s="12" customFormat="1" ht="13.5" thickBot="1" x14ac:dyDescent="0.25">
      <c r="A39" s="443"/>
      <c r="B39" s="73" t="s">
        <v>110</v>
      </c>
      <c r="C39" s="265">
        <f>'[69]VENTAS TOTALES'!$F47</f>
        <v>22834</v>
      </c>
      <c r="D39" s="266">
        <f>'[69]VENTAS TOTALES'!$G47</f>
        <v>8093600</v>
      </c>
      <c r="E39" s="266">
        <f>'[69]VENTAS TOTALES'!$H47</f>
        <v>46911400</v>
      </c>
      <c r="F39" s="265">
        <f>'[70]VENTAS TOTALES'!$F47</f>
        <v>23299</v>
      </c>
      <c r="G39" s="266">
        <f>'[70]VENTAS TOTALES'!$G47</f>
        <v>7511900</v>
      </c>
      <c r="H39" s="266">
        <f>'[70]VENTAS TOTALES'!$H47</f>
        <v>47120200</v>
      </c>
      <c r="I39" s="265">
        <f>'[71]VENTAS TOTALES'!$F47</f>
        <v>19215</v>
      </c>
      <c r="J39" s="266">
        <f>'[71]VENTAS TOTALES'!$G47</f>
        <v>5620600</v>
      </c>
      <c r="K39" s="266">
        <f>'[71]VENTAS TOTALES'!$H47</f>
        <v>38286100</v>
      </c>
      <c r="L39" s="265">
        <f>'[72]VENTAS TOTALES'!$F47</f>
        <v>21759</v>
      </c>
      <c r="M39" s="266">
        <f>'[72]VENTAS TOTALES'!$G47</f>
        <v>4502600</v>
      </c>
      <c r="N39" s="266">
        <f>'[72]VENTAS TOTALES'!$H47</f>
        <v>41492900</v>
      </c>
      <c r="O39" s="265">
        <f>'[73]VENTAS TOTALES'!$F47</f>
        <v>19065</v>
      </c>
      <c r="P39" s="266">
        <f>'[73]VENTAS TOTALES'!$G47</f>
        <v>4544900</v>
      </c>
      <c r="Q39" s="266">
        <f>'[73]VENTAS TOTALES'!$H47</f>
        <v>36955400</v>
      </c>
      <c r="R39" s="265">
        <f>'[74]VENTAS TOTALES'!$F47</f>
        <v>11771</v>
      </c>
      <c r="S39" s="266">
        <f>'[74]VENTAS TOTALES'!$G47</f>
        <v>2697200</v>
      </c>
      <c r="T39" s="266">
        <f>'[74]VENTAS TOTALES'!$H47</f>
        <v>22707900</v>
      </c>
      <c r="U39" s="265">
        <f>'[75]VENTAS TOTALES'!$F47</f>
        <v>26372</v>
      </c>
      <c r="V39" s="266">
        <f>'[75]VENTAS TOTALES'!$G47</f>
        <v>8286100</v>
      </c>
      <c r="W39" s="266">
        <f>'[75]VENTAS TOTALES'!$H47</f>
        <v>53118500</v>
      </c>
      <c r="X39" s="265">
        <f>'[76]VENTAS TOTALES'!$F47</f>
        <v>21922</v>
      </c>
      <c r="Y39" s="266">
        <f>'[76]VENTAS TOTALES'!$G47</f>
        <v>6246000</v>
      </c>
      <c r="Z39" s="266">
        <f>'[76]VENTAS TOTALES'!$H47</f>
        <v>43513400</v>
      </c>
      <c r="AA39" s="265">
        <f>'[77]VENTAS TOTALES'!$F47</f>
        <v>21076</v>
      </c>
      <c r="AB39" s="266">
        <f>'[77]VENTAS TOTALES'!$G47</f>
        <v>5071400</v>
      </c>
      <c r="AC39" s="266">
        <f>'[77]VENTAS TOTALES'!$H47</f>
        <v>40900600</v>
      </c>
      <c r="AD39" s="265">
        <f>'[78]VENTAS TOTALES'!$F47</f>
        <v>20831</v>
      </c>
      <c r="AE39" s="266">
        <f>'[78]VENTAS TOTALES'!$G47</f>
        <v>5690000</v>
      </c>
      <c r="AF39" s="266">
        <f>'[78]VENTAS TOTALES'!$H47</f>
        <v>41102700</v>
      </c>
      <c r="AG39" s="265">
        <f>'[79]VENTAS TOTALES'!$F47</f>
        <v>21144</v>
      </c>
      <c r="AH39" s="266">
        <f>'[79]VENTAS TOTALES'!$G47</f>
        <v>5349100</v>
      </c>
      <c r="AI39" s="266">
        <f>'[79]VENTAS TOTALES'!$H47</f>
        <v>41293900</v>
      </c>
      <c r="AJ39" s="265">
        <f>'[80]VENTAS TOTALES'!$F47</f>
        <v>18401</v>
      </c>
      <c r="AK39" s="266">
        <f>'[80]VENTAS TOTALES'!$G47</f>
        <v>3717600</v>
      </c>
      <c r="AL39" s="266">
        <f>'[80]VENTAS TOTALES'!$H47</f>
        <v>34999300</v>
      </c>
      <c r="AM39" s="265">
        <f>'[81]VENTAS TOTALES'!$F47</f>
        <v>11277</v>
      </c>
      <c r="AN39" s="266">
        <f>'[81]VENTAS TOTALES'!$G47</f>
        <v>2908600</v>
      </c>
      <c r="AO39" s="266">
        <f>'[81]VENTAS TOTALES'!$H47</f>
        <v>22079500</v>
      </c>
      <c r="AP39" s="265">
        <f>'[82]VENTAS TOTALES'!$F47</f>
        <v>26809</v>
      </c>
      <c r="AQ39" s="266">
        <f>'[82]VENTAS TOTALES'!$G47</f>
        <v>8566900</v>
      </c>
      <c r="AR39" s="266">
        <f>'[82]VENTAS TOTALES'!$H47</f>
        <v>54142200</v>
      </c>
      <c r="AS39" s="265">
        <f>'[83]VENTAS TOTALES'!$F47</f>
        <v>22438</v>
      </c>
      <c r="AT39" s="266">
        <f>'[83]VENTAS TOTALES'!$G47</f>
        <v>8557500</v>
      </c>
      <c r="AU39" s="266">
        <f>'[83]VENTAS TOTALES'!$H47</f>
        <v>46702100</v>
      </c>
      <c r="AV39" s="265">
        <f>'[84]VENTAS TOTALES'!$F47</f>
        <v>20813</v>
      </c>
      <c r="AW39" s="266">
        <f>'[84]VENTAS TOTALES'!$G47</f>
        <v>6950400</v>
      </c>
      <c r="AX39" s="266">
        <f>'[84]VENTAS TOTALES'!$H47</f>
        <v>42332500</v>
      </c>
      <c r="AY39" s="265">
        <f>'[85]VENTAS TOTALES'!$F47</f>
        <v>20136</v>
      </c>
      <c r="AZ39" s="266">
        <f>'[85]VENTAS TOTALES'!$G47</f>
        <v>6789900</v>
      </c>
      <c r="BA39" s="266">
        <f>'[85]VENTAS TOTALES'!$H47</f>
        <v>41021100</v>
      </c>
      <c r="BB39" s="265">
        <f>'[86]VENTAS TOTALES'!$F47</f>
        <v>21043</v>
      </c>
      <c r="BC39" s="266">
        <f>'[86]VENTAS TOTALES'!$G47</f>
        <v>5589300</v>
      </c>
      <c r="BD39" s="266">
        <f>'[86]VENTAS TOTALES'!$H47</f>
        <v>41362400</v>
      </c>
      <c r="BE39" s="265">
        <f>'[87]VENTAS TOTALES'!$F47</f>
        <v>19191</v>
      </c>
      <c r="BF39" s="266">
        <f>'[87]VENTAS TOTALES'!$G47</f>
        <v>4368700</v>
      </c>
      <c r="BG39" s="266">
        <f>'[87]VENTAS TOTALES'!$H47</f>
        <v>36993400</v>
      </c>
      <c r="BH39" s="265">
        <f>'[88]VENTAS TOTALES'!$F47</f>
        <v>11208</v>
      </c>
      <c r="BI39" s="266">
        <f>'[88]VENTAS TOTALES'!$G47</f>
        <v>2451300</v>
      </c>
      <c r="BJ39" s="266">
        <f>'[88]VENTAS TOTALES'!$H47</f>
        <v>21504900</v>
      </c>
      <c r="BK39" s="265">
        <f>'[89]VENTAS TOTALES'!$F47</f>
        <v>26376</v>
      </c>
      <c r="BL39" s="266">
        <f>'[89]VENTAS TOTALES'!$G47</f>
        <v>8605400</v>
      </c>
      <c r="BM39" s="266">
        <f>'[89]VENTAS TOTALES'!$H47</f>
        <v>53444600</v>
      </c>
      <c r="BN39" s="265">
        <f>'[90]VENTAS TOTALES'!$F47</f>
        <v>21561</v>
      </c>
      <c r="BO39" s="266">
        <f>'[90]VENTAS TOTALES'!$G47</f>
        <v>6473650</v>
      </c>
      <c r="BP39" s="266">
        <f>'[90]VENTAS TOTALES'!$H47</f>
        <v>43127350</v>
      </c>
      <c r="BQ39" s="265">
        <f>'[91]VENTAS TOTALES'!$F47</f>
        <v>21001</v>
      </c>
      <c r="BR39" s="266">
        <f>'[91]VENTAS TOTALES'!$G47</f>
        <v>6673300</v>
      </c>
      <c r="BS39" s="266">
        <f>'[91]VENTAS TOTALES'!$H47</f>
        <v>42375000</v>
      </c>
      <c r="BT39" s="265">
        <f>'[92]VENTAS TOTALES'!$F47</f>
        <v>20353</v>
      </c>
      <c r="BU39" s="266">
        <f>'[92]VENTAS TOTALES'!$G47</f>
        <v>3864600</v>
      </c>
      <c r="BV39" s="266">
        <f>'[92]VENTAS TOTALES'!$H47</f>
        <v>38464700</v>
      </c>
      <c r="BW39" s="265">
        <f>'[93]VENTAS TOTALES'!$F47</f>
        <v>22244</v>
      </c>
      <c r="BX39" s="266">
        <f>'[93]VENTAS TOTALES'!$G47</f>
        <v>5613000</v>
      </c>
      <c r="BY39" s="266">
        <f>'[93]VENTAS TOTALES'!$H47</f>
        <v>43427800</v>
      </c>
      <c r="BZ39" s="265">
        <f>'[94]VENTAS TOTALES'!$F47</f>
        <v>19430</v>
      </c>
      <c r="CA39" s="266">
        <f>'[94]VENTAS TOTALES'!$G47</f>
        <v>4150400</v>
      </c>
      <c r="CB39" s="266">
        <f>'[94]VENTAS TOTALES'!$H47</f>
        <v>37181400</v>
      </c>
      <c r="CC39" s="265">
        <f>'[95]VENTAS TOTALES'!$F47</f>
        <v>11565</v>
      </c>
      <c r="CD39" s="266">
        <f>'[95]VENTAS TOTALES'!$G47</f>
        <v>3682600</v>
      </c>
      <c r="CE39" s="266">
        <f>'[95]VENTAS TOTALES'!$H47</f>
        <v>23343100</v>
      </c>
      <c r="CF39" s="265">
        <f>'[96]VENTAS TOTALES'!$F47</f>
        <v>28584</v>
      </c>
      <c r="CG39" s="266">
        <f>'[96]VENTAS TOTALES'!$G47</f>
        <v>10004700</v>
      </c>
      <c r="CH39" s="266">
        <f>'[96]VENTAS TOTALES'!$H47</f>
        <v>58597500</v>
      </c>
      <c r="CI39" s="265">
        <f>'[97]VENTAS TOTALES'!$F47</f>
        <v>24391</v>
      </c>
      <c r="CJ39" s="266">
        <f>'[97]VENTAS TOTALES'!$G47</f>
        <v>9601100</v>
      </c>
      <c r="CK39" s="266">
        <f>'[97]VENTAS TOTALES'!$H47</f>
        <v>51065800</v>
      </c>
      <c r="CL39" s="265">
        <f>'[98]VENTAS TOTALES'!$F47</f>
        <v>23057</v>
      </c>
      <c r="CM39" s="266">
        <f>'[98]VENTAS TOTALES'!$G47</f>
        <v>8064600</v>
      </c>
      <c r="CN39" s="266">
        <f>'[98]VENTAS TOTALES'!$H47</f>
        <v>47261500</v>
      </c>
      <c r="CO39" s="265">
        <f>'[99]VENTAS TOTALES'!$F47</f>
        <v>22626</v>
      </c>
      <c r="CP39" s="266">
        <f>'[99]VENTAS TOTALES'!$G47</f>
        <v>6588300</v>
      </c>
      <c r="CQ39" s="266">
        <f>'[99]VENTAS TOTALES'!$H47</f>
        <v>45052500</v>
      </c>
      <c r="CR39" s="265">
        <f>'[100]VENTAS TOTALES'!$F47</f>
        <v>22908</v>
      </c>
      <c r="CS39" s="266">
        <f>'[100]VENTAS TOTALES'!$G47</f>
        <v>5400100</v>
      </c>
      <c r="CT39" s="266">
        <f>'[100]VENTAS TOTALES'!$H47</f>
        <v>44343700</v>
      </c>
      <c r="CU39" s="265">
        <f>'[101]VENTAS TOTALES'!$F47</f>
        <v>19596</v>
      </c>
      <c r="CV39" s="266">
        <f>'[101]VENTAS TOTALES'!$G47</f>
        <v>4630400</v>
      </c>
      <c r="CW39" s="266">
        <f>'[101]VENTAS TOTALES'!$H47</f>
        <v>37943600</v>
      </c>
      <c r="CX39" s="265">
        <f>'[102]VENTAS TOTALES'!$F47</f>
        <v>11316</v>
      </c>
      <c r="CY39" s="266">
        <f>'[102]VENTAS TOTALES'!$G47</f>
        <v>2986300</v>
      </c>
      <c r="CZ39" s="266">
        <f>'[102]VENTAS TOTALES'!$H47</f>
        <v>22223500</v>
      </c>
    </row>
    <row r="40" spans="1:104" x14ac:dyDescent="0.2">
      <c r="A40" s="443"/>
      <c r="B40" s="44" t="s">
        <v>23</v>
      </c>
      <c r="C40" s="267">
        <f>'[69]VENTAS TOTALES'!$F52</f>
        <v>8994</v>
      </c>
      <c r="D40" s="268">
        <f>'[69]VENTAS TOTALES'!$G52</f>
        <v>4324400</v>
      </c>
      <c r="E40" s="268">
        <f>'[69]VENTAS TOTALES'!$H52</f>
        <v>19614200</v>
      </c>
      <c r="F40" s="267">
        <f>'[70]VENTAS TOTALES'!$F52</f>
        <v>8930</v>
      </c>
      <c r="G40" s="268">
        <f>'[70]VENTAS TOTALES'!$G52</f>
        <v>3787200</v>
      </c>
      <c r="H40" s="268">
        <f>'[70]VENTAS TOTALES'!$H52</f>
        <v>18968200</v>
      </c>
      <c r="I40" s="267">
        <f>'[71]VENTAS TOTALES'!$F52</f>
        <v>7747</v>
      </c>
      <c r="J40" s="268">
        <f>'[71]VENTAS TOTALES'!$G52</f>
        <v>2450000</v>
      </c>
      <c r="K40" s="268">
        <f>'[71]VENTAS TOTALES'!$H52</f>
        <v>15619900</v>
      </c>
      <c r="L40" s="267">
        <f>'[72]VENTAS TOTALES'!$F52</f>
        <v>7940</v>
      </c>
      <c r="M40" s="268">
        <f>'[72]VENTAS TOTALES'!$G52</f>
        <v>2239500</v>
      </c>
      <c r="N40" s="268">
        <f>'[72]VENTAS TOTALES'!$H52</f>
        <v>15737500</v>
      </c>
      <c r="O40" s="267">
        <f>'[73]VENTAS TOTALES'!$F52</f>
        <v>5062</v>
      </c>
      <c r="P40" s="268">
        <f>'[73]VENTAS TOTALES'!$G52</f>
        <v>1578400</v>
      </c>
      <c r="Q40" s="268">
        <f>'[73]VENTAS TOTALES'!$H52</f>
        <v>10183800</v>
      </c>
      <c r="R40" s="267">
        <f>'[74]VENTAS TOTALES'!$F52</f>
        <v>1317</v>
      </c>
      <c r="S40" s="268">
        <f>'[74]VENTAS TOTALES'!$G52</f>
        <v>468000</v>
      </c>
      <c r="T40" s="268">
        <f>'[74]VENTAS TOTALES'!$H52</f>
        <v>2706900</v>
      </c>
      <c r="U40" s="267">
        <f>'[75]VENTAS TOTALES'!$F52</f>
        <v>8603</v>
      </c>
      <c r="V40" s="268">
        <f>'[75]VENTAS TOTALES'!$G52</f>
        <v>2920000</v>
      </c>
      <c r="W40" s="268">
        <f>'[75]VENTAS TOTALES'!$H52</f>
        <v>17545100</v>
      </c>
      <c r="X40" s="267">
        <f>'[76]VENTAS TOTALES'!$F52</f>
        <v>7686</v>
      </c>
      <c r="Y40" s="268">
        <f>'[76]VENTAS TOTALES'!$G52</f>
        <v>2716500</v>
      </c>
      <c r="Z40" s="268">
        <f>'[76]VENTAS TOTALES'!$H52</f>
        <v>15782700</v>
      </c>
      <c r="AA40" s="267">
        <f>'[77]VENTAS TOTALES'!$F52</f>
        <v>8337</v>
      </c>
      <c r="AB40" s="268">
        <f>'[77]VENTAS TOTALES'!$G52</f>
        <v>2364700</v>
      </c>
      <c r="AC40" s="268">
        <f>'[77]VENTAS TOTALES'!$H52</f>
        <v>16537600</v>
      </c>
      <c r="AD40" s="267">
        <f>'[78]VENTAS TOTALES'!$F52</f>
        <v>7837</v>
      </c>
      <c r="AE40" s="268">
        <f>'[78]VENTAS TOTALES'!$G52</f>
        <v>2347800</v>
      </c>
      <c r="AF40" s="268">
        <f>'[78]VENTAS TOTALES'!$H52</f>
        <v>15670700</v>
      </c>
      <c r="AG40" s="267">
        <f>'[79]VENTAS TOTALES'!$F52</f>
        <v>7554</v>
      </c>
      <c r="AH40" s="268">
        <f>'[79]VENTAS TOTALES'!$G52</f>
        <v>1991350</v>
      </c>
      <c r="AI40" s="268">
        <f>'[79]VENTAS TOTALES'!$H52</f>
        <v>14833150</v>
      </c>
      <c r="AJ40" s="267">
        <f>'[80]VENTAS TOTALES'!$F52</f>
        <v>5203</v>
      </c>
      <c r="AK40" s="268">
        <f>'[80]VENTAS TOTALES'!$G52</f>
        <v>2076500</v>
      </c>
      <c r="AL40" s="268">
        <f>'[80]VENTAS TOTALES'!$H52</f>
        <v>10921600</v>
      </c>
      <c r="AM40" s="267">
        <f>'[81]VENTAS TOTALES'!$F52</f>
        <v>1422</v>
      </c>
      <c r="AN40" s="268">
        <f>'[81]VENTAS TOTALES'!$G52</f>
        <v>380500</v>
      </c>
      <c r="AO40" s="268">
        <f>'[81]VENTAS TOTALES'!$H52</f>
        <v>2797900</v>
      </c>
      <c r="AP40" s="267">
        <f>'[82]VENTAS TOTALES'!$F52</f>
        <v>8637</v>
      </c>
      <c r="AQ40" s="268">
        <f>'[82]VENTAS TOTALES'!$G52</f>
        <v>3298900</v>
      </c>
      <c r="AR40" s="268">
        <f>'[82]VENTAS TOTALES'!$H52</f>
        <v>17981800</v>
      </c>
      <c r="AS40" s="267">
        <f>'[83]VENTAS TOTALES'!$F52</f>
        <v>8212</v>
      </c>
      <c r="AT40" s="268">
        <f>'[83]VENTAS TOTALES'!$G52</f>
        <v>3517400</v>
      </c>
      <c r="AU40" s="268">
        <f>'[83]VENTAS TOTALES'!$H52</f>
        <v>17477800</v>
      </c>
      <c r="AV40" s="267">
        <f>'[84]VENTAS TOTALES'!$F52</f>
        <v>8458</v>
      </c>
      <c r="AW40" s="268">
        <f>'[84]VENTAS TOTALES'!$G52</f>
        <v>3942600</v>
      </c>
      <c r="AX40" s="268">
        <f>'[84]VENTAS TOTALES'!$H52</f>
        <v>18321200</v>
      </c>
      <c r="AY40" s="267">
        <f>'[85]VENTAS TOTALES'!$F52</f>
        <v>7810</v>
      </c>
      <c r="AZ40" s="268">
        <f>'[85]VENTAS TOTALES'!$G52</f>
        <v>2673400</v>
      </c>
      <c r="BA40" s="268">
        <f>'[85]VENTAS TOTALES'!$H52</f>
        <v>15950400</v>
      </c>
      <c r="BB40" s="267">
        <f>'[86]VENTAS TOTALES'!$F52</f>
        <v>7747</v>
      </c>
      <c r="BC40" s="268">
        <f>'[86]VENTAS TOTALES'!$G52</f>
        <v>2508300</v>
      </c>
      <c r="BD40" s="268">
        <f>'[86]VENTAS TOTALES'!$H52</f>
        <v>15678200</v>
      </c>
      <c r="BE40" s="267">
        <f>'[87]VENTAS TOTALES'!$F52</f>
        <v>5271</v>
      </c>
      <c r="BF40" s="268">
        <f>'[87]VENTAS TOTALES'!$G52</f>
        <v>1549100</v>
      </c>
      <c r="BG40" s="268">
        <f>'[87]VENTAS TOTALES'!$H52</f>
        <v>10509800</v>
      </c>
      <c r="BH40" s="267">
        <f>'[88]VENTAS TOTALES'!$F52</f>
        <v>1370</v>
      </c>
      <c r="BI40" s="268">
        <f>'[88]VENTAS TOTALES'!$G52</f>
        <v>384500</v>
      </c>
      <c r="BJ40" s="268">
        <f>'[88]VENTAS TOTALES'!$H52</f>
        <v>2713500</v>
      </c>
      <c r="BK40" s="267">
        <f>'[89]VENTAS TOTALES'!$F52</f>
        <v>9094</v>
      </c>
      <c r="BL40" s="268">
        <f>'[89]VENTAS TOTALES'!$G52</f>
        <v>3002900</v>
      </c>
      <c r="BM40" s="268">
        <f>'[89]VENTAS TOTALES'!$H52</f>
        <v>18462700</v>
      </c>
      <c r="BN40" s="267">
        <f>'[90]VENTAS TOTALES'!$F52</f>
        <v>7947</v>
      </c>
      <c r="BO40" s="268">
        <f>'[90]VENTAS TOTALES'!$G52</f>
        <v>2756600</v>
      </c>
      <c r="BP40" s="268">
        <f>'[90]VENTAS TOTALES'!$H52</f>
        <v>16266500</v>
      </c>
      <c r="BQ40" s="267">
        <f>'[91]VENTAS TOTALES'!$F52</f>
        <v>8195</v>
      </c>
      <c r="BR40" s="268">
        <f>'[91]VENTAS TOTALES'!$G52</f>
        <v>2832200</v>
      </c>
      <c r="BS40" s="268">
        <f>'[91]VENTAS TOTALES'!$H52</f>
        <v>16763700</v>
      </c>
      <c r="BT40" s="267">
        <f>'[92]VENTAS TOTALES'!$F52</f>
        <v>7652</v>
      </c>
      <c r="BU40" s="268">
        <f>'[92]VENTAS TOTALES'!$G52</f>
        <v>2121600</v>
      </c>
      <c r="BV40" s="268">
        <f>'[92]VENTAS TOTALES'!$H52</f>
        <v>15130000</v>
      </c>
      <c r="BW40" s="267">
        <f>'[93]VENTAS TOTALES'!$F52</f>
        <v>8217</v>
      </c>
      <c r="BX40" s="268">
        <f>'[93]VENTAS TOTALES'!$G52</f>
        <v>2383300</v>
      </c>
      <c r="BY40" s="268">
        <f>'[93]VENTAS TOTALES'!$H52</f>
        <v>16352200</v>
      </c>
      <c r="BZ40" s="267">
        <f>'[94]VENTAS TOTALES'!$F52</f>
        <v>5553</v>
      </c>
      <c r="CA40" s="268">
        <f>'[94]VENTAS TOTALES'!$G52</f>
        <v>1902200</v>
      </c>
      <c r="CB40" s="268">
        <f>'[94]VENTAS TOTALES'!$H52</f>
        <v>11342300</v>
      </c>
      <c r="CC40" s="267">
        <f>'[95]VENTAS TOTALES'!$F52</f>
        <v>1462</v>
      </c>
      <c r="CD40" s="268">
        <f>'[95]VENTAS TOTALES'!$G52</f>
        <v>458400</v>
      </c>
      <c r="CE40" s="268">
        <f>'[95]VENTAS TOTALES'!$H52</f>
        <v>2943800</v>
      </c>
      <c r="CF40" s="267">
        <f>'[96]VENTAS TOTALES'!$F52</f>
        <v>9771</v>
      </c>
      <c r="CG40" s="268">
        <f>'[96]VENTAS TOTALES'!$G52</f>
        <v>5445600</v>
      </c>
      <c r="CH40" s="268">
        <f>'[96]VENTAS TOTALES'!$H52</f>
        <v>22056300</v>
      </c>
      <c r="CI40" s="267">
        <f>'[97]VENTAS TOTALES'!$F52</f>
        <v>9901</v>
      </c>
      <c r="CJ40" s="268">
        <f>'[97]VENTAS TOTALES'!$G52</f>
        <v>4244200</v>
      </c>
      <c r="CK40" s="268">
        <f>'[97]VENTAS TOTALES'!$H52</f>
        <v>21075900</v>
      </c>
      <c r="CL40" s="267">
        <f>'[98]VENTAS TOTALES'!$F52</f>
        <v>9028</v>
      </c>
      <c r="CM40" s="268">
        <f>'[98]VENTAS TOTALES'!$G52</f>
        <v>3939900</v>
      </c>
      <c r="CN40" s="268">
        <f>'[98]VENTAS TOTALES'!$H52</f>
        <v>19287500</v>
      </c>
      <c r="CO40" s="267">
        <f>'[99]VENTAS TOTALES'!$F52</f>
        <v>8545</v>
      </c>
      <c r="CP40" s="268">
        <f>'[99]VENTAS TOTALES'!$G52</f>
        <v>3107900</v>
      </c>
      <c r="CQ40" s="268">
        <f>'[99]VENTAS TOTALES'!$H52</f>
        <v>17634400</v>
      </c>
      <c r="CR40" s="267">
        <f>'[100]VENTAS TOTALES'!$F52</f>
        <v>8157</v>
      </c>
      <c r="CS40" s="268">
        <f>'[100]VENTAS TOTALES'!$G52</f>
        <v>2332800</v>
      </c>
      <c r="CT40" s="268">
        <f>'[100]VENTAS TOTALES'!$H52</f>
        <v>16199700</v>
      </c>
      <c r="CU40" s="267">
        <f>'[101]VENTAS TOTALES'!$F52</f>
        <v>5636</v>
      </c>
      <c r="CV40" s="268">
        <f>'[101]VENTAS TOTALES'!$G52</f>
        <v>1757600</v>
      </c>
      <c r="CW40" s="268">
        <f>'[101]VENTAS TOTALES'!$H52</f>
        <v>11338800</v>
      </c>
      <c r="CX40" s="267">
        <f>'[102]VENTAS TOTALES'!$F52</f>
        <v>1385</v>
      </c>
      <c r="CY40" s="268">
        <f>'[102]VENTAS TOTALES'!$G52</f>
        <v>391100</v>
      </c>
      <c r="CZ40" s="268">
        <f>'[102]VENTAS TOTALES'!$H52</f>
        <v>2745600</v>
      </c>
    </row>
    <row r="41" spans="1:104" x14ac:dyDescent="0.2">
      <c r="A41" s="443"/>
      <c r="B41" s="43" t="s">
        <v>24</v>
      </c>
      <c r="C41" s="252">
        <f>'[69]VENTAS TOTALES'!$F53</f>
        <v>7932</v>
      </c>
      <c r="D41" s="253">
        <f>'[69]VENTAS TOTALES'!$G53</f>
        <v>5295800</v>
      </c>
      <c r="E41" s="253">
        <f>'[69]VENTAS TOTALES'!$H53</f>
        <v>18780200</v>
      </c>
      <c r="F41" s="252">
        <f>'[70]VENTAS TOTALES'!$F53</f>
        <v>8100</v>
      </c>
      <c r="G41" s="253">
        <f>'[70]VENTAS TOTALES'!$G53</f>
        <v>4737700</v>
      </c>
      <c r="H41" s="253">
        <f>'[70]VENTAS TOTALES'!$H53</f>
        <v>18507700</v>
      </c>
      <c r="I41" s="252">
        <f>'[71]VENTAS TOTALES'!$F53</f>
        <v>7099</v>
      </c>
      <c r="J41" s="253">
        <f>'[71]VENTAS TOTALES'!$G53</f>
        <v>3604400</v>
      </c>
      <c r="K41" s="253">
        <f>'[71]VENTAS TOTALES'!$H53</f>
        <v>15672700</v>
      </c>
      <c r="L41" s="252">
        <f>'[72]VENTAS TOTALES'!$F53</f>
        <v>6955</v>
      </c>
      <c r="M41" s="253">
        <f>'[72]VENTAS TOTALES'!$G53</f>
        <v>3071100</v>
      </c>
      <c r="N41" s="253">
        <f>'[72]VENTAS TOTALES'!$H53</f>
        <v>14894600</v>
      </c>
      <c r="O41" s="252">
        <f>'[73]VENTAS TOTALES'!$F53</f>
        <v>3431</v>
      </c>
      <c r="P41" s="253">
        <f>'[73]VENTAS TOTALES'!$G53</f>
        <v>1330600</v>
      </c>
      <c r="Q41" s="253">
        <f>'[73]VENTAS TOTALES'!$H53</f>
        <v>7163300</v>
      </c>
      <c r="R41" s="252">
        <f>'[74]VENTAS TOTALES'!$F53</f>
        <v>873</v>
      </c>
      <c r="S41" s="253">
        <f>'[74]VENTAS TOTALES'!$G53</f>
        <v>250600</v>
      </c>
      <c r="T41" s="253">
        <f>'[74]VENTAS TOTALES'!$H53</f>
        <v>1734700</v>
      </c>
      <c r="U41" s="252">
        <f>'[75]VENTAS TOTALES'!$F53</f>
        <v>8005</v>
      </c>
      <c r="V41" s="253">
        <f>'[75]VENTAS TOTALES'!$G53</f>
        <v>4507400</v>
      </c>
      <c r="W41" s="253">
        <f>'[75]VENTAS TOTALES'!$H53</f>
        <v>18115900</v>
      </c>
      <c r="X41" s="252">
        <f>'[76]VENTAS TOTALES'!$F53</f>
        <v>7158</v>
      </c>
      <c r="Y41" s="253">
        <f>'[76]VENTAS TOTALES'!$G53</f>
        <v>3271200</v>
      </c>
      <c r="Z41" s="253">
        <f>'[76]VENTAS TOTALES'!$H53</f>
        <v>15439800</v>
      </c>
      <c r="AA41" s="252">
        <f>'[77]VENTAS TOTALES'!$F53</f>
        <v>6931</v>
      </c>
      <c r="AB41" s="253">
        <f>'[77]VENTAS TOTALES'!$G53</f>
        <v>2833800</v>
      </c>
      <c r="AC41" s="253">
        <f>'[77]VENTAS TOTALES'!$H53</f>
        <v>14616500</v>
      </c>
      <c r="AD41" s="252">
        <f>'[78]VENTAS TOTALES'!$F53</f>
        <v>6813</v>
      </c>
      <c r="AE41" s="253">
        <f>'[78]VENTAS TOTALES'!$G53</f>
        <v>3059300</v>
      </c>
      <c r="AF41" s="253">
        <f>'[78]VENTAS TOTALES'!$H53</f>
        <v>14641400</v>
      </c>
      <c r="AG41" s="252">
        <f>'[79]VENTAS TOTALES'!$F53</f>
        <v>6450</v>
      </c>
      <c r="AH41" s="253">
        <f>'[79]VENTAS TOTALES'!$G53</f>
        <v>2250300</v>
      </c>
      <c r="AI41" s="253">
        <f>'[79]VENTAS TOTALES'!$H53</f>
        <v>13215300</v>
      </c>
      <c r="AJ41" s="252">
        <f>'[80]VENTAS TOTALES'!$F53</f>
        <v>3533</v>
      </c>
      <c r="AK41" s="253">
        <f>'[80]VENTAS TOTALES'!$G53</f>
        <v>1248800</v>
      </c>
      <c r="AL41" s="253">
        <f>'[80]VENTAS TOTALES'!$H53</f>
        <v>7254900</v>
      </c>
      <c r="AM41" s="252">
        <f>'[81]VENTAS TOTALES'!$F53</f>
        <v>667</v>
      </c>
      <c r="AN41" s="253">
        <f>'[81]VENTAS TOTALES'!$G53</f>
        <v>136900</v>
      </c>
      <c r="AO41" s="253">
        <f>'[81]VENTAS TOTALES'!$H53</f>
        <v>1270800</v>
      </c>
      <c r="AP41" s="252">
        <f>'[82]VENTAS TOTALES'!$F53</f>
        <v>7728</v>
      </c>
      <c r="AQ41" s="253">
        <f>'[82]VENTAS TOTALES'!$G53</f>
        <v>4382800</v>
      </c>
      <c r="AR41" s="253">
        <f>'[82]VENTAS TOTALES'!$H53</f>
        <v>17520400</v>
      </c>
      <c r="AS41" s="252">
        <f>'[83]VENTAS TOTALES'!$F53</f>
        <v>7623</v>
      </c>
      <c r="AT41" s="253">
        <f>'[83]VENTAS TOTALES'!$G53</f>
        <v>4741300</v>
      </c>
      <c r="AU41" s="253">
        <f>'[83]VENTAS TOTALES'!$H53</f>
        <v>17700400</v>
      </c>
      <c r="AV41" s="252">
        <f>'[84]VENTAS TOTALES'!$F53</f>
        <v>7380</v>
      </c>
      <c r="AW41" s="253">
        <f>'[84]VENTAS TOTALES'!$G53</f>
        <v>4383900</v>
      </c>
      <c r="AX41" s="253">
        <f>'[84]VENTAS TOTALES'!$H53</f>
        <v>16929900</v>
      </c>
      <c r="AY41" s="252">
        <f>'[85]VENTAS TOTALES'!$F53</f>
        <v>7016</v>
      </c>
      <c r="AZ41" s="253">
        <f>'[85]VENTAS TOTALES'!$G53</f>
        <v>3603100</v>
      </c>
      <c r="BA41" s="253">
        <f>'[85]VENTAS TOTALES'!$H53</f>
        <v>15530300</v>
      </c>
      <c r="BB41" s="252">
        <f>'[86]VENTAS TOTALES'!$F53</f>
        <v>6551</v>
      </c>
      <c r="BC41" s="253">
        <f>'[86]VENTAS TOTALES'!$G53</f>
        <v>3047200</v>
      </c>
      <c r="BD41" s="253">
        <f>'[86]VENTAS TOTALES'!$H53</f>
        <v>14183900</v>
      </c>
      <c r="BE41" s="252">
        <f>'[87]VENTAS TOTALES'!$F53</f>
        <v>3497</v>
      </c>
      <c r="BF41" s="253">
        <f>'[87]VENTAS TOTALES'!$G53</f>
        <v>1444700</v>
      </c>
      <c r="BG41" s="253">
        <f>'[87]VENTAS TOTALES'!$H53</f>
        <v>7389600</v>
      </c>
      <c r="BH41" s="252">
        <f>'[88]VENTAS TOTALES'!$F53</f>
        <v>640</v>
      </c>
      <c r="BI41" s="253">
        <f>'[88]VENTAS TOTALES'!$G53</f>
        <v>192400</v>
      </c>
      <c r="BJ41" s="253">
        <f>'[88]VENTAS TOTALES'!$H53</f>
        <v>1280400</v>
      </c>
      <c r="BK41" s="252">
        <f>'[89]VENTAS TOTALES'!$F53</f>
        <v>7931</v>
      </c>
      <c r="BL41" s="253">
        <f>'[89]VENTAS TOTALES'!$G53</f>
        <v>4949300</v>
      </c>
      <c r="BM41" s="253">
        <f>'[89]VENTAS TOTALES'!$H53</f>
        <v>18432000</v>
      </c>
      <c r="BN41" s="252">
        <f>'[90]VENTAS TOTALES'!$F53</f>
        <v>6855</v>
      </c>
      <c r="BO41" s="253">
        <f>'[90]VENTAS TOTALES'!$G53</f>
        <v>3054700</v>
      </c>
      <c r="BP41" s="253">
        <f>'[90]VENTAS TOTALES'!$H53</f>
        <v>14708200</v>
      </c>
      <c r="BQ41" s="252">
        <f>'[91]VENTAS TOTALES'!$F53</f>
        <v>6602</v>
      </c>
      <c r="BR41" s="253">
        <f>'[91]VENTAS TOTALES'!$G53</f>
        <v>2881200</v>
      </c>
      <c r="BS41" s="253">
        <f>'[91]VENTAS TOTALES'!$H53</f>
        <v>14104600</v>
      </c>
      <c r="BT41" s="252">
        <f>'[92]VENTAS TOTALES'!$F53</f>
        <v>6609</v>
      </c>
      <c r="BU41" s="253">
        <f>'[92]VENTAS TOTALES'!$G53</f>
        <v>2797200</v>
      </c>
      <c r="BV41" s="253">
        <f>'[92]VENTAS TOTALES'!$H53</f>
        <v>14032500</v>
      </c>
      <c r="BW41" s="252">
        <f>'[93]VENTAS TOTALES'!$F53</f>
        <v>6450</v>
      </c>
      <c r="BX41" s="253">
        <f>'[93]VENTAS TOTALES'!$G53</f>
        <v>2815700</v>
      </c>
      <c r="BY41" s="253">
        <f>'[93]VENTAS TOTALES'!$H53</f>
        <v>13780700</v>
      </c>
      <c r="BZ41" s="252">
        <f>'[94]VENTAS TOTALES'!$F53</f>
        <v>3599</v>
      </c>
      <c r="CA41" s="253">
        <f>'[94]VENTAS TOTALES'!$G53</f>
        <v>1631600</v>
      </c>
      <c r="CB41" s="253">
        <f>'[94]VENTAS TOTALES'!$H53</f>
        <v>7749900</v>
      </c>
      <c r="CC41" s="252">
        <f>'[95]VENTAS TOTALES'!$F53</f>
        <v>692</v>
      </c>
      <c r="CD41" s="253">
        <f>'[95]VENTAS TOTALES'!$G53</f>
        <v>196900</v>
      </c>
      <c r="CE41" s="253">
        <f>'[95]VENTAS TOTALES'!$H53</f>
        <v>1373300</v>
      </c>
      <c r="CF41" s="252">
        <f>'[96]VENTAS TOTALES'!$F53</f>
        <v>8755</v>
      </c>
      <c r="CG41" s="253">
        <f>'[96]VENTAS TOTALES'!$G53</f>
        <v>6878400</v>
      </c>
      <c r="CH41" s="253">
        <f>'[96]VENTAS TOTALES'!$H53</f>
        <v>21761900</v>
      </c>
      <c r="CI41" s="252">
        <f>'[97]VENTAS TOTALES'!$F53</f>
        <v>7875</v>
      </c>
      <c r="CJ41" s="253">
        <f>'[97]VENTAS TOTALES'!$G53</f>
        <v>5389700</v>
      </c>
      <c r="CK41" s="253">
        <f>'[97]VENTAS TOTALES'!$H53</f>
        <v>18777200</v>
      </c>
      <c r="CL41" s="252">
        <f>'[98]VENTAS TOTALES'!$F53</f>
        <v>7307</v>
      </c>
      <c r="CM41" s="253">
        <f>'[98]VENTAS TOTALES'!$G53</f>
        <v>3980300</v>
      </c>
      <c r="CN41" s="253">
        <f>'[98]VENTAS TOTALES'!$H53</f>
        <v>16402200</v>
      </c>
      <c r="CO41" s="252">
        <f>'[99]VENTAS TOTALES'!$F53</f>
        <v>6868</v>
      </c>
      <c r="CP41" s="253">
        <f>'[99]VENTAS TOTALES'!$G53</f>
        <v>3931600</v>
      </c>
      <c r="CQ41" s="253">
        <f>'[99]VENTAS TOTALES'!$H53</f>
        <v>15607200</v>
      </c>
      <c r="CR41" s="252">
        <f>'[100]VENTAS TOTALES'!$F53</f>
        <v>6663</v>
      </c>
      <c r="CS41" s="253">
        <f>'[100]VENTAS TOTALES'!$G53</f>
        <v>2609900</v>
      </c>
      <c r="CT41" s="253">
        <f>'[100]VENTAS TOTALES'!$H53</f>
        <v>13937000</v>
      </c>
      <c r="CU41" s="252">
        <f>'[101]VENTAS TOTALES'!$F53</f>
        <v>3469</v>
      </c>
      <c r="CV41" s="253">
        <f>'[101]VENTAS TOTALES'!$G53</f>
        <v>1629300</v>
      </c>
      <c r="CW41" s="253">
        <f>'[101]VENTAS TOTALES'!$H53</f>
        <v>7526600</v>
      </c>
      <c r="CX41" s="252">
        <f>'[102]VENTAS TOTALES'!$F53</f>
        <v>752</v>
      </c>
      <c r="CY41" s="253">
        <f>'[102]VENTAS TOTALES'!$G53</f>
        <v>151400</v>
      </c>
      <c r="CZ41" s="253">
        <f>'[102]VENTAS TOTALES'!$H53</f>
        <v>1429800</v>
      </c>
    </row>
    <row r="42" spans="1:104" x14ac:dyDescent="0.2">
      <c r="A42" s="443"/>
      <c r="B42" s="43" t="s">
        <v>25</v>
      </c>
      <c r="C42" s="252">
        <f>'[69]VENTAS TOTALES'!$F54</f>
        <v>14584</v>
      </c>
      <c r="D42" s="253">
        <f>'[69]VENTAS TOTALES'!$G54</f>
        <v>6764500</v>
      </c>
      <c r="E42" s="253">
        <f>'[69]VENTAS TOTALES'!$H54</f>
        <v>31557300</v>
      </c>
      <c r="F42" s="252">
        <f>'[70]VENTAS TOTALES'!$F54</f>
        <v>13844</v>
      </c>
      <c r="G42" s="253">
        <f>'[70]VENTAS TOTALES'!$G54</f>
        <v>5135500</v>
      </c>
      <c r="H42" s="253">
        <f>'[70]VENTAS TOTALES'!$H54</f>
        <v>28670300</v>
      </c>
      <c r="I42" s="252">
        <f>'[71]VENTAS TOTALES'!$F54</f>
        <v>11924</v>
      </c>
      <c r="J42" s="253">
        <f>'[71]VENTAS TOTALES'!$G54</f>
        <v>3950700</v>
      </c>
      <c r="K42" s="253">
        <f>'[71]VENTAS TOTALES'!$H54</f>
        <v>24221500</v>
      </c>
      <c r="L42" s="252">
        <f>'[72]VENTAS TOTALES'!$F54</f>
        <v>12505</v>
      </c>
      <c r="M42" s="253">
        <f>'[72]VENTAS TOTALES'!$G54</f>
        <v>3398500</v>
      </c>
      <c r="N42" s="253">
        <f>'[72]VENTAS TOTALES'!$H54</f>
        <v>24657000</v>
      </c>
      <c r="O42" s="252">
        <f>'[73]VENTAS TOTALES'!$F54</f>
        <v>8730</v>
      </c>
      <c r="P42" s="253">
        <f>'[73]VENTAS TOTALES'!$G54</f>
        <v>2829400</v>
      </c>
      <c r="Q42" s="253">
        <f>'[73]VENTAS TOTALES'!$H54</f>
        <v>17670400</v>
      </c>
      <c r="R42" s="252">
        <f>'[74]VENTAS TOTALES'!$F54</f>
        <v>3907</v>
      </c>
      <c r="S42" s="253">
        <f>'[74]VENTAS TOTALES'!$G54</f>
        <v>978500</v>
      </c>
      <c r="T42" s="253">
        <f>'[74]VENTAS TOTALES'!$H54</f>
        <v>7620400</v>
      </c>
      <c r="U42" s="252">
        <f>'[75]VENTAS TOTALES'!$F54</f>
        <v>15490</v>
      </c>
      <c r="V42" s="253">
        <f>'[75]VENTAS TOTALES'!$G54</f>
        <v>6489500</v>
      </c>
      <c r="W42" s="253">
        <f>'[75]VENTAS TOTALES'!$H54</f>
        <v>32822500</v>
      </c>
      <c r="X42" s="252">
        <f>'[76]VENTAS TOTALES'!$F54</f>
        <v>14455</v>
      </c>
      <c r="Y42" s="253">
        <f>'[76]VENTAS TOTALES'!$G54</f>
        <v>4599700</v>
      </c>
      <c r="Z42" s="253">
        <f>'[76]VENTAS TOTALES'!$H54</f>
        <v>29173200</v>
      </c>
      <c r="AA42" s="252">
        <f>'[77]VENTAS TOTALES'!$F54</f>
        <v>13431</v>
      </c>
      <c r="AB42" s="253">
        <f>'[77]VENTAS TOTALES'!$G54</f>
        <v>4542100</v>
      </c>
      <c r="AC42" s="253">
        <f>'[77]VENTAS TOTALES'!$H54</f>
        <v>27374800</v>
      </c>
      <c r="AD42" s="252">
        <f>'[78]VENTAS TOTALES'!$F54</f>
        <v>13973</v>
      </c>
      <c r="AE42" s="253">
        <f>'[78]VENTAS TOTALES'!$G54</f>
        <v>4893450</v>
      </c>
      <c r="AF42" s="253">
        <f>'[78]VENTAS TOTALES'!$H54</f>
        <v>28647550</v>
      </c>
      <c r="AG42" s="252">
        <f>'[79]VENTAS TOTALES'!$F54</f>
        <v>13428</v>
      </c>
      <c r="AH42" s="253">
        <f>'[79]VENTAS TOTALES'!$G54</f>
        <v>4263400</v>
      </c>
      <c r="AI42" s="253">
        <f>'[79]VENTAS TOTALES'!$H54</f>
        <v>27091000</v>
      </c>
      <c r="AJ42" s="252">
        <f>'[80]VENTAS TOTALES'!$F54</f>
        <v>9443</v>
      </c>
      <c r="AK42" s="253">
        <f>'[80]VENTAS TOTALES'!$G54</f>
        <v>2645500</v>
      </c>
      <c r="AL42" s="253">
        <f>'[80]VENTAS TOTALES'!$H54</f>
        <v>18698600</v>
      </c>
      <c r="AM42" s="252">
        <f>'[81]VENTAS TOTALES'!$F54</f>
        <v>3662</v>
      </c>
      <c r="AN42" s="253">
        <f>'[81]VENTAS TOTALES'!$G54</f>
        <v>960800</v>
      </c>
      <c r="AO42" s="253">
        <f>'[81]VENTAS TOTALES'!$H54</f>
        <v>7186200</v>
      </c>
      <c r="AP42" s="252">
        <f>'[82]VENTAS TOTALES'!$F54</f>
        <v>16524</v>
      </c>
      <c r="AQ42" s="253">
        <f>'[82]VENTAS TOTALES'!$G54</f>
        <v>6103600</v>
      </c>
      <c r="AR42" s="253">
        <f>'[82]VENTAS TOTALES'!$H54</f>
        <v>34194400</v>
      </c>
      <c r="AS42" s="252">
        <f>'[83]VENTAS TOTALES'!$F54</f>
        <v>15777</v>
      </c>
      <c r="AT42" s="253">
        <f>'[83]VENTAS TOTALES'!$G54</f>
        <v>7619500</v>
      </c>
      <c r="AU42" s="253">
        <f>'[83]VENTAS TOTALES'!$H54</f>
        <v>34440400</v>
      </c>
      <c r="AV42" s="252">
        <f>'[84]VENTAS TOTALES'!$F54</f>
        <v>15692</v>
      </c>
      <c r="AW42" s="253">
        <f>'[84]VENTAS TOTALES'!$G54</f>
        <v>7400900</v>
      </c>
      <c r="AX42" s="253">
        <f>'[84]VENTAS TOTALES'!$H54</f>
        <v>34077300</v>
      </c>
      <c r="AY42" s="252">
        <f>'[85]VENTAS TOTALES'!$F54</f>
        <v>13739</v>
      </c>
      <c r="AZ42" s="253">
        <f>'[85]VENTAS TOTALES'!$G54</f>
        <v>5298900</v>
      </c>
      <c r="BA42" s="253">
        <f>'[85]VENTAS TOTALES'!$H54</f>
        <v>28655200</v>
      </c>
      <c r="BB42" s="252">
        <f>'[86]VENTAS TOTALES'!$F54</f>
        <v>13810</v>
      </c>
      <c r="BC42" s="253">
        <f>'[86]VENTAS TOTALES'!$G54</f>
        <v>4702200</v>
      </c>
      <c r="BD42" s="253">
        <f>'[86]VENTAS TOTALES'!$H54</f>
        <v>28179200</v>
      </c>
      <c r="BE42" s="252">
        <f>'[87]VENTAS TOTALES'!$F54</f>
        <v>9699</v>
      </c>
      <c r="BF42" s="253">
        <f>'[87]VENTAS TOTALES'!$G54</f>
        <v>3150700</v>
      </c>
      <c r="BG42" s="253">
        <f>'[87]VENTAS TOTALES'!$H54</f>
        <v>19639000</v>
      </c>
      <c r="BH42" s="252">
        <f>'[88]VENTAS TOTALES'!$F54</f>
        <v>3862</v>
      </c>
      <c r="BI42" s="253">
        <f>'[88]VENTAS TOTALES'!$G54</f>
        <v>953200</v>
      </c>
      <c r="BJ42" s="253">
        <f>'[88]VENTAS TOTALES'!$H54</f>
        <v>7518600</v>
      </c>
      <c r="BK42" s="252">
        <f>'[89]VENTAS TOTALES'!$F54</f>
        <v>16663</v>
      </c>
      <c r="BL42" s="253">
        <f>'[89]VENTAS TOTALES'!$G54</f>
        <v>6336300</v>
      </c>
      <c r="BM42" s="253">
        <f>'[89]VENTAS TOTALES'!$H54</f>
        <v>34663400</v>
      </c>
      <c r="BN42" s="252">
        <f>'[90]VENTAS TOTALES'!$F54</f>
        <v>14630</v>
      </c>
      <c r="BO42" s="253">
        <f>'[90]VENTAS TOTALES'!$G54</f>
        <v>4827900</v>
      </c>
      <c r="BP42" s="253">
        <f>'[90]VENTAS TOTALES'!$H54</f>
        <v>29698900</v>
      </c>
      <c r="BQ42" s="252">
        <f>'[91]VENTAS TOTALES'!$F54</f>
        <v>14030</v>
      </c>
      <c r="BR42" s="253">
        <f>'[91]VENTAS TOTALES'!$G54</f>
        <v>4434700</v>
      </c>
      <c r="BS42" s="253">
        <f>'[91]VENTAS TOTALES'!$H54</f>
        <v>28285700</v>
      </c>
      <c r="BT42" s="252">
        <f>'[92]VENTAS TOTALES'!$F54</f>
        <v>13131</v>
      </c>
      <c r="BU42" s="253">
        <f>'[92]VENTAS TOTALES'!$G54</f>
        <v>3836800</v>
      </c>
      <c r="BV42" s="253">
        <f>'[92]VENTAS TOTALES'!$H54</f>
        <v>26159500</v>
      </c>
      <c r="BW42" s="252">
        <f>'[93]VENTAS TOTALES'!$F54</f>
        <v>14490</v>
      </c>
      <c r="BX42" s="253">
        <f>'[93]VENTAS TOTALES'!$G54</f>
        <v>5855100</v>
      </c>
      <c r="BY42" s="253">
        <f>'[93]VENTAS TOTALES'!$H54</f>
        <v>30488100</v>
      </c>
      <c r="BZ42" s="252">
        <f>'[94]VENTAS TOTALES'!$F54</f>
        <v>10442</v>
      </c>
      <c r="CA42" s="253">
        <f>'[94]VENTAS TOTALES'!$G54</f>
        <v>3243600</v>
      </c>
      <c r="CB42" s="253">
        <f>'[94]VENTAS TOTALES'!$H54</f>
        <v>20995000</v>
      </c>
      <c r="CC42" s="252">
        <f>'[95]VENTAS TOTALES'!$F54</f>
        <v>3599</v>
      </c>
      <c r="CD42" s="253">
        <f>'[95]VENTAS TOTALES'!$G54</f>
        <v>1128500</v>
      </c>
      <c r="CE42" s="253">
        <f>'[95]VENTAS TOTALES'!$H54</f>
        <v>7246800</v>
      </c>
      <c r="CF42" s="252">
        <f>'[96]VENTAS TOTALES'!$F54</f>
        <v>18129</v>
      </c>
      <c r="CG42" s="253">
        <f>'[96]VENTAS TOTALES'!$G54</f>
        <v>9649250</v>
      </c>
      <c r="CH42" s="253">
        <f>'[96]VENTAS TOTALES'!$H54</f>
        <v>40468550</v>
      </c>
      <c r="CI42" s="252">
        <f>'[97]VENTAS TOTALES'!$F54</f>
        <v>17609</v>
      </c>
      <c r="CJ42" s="253">
        <f>'[97]VENTAS TOTALES'!$G54</f>
        <v>7958700</v>
      </c>
      <c r="CK42" s="253">
        <f>'[97]VENTAS TOTALES'!$H54</f>
        <v>37894000</v>
      </c>
      <c r="CL42" s="252">
        <f>'[98]VENTAS TOTALES'!$F54</f>
        <v>15835</v>
      </c>
      <c r="CM42" s="253">
        <f>'[98]VENTAS TOTALES'!$G54</f>
        <v>6763600</v>
      </c>
      <c r="CN42" s="253">
        <f>'[98]VENTAS TOTALES'!$H54</f>
        <v>33683100</v>
      </c>
      <c r="CO42" s="252">
        <f>'[99]VENTAS TOTALES'!$F54</f>
        <v>14826</v>
      </c>
      <c r="CP42" s="253">
        <f>'[99]VENTAS TOTALES'!$G54</f>
        <v>5739950</v>
      </c>
      <c r="CQ42" s="253">
        <f>'[99]VENTAS TOTALES'!$H54</f>
        <v>30944150</v>
      </c>
      <c r="CR42" s="252">
        <f>'[100]VENTAS TOTALES'!$F54</f>
        <v>15117</v>
      </c>
      <c r="CS42" s="253">
        <f>'[100]VENTAS TOTALES'!$G54</f>
        <v>4608600</v>
      </c>
      <c r="CT42" s="253">
        <f>'[100]VENTAS TOTALES'!$H54</f>
        <v>30307500</v>
      </c>
      <c r="CU42" s="252">
        <f>'[101]VENTAS TOTALES'!$F54</f>
        <v>10490</v>
      </c>
      <c r="CV42" s="253">
        <f>'[101]VENTAS TOTALES'!$G54</f>
        <v>2738900</v>
      </c>
      <c r="CW42" s="253">
        <f>'[101]VENTAS TOTALES'!$H54</f>
        <v>20571900</v>
      </c>
      <c r="CX42" s="252">
        <f>'[102]VENTAS TOTALES'!$F54</f>
        <v>4038</v>
      </c>
      <c r="CY42" s="253">
        <f>'[102]VENTAS TOTALES'!$G54</f>
        <v>795200</v>
      </c>
      <c r="CZ42" s="253">
        <f>'[102]VENTAS TOTALES'!$H54</f>
        <v>7659800</v>
      </c>
    </row>
    <row r="43" spans="1:104" x14ac:dyDescent="0.2">
      <c r="A43" s="443"/>
      <c r="B43" s="39" t="s">
        <v>26</v>
      </c>
      <c r="C43" s="252">
        <f>'[69]VENTAS TOTALES'!$F55</f>
        <v>4760</v>
      </c>
      <c r="D43" s="253">
        <f>'[69]VENTAS TOTALES'!$G55</f>
        <v>3076100</v>
      </c>
      <c r="E43" s="253">
        <f>'[69]VENTAS TOTALES'!$H55</f>
        <v>11168100</v>
      </c>
      <c r="F43" s="252">
        <f>'[70]VENTAS TOTALES'!$F55</f>
        <v>4787</v>
      </c>
      <c r="G43" s="253">
        <f>'[70]VENTAS TOTALES'!$G55</f>
        <v>2709800</v>
      </c>
      <c r="H43" s="253">
        <f>'[70]VENTAS TOTALES'!$H55</f>
        <v>10847700</v>
      </c>
      <c r="I43" s="252">
        <f>'[71]VENTAS TOTALES'!$F55</f>
        <v>4103</v>
      </c>
      <c r="J43" s="253">
        <f>'[71]VENTAS TOTALES'!$G55</f>
        <v>2116800</v>
      </c>
      <c r="K43" s="253">
        <f>'[71]VENTAS TOTALES'!$H55</f>
        <v>9091900</v>
      </c>
      <c r="L43" s="252">
        <f>'[72]VENTAS TOTALES'!$F55</f>
        <v>3945</v>
      </c>
      <c r="M43" s="253">
        <f>'[72]VENTAS TOTALES'!$G55</f>
        <v>1686000</v>
      </c>
      <c r="N43" s="253">
        <f>'[72]VENTAS TOTALES'!$H55</f>
        <v>8392500</v>
      </c>
      <c r="O43" s="252">
        <f>'[73]VENTAS TOTALES'!$F55</f>
        <v>1850</v>
      </c>
      <c r="P43" s="253">
        <f>'[73]VENTAS TOTALES'!$G55</f>
        <v>974300</v>
      </c>
      <c r="Q43" s="253">
        <f>'[73]VENTAS TOTALES'!$H55</f>
        <v>4119300</v>
      </c>
      <c r="R43" s="252">
        <f>'[74]VENTAS TOTALES'!$F55</f>
        <v>708</v>
      </c>
      <c r="S43" s="253">
        <f>'[74]VENTAS TOTALES'!$G55</f>
        <v>239400</v>
      </c>
      <c r="T43" s="253">
        <f>'[74]VENTAS TOTALES'!$H55</f>
        <v>1443000</v>
      </c>
      <c r="U43" s="252">
        <f>'[75]VENTAS TOTALES'!$F55</f>
        <v>6249</v>
      </c>
      <c r="V43" s="253">
        <f>'[75]VENTAS TOTALES'!$G55</f>
        <v>3780200</v>
      </c>
      <c r="W43" s="253">
        <f>'[75]VENTAS TOTALES'!$H55</f>
        <v>14403500</v>
      </c>
      <c r="X43" s="252">
        <f>'[76]VENTAS TOTALES'!$F55</f>
        <v>5813</v>
      </c>
      <c r="Y43" s="253">
        <f>'[76]VENTAS TOTALES'!$G55</f>
        <v>3127000</v>
      </c>
      <c r="Z43" s="253">
        <f>'[76]VENTAS TOTALES'!$H55</f>
        <v>13009100</v>
      </c>
      <c r="AA43" s="252">
        <f>'[77]VENTAS TOTALES'!$F55</f>
        <v>5555</v>
      </c>
      <c r="AB43" s="253">
        <f>'[77]VENTAS TOTALES'!$G55</f>
        <v>2545200</v>
      </c>
      <c r="AC43" s="253">
        <f>'[77]VENTAS TOTALES'!$H55</f>
        <v>11988700</v>
      </c>
      <c r="AD43" s="252">
        <f>'[78]VENTAS TOTALES'!$F55</f>
        <v>5386</v>
      </c>
      <c r="AE43" s="253">
        <f>'[78]VENTAS TOTALES'!$G55</f>
        <v>2913100</v>
      </c>
      <c r="AF43" s="253">
        <f>'[78]VENTAS TOTALES'!$H55</f>
        <v>12069300</v>
      </c>
      <c r="AG43" s="252">
        <f>'[79]VENTAS TOTALES'!$F55</f>
        <v>5167</v>
      </c>
      <c r="AH43" s="253">
        <f>'[79]VENTAS TOTALES'!$G55</f>
        <v>2239000</v>
      </c>
      <c r="AI43" s="253">
        <f>'[79]VENTAS TOTALES'!$H55</f>
        <v>11022900</v>
      </c>
      <c r="AJ43" s="252">
        <f>'[80]VENTAS TOTALES'!$F55</f>
        <v>2512</v>
      </c>
      <c r="AK43" s="253">
        <f>'[80]VENTAS TOTALES'!$G55</f>
        <v>1009900</v>
      </c>
      <c r="AL43" s="253">
        <f>'[80]VENTAS TOTALES'!$H55</f>
        <v>5280300</v>
      </c>
      <c r="AM43" s="252">
        <f>'[81]VENTAS TOTALES'!$F55</f>
        <v>693</v>
      </c>
      <c r="AN43" s="253">
        <f>'[81]VENTAS TOTALES'!$G55</f>
        <v>193800</v>
      </c>
      <c r="AO43" s="253">
        <f>'[81]VENTAS TOTALES'!$H55</f>
        <v>1371900</v>
      </c>
      <c r="AP43" s="252">
        <f>'[82]VENTAS TOTALES'!$F55</f>
        <v>6948</v>
      </c>
      <c r="AQ43" s="253">
        <f>'[82]VENTAS TOTALES'!$G55</f>
        <v>4185000</v>
      </c>
      <c r="AR43" s="253">
        <f>'[82]VENTAS TOTALES'!$H55</f>
        <v>15996600</v>
      </c>
      <c r="AS43" s="252">
        <f>'[83]VENTAS TOTALES'!$F55</f>
        <v>6545</v>
      </c>
      <c r="AT43" s="253">
        <f>'[83]VENTAS TOTALES'!$G55</f>
        <v>4447800</v>
      </c>
      <c r="AU43" s="253">
        <f>'[83]VENTAS TOTALES'!$H55</f>
        <v>15574300</v>
      </c>
      <c r="AV43" s="252">
        <f>'[84]VENTAS TOTALES'!$F55</f>
        <v>6337</v>
      </c>
      <c r="AW43" s="253">
        <f>'[84]VENTAS TOTALES'!$G55</f>
        <v>4148400</v>
      </c>
      <c r="AX43" s="253">
        <f>'[84]VENTAS TOTALES'!$H55</f>
        <v>14921300</v>
      </c>
      <c r="AY43" s="252">
        <f>'[85]VENTAS TOTALES'!$F55</f>
        <v>6023</v>
      </c>
      <c r="AZ43" s="253">
        <f>'[85]VENTAS TOTALES'!$G55</f>
        <v>3639050</v>
      </c>
      <c r="BA43" s="253">
        <f>'[85]VENTAS TOTALES'!$H55</f>
        <v>13878150</v>
      </c>
      <c r="BB43" s="252">
        <f>'[86]VENTAS TOTALES'!$F55</f>
        <v>5547</v>
      </c>
      <c r="BC43" s="253">
        <f>'[86]VENTAS TOTALES'!$G55</f>
        <v>2599900</v>
      </c>
      <c r="BD43" s="253">
        <f>'[86]VENTAS TOTALES'!$H55</f>
        <v>12029800</v>
      </c>
      <c r="BE43" s="252">
        <f>'[87]VENTAS TOTALES'!$F55</f>
        <v>2592</v>
      </c>
      <c r="BF43" s="253">
        <f>'[87]VENTAS TOTALES'!$G55</f>
        <v>1293900</v>
      </c>
      <c r="BG43" s="253">
        <f>'[87]VENTAS TOTALES'!$H55</f>
        <v>5700300</v>
      </c>
      <c r="BH43" s="252">
        <f>'[88]VENTAS TOTALES'!$F55</f>
        <v>736</v>
      </c>
      <c r="BI43" s="253">
        <f>'[88]VENTAS TOTALES'!$G55</f>
        <v>295400</v>
      </c>
      <c r="BJ43" s="253">
        <f>'[88]VENTAS TOTALES'!$H55</f>
        <v>1546600</v>
      </c>
      <c r="BK43" s="252">
        <f>'[89]VENTAS TOTALES'!$F55</f>
        <v>6845</v>
      </c>
      <c r="BL43" s="253">
        <f>'[89]VENTAS TOTALES'!$G55</f>
        <v>4628900</v>
      </c>
      <c r="BM43" s="253">
        <f>'[89]VENTAS TOTALES'!$H55</f>
        <v>16265400</v>
      </c>
      <c r="BN43" s="252">
        <f>'[90]VENTAS TOTALES'!$F55</f>
        <v>5930</v>
      </c>
      <c r="BO43" s="253">
        <f>'[90]VENTAS TOTALES'!$G55</f>
        <v>3539700</v>
      </c>
      <c r="BP43" s="253">
        <f>'[90]VENTAS TOTALES'!$H55</f>
        <v>13620700</v>
      </c>
      <c r="BQ43" s="252">
        <f>'[91]VENTAS TOTALES'!$F55</f>
        <v>5799</v>
      </c>
      <c r="BR43" s="253">
        <f>'[91]VENTAS TOTALES'!$G55</f>
        <v>2782500</v>
      </c>
      <c r="BS43" s="253">
        <f>'[91]VENTAS TOTALES'!$H55</f>
        <v>12640800</v>
      </c>
      <c r="BT43" s="252">
        <f>'[92]VENTAS TOTALES'!$F55</f>
        <v>6076</v>
      </c>
      <c r="BU43" s="253">
        <f>'[92]VENTAS TOTALES'!$G55</f>
        <v>2714000</v>
      </c>
      <c r="BV43" s="253">
        <f>'[92]VENTAS TOTALES'!$H55</f>
        <v>13043200</v>
      </c>
      <c r="BW43" s="252">
        <f>'[93]VENTAS TOTALES'!$F55</f>
        <v>5450</v>
      </c>
      <c r="BX43" s="253">
        <f>'[93]VENTAS TOTALES'!$G55</f>
        <v>3419500</v>
      </c>
      <c r="BY43" s="253">
        <f>'[93]VENTAS TOTALES'!$H55</f>
        <v>12684500</v>
      </c>
      <c r="BZ43" s="252">
        <f>'[94]VENTAS TOTALES'!$F55</f>
        <v>2790</v>
      </c>
      <c r="CA43" s="253">
        <f>'[94]VENTAS TOTALES'!$G55</f>
        <v>1256650</v>
      </c>
      <c r="CB43" s="253">
        <f>'[94]VENTAS TOTALES'!$H55</f>
        <v>5999650</v>
      </c>
      <c r="CC43" s="252">
        <f>'[95]VENTAS TOTALES'!$F55</f>
        <v>814</v>
      </c>
      <c r="CD43" s="253">
        <f>'[95]VENTAS TOTALES'!$G55</f>
        <v>368700</v>
      </c>
      <c r="CE43" s="253">
        <f>'[95]VENTAS TOTALES'!$H55</f>
        <v>1752500</v>
      </c>
      <c r="CF43" s="252">
        <f>'[96]VENTAS TOTALES'!$F55</f>
        <v>7865</v>
      </c>
      <c r="CG43" s="253">
        <f>'[96]VENTAS TOTALES'!$G55</f>
        <v>6250400</v>
      </c>
      <c r="CH43" s="253">
        <f>'[96]VENTAS TOTALES'!$H55</f>
        <v>19620900</v>
      </c>
      <c r="CI43" s="252">
        <f>'[97]VENTAS TOTALES'!$F55</f>
        <v>7406</v>
      </c>
      <c r="CJ43" s="253">
        <f>'[97]VENTAS TOTALES'!$G55</f>
        <v>5950100</v>
      </c>
      <c r="CK43" s="253">
        <f>'[97]VENTAS TOTALES'!$H55</f>
        <v>18540300</v>
      </c>
      <c r="CL43" s="252">
        <f>'[98]VENTAS TOTALES'!$F55</f>
        <v>6404</v>
      </c>
      <c r="CM43" s="253">
        <f>'[98]VENTAS TOTALES'!$G55</f>
        <v>4275000</v>
      </c>
      <c r="CN43" s="253">
        <f>'[98]VENTAS TOTALES'!$H55</f>
        <v>15161800</v>
      </c>
      <c r="CO43" s="252">
        <f>'[99]VENTAS TOTALES'!$F55</f>
        <v>6173</v>
      </c>
      <c r="CP43" s="253">
        <f>'[99]VENTAS TOTALES'!$G55</f>
        <v>3215000</v>
      </c>
      <c r="CQ43" s="253">
        <f>'[99]VENTAS TOTALES'!$H55</f>
        <v>13709100</v>
      </c>
      <c r="CR43" s="252">
        <f>'[100]VENTAS TOTALES'!$F55</f>
        <v>5756</v>
      </c>
      <c r="CS43" s="253">
        <f>'[100]VENTAS TOTALES'!$G55</f>
        <v>2678000</v>
      </c>
      <c r="CT43" s="253">
        <f>'[100]VENTAS TOTALES'!$H55</f>
        <v>12463200</v>
      </c>
      <c r="CU43" s="252">
        <f>'[101]VENTAS TOTALES'!$F55</f>
        <v>2844</v>
      </c>
      <c r="CV43" s="253">
        <f>'[101]VENTAS TOTALES'!$G55</f>
        <v>924900</v>
      </c>
      <c r="CW43" s="253">
        <f>'[101]VENTAS TOTALES'!$H55</f>
        <v>5759700</v>
      </c>
      <c r="CX43" s="252">
        <f>'[102]VENTAS TOTALES'!$F55</f>
        <v>928</v>
      </c>
      <c r="CY43" s="253">
        <f>'[102]VENTAS TOTALES'!$G55</f>
        <v>265500</v>
      </c>
      <c r="CZ43" s="253">
        <f>'[102]VENTAS TOTALES'!$H55</f>
        <v>1843100</v>
      </c>
    </row>
    <row r="44" spans="1:104" x14ac:dyDescent="0.2">
      <c r="A44" s="443"/>
      <c r="B44" s="39" t="s">
        <v>96</v>
      </c>
      <c r="C44" s="252">
        <f>'[69]VENTAS TOTALES'!$F56</f>
        <v>5689</v>
      </c>
      <c r="D44" s="253">
        <f>'[69]VENTAS TOTALES'!$G56</f>
        <v>1913101</v>
      </c>
      <c r="E44" s="253">
        <f>'[69]VENTAS TOTALES'!$H56</f>
        <v>11584401</v>
      </c>
      <c r="F44" s="252">
        <f>'[70]VENTAS TOTALES'!$F56</f>
        <v>5172</v>
      </c>
      <c r="G44" s="253">
        <f>'[70]VENTAS TOTALES'!$G56</f>
        <v>1588300</v>
      </c>
      <c r="H44" s="253">
        <f>'[70]VENTAS TOTALES'!$H56</f>
        <v>10380700</v>
      </c>
      <c r="I44" s="252">
        <f>'[71]VENTAS TOTALES'!$F56</f>
        <v>4187</v>
      </c>
      <c r="J44" s="253">
        <f>'[71]VENTAS TOTALES'!$G56</f>
        <v>1107200</v>
      </c>
      <c r="K44" s="253">
        <f>'[71]VENTAS TOTALES'!$H56</f>
        <v>8225100</v>
      </c>
      <c r="L44" s="252">
        <f>'[72]VENTAS TOTALES'!$F56</f>
        <v>4125</v>
      </c>
      <c r="M44" s="253">
        <f>'[72]VENTAS TOTALES'!$G56</f>
        <v>1265200</v>
      </c>
      <c r="N44" s="253">
        <f>'[72]VENTAS TOTALES'!$H56</f>
        <v>8277700</v>
      </c>
      <c r="O44" s="252">
        <f>'[73]VENTAS TOTALES'!$F56</f>
        <v>2259</v>
      </c>
      <c r="P44" s="253">
        <f>'[73]VENTAS TOTALES'!$G56</f>
        <v>544500</v>
      </c>
      <c r="Q44" s="253">
        <f>'[73]VENTAS TOTALES'!$H56</f>
        <v>4384800</v>
      </c>
      <c r="R44" s="252">
        <f>'[74]VENTAS TOTALES'!$F56</f>
        <v>757</v>
      </c>
      <c r="S44" s="253">
        <f>'[74]VENTAS TOTALES'!$G56</f>
        <v>173100</v>
      </c>
      <c r="T44" s="253">
        <f>'[74]VENTAS TOTALES'!$H56</f>
        <v>1460000</v>
      </c>
      <c r="U44" s="252">
        <f>'[75]VENTAS TOTALES'!$F56</f>
        <v>4826</v>
      </c>
      <c r="V44" s="253">
        <f>'[75]VENTAS TOTALES'!$G56</f>
        <v>1352100</v>
      </c>
      <c r="W44" s="253">
        <f>'[75]VENTAS TOTALES'!$H56</f>
        <v>9556300</v>
      </c>
      <c r="X44" s="252">
        <f>'[76]VENTAS TOTALES'!$F56</f>
        <v>4420</v>
      </c>
      <c r="Y44" s="253">
        <f>'[76]VENTAS TOTALES'!$G56</f>
        <v>1135700</v>
      </c>
      <c r="Z44" s="253">
        <f>'[76]VENTAS TOTALES'!$H56</f>
        <v>8649700</v>
      </c>
      <c r="AA44" s="252">
        <f>'[77]VENTAS TOTALES'!$F56</f>
        <v>4121</v>
      </c>
      <c r="AB44" s="253">
        <f>'[77]VENTAS TOTALES'!$G56</f>
        <v>1102850</v>
      </c>
      <c r="AC44" s="253">
        <f>'[77]VENTAS TOTALES'!$H56</f>
        <v>8108550</v>
      </c>
      <c r="AD44" s="252">
        <f>'[78]VENTAS TOTALES'!$F56</f>
        <v>3818</v>
      </c>
      <c r="AE44" s="253">
        <f>'[78]VENTAS TOTALES'!$G56</f>
        <v>1043500</v>
      </c>
      <c r="AF44" s="253">
        <f>'[78]VENTAS TOTALES'!$H56</f>
        <v>7534100</v>
      </c>
      <c r="AG44" s="252">
        <f>'[79]VENTAS TOTALES'!$F56</f>
        <v>3693</v>
      </c>
      <c r="AH44" s="253">
        <f>'[79]VENTAS TOTALES'!$G56</f>
        <v>768700</v>
      </c>
      <c r="AI44" s="253">
        <f>'[79]VENTAS TOTALES'!$H56</f>
        <v>7046800</v>
      </c>
      <c r="AJ44" s="252">
        <f>'[80]VENTAS TOTALES'!$F56</f>
        <v>2384</v>
      </c>
      <c r="AK44" s="253">
        <f>'[80]VENTAS TOTALES'!$G56</f>
        <v>604900</v>
      </c>
      <c r="AL44" s="253">
        <f>'[80]VENTAS TOTALES'!$H56</f>
        <v>4657700</v>
      </c>
      <c r="AM44" s="252">
        <f>'[81]VENTAS TOTALES'!$F56</f>
        <v>908</v>
      </c>
      <c r="AN44" s="253">
        <f>'[81]VENTAS TOTALES'!$G56</f>
        <v>157200</v>
      </c>
      <c r="AO44" s="253">
        <f>'[81]VENTAS TOTALES'!$H56</f>
        <v>1700800</v>
      </c>
      <c r="AP44" s="252">
        <f>'[82]VENTAS TOTALES'!$F56</f>
        <v>4895</v>
      </c>
      <c r="AQ44" s="253">
        <f>'[82]VENTAS TOTALES'!$G56</f>
        <v>1625300</v>
      </c>
      <c r="AR44" s="253">
        <f>'[82]VENTAS TOTALES'!$H56</f>
        <v>9946800</v>
      </c>
      <c r="AS44" s="252">
        <f>'[83]VENTAS TOTALES'!$F56</f>
        <v>4339</v>
      </c>
      <c r="AT44" s="253">
        <f>'[83]VENTAS TOTALES'!$G56</f>
        <v>1301450</v>
      </c>
      <c r="AU44" s="253">
        <f>'[83]VENTAS TOTALES'!$H56</f>
        <v>8677750</v>
      </c>
      <c r="AV44" s="252">
        <f>'[84]VENTAS TOTALES'!$F56</f>
        <v>4469</v>
      </c>
      <c r="AW44" s="253">
        <f>'[84]VENTAS TOTALES'!$G56</f>
        <v>1832500</v>
      </c>
      <c r="AX44" s="253">
        <f>'[84]VENTAS TOTALES'!$H56</f>
        <v>9429800</v>
      </c>
      <c r="AY44" s="252">
        <f>'[85]VENTAS TOTALES'!$F56</f>
        <v>4417</v>
      </c>
      <c r="AZ44" s="253">
        <f>'[85]VENTAS TOTALES'!$G56</f>
        <v>1509800</v>
      </c>
      <c r="BA44" s="253">
        <f>'[85]VENTAS TOTALES'!$H56</f>
        <v>9018700</v>
      </c>
      <c r="BB44" s="252">
        <f>'[86]VENTAS TOTALES'!$F56</f>
        <v>3855</v>
      </c>
      <c r="BC44" s="253">
        <f>'[86]VENTAS TOTALES'!$G56</f>
        <v>891700</v>
      </c>
      <c r="BD44" s="253">
        <f>'[86]VENTAS TOTALES'!$H56</f>
        <v>7445200</v>
      </c>
      <c r="BE44" s="252">
        <f>'[87]VENTAS TOTALES'!$F56</f>
        <v>2383</v>
      </c>
      <c r="BF44" s="253">
        <f>'[87]VENTAS TOTALES'!$G56</f>
        <v>509500</v>
      </c>
      <c r="BG44" s="253">
        <f>'[87]VENTAS TOTALES'!$H56</f>
        <v>4560600</v>
      </c>
      <c r="BH44" s="252">
        <f>'[88]VENTAS TOTALES'!$F56</f>
        <v>922</v>
      </c>
      <c r="BI44" s="253">
        <f>'[88]VENTAS TOTALES'!$G56</f>
        <v>150500</v>
      </c>
      <c r="BJ44" s="253">
        <f>'[88]VENTAS TOTALES'!$H56</f>
        <v>1717900</v>
      </c>
      <c r="BK44" s="252">
        <f>'[89]VENTAS TOTALES'!$F56</f>
        <v>4443</v>
      </c>
      <c r="BL44" s="253">
        <f>'[89]VENTAS TOTALES'!$G56</f>
        <v>1606200</v>
      </c>
      <c r="BM44" s="253">
        <f>'[89]VENTAS TOTALES'!$H56</f>
        <v>9159300</v>
      </c>
      <c r="BN44" s="252">
        <f>'[90]VENTAS TOTALES'!$F56</f>
        <v>3662</v>
      </c>
      <c r="BO44" s="253">
        <f>'[90]VENTAS TOTALES'!$G56</f>
        <v>1200000</v>
      </c>
      <c r="BP44" s="253">
        <f>'[90]VENTAS TOTALES'!$H56</f>
        <v>7425400</v>
      </c>
      <c r="BQ44" s="252">
        <f>'[91]VENTAS TOTALES'!$F56</f>
        <v>3928</v>
      </c>
      <c r="BR44" s="253">
        <f>'[91]VENTAS TOTALES'!$G56</f>
        <v>1119200</v>
      </c>
      <c r="BS44" s="253">
        <f>'[91]VENTAS TOTALES'!$H56</f>
        <v>7796800</v>
      </c>
      <c r="BT44" s="252">
        <f>'[92]VENTAS TOTALES'!$F56</f>
        <v>3878</v>
      </c>
      <c r="BU44" s="253">
        <f>'[92]VENTAS TOTALES'!$G56</f>
        <v>1160100</v>
      </c>
      <c r="BV44" s="253">
        <f>'[92]VENTAS TOTALES'!$H56</f>
        <v>7752700</v>
      </c>
      <c r="BW44" s="252">
        <f>'[93]VENTAS TOTALES'!$F56</f>
        <v>3810</v>
      </c>
      <c r="BX44" s="253">
        <f>'[93]VENTAS TOTALES'!$G56</f>
        <v>1143800</v>
      </c>
      <c r="BY44" s="253">
        <f>'[93]VENTAS TOTALES'!$H56</f>
        <v>7620800</v>
      </c>
      <c r="BZ44" s="252">
        <f>'[94]VENTAS TOTALES'!$F56</f>
        <v>2239</v>
      </c>
      <c r="CA44" s="253">
        <f>'[94]VENTAS TOTALES'!$G56</f>
        <v>918100</v>
      </c>
      <c r="CB44" s="253">
        <f>'[94]VENTAS TOTALES'!$H56</f>
        <v>4724400</v>
      </c>
      <c r="CC44" s="252">
        <f>'[95]VENTAS TOTALES'!$F56</f>
        <v>821</v>
      </c>
      <c r="CD44" s="253">
        <f>'[95]VENTAS TOTALES'!$G56</f>
        <v>182400</v>
      </c>
      <c r="CE44" s="253">
        <f>'[95]VENTAS TOTALES'!$H56</f>
        <v>1578100</v>
      </c>
      <c r="CF44" s="252">
        <f>'[96]VENTAS TOTALES'!$F56</f>
        <v>5067</v>
      </c>
      <c r="CG44" s="253">
        <f>'[96]VENTAS TOTALES'!$G56</f>
        <v>2000700</v>
      </c>
      <c r="CH44" s="253">
        <f>'[96]VENTAS TOTALES'!$H56</f>
        <v>10614600</v>
      </c>
      <c r="CI44" s="252">
        <f>'[97]VENTAS TOTALES'!$F56</f>
        <v>4537</v>
      </c>
      <c r="CJ44" s="253">
        <f>'[97]VENTAS TOTALES'!$G56</f>
        <v>2220300</v>
      </c>
      <c r="CK44" s="253">
        <f>'[97]VENTAS TOTALES'!$H56</f>
        <v>9933200</v>
      </c>
      <c r="CL44" s="252">
        <f>'[98]VENTAS TOTALES'!$F56</f>
        <v>4340</v>
      </c>
      <c r="CM44" s="253">
        <f>'[98]VENTAS TOTALES'!$G56</f>
        <v>1572500</v>
      </c>
      <c r="CN44" s="253">
        <f>'[98]VENTAS TOTALES'!$H56</f>
        <v>8950500</v>
      </c>
      <c r="CO44" s="252">
        <f>'[99]VENTAS TOTALES'!$F56</f>
        <v>4209</v>
      </c>
      <c r="CP44" s="253">
        <f>'[99]VENTAS TOTALES'!$G56</f>
        <v>1436350</v>
      </c>
      <c r="CQ44" s="253">
        <f>'[99]VENTAS TOTALES'!$H56</f>
        <v>8591650</v>
      </c>
      <c r="CR44" s="252">
        <f>'[100]VENTAS TOTALES'!$F56</f>
        <v>3725</v>
      </c>
      <c r="CS44" s="253">
        <f>'[100]VENTAS TOTALES'!$G56</f>
        <v>1272600</v>
      </c>
      <c r="CT44" s="253">
        <f>'[100]VENTAS TOTALES'!$H56</f>
        <v>7605100</v>
      </c>
      <c r="CU44" s="252">
        <f>'[101]VENTAS TOTALES'!$F56</f>
        <v>2460</v>
      </c>
      <c r="CV44" s="253">
        <f>'[101]VENTAS TOTALES'!$G56</f>
        <v>752300</v>
      </c>
      <c r="CW44" s="253">
        <f>'[101]VENTAS TOTALES'!$H56</f>
        <v>4934300</v>
      </c>
      <c r="CX44" s="252">
        <f>'[102]VENTAS TOTALES'!$F56</f>
        <v>913</v>
      </c>
      <c r="CY44" s="253">
        <f>'[102]VENTAS TOTALES'!$G56</f>
        <v>135400</v>
      </c>
      <c r="CZ44" s="253">
        <f>'[102]VENTAS TOTALES'!$H56</f>
        <v>1687500</v>
      </c>
    </row>
    <row r="45" spans="1:104" x14ac:dyDescent="0.2">
      <c r="A45" s="443"/>
      <c r="B45" s="39" t="s">
        <v>95</v>
      </c>
      <c r="C45" s="252">
        <f>'[69]VENTAS TOTALES'!$F57</f>
        <v>10501</v>
      </c>
      <c r="D45" s="253">
        <f>'[69]VENTAS TOTALES'!$G57</f>
        <v>5176000</v>
      </c>
      <c r="E45" s="253">
        <f>'[69]VENTAS TOTALES'!$H57</f>
        <v>23027700</v>
      </c>
      <c r="F45" s="252">
        <f>'[70]VENTAS TOTALES'!$F57</f>
        <v>10289</v>
      </c>
      <c r="G45" s="253">
        <f>'[70]VENTAS TOTALES'!$G57</f>
        <v>3823900</v>
      </c>
      <c r="H45" s="253">
        <f>'[70]VENTAS TOTALES'!$H57</f>
        <v>21315200</v>
      </c>
      <c r="I45" s="252">
        <f>'[71]VENTAS TOTALES'!$F57</f>
        <v>8952</v>
      </c>
      <c r="J45" s="253">
        <f>'[71]VENTAS TOTALES'!$G57</f>
        <v>3056000</v>
      </c>
      <c r="K45" s="253">
        <f>'[71]VENTAS TOTALES'!$H57</f>
        <v>18274400</v>
      </c>
      <c r="L45" s="252">
        <f>'[72]VENTAS TOTALES'!$F57</f>
        <v>9327</v>
      </c>
      <c r="M45" s="253">
        <f>'[72]VENTAS TOTALES'!$G57</f>
        <v>2731200</v>
      </c>
      <c r="N45" s="253">
        <f>'[72]VENTAS TOTALES'!$H57</f>
        <v>18587100</v>
      </c>
      <c r="O45" s="252">
        <f>'[73]VENTAS TOTALES'!$F57</f>
        <v>6246</v>
      </c>
      <c r="P45" s="253">
        <f>'[73]VENTAS TOTALES'!$G57</f>
        <v>2086200</v>
      </c>
      <c r="Q45" s="253">
        <f>'[73]VENTAS TOTALES'!$H57</f>
        <v>12704400</v>
      </c>
      <c r="R45" s="252">
        <f>'[74]VENTAS TOTALES'!$F57</f>
        <v>3044</v>
      </c>
      <c r="S45" s="253">
        <f>'[74]VENTAS TOTALES'!$G57</f>
        <v>639700</v>
      </c>
      <c r="T45" s="253">
        <f>'[74]VENTAS TOTALES'!$H57</f>
        <v>5814500</v>
      </c>
      <c r="U45" s="252">
        <f>'[75]VENTAS TOTALES'!$F57</f>
        <v>9995</v>
      </c>
      <c r="V45" s="253">
        <f>'[75]VENTAS TOTALES'!$G57</f>
        <v>3606550</v>
      </c>
      <c r="W45" s="253">
        <f>'[75]VENTAS TOTALES'!$H57</f>
        <v>20598050</v>
      </c>
      <c r="X45" s="252">
        <f>'[76]VENTAS TOTALES'!$F57</f>
        <v>9024</v>
      </c>
      <c r="Y45" s="253">
        <f>'[76]VENTAS TOTALES'!$G57</f>
        <v>2334600</v>
      </c>
      <c r="Z45" s="253">
        <f>'[76]VENTAS TOTALES'!$H57</f>
        <v>17675400</v>
      </c>
      <c r="AA45" s="252">
        <f>'[77]VENTAS TOTALES'!$F57</f>
        <v>8990</v>
      </c>
      <c r="AB45" s="253">
        <f>'[77]VENTAS TOTALES'!$G57</f>
        <v>2627600</v>
      </c>
      <c r="AC45" s="253">
        <f>'[77]VENTAS TOTALES'!$H57</f>
        <v>17910600</v>
      </c>
      <c r="AD45" s="252">
        <f>'[78]VENTAS TOTALES'!$F57</f>
        <v>8870</v>
      </c>
      <c r="AE45" s="253">
        <f>'[78]VENTAS TOTALES'!$G57</f>
        <v>2552000</v>
      </c>
      <c r="AF45" s="253">
        <f>'[78]VENTAS TOTALES'!$H57</f>
        <v>17631000</v>
      </c>
      <c r="AG45" s="252">
        <f>'[79]VENTAS TOTALES'!$F57</f>
        <v>9252</v>
      </c>
      <c r="AH45" s="253">
        <f>'[79]VENTAS TOTALES'!$G57</f>
        <v>2792900</v>
      </c>
      <c r="AI45" s="253">
        <f>'[79]VENTAS TOTALES'!$H57</f>
        <v>18521300</v>
      </c>
      <c r="AJ45" s="252">
        <f>'[80]VENTAS TOTALES'!$F57</f>
        <v>6431</v>
      </c>
      <c r="AK45" s="253">
        <f>'[80]VENTAS TOTALES'!$G57</f>
        <v>1793600</v>
      </c>
      <c r="AL45" s="253">
        <f>'[80]VENTAS TOTALES'!$H57</f>
        <v>12726300</v>
      </c>
      <c r="AM45" s="252">
        <f>'[81]VENTAS TOTALES'!$F57</f>
        <v>2769</v>
      </c>
      <c r="AN45" s="253">
        <f>'[81]VENTAS TOTALES'!$G57</f>
        <v>736000</v>
      </c>
      <c r="AO45" s="253">
        <f>'[81]VENTAS TOTALES'!$H57</f>
        <v>5443300</v>
      </c>
      <c r="AP45" s="252">
        <f>'[82]VENTAS TOTALES'!$F57</f>
        <v>10411</v>
      </c>
      <c r="AQ45" s="253">
        <f>'[82]VENTAS TOTALES'!$G57</f>
        <v>3263500</v>
      </c>
      <c r="AR45" s="253">
        <f>'[82]VENTAS TOTALES'!$H57</f>
        <v>20962200</v>
      </c>
      <c r="AS45" s="252">
        <f>'[83]VENTAS TOTALES'!$F57</f>
        <v>9997</v>
      </c>
      <c r="AT45" s="253">
        <f>'[83]VENTAS TOTALES'!$G57</f>
        <v>3609100</v>
      </c>
      <c r="AU45" s="253">
        <f>'[83]VENTAS TOTALES'!$H57</f>
        <v>20604000</v>
      </c>
      <c r="AV45" s="252">
        <f>'[84]VENTAS TOTALES'!$F57</f>
        <v>9807</v>
      </c>
      <c r="AW45" s="253">
        <f>'[84]VENTAS TOTALES'!$G57</f>
        <v>3974400</v>
      </c>
      <c r="AX45" s="253">
        <f>'[84]VENTAS TOTALES'!$H57</f>
        <v>20646300</v>
      </c>
      <c r="AY45" s="252">
        <f>'[85]VENTAS TOTALES'!$F57</f>
        <v>9686</v>
      </c>
      <c r="AZ45" s="253">
        <f>'[85]VENTAS TOTALES'!$G57</f>
        <v>3386350</v>
      </c>
      <c r="BA45" s="253">
        <f>'[85]VENTAS TOTALES'!$H57</f>
        <v>19852550</v>
      </c>
      <c r="BB45" s="252">
        <f>'[86]VENTAS TOTALES'!$F57</f>
        <v>8794</v>
      </c>
      <c r="BC45" s="253">
        <f>'[86]VENTAS TOTALES'!$G57</f>
        <v>2945550</v>
      </c>
      <c r="BD45" s="253">
        <f>'[86]VENTAS TOTALES'!$H57</f>
        <v>17895350</v>
      </c>
      <c r="BE45" s="252">
        <f>'[87]VENTAS TOTALES'!$F57</f>
        <v>6580</v>
      </c>
      <c r="BF45" s="253">
        <f>'[87]VENTAS TOTALES'!$G57</f>
        <v>2052900</v>
      </c>
      <c r="BG45" s="253">
        <f>'[87]VENTAS TOTALES'!$H57</f>
        <v>13238900</v>
      </c>
      <c r="BH45" s="252">
        <f>'[88]VENTAS TOTALES'!$F57</f>
        <v>2824</v>
      </c>
      <c r="BI45" s="253">
        <f>'[88]VENTAS TOTALES'!$G57</f>
        <v>698500</v>
      </c>
      <c r="BJ45" s="253">
        <f>'[88]VENTAS TOTALES'!$H57</f>
        <v>5499300</v>
      </c>
      <c r="BK45" s="252">
        <f>'[89]VENTAS TOTALES'!$F57</f>
        <v>10182</v>
      </c>
      <c r="BL45" s="253">
        <f>'[89]VENTAS TOTALES'!$G57</f>
        <v>4133250</v>
      </c>
      <c r="BM45" s="253">
        <f>'[89]VENTAS TOTALES'!$H57</f>
        <v>21442650</v>
      </c>
      <c r="BN45" s="252">
        <f>'[90]VENTAS TOTALES'!$F57</f>
        <v>9511</v>
      </c>
      <c r="BO45" s="253">
        <f>'[90]VENTAS TOTALES'!$G57</f>
        <v>2954200</v>
      </c>
      <c r="BP45" s="253">
        <f>'[90]VENTAS TOTALES'!$H57</f>
        <v>19122900</v>
      </c>
      <c r="BQ45" s="252">
        <f>'[91]VENTAS TOTALES'!$F57</f>
        <v>8998</v>
      </c>
      <c r="BR45" s="253">
        <f>'[91]VENTAS TOTALES'!$G57</f>
        <v>3007900</v>
      </c>
      <c r="BS45" s="253">
        <f>'[91]VENTAS TOTALES'!$H57</f>
        <v>18304500</v>
      </c>
      <c r="BT45" s="252">
        <f>'[92]VENTAS TOTALES'!$F57</f>
        <v>8619</v>
      </c>
      <c r="BU45" s="253">
        <f>'[92]VENTAS TOTALES'!$G57</f>
        <v>2478350</v>
      </c>
      <c r="BV45" s="253">
        <f>'[92]VENTAS TOTALES'!$H57</f>
        <v>17130650</v>
      </c>
      <c r="BW45" s="252">
        <f>'[93]VENTAS TOTALES'!$F57</f>
        <v>9224</v>
      </c>
      <c r="BX45" s="253">
        <f>'[93]VENTAS TOTALES'!$G57</f>
        <v>3050000</v>
      </c>
      <c r="BY45" s="253">
        <f>'[93]VENTAS TOTALES'!$H57</f>
        <v>18730800</v>
      </c>
      <c r="BZ45" s="252">
        <f>'[94]VENTAS TOTALES'!$F57</f>
        <v>7280</v>
      </c>
      <c r="CA45" s="253">
        <f>'[94]VENTAS TOTALES'!$G57</f>
        <v>3230300</v>
      </c>
      <c r="CB45" s="253">
        <f>'[94]VENTAS TOTALES'!$H57</f>
        <v>15606300</v>
      </c>
      <c r="CC45" s="252">
        <f>'[95]VENTAS TOTALES'!$F57</f>
        <v>3008</v>
      </c>
      <c r="CD45" s="253">
        <f>'[95]VENTAS TOTALES'!$G57</f>
        <v>738400</v>
      </c>
      <c r="CE45" s="253">
        <f>'[95]VENTAS TOTALES'!$H57</f>
        <v>5852000</v>
      </c>
      <c r="CF45" s="252">
        <f>'[96]VENTAS TOTALES'!$F57</f>
        <v>12141</v>
      </c>
      <c r="CG45" s="253">
        <f>'[96]VENTAS TOTALES'!$G57</f>
        <v>6583300</v>
      </c>
      <c r="CH45" s="253">
        <f>'[96]VENTAS TOTALES'!$H57</f>
        <v>27223000</v>
      </c>
      <c r="CI45" s="252">
        <f>'[97]VENTAS TOTALES'!$F57</f>
        <v>10743</v>
      </c>
      <c r="CJ45" s="253">
        <f>'[97]VENTAS TOTALES'!$G57</f>
        <v>5107300</v>
      </c>
      <c r="CK45" s="253">
        <f>'[97]VENTAS TOTALES'!$H57</f>
        <v>23370400</v>
      </c>
      <c r="CL45" s="252">
        <f>'[98]VENTAS TOTALES'!$F57</f>
        <v>9723</v>
      </c>
      <c r="CM45" s="253">
        <f>'[98]VENTAS TOTALES'!$G57</f>
        <v>3926100</v>
      </c>
      <c r="CN45" s="253">
        <f>'[98]VENTAS TOTALES'!$H57</f>
        <v>20455200</v>
      </c>
      <c r="CO45" s="252">
        <f>'[99]VENTAS TOTALES'!$F57</f>
        <v>9503</v>
      </c>
      <c r="CP45" s="253">
        <f>'[99]VENTAS TOTALES'!$G57</f>
        <v>3711300</v>
      </c>
      <c r="CQ45" s="253">
        <f>'[99]VENTAS TOTALES'!$H57</f>
        <v>19866400</v>
      </c>
      <c r="CR45" s="252">
        <f>'[100]VENTAS TOTALES'!$F57</f>
        <v>9224</v>
      </c>
      <c r="CS45" s="253">
        <f>'[100]VENTAS TOTALES'!$G57</f>
        <v>3062100</v>
      </c>
      <c r="CT45" s="253">
        <f>'[100]VENTAS TOTALES'!$H57</f>
        <v>18742900</v>
      </c>
      <c r="CU45" s="252">
        <f>'[101]VENTAS TOTALES'!$F57</f>
        <v>6824</v>
      </c>
      <c r="CV45" s="253">
        <f>'[101]VENTAS TOTALES'!$G57</f>
        <v>2144400</v>
      </c>
      <c r="CW45" s="253">
        <f>'[101]VENTAS TOTALES'!$H57</f>
        <v>13745200</v>
      </c>
      <c r="CX45" s="252">
        <f>'[102]VENTAS TOTALES'!$F57</f>
        <v>2984</v>
      </c>
      <c r="CY45" s="253">
        <f>'[102]VENTAS TOTALES'!$G57</f>
        <v>410000</v>
      </c>
      <c r="CZ45" s="253">
        <f>'[102]VENTAS TOTALES'!$H57</f>
        <v>5482800</v>
      </c>
    </row>
    <row r="46" spans="1:104" x14ac:dyDescent="0.2">
      <c r="A46" s="443"/>
      <c r="B46" s="39" t="s">
        <v>27</v>
      </c>
      <c r="C46" s="252">
        <f>'[69]VENTAS TOTALES'!$F58</f>
        <v>14428</v>
      </c>
      <c r="D46" s="253">
        <f>'[69]VENTAS TOTALES'!$G58</f>
        <v>5928700</v>
      </c>
      <c r="E46" s="253">
        <f>'[69]VENTAS TOTALES'!$H58</f>
        <v>30456300</v>
      </c>
      <c r="F46" s="252">
        <f>'[70]VENTAS TOTALES'!$F58</f>
        <v>14564</v>
      </c>
      <c r="G46" s="253">
        <f>'[70]VENTAS TOTALES'!$G58</f>
        <v>4362400</v>
      </c>
      <c r="H46" s="253">
        <f>'[70]VENTAS TOTALES'!$H58</f>
        <v>29121200</v>
      </c>
      <c r="I46" s="252">
        <f>'[71]VENTAS TOTALES'!$F58</f>
        <v>12821</v>
      </c>
      <c r="J46" s="253">
        <f>'[71]VENTAS TOTALES'!$G58</f>
        <v>3844900</v>
      </c>
      <c r="K46" s="253">
        <f>'[71]VENTAS TOTALES'!$H58</f>
        <v>25640600</v>
      </c>
      <c r="L46" s="252">
        <f>'[72]VENTAS TOTALES'!$F58</f>
        <v>12799</v>
      </c>
      <c r="M46" s="253">
        <f>'[72]VENTAS TOTALES'!$G58</f>
        <v>3523300</v>
      </c>
      <c r="N46" s="253">
        <f>'[72]VENTAS TOTALES'!$H58</f>
        <v>25281600</v>
      </c>
      <c r="O46" s="252">
        <f>'[73]VENTAS TOTALES'!$F58</f>
        <v>10948</v>
      </c>
      <c r="P46" s="253">
        <f>'[73]VENTAS TOTALES'!$G58</f>
        <v>2834100</v>
      </c>
      <c r="Q46" s="253">
        <f>'[73]VENTAS TOTALES'!$H58</f>
        <v>21445700</v>
      </c>
      <c r="R46" s="252">
        <f>'[74]VENTAS TOTALES'!$F58</f>
        <v>5013</v>
      </c>
      <c r="S46" s="253">
        <f>'[74]VENTAS TOTALES'!$G58</f>
        <v>881600</v>
      </c>
      <c r="T46" s="253">
        <f>'[74]VENTAS TOTALES'!$H58</f>
        <v>9403700</v>
      </c>
      <c r="U46" s="252">
        <f>'[75]VENTAS TOTALES'!$F58</f>
        <v>15688</v>
      </c>
      <c r="V46" s="253">
        <f>'[75]VENTAS TOTALES'!$G58</f>
        <v>5435700</v>
      </c>
      <c r="W46" s="253">
        <f>'[75]VENTAS TOTALES'!$H58</f>
        <v>32105300</v>
      </c>
      <c r="X46" s="252">
        <f>'[76]VENTAS TOTALES'!$F58</f>
        <v>13907</v>
      </c>
      <c r="Y46" s="253">
        <f>'[76]VENTAS TOTALES'!$G58</f>
        <v>3817400</v>
      </c>
      <c r="Z46" s="253">
        <f>'[76]VENTAS TOTALES'!$H58</f>
        <v>27459300</v>
      </c>
      <c r="AA46" s="252">
        <f>'[77]VENTAS TOTALES'!$F58</f>
        <v>12982</v>
      </c>
      <c r="AB46" s="253">
        <f>'[77]VENTAS TOTALES'!$G58</f>
        <v>3231750</v>
      </c>
      <c r="AC46" s="253">
        <f>'[77]VENTAS TOTALES'!$H58</f>
        <v>25301150</v>
      </c>
      <c r="AD46" s="252">
        <f>'[78]VENTAS TOTALES'!$F58</f>
        <v>13378</v>
      </c>
      <c r="AE46" s="253">
        <f>'[78]VENTAS TOTALES'!$G58</f>
        <v>3932100</v>
      </c>
      <c r="AF46" s="253">
        <f>'[78]VENTAS TOTALES'!$H58</f>
        <v>26674700</v>
      </c>
      <c r="AG46" s="252">
        <f>'[79]VENTAS TOTALES'!$F58</f>
        <v>13105</v>
      </c>
      <c r="AH46" s="253">
        <f>'[79]VENTAS TOTALES'!$G58</f>
        <v>3347300</v>
      </c>
      <c r="AI46" s="253">
        <f>'[79]VENTAS TOTALES'!$H58</f>
        <v>25625800</v>
      </c>
      <c r="AJ46" s="252">
        <f>'[80]VENTAS TOTALES'!$F58</f>
        <v>11863</v>
      </c>
      <c r="AK46" s="253">
        <f>'[80]VENTAS TOTALES'!$G58</f>
        <v>3422400</v>
      </c>
      <c r="AL46" s="253">
        <f>'[80]VENTAS TOTALES'!$H58</f>
        <v>23589500</v>
      </c>
      <c r="AM46" s="252">
        <f>'[81]VENTAS TOTALES'!$F58</f>
        <v>4864</v>
      </c>
      <c r="AN46" s="253">
        <f>'[81]VENTAS TOTALES'!$G58</f>
        <v>1026900</v>
      </c>
      <c r="AO46" s="253">
        <f>'[81]VENTAS TOTALES'!$H58</f>
        <v>9295700</v>
      </c>
      <c r="AP46" s="252">
        <f>'[82]VENTAS TOTALES'!$F58</f>
        <v>16501</v>
      </c>
      <c r="AQ46" s="253">
        <f>'[82]VENTAS TOTALES'!$G58</f>
        <v>5800700</v>
      </c>
      <c r="AR46" s="253">
        <f>'[82]VENTAS TOTALES'!$H58</f>
        <v>33852400</v>
      </c>
      <c r="AS46" s="252">
        <f>'[83]VENTAS TOTALES'!$F58</f>
        <v>14976</v>
      </c>
      <c r="AT46" s="253">
        <f>'[83]VENTAS TOTALES'!$G58</f>
        <v>6294500</v>
      </c>
      <c r="AU46" s="253">
        <f>'[83]VENTAS TOTALES'!$H58</f>
        <v>31753700</v>
      </c>
      <c r="AV46" s="252">
        <f>'[84]VENTAS TOTALES'!$F58</f>
        <v>14571</v>
      </c>
      <c r="AW46" s="253">
        <f>'[84]VENTAS TOTALES'!$G58</f>
        <v>5679350</v>
      </c>
      <c r="AX46" s="253">
        <f>'[84]VENTAS TOTALES'!$H58</f>
        <v>30450050</v>
      </c>
      <c r="AY46" s="252">
        <f>'[85]VENTAS TOTALES'!$F58</f>
        <v>14381</v>
      </c>
      <c r="AZ46" s="253">
        <f>'[85]VENTAS TOTALES'!$G58</f>
        <v>4997000</v>
      </c>
      <c r="BA46" s="253">
        <f>'[85]VENTAS TOTALES'!$H58</f>
        <v>29444700</v>
      </c>
      <c r="BB46" s="252">
        <f>'[86]VENTAS TOTALES'!$F58</f>
        <v>13869</v>
      </c>
      <c r="BC46" s="253">
        <f>'[86]VENTAS TOTALES'!$G58</f>
        <v>3482700</v>
      </c>
      <c r="BD46" s="253">
        <f>'[86]VENTAS TOTALES'!$H58</f>
        <v>27060000</v>
      </c>
      <c r="BE46" s="252">
        <f>'[87]VENTAS TOTALES'!$F58</f>
        <v>12214</v>
      </c>
      <c r="BF46" s="253">
        <f>'[87]VENTAS TOTALES'!$G58</f>
        <v>3372400</v>
      </c>
      <c r="BG46" s="253">
        <f>'[87]VENTAS TOTALES'!$H58</f>
        <v>24136200</v>
      </c>
      <c r="BH46" s="252">
        <f>'[88]VENTAS TOTALES'!$F58</f>
        <v>5275</v>
      </c>
      <c r="BI46" s="253">
        <f>'[88]VENTAS TOTALES'!$G58</f>
        <v>1041200</v>
      </c>
      <c r="BJ46" s="253">
        <f>'[88]VENTAS TOTALES'!$H58</f>
        <v>10008700</v>
      </c>
      <c r="BK46" s="252">
        <f>'[89]VENTAS TOTALES'!$F58</f>
        <v>15969</v>
      </c>
      <c r="BL46" s="253">
        <f>'[89]VENTAS TOTALES'!$G58</f>
        <v>5263650</v>
      </c>
      <c r="BM46" s="253">
        <f>'[89]VENTAS TOTALES'!$H58</f>
        <v>32410950</v>
      </c>
      <c r="BN46" s="252">
        <f>'[90]VENTAS TOTALES'!$F58</f>
        <v>14056</v>
      </c>
      <c r="BO46" s="253">
        <f>'[90]VENTAS TOTALES'!$G58</f>
        <v>3900300</v>
      </c>
      <c r="BP46" s="253">
        <f>'[90]VENTAS TOTALES'!$H58</f>
        <v>27795500</v>
      </c>
      <c r="BQ46" s="252">
        <f>'[91]VENTAS TOTALES'!$F58</f>
        <v>14019</v>
      </c>
      <c r="BR46" s="253">
        <f>'[91]VENTAS TOTALES'!$G58</f>
        <v>3594300</v>
      </c>
      <c r="BS46" s="253">
        <f>'[91]VENTAS TOTALES'!$H58</f>
        <v>27426600</v>
      </c>
      <c r="BT46" s="252">
        <f>'[92]VENTAS TOTALES'!$F58</f>
        <v>13370</v>
      </c>
      <c r="BU46" s="253">
        <f>'[92]VENTAS TOTALES'!$G58</f>
        <v>3250200</v>
      </c>
      <c r="BV46" s="253">
        <f>'[92]VENTAS TOTALES'!$H58</f>
        <v>25979200</v>
      </c>
      <c r="BW46" s="252">
        <f>'[93]VENTAS TOTALES'!$F58</f>
        <v>14142</v>
      </c>
      <c r="BX46" s="253">
        <f>'[93]VENTAS TOTALES'!$G58</f>
        <v>4539600</v>
      </c>
      <c r="BY46" s="253">
        <f>'[93]VENTAS TOTALES'!$H58</f>
        <v>28581000</v>
      </c>
      <c r="BZ46" s="252">
        <f>'[94]VENTAS TOTALES'!$F58</f>
        <v>12297</v>
      </c>
      <c r="CA46" s="253">
        <f>'[94]VENTAS TOTALES'!$G58</f>
        <v>3972000</v>
      </c>
      <c r="CB46" s="253">
        <f>'[94]VENTAS TOTALES'!$H58</f>
        <v>24876900</v>
      </c>
      <c r="CC46" s="252">
        <f>'[95]VENTAS TOTALES'!$F58</f>
        <v>5306</v>
      </c>
      <c r="CD46" s="253">
        <f>'[95]VENTAS TOTALES'!$G58</f>
        <v>1266300</v>
      </c>
      <c r="CE46" s="253">
        <f>'[95]VENTAS TOTALES'!$H58</f>
        <v>10286500</v>
      </c>
      <c r="CF46" s="252">
        <f>'[96]VENTAS TOTALES'!$F58</f>
        <v>17570</v>
      </c>
      <c r="CG46" s="253">
        <f>'[96]VENTAS TOTALES'!$G58</f>
        <v>8600150</v>
      </c>
      <c r="CH46" s="253">
        <f>'[96]VENTAS TOTALES'!$H58</f>
        <v>38469150</v>
      </c>
      <c r="CI46" s="252">
        <f>'[97]VENTAS TOTALES'!$F58</f>
        <v>16437</v>
      </c>
      <c r="CJ46" s="253">
        <f>'[97]VENTAS TOTALES'!$G58</f>
        <v>6547300</v>
      </c>
      <c r="CK46" s="253">
        <f>'[97]VENTAS TOTALES'!$H58</f>
        <v>34490200</v>
      </c>
      <c r="CL46" s="252">
        <f>'[98]VENTAS TOTALES'!$F58</f>
        <v>15080</v>
      </c>
      <c r="CM46" s="253">
        <f>'[98]VENTAS TOTALES'!$G58</f>
        <v>6074500</v>
      </c>
      <c r="CN46" s="253">
        <f>'[98]VENTAS TOTALES'!$H58</f>
        <v>31710500</v>
      </c>
      <c r="CO46" s="252">
        <f>'[99]VENTAS TOTALES'!$F58</f>
        <v>14570</v>
      </c>
      <c r="CP46" s="253">
        <f>'[99]VENTAS TOTALES'!$G58</f>
        <v>4456000</v>
      </c>
      <c r="CQ46" s="253">
        <f>'[99]VENTAS TOTALES'!$H58</f>
        <v>29225000</v>
      </c>
      <c r="CR46" s="252">
        <f>'[100]VENTAS TOTALES'!$F58</f>
        <v>14478</v>
      </c>
      <c r="CS46" s="253">
        <f>'[100]VENTAS TOTALES'!$G58</f>
        <v>3628600</v>
      </c>
      <c r="CT46" s="253">
        <f>'[100]VENTAS TOTALES'!$H58</f>
        <v>28241200</v>
      </c>
      <c r="CU46" s="252">
        <f>'[101]VENTAS TOTALES'!$F58</f>
        <v>12358</v>
      </c>
      <c r="CV46" s="253">
        <f>'[101]VENTAS TOTALES'!$G58</f>
        <v>3268100</v>
      </c>
      <c r="CW46" s="253">
        <f>'[101]VENTAS TOTALES'!$H58</f>
        <v>24276700</v>
      </c>
      <c r="CX46" s="252">
        <f>'[102]VENTAS TOTALES'!$F58</f>
        <v>5072</v>
      </c>
      <c r="CY46" s="253">
        <f>'[102]VENTAS TOTALES'!$G58</f>
        <v>1477200</v>
      </c>
      <c r="CZ46" s="253">
        <f>'[102]VENTAS TOTALES'!$H58</f>
        <v>10099600</v>
      </c>
    </row>
    <row r="47" spans="1:104" x14ac:dyDescent="0.2">
      <c r="A47" s="443"/>
      <c r="B47" s="39" t="s">
        <v>28</v>
      </c>
      <c r="C47" s="252">
        <f>'[69]VENTAS TOTALES'!$F59</f>
        <v>7258</v>
      </c>
      <c r="D47" s="253">
        <f>'[69]VENTAS TOTALES'!$G59</f>
        <v>3201400</v>
      </c>
      <c r="E47" s="253">
        <f>'[69]VENTAS TOTALES'!$H59</f>
        <v>15540000</v>
      </c>
      <c r="F47" s="252">
        <f>'[70]VENTAS TOTALES'!$F59</f>
        <v>7052</v>
      </c>
      <c r="G47" s="253">
        <f>'[70]VENTAS TOTALES'!$G59</f>
        <v>2417000</v>
      </c>
      <c r="H47" s="253">
        <f>'[70]VENTAS TOTALES'!$H59</f>
        <v>14405400</v>
      </c>
      <c r="I47" s="252">
        <f>'[71]VENTAS TOTALES'!$F59</f>
        <v>6326</v>
      </c>
      <c r="J47" s="253">
        <f>'[71]VENTAS TOTALES'!$G59</f>
        <v>2247500</v>
      </c>
      <c r="K47" s="253">
        <f>'[71]VENTAS TOTALES'!$H59</f>
        <v>13001700</v>
      </c>
      <c r="L47" s="252">
        <f>'[72]VENTAS TOTALES'!$F59</f>
        <v>6188</v>
      </c>
      <c r="M47" s="253">
        <f>'[72]VENTAS TOTALES'!$G59</f>
        <v>1837500</v>
      </c>
      <c r="N47" s="253">
        <f>'[72]VENTAS TOTALES'!$H59</f>
        <v>12357100</v>
      </c>
      <c r="O47" s="252">
        <f>'[73]VENTAS TOTALES'!$F59</f>
        <v>4928</v>
      </c>
      <c r="P47" s="253">
        <f>'[73]VENTAS TOTALES'!$G59</f>
        <v>1659000</v>
      </c>
      <c r="Q47" s="253">
        <f>'[73]VENTAS TOTALES'!$H59</f>
        <v>10036600</v>
      </c>
      <c r="R47" s="252">
        <f>'[74]VENTAS TOTALES'!$F59</f>
        <v>1721</v>
      </c>
      <c r="S47" s="253">
        <f>'[74]VENTAS TOTALES'!$G59</f>
        <v>466600</v>
      </c>
      <c r="T47" s="253">
        <f>'[74]VENTAS TOTALES'!$H59</f>
        <v>3392300</v>
      </c>
      <c r="U47" s="252">
        <f>'[75]VENTAS TOTALES'!$F59</f>
        <v>8036</v>
      </c>
      <c r="V47" s="253">
        <f>'[75]VENTAS TOTALES'!$G59</f>
        <v>3089300</v>
      </c>
      <c r="W47" s="253">
        <f>'[75]VENTAS TOTALES'!$H59</f>
        <v>16750500</v>
      </c>
      <c r="X47" s="252">
        <f>'[76]VENTAS TOTALES'!$F59</f>
        <v>7393</v>
      </c>
      <c r="Y47" s="253">
        <f>'[76]VENTAS TOTALES'!$G59</f>
        <v>2441900</v>
      </c>
      <c r="Z47" s="253">
        <f>'[76]VENTAS TOTALES'!$H59</f>
        <v>15010000</v>
      </c>
      <c r="AA47" s="252">
        <f>'[77]VENTAS TOTALES'!$F59</f>
        <v>6908</v>
      </c>
      <c r="AB47" s="253">
        <f>'[77]VENTAS TOTALES'!$G59</f>
        <v>1965700</v>
      </c>
      <c r="AC47" s="253">
        <f>'[77]VENTAS TOTALES'!$H59</f>
        <v>13709300</v>
      </c>
      <c r="AD47" s="252">
        <f>'[78]VENTAS TOTALES'!$F59</f>
        <v>6823</v>
      </c>
      <c r="AE47" s="253">
        <f>'[78]VENTAS TOTALES'!$G59</f>
        <v>2277200</v>
      </c>
      <c r="AF47" s="253">
        <f>'[78]VENTAS TOTALES'!$H59</f>
        <v>13876300</v>
      </c>
      <c r="AG47" s="252">
        <f>'[79]VENTAS TOTALES'!$F59</f>
        <v>6669</v>
      </c>
      <c r="AH47" s="253">
        <f>'[79]VENTAS TOTALES'!$G59</f>
        <v>2022600</v>
      </c>
      <c r="AI47" s="253">
        <f>'[79]VENTAS TOTALES'!$H59</f>
        <v>13359900</v>
      </c>
      <c r="AJ47" s="252">
        <f>'[80]VENTAS TOTALES'!$F59</f>
        <v>5314</v>
      </c>
      <c r="AK47" s="253">
        <f>'[80]VENTAS TOTALES'!$G59</f>
        <v>2004900</v>
      </c>
      <c r="AL47" s="253">
        <f>'[80]VENTAS TOTALES'!$H59</f>
        <v>11038700</v>
      </c>
      <c r="AM47" s="252">
        <f>'[81]VENTAS TOTALES'!$F59</f>
        <v>1714</v>
      </c>
      <c r="AN47" s="253">
        <f>'[81]VENTAS TOTALES'!$G59</f>
        <v>494000</v>
      </c>
      <c r="AO47" s="253">
        <f>'[81]VENTAS TOTALES'!$H59</f>
        <v>3407800</v>
      </c>
      <c r="AP47" s="252">
        <f>'[82]VENTAS TOTALES'!$F59</f>
        <v>8496</v>
      </c>
      <c r="AQ47" s="253">
        <f>'[82]VENTAS TOTALES'!$G59</f>
        <v>3562500</v>
      </c>
      <c r="AR47" s="253">
        <f>'[82]VENTAS TOTALES'!$H59</f>
        <v>18005700</v>
      </c>
      <c r="AS47" s="252">
        <f>'[83]VENTAS TOTALES'!$F59</f>
        <v>8151</v>
      </c>
      <c r="AT47" s="253">
        <f>'[83]VENTAS TOTALES'!$G59</f>
        <v>3419900</v>
      </c>
      <c r="AU47" s="253">
        <f>'[83]VENTAS TOTALES'!$H59</f>
        <v>17276600</v>
      </c>
      <c r="AV47" s="252">
        <f>'[84]VENTAS TOTALES'!$F59</f>
        <v>7765</v>
      </c>
      <c r="AW47" s="253">
        <f>'[84]VENTAS TOTALES'!$G59</f>
        <v>3351200</v>
      </c>
      <c r="AX47" s="253">
        <f>'[84]VENTAS TOTALES'!$H59</f>
        <v>16551700</v>
      </c>
      <c r="AY47" s="252">
        <f>'[85]VENTAS TOTALES'!$F59</f>
        <v>6981</v>
      </c>
      <c r="AZ47" s="253">
        <f>'[85]VENTAS TOTALES'!$G59</f>
        <v>2368850</v>
      </c>
      <c r="BA47" s="253">
        <f>'[85]VENTAS TOTALES'!$H59</f>
        <v>14236550</v>
      </c>
      <c r="BB47" s="252">
        <f>'[86]VENTAS TOTALES'!$F59</f>
        <v>7237</v>
      </c>
      <c r="BC47" s="253">
        <f>'[86]VENTAS TOTALES'!$G59</f>
        <v>2185100</v>
      </c>
      <c r="BD47" s="253">
        <f>'[86]VENTAS TOTALES'!$H59</f>
        <v>14488000</v>
      </c>
      <c r="BE47" s="252">
        <f>'[87]VENTAS TOTALES'!$F59</f>
        <v>5523</v>
      </c>
      <c r="BF47" s="253">
        <f>'[87]VENTAS TOTALES'!$G59</f>
        <v>2003500</v>
      </c>
      <c r="BG47" s="253">
        <f>'[87]VENTAS TOTALES'!$H59</f>
        <v>11392600</v>
      </c>
      <c r="BH47" s="252">
        <f>'[88]VENTAS TOTALES'!$F59</f>
        <v>1681</v>
      </c>
      <c r="BI47" s="253">
        <f>'[88]VENTAS TOTALES'!$G59</f>
        <v>513700</v>
      </c>
      <c r="BJ47" s="253">
        <f>'[88]VENTAS TOTALES'!$H59</f>
        <v>3371400</v>
      </c>
      <c r="BK47" s="252">
        <f>'[89]VENTAS TOTALES'!$F59</f>
        <v>8805</v>
      </c>
      <c r="BL47" s="253">
        <f>'[89]VENTAS TOTALES'!$G59</f>
        <v>3729500</v>
      </c>
      <c r="BM47" s="253">
        <f>'[89]VENTAS TOTALES'!$H59</f>
        <v>18698000</v>
      </c>
      <c r="BN47" s="252">
        <f>'[90]VENTAS TOTALES'!$F59</f>
        <v>7691</v>
      </c>
      <c r="BO47" s="253">
        <f>'[90]VENTAS TOTALES'!$G59</f>
        <v>2533400</v>
      </c>
      <c r="BP47" s="253">
        <f>'[90]VENTAS TOTALES'!$H59</f>
        <v>15608100</v>
      </c>
      <c r="BQ47" s="252">
        <f>'[91]VENTAS TOTALES'!$F59</f>
        <v>7445</v>
      </c>
      <c r="BR47" s="253">
        <f>'[91]VENTAS TOTALES'!$G59</f>
        <v>2241500</v>
      </c>
      <c r="BS47" s="253">
        <f>'[91]VENTAS TOTALES'!$H59</f>
        <v>14898000</v>
      </c>
      <c r="BT47" s="252">
        <f>'[92]VENTAS TOTALES'!$F59</f>
        <v>7018</v>
      </c>
      <c r="BU47" s="253">
        <f>'[92]VENTAS TOTALES'!$G59</f>
        <v>2264800</v>
      </c>
      <c r="BV47" s="253">
        <f>'[92]VENTAS TOTALES'!$H59</f>
        <v>14195400</v>
      </c>
      <c r="BW47" s="252">
        <f>'[93]VENTAS TOTALES'!$F59</f>
        <v>7518</v>
      </c>
      <c r="BX47" s="253">
        <f>'[93]VENTAS TOTALES'!$G59</f>
        <v>2435200</v>
      </c>
      <c r="BY47" s="253">
        <f>'[93]VENTAS TOTALES'!$H59</f>
        <v>15215800</v>
      </c>
      <c r="BZ47" s="252">
        <f>'[94]VENTAS TOTALES'!$F59</f>
        <v>5642</v>
      </c>
      <c r="CA47" s="253">
        <f>'[94]VENTAS TOTALES'!$G59</f>
        <v>1796400</v>
      </c>
      <c r="CB47" s="253">
        <f>'[94]VENTAS TOTALES'!$H59</f>
        <v>11387800</v>
      </c>
      <c r="CC47" s="252">
        <f>'[95]VENTAS TOTALES'!$F59</f>
        <v>1808</v>
      </c>
      <c r="CD47" s="253">
        <f>'[95]VENTAS TOTALES'!$G59</f>
        <v>354600</v>
      </c>
      <c r="CE47" s="253">
        <f>'[95]VENTAS TOTALES'!$H59</f>
        <v>3428200</v>
      </c>
      <c r="CF47" s="252">
        <f>'[96]VENTAS TOTALES'!$F59</f>
        <v>9759</v>
      </c>
      <c r="CG47" s="253">
        <f>'[96]VENTAS TOTALES'!$G59</f>
        <v>5638900</v>
      </c>
      <c r="CH47" s="253">
        <f>'[96]VENTAS TOTALES'!$H59</f>
        <v>22229200</v>
      </c>
      <c r="CI47" s="252">
        <f>'[97]VENTAS TOTALES'!$F59</f>
        <v>9084</v>
      </c>
      <c r="CJ47" s="253">
        <f>'[97]VENTAS TOTALES'!$G59</f>
        <v>4020400</v>
      </c>
      <c r="CK47" s="253">
        <f>'[97]VENTAS TOTALES'!$H59</f>
        <v>19463200</v>
      </c>
      <c r="CL47" s="252">
        <f>'[98]VENTAS TOTALES'!$F59</f>
        <v>8113</v>
      </c>
      <c r="CM47" s="253">
        <f>'[98]VENTAS TOTALES'!$G59</f>
        <v>3720500</v>
      </c>
      <c r="CN47" s="253">
        <f>'[98]VENTAS TOTALES'!$H59</f>
        <v>17512600</v>
      </c>
      <c r="CO47" s="252">
        <f>'[99]VENTAS TOTALES'!$F59</f>
        <v>7239</v>
      </c>
      <c r="CP47" s="253">
        <f>'[99]VENTAS TOTALES'!$G59</f>
        <v>3068300</v>
      </c>
      <c r="CQ47" s="253">
        <f>'[99]VENTAS TOTALES'!$H59</f>
        <v>15374600</v>
      </c>
      <c r="CR47" s="252">
        <f>'[100]VENTAS TOTALES'!$F59</f>
        <v>7287</v>
      </c>
      <c r="CS47" s="253">
        <f>'[100]VENTAS TOTALES'!$G59</f>
        <v>2536000</v>
      </c>
      <c r="CT47" s="253">
        <f>'[100]VENTAS TOTALES'!$H59</f>
        <v>14923900</v>
      </c>
      <c r="CU47" s="252">
        <f>'[101]VENTAS TOTALES'!$F59</f>
        <v>5770</v>
      </c>
      <c r="CV47" s="253">
        <f>'[101]VENTAS TOTALES'!$G59</f>
        <v>1903000</v>
      </c>
      <c r="CW47" s="253">
        <f>'[101]VENTAS TOTALES'!$H59</f>
        <v>11712000</v>
      </c>
      <c r="CX47" s="252">
        <f>'[102]VENTAS TOTALES'!$F59</f>
        <v>1867</v>
      </c>
      <c r="CY47" s="253">
        <f>'[102]VENTAS TOTALES'!$G59</f>
        <v>503400</v>
      </c>
      <c r="CZ47" s="253">
        <f>'[102]VENTAS TOTALES'!$H59</f>
        <v>3677300</v>
      </c>
    </row>
    <row r="48" spans="1:104" x14ac:dyDescent="0.2">
      <c r="A48" s="443"/>
      <c r="B48" s="45" t="s">
        <v>57</v>
      </c>
      <c r="C48" s="252">
        <f>'[69]VENTAS TOTALES'!$F60</f>
        <v>8117</v>
      </c>
      <c r="D48" s="253">
        <f>'[69]VENTAS TOTALES'!$G60</f>
        <v>3777950</v>
      </c>
      <c r="E48" s="253">
        <f>'[69]VENTAS TOTALES'!$H60</f>
        <v>17576850</v>
      </c>
      <c r="F48" s="252">
        <f>'[70]VENTAS TOTALES'!$F60</f>
        <v>7919</v>
      </c>
      <c r="G48" s="253">
        <f>'[70]VENTAS TOTALES'!$G60</f>
        <v>2960900</v>
      </c>
      <c r="H48" s="253">
        <f>'[70]VENTAS TOTALES'!$H60</f>
        <v>16423200</v>
      </c>
      <c r="I48" s="252">
        <f>'[71]VENTAS TOTALES'!$F60</f>
        <v>7093</v>
      </c>
      <c r="J48" s="253">
        <f>'[71]VENTAS TOTALES'!$G60</f>
        <v>2565500</v>
      </c>
      <c r="K48" s="253">
        <f>'[71]VENTAS TOTALES'!$H60</f>
        <v>14623600</v>
      </c>
      <c r="L48" s="252">
        <f>'[72]VENTAS TOTALES'!$F60</f>
        <v>6706</v>
      </c>
      <c r="M48" s="253">
        <f>'[72]VENTAS TOTALES'!$G60</f>
        <v>1885400</v>
      </c>
      <c r="N48" s="253">
        <f>'[72]VENTAS TOTALES'!$H60</f>
        <v>13285600</v>
      </c>
      <c r="O48" s="252">
        <f>'[73]VENTAS TOTALES'!$F60</f>
        <v>4772</v>
      </c>
      <c r="P48" s="253">
        <f>'[73]VENTAS TOTALES'!$G60</f>
        <v>1571500</v>
      </c>
      <c r="Q48" s="253">
        <f>'[73]VENTAS TOTALES'!$H60</f>
        <v>9683900</v>
      </c>
      <c r="R48" s="252">
        <f>'[74]VENTAS TOTALES'!$F60</f>
        <v>2020</v>
      </c>
      <c r="S48" s="253">
        <f>'[74]VENTAS TOTALES'!$G60</f>
        <v>471100</v>
      </c>
      <c r="T48" s="253">
        <f>'[74]VENTAS TOTALES'!$H60</f>
        <v>3905100</v>
      </c>
      <c r="U48" s="252">
        <f>'[75]VENTAS TOTALES'!$F60</f>
        <v>7625</v>
      </c>
      <c r="V48" s="253">
        <f>'[75]VENTAS TOTALES'!$G60</f>
        <v>2637550</v>
      </c>
      <c r="W48" s="253">
        <f>'[75]VENTAS TOTALES'!$H60</f>
        <v>15600050</v>
      </c>
      <c r="X48" s="252">
        <f>'[76]VENTAS TOTALES'!$F60</f>
        <v>6917</v>
      </c>
      <c r="Y48" s="253">
        <f>'[76]VENTAS TOTALES'!$G60</f>
        <v>2238700</v>
      </c>
      <c r="Z48" s="253">
        <f>'[76]VENTAS TOTALES'!$H60</f>
        <v>13997600</v>
      </c>
      <c r="AA48" s="252">
        <f>'[77]VENTAS TOTALES'!$F60</f>
        <v>6875</v>
      </c>
      <c r="AB48" s="253">
        <f>'[77]VENTAS TOTALES'!$G60</f>
        <v>2098400</v>
      </c>
      <c r="AC48" s="253">
        <f>'[77]VENTAS TOTALES'!$H60</f>
        <v>13785900</v>
      </c>
      <c r="AD48" s="252">
        <f>'[78]VENTAS TOTALES'!$F60</f>
        <v>6520</v>
      </c>
      <c r="AE48" s="253">
        <f>'[78]VENTAS TOTALES'!$G60</f>
        <v>2066150</v>
      </c>
      <c r="AF48" s="253">
        <f>'[78]VENTAS TOTALES'!$H60</f>
        <v>13150150</v>
      </c>
      <c r="AG48" s="252">
        <f>'[79]VENTAS TOTALES'!$F60</f>
        <v>6593</v>
      </c>
      <c r="AH48" s="253">
        <f>'[79]VENTAS TOTALES'!$G60</f>
        <v>1551800</v>
      </c>
      <c r="AI48" s="253">
        <f>'[79]VENTAS TOTALES'!$H60</f>
        <v>12759900</v>
      </c>
      <c r="AJ48" s="252">
        <f>'[80]VENTAS TOTALES'!$F60</f>
        <v>4833</v>
      </c>
      <c r="AK48" s="253">
        <f>'[80]VENTAS TOTALES'!$G60</f>
        <v>1607000</v>
      </c>
      <c r="AL48" s="253">
        <f>'[80]VENTAS TOTALES'!$H60</f>
        <v>9823100</v>
      </c>
      <c r="AM48" s="252">
        <f>'[81]VENTAS TOTALES'!$F60</f>
        <v>1810</v>
      </c>
      <c r="AN48" s="253">
        <f>'[81]VENTAS TOTALES'!$G60</f>
        <v>404400</v>
      </c>
      <c r="AO48" s="253">
        <f>'[81]VENTAS TOTALES'!$H60</f>
        <v>3481400</v>
      </c>
      <c r="AP48" s="252">
        <f>'[82]VENTAS TOTALES'!$F60</f>
        <v>7369</v>
      </c>
      <c r="AQ48" s="253">
        <f>'[82]VENTAS TOTALES'!$G60</f>
        <v>2792600</v>
      </c>
      <c r="AR48" s="253">
        <f>'[82]VENTAS TOTALES'!$H60</f>
        <v>15319900</v>
      </c>
      <c r="AS48" s="252">
        <f>'[83]VENTAS TOTALES'!$F60</f>
        <v>7018</v>
      </c>
      <c r="AT48" s="253">
        <f>'[83]VENTAS TOTALES'!$G60</f>
        <v>3791900</v>
      </c>
      <c r="AU48" s="253">
        <f>'[83]VENTAS TOTALES'!$H60</f>
        <v>15722500</v>
      </c>
      <c r="AV48" s="252">
        <f>'[84]VENTAS TOTALES'!$F60</f>
        <v>6829</v>
      </c>
      <c r="AW48" s="253">
        <f>'[84]VENTAS TOTALES'!$G60</f>
        <v>3072000</v>
      </c>
      <c r="AX48" s="253">
        <f>'[84]VENTAS TOTALES'!$H60</f>
        <v>14681300</v>
      </c>
      <c r="AY48" s="252">
        <f>'[85]VENTAS TOTALES'!$F60</f>
        <v>6883</v>
      </c>
      <c r="AZ48" s="253">
        <f>'[85]VENTAS TOTALES'!$G60</f>
        <v>2341900</v>
      </c>
      <c r="BA48" s="253">
        <f>'[85]VENTAS TOTALES'!$H60</f>
        <v>14043000</v>
      </c>
      <c r="BB48" s="252">
        <f>'[86]VENTAS TOTALES'!$F60</f>
        <v>6596</v>
      </c>
      <c r="BC48" s="253">
        <f>'[86]VENTAS TOTALES'!$G60</f>
        <v>1902650</v>
      </c>
      <c r="BD48" s="253">
        <f>'[86]VENTAS TOTALES'!$H60</f>
        <v>13115850</v>
      </c>
      <c r="BE48" s="252">
        <f>'[87]VENTAS TOTALES'!$F60</f>
        <v>4961</v>
      </c>
      <c r="BF48" s="253">
        <f>'[87]VENTAS TOTALES'!$G60</f>
        <v>1427800</v>
      </c>
      <c r="BG48" s="253">
        <f>'[87]VENTAS TOTALES'!$H60</f>
        <v>9861500</v>
      </c>
      <c r="BH48" s="252">
        <f>'[88]VENTAS TOTALES'!$F60</f>
        <v>1880</v>
      </c>
      <c r="BI48" s="253">
        <f>'[88]VENTAS TOTALES'!$G60</f>
        <v>504600</v>
      </c>
      <c r="BJ48" s="253">
        <f>'[88]VENTAS TOTALES'!$H60</f>
        <v>3700600</v>
      </c>
      <c r="BK48" s="252">
        <f>'[89]VENTAS TOTALES'!$F60</f>
        <v>7419</v>
      </c>
      <c r="BL48" s="253">
        <f>'[89]VENTAS TOTALES'!$G60</f>
        <v>2578900</v>
      </c>
      <c r="BM48" s="253">
        <f>'[89]VENTAS TOTALES'!$H60</f>
        <v>15191200</v>
      </c>
      <c r="BN48" s="252">
        <f>'[90]VENTAS TOTALES'!$F60</f>
        <v>6718</v>
      </c>
      <c r="BO48" s="253">
        <f>'[90]VENTAS TOTALES'!$G60</f>
        <v>2280050</v>
      </c>
      <c r="BP48" s="253">
        <f>'[90]VENTAS TOTALES'!$H60</f>
        <v>13700650</v>
      </c>
      <c r="BQ48" s="252">
        <f>'[91]VENTAS TOTALES'!$F60</f>
        <v>6603</v>
      </c>
      <c r="BR48" s="253">
        <f>'[91]VENTAS TOTALES'!$G60</f>
        <v>1907900</v>
      </c>
      <c r="BS48" s="253">
        <f>'[91]VENTAS TOTALES'!$H60</f>
        <v>13133000</v>
      </c>
      <c r="BT48" s="252">
        <f>'[92]VENTAS TOTALES'!$F60</f>
        <v>6168</v>
      </c>
      <c r="BU48" s="253">
        <f>'[92]VENTAS TOTALES'!$G60</f>
        <v>1905000</v>
      </c>
      <c r="BV48" s="253">
        <f>'[92]VENTAS TOTALES'!$H60</f>
        <v>12390600</v>
      </c>
      <c r="BW48" s="252">
        <f>'[93]VENTAS TOTALES'!$F60</f>
        <v>6364</v>
      </c>
      <c r="BX48" s="253">
        <f>'[93]VENTAS TOTALES'!$G60</f>
        <v>2134200</v>
      </c>
      <c r="BY48" s="253">
        <f>'[93]VENTAS TOTALES'!$H60</f>
        <v>12953000</v>
      </c>
      <c r="BZ48" s="252">
        <f>'[94]VENTAS TOTALES'!$F60</f>
        <v>4991</v>
      </c>
      <c r="CA48" s="253">
        <f>'[94]VENTAS TOTALES'!$G60</f>
        <v>1680700</v>
      </c>
      <c r="CB48" s="253">
        <f>'[94]VENTAS TOTALES'!$H60</f>
        <v>10165400</v>
      </c>
      <c r="CC48" s="252">
        <f>'[95]VENTAS TOTALES'!$F60</f>
        <v>1947</v>
      </c>
      <c r="CD48" s="253">
        <f>'[95]VENTAS TOTALES'!$G60</f>
        <v>372300</v>
      </c>
      <c r="CE48" s="253">
        <f>'[95]VENTAS TOTALES'!$H60</f>
        <v>3682200</v>
      </c>
      <c r="CF48" s="252">
        <f>'[96]VENTAS TOTALES'!$F60</f>
        <v>8463</v>
      </c>
      <c r="CG48" s="253">
        <f>'[96]VENTAS TOTALES'!$G60</f>
        <v>4515100</v>
      </c>
      <c r="CH48" s="253">
        <f>'[96]VENTAS TOTALES'!$H60</f>
        <v>18902200</v>
      </c>
      <c r="CI48" s="252">
        <f>'[97]VENTAS TOTALES'!$F60</f>
        <v>8206</v>
      </c>
      <c r="CJ48" s="253">
        <f>'[97]VENTAS TOTALES'!$G60</f>
        <v>3772200</v>
      </c>
      <c r="CK48" s="253">
        <f>'[97]VENTAS TOTALES'!$H60</f>
        <v>17722400</v>
      </c>
      <c r="CL48" s="252">
        <f>'[98]VENTAS TOTALES'!$F60</f>
        <v>7548</v>
      </c>
      <c r="CM48" s="253">
        <f>'[98]VENTAS TOTALES'!$G60</f>
        <v>3012800</v>
      </c>
      <c r="CN48" s="253">
        <f>'[98]VENTAS TOTALES'!$H60</f>
        <v>15844400</v>
      </c>
      <c r="CO48" s="252">
        <f>'[99]VENTAS TOTALES'!$F60</f>
        <v>7075</v>
      </c>
      <c r="CP48" s="253">
        <f>'[99]VENTAS TOTALES'!$G60</f>
        <v>2664700</v>
      </c>
      <c r="CQ48" s="253">
        <f>'[99]VENTAS TOTALES'!$H60</f>
        <v>14692200</v>
      </c>
      <c r="CR48" s="252">
        <f>'[100]VENTAS TOTALES'!$F60</f>
        <v>6776</v>
      </c>
      <c r="CS48" s="253">
        <f>'[100]VENTAS TOTALES'!$G60</f>
        <v>1916200</v>
      </c>
      <c r="CT48" s="253">
        <f>'[100]VENTAS TOTALES'!$H60</f>
        <v>13435400</v>
      </c>
      <c r="CU48" s="252">
        <f>'[101]VENTAS TOTALES'!$F60</f>
        <v>5350</v>
      </c>
      <c r="CV48" s="253">
        <f>'[101]VENTAS TOTALES'!$G60</f>
        <v>1496900</v>
      </c>
      <c r="CW48" s="253">
        <f>'[101]VENTAS TOTALES'!$H60</f>
        <v>10591900</v>
      </c>
      <c r="CX48" s="252">
        <f>'[102]VENTAS TOTALES'!$F60</f>
        <v>1982</v>
      </c>
      <c r="CY48" s="253">
        <f>'[102]VENTAS TOTALES'!$G60</f>
        <v>342700</v>
      </c>
      <c r="CZ48" s="253">
        <f>'[102]VENTAS TOTALES'!$H60</f>
        <v>3712100</v>
      </c>
    </row>
    <row r="49" spans="1:104" x14ac:dyDescent="0.2">
      <c r="A49" s="443"/>
      <c r="B49" s="45" t="s">
        <v>58</v>
      </c>
      <c r="C49" s="252">
        <f>'[69]VENTAS TOTALES'!$F61</f>
        <v>5126</v>
      </c>
      <c r="D49" s="253">
        <f>'[69]VENTAS TOTALES'!$G61</f>
        <v>2432100</v>
      </c>
      <c r="E49" s="253">
        <f>'[69]VENTAS TOTALES'!$H61</f>
        <v>11146300</v>
      </c>
      <c r="F49" s="252">
        <f>'[70]VENTAS TOTALES'!$F61</f>
        <v>5062</v>
      </c>
      <c r="G49" s="253">
        <f>'[70]VENTAS TOTALES'!$G61</f>
        <v>1921300</v>
      </c>
      <c r="H49" s="253">
        <f>'[70]VENTAS TOTALES'!$H61</f>
        <v>10526700</v>
      </c>
      <c r="I49" s="252">
        <f>'[71]VENTAS TOTALES'!$F61</f>
        <v>4715</v>
      </c>
      <c r="J49" s="253">
        <f>'[71]VENTAS TOTALES'!$G61</f>
        <v>1342650</v>
      </c>
      <c r="K49" s="253">
        <f>'[71]VENTAS TOTALES'!$H61</f>
        <v>9358150</v>
      </c>
      <c r="L49" s="252">
        <f>'[72]VENTAS TOTALES'!$F61</f>
        <v>4950</v>
      </c>
      <c r="M49" s="253">
        <f>'[72]VENTAS TOTALES'!$G61</f>
        <v>1241250</v>
      </c>
      <c r="N49" s="253">
        <f>'[72]VENTAS TOTALES'!$H61</f>
        <v>9656250</v>
      </c>
      <c r="O49" s="252">
        <f>'[73]VENTAS TOTALES'!$F61</f>
        <v>3300</v>
      </c>
      <c r="P49" s="253">
        <f>'[73]VENTAS TOTALES'!$G61</f>
        <v>886600</v>
      </c>
      <c r="Q49" s="253">
        <f>'[73]VENTAS TOTALES'!$H61</f>
        <v>6496600</v>
      </c>
      <c r="R49" s="252">
        <f>'[74]VENTAS TOTALES'!$F61</f>
        <v>1398</v>
      </c>
      <c r="S49" s="253">
        <f>'[74]VENTAS TOTALES'!$G61</f>
        <v>320000</v>
      </c>
      <c r="T49" s="253">
        <f>'[74]VENTAS TOTALES'!$H61</f>
        <v>2696600</v>
      </c>
      <c r="U49" s="252">
        <f>'[75]VENTAS TOTALES'!$F61</f>
        <v>5287</v>
      </c>
      <c r="V49" s="253">
        <f>'[75]VENTAS TOTALES'!$G61</f>
        <v>2095700</v>
      </c>
      <c r="W49" s="253">
        <f>'[75]VENTAS TOTALES'!$H61</f>
        <v>11083600</v>
      </c>
      <c r="X49" s="252">
        <f>'[76]VENTAS TOTALES'!$F61</f>
        <v>5059</v>
      </c>
      <c r="Y49" s="253">
        <f>'[76]VENTAS TOTALES'!$G61</f>
        <v>1526300</v>
      </c>
      <c r="Z49" s="253">
        <f>'[76]VENTAS TOTALES'!$H61</f>
        <v>10126600</v>
      </c>
      <c r="AA49" s="252">
        <f>'[77]VENTAS TOTALES'!$F61</f>
        <v>4551</v>
      </c>
      <c r="AB49" s="253">
        <f>'[77]VENTAS TOTALES'!$G61</f>
        <v>1415200</v>
      </c>
      <c r="AC49" s="253">
        <f>'[77]VENTAS TOTALES'!$H61</f>
        <v>9151900</v>
      </c>
      <c r="AD49" s="252">
        <f>'[78]VENTAS TOTALES'!$F61</f>
        <v>4507</v>
      </c>
      <c r="AE49" s="253">
        <f>'[78]VENTAS TOTALES'!$G61</f>
        <v>1020900</v>
      </c>
      <c r="AF49" s="253">
        <f>'[78]VENTAS TOTALES'!$H61</f>
        <v>8682800</v>
      </c>
      <c r="AG49" s="252">
        <f>'[79]VENTAS TOTALES'!$F61</f>
        <v>4612</v>
      </c>
      <c r="AH49" s="253">
        <f>'[79]VENTAS TOTALES'!$G61</f>
        <v>1226300</v>
      </c>
      <c r="AI49" s="253">
        <f>'[79]VENTAS TOTALES'!$H61</f>
        <v>9066700</v>
      </c>
      <c r="AJ49" s="252">
        <f>'[80]VENTAS TOTALES'!$F61</f>
        <v>3750</v>
      </c>
      <c r="AK49" s="253">
        <f>'[80]VENTAS TOTALES'!$G61</f>
        <v>827400</v>
      </c>
      <c r="AL49" s="253">
        <f>'[80]VENTAS TOTALES'!$H61</f>
        <v>7202400</v>
      </c>
      <c r="AM49" s="252">
        <f>'[81]VENTAS TOTALES'!$F61</f>
        <v>1401</v>
      </c>
      <c r="AN49" s="253">
        <f>'[81]VENTAS TOTALES'!$G61</f>
        <v>241600</v>
      </c>
      <c r="AO49" s="253">
        <f>'[81]VENTAS TOTALES'!$H61</f>
        <v>2623300</v>
      </c>
      <c r="AP49" s="252">
        <f>'[82]VENTAS TOTALES'!$F61</f>
        <v>5877</v>
      </c>
      <c r="AQ49" s="253">
        <f>'[82]VENTAS TOTALES'!$G61</f>
        <v>2201350</v>
      </c>
      <c r="AR49" s="253">
        <f>'[82]VENTAS TOTALES'!$H61</f>
        <v>12192250</v>
      </c>
      <c r="AS49" s="252">
        <f>'[83]VENTAS TOTALES'!$F61</f>
        <v>4960</v>
      </c>
      <c r="AT49" s="253">
        <f>'[83]VENTAS TOTALES'!$G61</f>
        <v>2378350</v>
      </c>
      <c r="AU49" s="253">
        <f>'[83]VENTAS TOTALES'!$H61</f>
        <v>10810350</v>
      </c>
      <c r="AV49" s="252">
        <f>'[84]VENTAS TOTALES'!$F61</f>
        <v>4964</v>
      </c>
      <c r="AW49" s="253">
        <f>'[84]VENTAS TOTALES'!$G61</f>
        <v>2234250</v>
      </c>
      <c r="AX49" s="253">
        <f>'[84]VENTAS TOTALES'!$H61</f>
        <v>10673050</v>
      </c>
      <c r="AY49" s="252">
        <f>'[85]VENTAS TOTALES'!$F61</f>
        <v>4771</v>
      </c>
      <c r="AZ49" s="253">
        <f>'[85]VENTAS TOTALES'!$G61</f>
        <v>1766000</v>
      </c>
      <c r="BA49" s="253">
        <f>'[85]VENTAS TOTALES'!$H61</f>
        <v>9876700</v>
      </c>
      <c r="BB49" s="252">
        <f>'[86]VENTAS TOTALES'!$F61</f>
        <v>4795</v>
      </c>
      <c r="BC49" s="253">
        <f>'[86]VENTAS TOTALES'!$G61</f>
        <v>1553950</v>
      </c>
      <c r="BD49" s="253">
        <f>'[86]VENTAS TOTALES'!$H61</f>
        <v>9705450</v>
      </c>
      <c r="BE49" s="252">
        <f>'[87]VENTAS TOTALES'!$F61</f>
        <v>3296</v>
      </c>
      <c r="BF49" s="253">
        <f>'[87]VENTAS TOTALES'!$G61</f>
        <v>854500</v>
      </c>
      <c r="BG49" s="253">
        <f>'[87]VENTAS TOTALES'!$H61</f>
        <v>6457700</v>
      </c>
      <c r="BH49" s="252">
        <f>'[88]VENTAS TOTALES'!$F61</f>
        <v>1441</v>
      </c>
      <c r="BI49" s="253">
        <f>'[88]VENTAS TOTALES'!$G61</f>
        <v>235500</v>
      </c>
      <c r="BJ49" s="253">
        <f>'[88]VENTAS TOTALES'!$H61</f>
        <v>2685200</v>
      </c>
      <c r="BK49" s="252">
        <f>'[89]VENTAS TOTALES'!$F61</f>
        <v>5366</v>
      </c>
      <c r="BL49" s="253">
        <f>'[89]VENTAS TOTALES'!$G61</f>
        <v>1959700</v>
      </c>
      <c r="BM49" s="253">
        <f>'[89]VENTAS TOTALES'!$H61</f>
        <v>11081900</v>
      </c>
      <c r="BN49" s="252">
        <f>'[90]VENTAS TOTALES'!$F61</f>
        <v>5255</v>
      </c>
      <c r="BO49" s="253">
        <f>'[90]VENTAS TOTALES'!$G61</f>
        <v>1621600</v>
      </c>
      <c r="BP49" s="253">
        <f>'[90]VENTAS TOTALES'!$H61</f>
        <v>10555100</v>
      </c>
      <c r="BQ49" s="252">
        <f>'[91]VENTAS TOTALES'!$F61</f>
        <v>4872</v>
      </c>
      <c r="BR49" s="253">
        <f>'[91]VENTAS TOTALES'!$G61</f>
        <v>1734700</v>
      </c>
      <c r="BS49" s="253">
        <f>'[91]VENTAS TOTALES'!$H61</f>
        <v>10017100</v>
      </c>
      <c r="BT49" s="252">
        <f>'[92]VENTAS TOTALES'!$F61</f>
        <v>4480</v>
      </c>
      <c r="BU49" s="253">
        <f>'[92]VENTAS TOTALES'!$G61</f>
        <v>1335600</v>
      </c>
      <c r="BV49" s="253">
        <f>'[92]VENTAS TOTALES'!$H61</f>
        <v>8951600</v>
      </c>
      <c r="BW49" s="252">
        <f>'[93]VENTAS TOTALES'!$F61</f>
        <v>4523</v>
      </c>
      <c r="BX49" s="253">
        <f>'[93]VENTAS TOTALES'!$G61</f>
        <v>1381600</v>
      </c>
      <c r="BY49" s="253">
        <f>'[93]VENTAS TOTALES'!$H61</f>
        <v>9070700</v>
      </c>
      <c r="BZ49" s="252">
        <f>'[94]VENTAS TOTALES'!$F61</f>
        <v>3444</v>
      </c>
      <c r="CA49" s="253">
        <f>'[94]VENTAS TOTALES'!$G61</f>
        <v>777700</v>
      </c>
      <c r="CB49" s="253">
        <f>'[94]VENTAS TOTALES'!$H61</f>
        <v>6632500</v>
      </c>
      <c r="CC49" s="252">
        <f>'[95]VENTAS TOTALES'!$F61</f>
        <v>1543</v>
      </c>
      <c r="CD49" s="253">
        <f>'[95]VENTAS TOTALES'!$G61</f>
        <v>317400</v>
      </c>
      <c r="CE49" s="253">
        <f>'[95]VENTAS TOTALES'!$H61</f>
        <v>2940500</v>
      </c>
      <c r="CF49" s="252">
        <f>'[96]VENTAS TOTALES'!$F61</f>
        <v>5820</v>
      </c>
      <c r="CG49" s="253">
        <f>'[96]VENTAS TOTALES'!$G61</f>
        <v>2669200</v>
      </c>
      <c r="CH49" s="253">
        <f>'[96]VENTAS TOTALES'!$H61</f>
        <v>12563200</v>
      </c>
      <c r="CI49" s="252">
        <f>'[97]VENTAS TOTALES'!$F61</f>
        <v>5375</v>
      </c>
      <c r="CJ49" s="253">
        <f>'[97]VENTAS TOTALES'!$G61</f>
        <v>2766600</v>
      </c>
      <c r="CK49" s="253">
        <f>'[97]VENTAS TOTALES'!$H61</f>
        <v>11904100</v>
      </c>
      <c r="CL49" s="252">
        <f>'[98]VENTAS TOTALES'!$F61</f>
        <v>5012</v>
      </c>
      <c r="CM49" s="253">
        <f>'[98]VENTAS TOTALES'!$G61</f>
        <v>2003350</v>
      </c>
      <c r="CN49" s="253">
        <f>'[98]VENTAS TOTALES'!$H61</f>
        <v>10523750</v>
      </c>
      <c r="CO49" s="252">
        <f>'[99]VENTAS TOTALES'!$F61</f>
        <v>5440</v>
      </c>
      <c r="CP49" s="253">
        <f>'[99]VENTAS TOTALES'!$G61</f>
        <v>2018300</v>
      </c>
      <c r="CQ49" s="253">
        <f>'[99]VENTAS TOTALES'!$H61</f>
        <v>11266300</v>
      </c>
      <c r="CR49" s="252">
        <f>'[100]VENTAS TOTALES'!$F61</f>
        <v>4747</v>
      </c>
      <c r="CS49" s="253">
        <f>'[100]VENTAS TOTALES'!$G61</f>
        <v>1280800</v>
      </c>
      <c r="CT49" s="253">
        <f>'[100]VENTAS TOTALES'!$H61</f>
        <v>9350700</v>
      </c>
      <c r="CU49" s="252">
        <f>'[101]VENTAS TOTALES'!$F61</f>
        <v>3407</v>
      </c>
      <c r="CV49" s="253">
        <f>'[101]VENTAS TOTALES'!$G61</f>
        <v>804500</v>
      </c>
      <c r="CW49" s="253">
        <f>'[101]VENTAS TOTALES'!$H61</f>
        <v>6596400</v>
      </c>
      <c r="CX49" s="252">
        <f>'[102]VENTAS TOTALES'!$F61</f>
        <v>1456</v>
      </c>
      <c r="CY49" s="253">
        <f>'[102]VENTAS TOTALES'!$G61</f>
        <v>259950</v>
      </c>
      <c r="CZ49" s="253">
        <f>'[102]VENTAS TOTALES'!$H61</f>
        <v>2735150</v>
      </c>
    </row>
    <row r="50" spans="1:104" x14ac:dyDescent="0.2">
      <c r="A50" s="443"/>
      <c r="B50" s="45" t="s">
        <v>29</v>
      </c>
      <c r="C50" s="252">
        <f>'[69]VENTAS TOTALES'!$F62</f>
        <v>15080</v>
      </c>
      <c r="D50" s="253">
        <f>'[69]VENTAS TOTALES'!$G62</f>
        <v>6652500</v>
      </c>
      <c r="E50" s="253">
        <f>'[69]VENTAS TOTALES'!$H62</f>
        <v>32288500</v>
      </c>
      <c r="F50" s="252">
        <f>'[70]VENTAS TOTALES'!$F62</f>
        <v>13002</v>
      </c>
      <c r="G50" s="253">
        <f>'[70]VENTAS TOTALES'!$G62</f>
        <v>5634100</v>
      </c>
      <c r="H50" s="253">
        <f>'[70]VENTAS TOTALES'!$H62</f>
        <v>27737500</v>
      </c>
      <c r="I50" s="252">
        <f>'[71]VENTAS TOTALES'!$F62</f>
        <v>11824</v>
      </c>
      <c r="J50" s="253">
        <f>'[71]VENTAS TOTALES'!$G62</f>
        <v>3722950</v>
      </c>
      <c r="K50" s="253">
        <f>'[71]VENTAS TOTALES'!$H62</f>
        <v>23823750</v>
      </c>
      <c r="L50" s="252">
        <f>'[72]VENTAS TOTALES'!$F62</f>
        <v>11606</v>
      </c>
      <c r="M50" s="253">
        <f>'[72]VENTAS TOTALES'!$G62</f>
        <v>3107800</v>
      </c>
      <c r="N50" s="253">
        <f>'[72]VENTAS TOTALES'!$H62</f>
        <v>22838000</v>
      </c>
      <c r="O50" s="252">
        <f>'[73]VENTAS TOTALES'!$F62</f>
        <v>8124</v>
      </c>
      <c r="P50" s="253">
        <f>'[73]VENTAS TOTALES'!$G62</f>
        <v>2558900</v>
      </c>
      <c r="Q50" s="253">
        <f>'[73]VENTAS TOTALES'!$H62</f>
        <v>16369700</v>
      </c>
      <c r="R50" s="252">
        <f>'[74]VENTAS TOTALES'!$F62</f>
        <v>3246</v>
      </c>
      <c r="S50" s="253">
        <f>'[74]VENTAS TOTALES'!$G62</f>
        <v>1042600</v>
      </c>
      <c r="T50" s="253">
        <f>'[74]VENTAS TOTALES'!$H62</f>
        <v>6560800</v>
      </c>
      <c r="U50" s="252">
        <f>'[75]VENTAS TOTALES'!$F62</f>
        <v>13417</v>
      </c>
      <c r="V50" s="253">
        <f>'[75]VENTAS TOTALES'!$G62</f>
        <v>4893050</v>
      </c>
      <c r="W50" s="253">
        <f>'[75]VENTAS TOTALES'!$H62</f>
        <v>27701950</v>
      </c>
      <c r="X50" s="252">
        <f>'[76]VENTAS TOTALES'!$F62</f>
        <v>12469</v>
      </c>
      <c r="Y50" s="253">
        <f>'[76]VENTAS TOTALES'!$G62</f>
        <v>3516400</v>
      </c>
      <c r="Z50" s="253">
        <f>'[76]VENTAS TOTALES'!$H62</f>
        <v>24713700</v>
      </c>
      <c r="AA50" s="252">
        <f>'[77]VENTAS TOTALES'!$F62</f>
        <v>11125</v>
      </c>
      <c r="AB50" s="253">
        <f>'[77]VENTAS TOTALES'!$G62</f>
        <v>3497300</v>
      </c>
      <c r="AC50" s="253">
        <f>'[77]VENTAS TOTALES'!$H62</f>
        <v>22409800</v>
      </c>
      <c r="AD50" s="252">
        <f>'[78]VENTAS TOTALES'!$F62</f>
        <v>10987</v>
      </c>
      <c r="AE50" s="253">
        <f>'[78]VENTAS TOTALES'!$G62</f>
        <v>3592800</v>
      </c>
      <c r="AF50" s="253">
        <f>'[78]VENTAS TOTALES'!$H62</f>
        <v>22270700</v>
      </c>
      <c r="AG50" s="252">
        <f>'[79]VENTAS TOTALES'!$F62</f>
        <v>11094</v>
      </c>
      <c r="AH50" s="253">
        <f>'[79]VENTAS TOTALES'!$G62</f>
        <v>2855200</v>
      </c>
      <c r="AI50" s="253">
        <f>'[79]VENTAS TOTALES'!$H62</f>
        <v>21715000</v>
      </c>
      <c r="AJ50" s="252">
        <f>'[80]VENTAS TOTALES'!$F62</f>
        <v>8742</v>
      </c>
      <c r="AK50" s="253">
        <f>'[80]VENTAS TOTALES'!$G62</f>
        <v>2904650</v>
      </c>
      <c r="AL50" s="253">
        <f>'[80]VENTAS TOTALES'!$H62</f>
        <v>17766050</v>
      </c>
      <c r="AM50" s="252">
        <f>'[81]VENTAS TOTALES'!$F62</f>
        <v>3040</v>
      </c>
      <c r="AN50" s="253">
        <f>'[81]VENTAS TOTALES'!$G62</f>
        <v>831300</v>
      </c>
      <c r="AO50" s="253">
        <f>'[81]VENTAS TOTALES'!$H62</f>
        <v>5999300</v>
      </c>
      <c r="AP50" s="252">
        <f>'[82]VENTAS TOTALES'!$F62</f>
        <v>13536</v>
      </c>
      <c r="AQ50" s="253">
        <f>'[82]VENTAS TOTALES'!$G62</f>
        <v>4476350</v>
      </c>
      <c r="AR50" s="253">
        <f>'[82]VENTAS TOTALES'!$H62</f>
        <v>27487550</v>
      </c>
      <c r="AS50" s="252">
        <f>'[83]VENTAS TOTALES'!$F62</f>
        <v>12692</v>
      </c>
      <c r="AT50" s="253">
        <f>'[83]VENTAS TOTALES'!$G62</f>
        <v>5626100</v>
      </c>
      <c r="AU50" s="253">
        <f>'[83]VENTAS TOTALES'!$H62</f>
        <v>27202500</v>
      </c>
      <c r="AV50" s="252">
        <f>'[84]VENTAS TOTALES'!$F62</f>
        <v>12043</v>
      </c>
      <c r="AW50" s="253">
        <f>'[84]VENTAS TOTALES'!$G62</f>
        <v>4846300</v>
      </c>
      <c r="AX50" s="253">
        <f>'[84]VENTAS TOTALES'!$H62</f>
        <v>25319400</v>
      </c>
      <c r="AY50" s="252">
        <f>'[85]VENTAS TOTALES'!$F62</f>
        <v>11816</v>
      </c>
      <c r="AZ50" s="253">
        <f>'[85]VENTAS TOTALES'!$G62</f>
        <v>3917000</v>
      </c>
      <c r="BA50" s="253">
        <f>'[85]VENTAS TOTALES'!$H62</f>
        <v>24004200</v>
      </c>
      <c r="BB50" s="252">
        <f>'[86]VENTAS TOTALES'!$F62</f>
        <v>11455</v>
      </c>
      <c r="BC50" s="253">
        <f>'[86]VENTAS TOTALES'!$G62</f>
        <v>2929300</v>
      </c>
      <c r="BD50" s="253">
        <f>'[86]VENTAS TOTALES'!$H62</f>
        <v>22402800</v>
      </c>
      <c r="BE50" s="252">
        <f>'[87]VENTAS TOTALES'!$F62</f>
        <v>8249</v>
      </c>
      <c r="BF50" s="253">
        <f>'[87]VENTAS TOTALES'!$G62</f>
        <v>2116000</v>
      </c>
      <c r="BG50" s="253">
        <f>'[87]VENTAS TOTALES'!$H62</f>
        <v>16139300</v>
      </c>
      <c r="BH50" s="252">
        <f>'[88]VENTAS TOTALES'!$F62</f>
        <v>3180</v>
      </c>
      <c r="BI50" s="253">
        <f>'[88]VENTAS TOTALES'!$G62</f>
        <v>860950</v>
      </c>
      <c r="BJ50" s="253">
        <f>'[88]VENTAS TOTALES'!$H62</f>
        <v>6266950</v>
      </c>
      <c r="BK50" s="252">
        <f>'[89]VENTAS TOTALES'!$F62</f>
        <v>12955</v>
      </c>
      <c r="BL50" s="253">
        <f>'[89]VENTAS TOTALES'!$G62</f>
        <v>4423200</v>
      </c>
      <c r="BM50" s="253">
        <f>'[89]VENTAS TOTALES'!$H62</f>
        <v>26446700</v>
      </c>
      <c r="BN50" s="252">
        <f>'[90]VENTAS TOTALES'!$F62</f>
        <v>12360</v>
      </c>
      <c r="BO50" s="253">
        <f>'[90]VENTAS TOTALES'!$G62</f>
        <v>3479100</v>
      </c>
      <c r="BP50" s="253">
        <f>'[90]VENTAS TOTALES'!$H62</f>
        <v>24491100</v>
      </c>
      <c r="BQ50" s="252">
        <f>'[91]VENTAS TOTALES'!$F62</f>
        <v>11244</v>
      </c>
      <c r="BR50" s="253">
        <f>'[91]VENTAS TOTALES'!$G62</f>
        <v>3566500</v>
      </c>
      <c r="BS50" s="253">
        <f>'[91]VENTAS TOTALES'!$H62</f>
        <v>22681300</v>
      </c>
      <c r="BT50" s="252">
        <f>'[92]VENTAS TOTALES'!$F62</f>
        <v>10667</v>
      </c>
      <c r="BU50" s="253">
        <f>'[92]VENTAS TOTALES'!$G62</f>
        <v>3238350</v>
      </c>
      <c r="BV50" s="253">
        <f>'[92]VENTAS TOTALES'!$H62</f>
        <v>21372250</v>
      </c>
      <c r="BW50" s="252">
        <f>'[93]VENTAS TOTALES'!$F62</f>
        <v>11521</v>
      </c>
      <c r="BX50" s="253">
        <f>'[93]VENTAS TOTALES'!$G62</f>
        <v>3863900</v>
      </c>
      <c r="BY50" s="253">
        <f>'[93]VENTAS TOTALES'!$H62</f>
        <v>23449600</v>
      </c>
      <c r="BZ50" s="252">
        <f>'[94]VENTAS TOTALES'!$F62</f>
        <v>9034</v>
      </c>
      <c r="CA50" s="253">
        <f>'[94]VENTAS TOTALES'!$G62</f>
        <v>2644150</v>
      </c>
      <c r="CB50" s="253">
        <f>'[94]VENTAS TOTALES'!$H62</f>
        <v>18001950</v>
      </c>
      <c r="CC50" s="252">
        <f>'[95]VENTAS TOTALES'!$F62</f>
        <v>3218</v>
      </c>
      <c r="CD50" s="253">
        <f>'[95]VENTAS TOTALES'!$G62</f>
        <v>754700</v>
      </c>
      <c r="CE50" s="253">
        <f>'[95]VENTAS TOTALES'!$H62</f>
        <v>6225300</v>
      </c>
      <c r="CF50" s="252">
        <f>'[96]VENTAS TOTALES'!$F62</f>
        <v>14895</v>
      </c>
      <c r="CG50" s="253">
        <f>'[96]VENTAS TOTALES'!$G62</f>
        <v>7129750</v>
      </c>
      <c r="CH50" s="253">
        <f>'[96]VENTAS TOTALES'!$H62</f>
        <v>32451250</v>
      </c>
      <c r="CI50" s="252">
        <f>'[97]VENTAS TOTALES'!$F62</f>
        <v>13600</v>
      </c>
      <c r="CJ50" s="253">
        <f>'[97]VENTAS TOTALES'!$G62</f>
        <v>5787300</v>
      </c>
      <c r="CK50" s="253">
        <f>'[97]VENTAS TOTALES'!$H62</f>
        <v>28907300</v>
      </c>
      <c r="CL50" s="252">
        <f>'[98]VENTAS TOTALES'!$F62</f>
        <v>12606</v>
      </c>
      <c r="CM50" s="253">
        <f>'[98]VENTAS TOTALES'!$G62</f>
        <v>4878650</v>
      </c>
      <c r="CN50" s="253">
        <f>'[98]VENTAS TOTALES'!$H62</f>
        <v>26308850</v>
      </c>
      <c r="CO50" s="252">
        <f>'[99]VENTAS TOTALES'!$F62</f>
        <v>11753</v>
      </c>
      <c r="CP50" s="253">
        <f>'[99]VENTAS TOTALES'!$G62</f>
        <v>4200800</v>
      </c>
      <c r="CQ50" s="253">
        <f>'[99]VENTAS TOTALES'!$H62</f>
        <v>24180900</v>
      </c>
      <c r="CR50" s="252">
        <f>'[100]VENTAS TOTALES'!$F62</f>
        <v>11870</v>
      </c>
      <c r="CS50" s="253">
        <f>'[100]VENTAS TOTALES'!$G62</f>
        <v>3373500</v>
      </c>
      <c r="CT50" s="253">
        <f>'[100]VENTAS TOTALES'!$H62</f>
        <v>23552500</v>
      </c>
      <c r="CU50" s="252">
        <f>'[101]VENTAS TOTALES'!$F62</f>
        <v>9132</v>
      </c>
      <c r="CV50" s="253">
        <f>'[101]VENTAS TOTALES'!$G62</f>
        <v>2720550</v>
      </c>
      <c r="CW50" s="253">
        <f>'[101]VENTAS TOTALES'!$H62</f>
        <v>18244950</v>
      </c>
      <c r="CX50" s="252">
        <f>'[102]VENTAS TOTALES'!$F62</f>
        <v>3484</v>
      </c>
      <c r="CY50" s="253">
        <f>'[102]VENTAS TOTALES'!$G62</f>
        <v>770200</v>
      </c>
      <c r="CZ50" s="253">
        <f>'[102]VENTAS TOTALES'!$H62</f>
        <v>6693000</v>
      </c>
    </row>
    <row r="51" spans="1:104" x14ac:dyDescent="0.2">
      <c r="A51" s="443"/>
      <c r="B51" s="45" t="s">
        <v>30</v>
      </c>
      <c r="C51" s="252">
        <f>'[69]VENTAS TOTALES'!$F63</f>
        <v>11757</v>
      </c>
      <c r="D51" s="253">
        <f>'[69]VENTAS TOTALES'!$G63</f>
        <v>5237450</v>
      </c>
      <c r="E51" s="253">
        <f>'[69]VENTAS TOTALES'!$H63</f>
        <v>25224350</v>
      </c>
      <c r="F51" s="252">
        <f>'[70]VENTAS TOTALES'!$F63</f>
        <v>11620</v>
      </c>
      <c r="G51" s="253">
        <f>'[70]VENTAS TOTALES'!$G63</f>
        <v>5185550</v>
      </c>
      <c r="H51" s="253">
        <f>'[70]VENTAS TOTALES'!$H63</f>
        <v>24939550</v>
      </c>
      <c r="I51" s="252">
        <f>'[71]VENTAS TOTALES'!$F63</f>
        <v>9814</v>
      </c>
      <c r="J51" s="253">
        <f>'[71]VENTAS TOTALES'!$G63</f>
        <v>3127500</v>
      </c>
      <c r="K51" s="253">
        <f>'[71]VENTAS TOTALES'!$H63</f>
        <v>19811300</v>
      </c>
      <c r="L51" s="252">
        <f>'[72]VENTAS TOTALES'!$F63</f>
        <v>9586</v>
      </c>
      <c r="M51" s="253">
        <f>'[72]VENTAS TOTALES'!$G63</f>
        <v>2600400</v>
      </c>
      <c r="N51" s="253">
        <f>'[72]VENTAS TOTALES'!$H63</f>
        <v>18896600</v>
      </c>
      <c r="O51" s="252">
        <f>'[73]VENTAS TOTALES'!$F63</f>
        <v>6430</v>
      </c>
      <c r="P51" s="253">
        <f>'[73]VENTAS TOTALES'!$G63</f>
        <v>2220400</v>
      </c>
      <c r="Q51" s="253">
        <f>'[73]VENTAS TOTALES'!$H63</f>
        <v>13151400</v>
      </c>
      <c r="R51" s="252">
        <f>'[74]VENTAS TOTALES'!$F63</f>
        <v>2290</v>
      </c>
      <c r="S51" s="253">
        <f>'[74]VENTAS TOTALES'!$G63</f>
        <v>690700</v>
      </c>
      <c r="T51" s="253">
        <f>'[74]VENTAS TOTALES'!$H63</f>
        <v>4583700</v>
      </c>
      <c r="U51" s="252">
        <f>'[75]VENTAS TOTALES'!$F63</f>
        <v>11413</v>
      </c>
      <c r="V51" s="253">
        <f>'[75]VENTAS TOTALES'!$G63</f>
        <v>4725850</v>
      </c>
      <c r="W51" s="253">
        <f>'[75]VENTAS TOTALES'!$H63</f>
        <v>24127950</v>
      </c>
      <c r="X51" s="252">
        <f>'[76]VENTAS TOTALES'!$F63</f>
        <v>10492</v>
      </c>
      <c r="Y51" s="253">
        <f>'[76]VENTAS TOTALES'!$G63</f>
        <v>3505250</v>
      </c>
      <c r="Z51" s="253">
        <f>'[76]VENTAS TOTALES'!$H63</f>
        <v>21341650</v>
      </c>
      <c r="AA51" s="252">
        <f>'[77]VENTAS TOTALES'!$F63</f>
        <v>9284</v>
      </c>
      <c r="AB51" s="253">
        <f>'[77]VENTAS TOTALES'!$G63</f>
        <v>2841900</v>
      </c>
      <c r="AC51" s="253">
        <f>'[77]VENTAS TOTALES'!$H63</f>
        <v>18624700</v>
      </c>
      <c r="AD51" s="252">
        <f>'[78]VENTAS TOTALES'!$F63</f>
        <v>9800</v>
      </c>
      <c r="AE51" s="253">
        <f>'[78]VENTAS TOTALES'!$G63</f>
        <v>2996800</v>
      </c>
      <c r="AF51" s="253">
        <f>'[78]VENTAS TOTALES'!$H63</f>
        <v>19656800</v>
      </c>
      <c r="AG51" s="252">
        <f>'[79]VENTAS TOTALES'!$F63</f>
        <v>9730</v>
      </c>
      <c r="AH51" s="253">
        <f>'[79]VENTAS TOTALES'!$G63</f>
        <v>3082600</v>
      </c>
      <c r="AI51" s="253">
        <f>'[79]VENTAS TOTALES'!$H63</f>
        <v>19623600</v>
      </c>
      <c r="AJ51" s="252">
        <f>'[80]VENTAS TOTALES'!$F63</f>
        <v>6515</v>
      </c>
      <c r="AK51" s="253">
        <f>'[80]VENTAS TOTALES'!$G63</f>
        <v>2213900</v>
      </c>
      <c r="AL51" s="253">
        <f>'[80]VENTAS TOTALES'!$H63</f>
        <v>13289400</v>
      </c>
      <c r="AM51" s="252">
        <f>'[81]VENTAS TOTALES'!$F63</f>
        <v>2340</v>
      </c>
      <c r="AN51" s="253">
        <f>'[81]VENTAS TOTALES'!$G63</f>
        <v>648300</v>
      </c>
      <c r="AO51" s="253">
        <f>'[81]VENTAS TOTALES'!$H63</f>
        <v>4626300</v>
      </c>
      <c r="AP51" s="252">
        <f>'[82]VENTAS TOTALES'!$F63</f>
        <v>11488</v>
      </c>
      <c r="AQ51" s="253">
        <f>'[82]VENTAS TOTALES'!$G63</f>
        <v>4863700</v>
      </c>
      <c r="AR51" s="253">
        <f>'[82]VENTAS TOTALES'!$H63</f>
        <v>24393300</v>
      </c>
      <c r="AS51" s="252">
        <f>'[83]VENTAS TOTALES'!$F63</f>
        <v>10750</v>
      </c>
      <c r="AT51" s="253">
        <f>'[83]VENTAS TOTALES'!$G63</f>
        <v>5373700</v>
      </c>
      <c r="AU51" s="253">
        <f>'[83]VENTAS TOTALES'!$H63</f>
        <v>23648700</v>
      </c>
      <c r="AV51" s="252">
        <f>'[84]VENTAS TOTALES'!$F63</f>
        <v>10019</v>
      </c>
      <c r="AW51" s="253">
        <f>'[84]VENTAS TOTALES'!$G63</f>
        <v>4451900</v>
      </c>
      <c r="AX51" s="253">
        <f>'[84]VENTAS TOTALES'!$H63</f>
        <v>21484200</v>
      </c>
      <c r="AY51" s="252">
        <f>'[85]VENTAS TOTALES'!$F63</f>
        <v>10384</v>
      </c>
      <c r="AZ51" s="253">
        <f>'[85]VENTAS TOTALES'!$G63</f>
        <v>4510300</v>
      </c>
      <c r="BA51" s="253">
        <f>'[85]VENTAS TOTALES'!$H63</f>
        <v>22163100</v>
      </c>
      <c r="BB51" s="252">
        <f>'[86]VENTAS TOTALES'!$F63</f>
        <v>9590</v>
      </c>
      <c r="BC51" s="253">
        <f>'[86]VENTAS TOTALES'!$G63</f>
        <v>2931150</v>
      </c>
      <c r="BD51" s="253">
        <f>'[86]VENTAS TOTALES'!$H63</f>
        <v>19234150</v>
      </c>
      <c r="BE51" s="252">
        <f>'[87]VENTAS TOTALES'!$F63</f>
        <v>6256</v>
      </c>
      <c r="BF51" s="253">
        <f>'[87]VENTAS TOTALES'!$G63</f>
        <v>1928550</v>
      </c>
      <c r="BG51" s="253">
        <f>'[87]VENTAS TOTALES'!$H63</f>
        <v>12563750</v>
      </c>
      <c r="BH51" s="252">
        <f>'[88]VENTAS TOTALES'!$F63</f>
        <v>2178</v>
      </c>
      <c r="BI51" s="253">
        <f>'[88]VENTAS TOTALES'!$G63</f>
        <v>560300</v>
      </c>
      <c r="BJ51" s="253">
        <f>'[88]VENTAS TOTALES'!$H63</f>
        <v>4262900</v>
      </c>
      <c r="BK51" s="252">
        <f>'[89]VENTAS TOTALES'!$F63</f>
        <v>11204</v>
      </c>
      <c r="BL51" s="253">
        <f>'[89]VENTAS TOTALES'!$G63</f>
        <v>4131050</v>
      </c>
      <c r="BM51" s="253">
        <f>'[89]VENTAS TOTALES'!$H63</f>
        <v>23177850</v>
      </c>
      <c r="BN51" s="252">
        <f>'[90]VENTAS TOTALES'!$F63</f>
        <v>10118</v>
      </c>
      <c r="BO51" s="253">
        <f>'[90]VENTAS TOTALES'!$G63</f>
        <v>3070800</v>
      </c>
      <c r="BP51" s="253">
        <f>'[90]VENTAS TOTALES'!$H63</f>
        <v>20271400</v>
      </c>
      <c r="BQ51" s="252">
        <f>'[91]VENTAS TOTALES'!$F63</f>
        <v>9345</v>
      </c>
      <c r="BR51" s="253">
        <f>'[91]VENTAS TOTALES'!$G63</f>
        <v>3083550</v>
      </c>
      <c r="BS51" s="253">
        <f>'[91]VENTAS TOTALES'!$H63</f>
        <v>18970050</v>
      </c>
      <c r="BT51" s="252">
        <f>'[92]VENTAS TOTALES'!$F63</f>
        <v>9145</v>
      </c>
      <c r="BU51" s="253">
        <f>'[92]VENTAS TOTALES'!$G63</f>
        <v>3087800</v>
      </c>
      <c r="BV51" s="253">
        <f>'[92]VENTAS TOTALES'!$H63</f>
        <v>18634300</v>
      </c>
      <c r="BW51" s="252">
        <f>'[93]VENTAS TOTALES'!$F63</f>
        <v>9375</v>
      </c>
      <c r="BX51" s="253">
        <f>'[93]VENTAS TOTALES'!$G63</f>
        <v>2886300</v>
      </c>
      <c r="BY51" s="253">
        <f>'[93]VENTAS TOTALES'!$H63</f>
        <v>18823800</v>
      </c>
      <c r="BZ51" s="252">
        <f>'[94]VENTAS TOTALES'!$F63</f>
        <v>5942</v>
      </c>
      <c r="CA51" s="253">
        <f>'[94]VENTAS TOTALES'!$G63</f>
        <v>2238800</v>
      </c>
      <c r="CB51" s="253">
        <f>'[94]VENTAS TOTALES'!$H63</f>
        <v>12340200</v>
      </c>
      <c r="CC51" s="252">
        <f>'[95]VENTAS TOTALES'!$F63</f>
        <v>2381</v>
      </c>
      <c r="CD51" s="253">
        <f>'[95]VENTAS TOTALES'!$G63</f>
        <v>557800</v>
      </c>
      <c r="CE51" s="253">
        <f>'[95]VENTAS TOTALES'!$H63</f>
        <v>4605500</v>
      </c>
      <c r="CF51" s="252">
        <f>'[96]VENTAS TOTALES'!$F63</f>
        <v>13086</v>
      </c>
      <c r="CG51" s="253">
        <f>'[96]VENTAS TOTALES'!$G63</f>
        <v>6458400</v>
      </c>
      <c r="CH51" s="253">
        <f>'[96]VENTAS TOTALES'!$H63</f>
        <v>28704600</v>
      </c>
      <c r="CI51" s="252">
        <f>'[97]VENTAS TOTALES'!$F63</f>
        <v>11796</v>
      </c>
      <c r="CJ51" s="253">
        <f>'[97]VENTAS TOTALES'!$G63</f>
        <v>4932900</v>
      </c>
      <c r="CK51" s="253">
        <f>'[97]VENTAS TOTALES'!$H63</f>
        <v>24986100</v>
      </c>
      <c r="CL51" s="252">
        <f>'[98]VENTAS TOTALES'!$F63</f>
        <v>10486</v>
      </c>
      <c r="CM51" s="253">
        <f>'[98]VENTAS TOTALES'!$G63</f>
        <v>3871900</v>
      </c>
      <c r="CN51" s="253">
        <f>'[98]VENTAS TOTALES'!$H63</f>
        <v>21698100</v>
      </c>
      <c r="CO51" s="252">
        <f>'[99]VENTAS TOTALES'!$F63</f>
        <v>10223</v>
      </c>
      <c r="CP51" s="253">
        <f>'[99]VENTAS TOTALES'!$G63</f>
        <v>3655350</v>
      </c>
      <c r="CQ51" s="253">
        <f>'[99]VENTAS TOTALES'!$H63</f>
        <v>21034450</v>
      </c>
      <c r="CR51" s="252">
        <f>'[100]VENTAS TOTALES'!$F63</f>
        <v>9653</v>
      </c>
      <c r="CS51" s="253">
        <f>'[100]VENTAS TOTALES'!$G63</f>
        <v>3103100</v>
      </c>
      <c r="CT51" s="253">
        <f>'[100]VENTAS TOTALES'!$H63</f>
        <v>19513200</v>
      </c>
      <c r="CU51" s="252">
        <f>'[101]VENTAS TOTALES'!$F63</f>
        <v>6403</v>
      </c>
      <c r="CV51" s="253">
        <f>'[101]VENTAS TOTALES'!$G63</f>
        <v>1971200</v>
      </c>
      <c r="CW51" s="253">
        <f>'[101]VENTAS TOTALES'!$H63</f>
        <v>12856300</v>
      </c>
      <c r="CX51" s="252">
        <f>'[102]VENTAS TOTALES'!$F63</f>
        <v>2514</v>
      </c>
      <c r="CY51" s="253">
        <f>'[102]VENTAS TOTALES'!$G63</f>
        <v>579100</v>
      </c>
      <c r="CZ51" s="253">
        <f>'[102]VENTAS TOTALES'!$H63</f>
        <v>4852900</v>
      </c>
    </row>
    <row r="52" spans="1:104" x14ac:dyDescent="0.2">
      <c r="A52" s="443"/>
      <c r="B52" s="45" t="s">
        <v>64</v>
      </c>
      <c r="C52" s="252">
        <f>'[69]VENTAS TOTALES'!$F64</f>
        <v>9287</v>
      </c>
      <c r="D52" s="253">
        <f>'[69]VENTAS TOTALES'!$G64</f>
        <v>5062150</v>
      </c>
      <c r="E52" s="253">
        <f>'[69]VENTAS TOTALES'!$H64</f>
        <v>20850050</v>
      </c>
      <c r="F52" s="252">
        <f>'[70]VENTAS TOTALES'!$F64</f>
        <v>8453</v>
      </c>
      <c r="G52" s="253">
        <f>'[70]VENTAS TOTALES'!$G64</f>
        <v>4069600</v>
      </c>
      <c r="H52" s="253">
        <f>'[70]VENTAS TOTALES'!$H64</f>
        <v>18439700</v>
      </c>
      <c r="I52" s="252">
        <f>'[71]VENTAS TOTALES'!$F64</f>
        <v>8157</v>
      </c>
      <c r="J52" s="253">
        <f>'[71]VENTAS TOTALES'!$G64</f>
        <v>2874000</v>
      </c>
      <c r="K52" s="253">
        <f>'[71]VENTAS TOTALES'!$H64</f>
        <v>16740900</v>
      </c>
      <c r="L52" s="252">
        <f>'[72]VENTAS TOTALES'!$F64</f>
        <v>8819</v>
      </c>
      <c r="M52" s="253">
        <f>'[72]VENTAS TOTALES'!$G64</f>
        <v>2355000</v>
      </c>
      <c r="N52" s="253">
        <f>'[72]VENTAS TOTALES'!$H64</f>
        <v>17347300</v>
      </c>
      <c r="O52" s="252">
        <f>'[73]VENTAS TOTALES'!$F64</f>
        <v>5842</v>
      </c>
      <c r="P52" s="253">
        <f>'[73]VENTAS TOTALES'!$G64</f>
        <v>1860500</v>
      </c>
      <c r="Q52" s="253">
        <f>'[73]VENTAS TOTALES'!$H64</f>
        <v>11791900</v>
      </c>
      <c r="R52" s="252">
        <f>'[74]VENTAS TOTALES'!$F64</f>
        <v>2264</v>
      </c>
      <c r="S52" s="253">
        <f>'[74]VENTAS TOTALES'!$G64</f>
        <v>415100</v>
      </c>
      <c r="T52" s="253">
        <f>'[74]VENTAS TOTALES'!$H64</f>
        <v>4263900</v>
      </c>
      <c r="U52" s="252">
        <f>'[75]VENTAS TOTALES'!$F64</f>
        <v>10173</v>
      </c>
      <c r="V52" s="253">
        <f>'[75]VENTAS TOTALES'!$G64</f>
        <v>4251000</v>
      </c>
      <c r="W52" s="253">
        <f>'[75]VENTAS TOTALES'!$H64</f>
        <v>21545100</v>
      </c>
      <c r="X52" s="252">
        <f>'[76]VENTAS TOTALES'!$F64</f>
        <v>8980</v>
      </c>
      <c r="Y52" s="253">
        <f>'[76]VENTAS TOTALES'!$G64</f>
        <v>3058350</v>
      </c>
      <c r="Z52" s="253">
        <f>'[76]VENTAS TOTALES'!$H64</f>
        <v>18324350</v>
      </c>
      <c r="AA52" s="252">
        <f>'[77]VENTAS TOTALES'!$F64</f>
        <v>8637</v>
      </c>
      <c r="AB52" s="253">
        <f>'[77]VENTAS TOTALES'!$G64</f>
        <v>2609750</v>
      </c>
      <c r="AC52" s="253">
        <f>'[77]VENTAS TOTALES'!$H64</f>
        <v>17292650</v>
      </c>
      <c r="AD52" s="252">
        <f>'[78]VENTAS TOTALES'!$F64</f>
        <v>8822</v>
      </c>
      <c r="AE52" s="253">
        <f>'[78]VENTAS TOTALES'!$G64</f>
        <v>3173100</v>
      </c>
      <c r="AF52" s="253">
        <f>'[78]VENTAS TOTALES'!$H64</f>
        <v>18170500</v>
      </c>
      <c r="AG52" s="252">
        <f>'[79]VENTAS TOTALES'!$F64</f>
        <v>8877</v>
      </c>
      <c r="AH52" s="253">
        <f>'[79]VENTAS TOTALES'!$G64</f>
        <v>2374700</v>
      </c>
      <c r="AI52" s="253">
        <f>'[79]VENTAS TOTALES'!$H64</f>
        <v>17465600</v>
      </c>
      <c r="AJ52" s="252">
        <f>'[80]VENTAS TOTALES'!$F64</f>
        <v>6194</v>
      </c>
      <c r="AK52" s="253">
        <f>'[80]VENTAS TOTALES'!$G64</f>
        <v>1646000</v>
      </c>
      <c r="AL52" s="253">
        <f>'[80]VENTAS TOTALES'!$H64</f>
        <v>12175800</v>
      </c>
      <c r="AM52" s="252">
        <f>'[81]VENTAS TOTALES'!$F64</f>
        <v>2452</v>
      </c>
      <c r="AN52" s="253">
        <f>'[81]VENTAS TOTALES'!$G64</f>
        <v>408600</v>
      </c>
      <c r="AO52" s="253">
        <f>'[81]VENTAS TOTALES'!$H64</f>
        <v>4577000</v>
      </c>
      <c r="AP52" s="252">
        <f>'[82]VENTAS TOTALES'!$F64</f>
        <v>10552</v>
      </c>
      <c r="AQ52" s="253">
        <f>'[82]VENTAS TOTALES'!$G64</f>
        <v>4423500</v>
      </c>
      <c r="AR52" s="253">
        <f>'[82]VENTAS TOTALES'!$H64</f>
        <v>22361900</v>
      </c>
      <c r="AS52" s="252">
        <f>'[83]VENTAS TOTALES'!$F64</f>
        <v>9546</v>
      </c>
      <c r="AT52" s="253">
        <f>'[83]VENTAS TOTALES'!$G64</f>
        <v>4935700</v>
      </c>
      <c r="AU52" s="253">
        <f>'[83]VENTAS TOTALES'!$H64</f>
        <v>21163900</v>
      </c>
      <c r="AV52" s="252">
        <f>'[84]VENTAS TOTALES'!$F64</f>
        <v>9833</v>
      </c>
      <c r="AW52" s="253">
        <f>'[84]VENTAS TOTALES'!$G64</f>
        <v>4293650</v>
      </c>
      <c r="AX52" s="253">
        <f>'[84]VENTAS TOTALES'!$H64</f>
        <v>21009750</v>
      </c>
      <c r="AY52" s="252">
        <f>'[85]VENTAS TOTALES'!$F64</f>
        <v>9542</v>
      </c>
      <c r="AZ52" s="253">
        <f>'[85]VENTAS TOTALES'!$G64</f>
        <v>3594650</v>
      </c>
      <c r="BA52" s="253">
        <f>'[85]VENTAS TOTALES'!$H64</f>
        <v>19816050</v>
      </c>
      <c r="BB52" s="252">
        <f>'[86]VENTAS TOTALES'!$F64</f>
        <v>9697</v>
      </c>
      <c r="BC52" s="253">
        <f>'[86]VENTAS TOTALES'!$G64</f>
        <v>2676650</v>
      </c>
      <c r="BD52" s="253">
        <f>'[86]VENTAS TOTALES'!$H64</f>
        <v>19161550</v>
      </c>
      <c r="BE52" s="252">
        <f>'[87]VENTAS TOTALES'!$F64</f>
        <v>6769</v>
      </c>
      <c r="BF52" s="253">
        <f>'[87]VENTAS TOTALES'!$G64</f>
        <v>1987550</v>
      </c>
      <c r="BG52" s="253">
        <f>'[87]VENTAS TOTALES'!$H64</f>
        <v>13494850</v>
      </c>
      <c r="BH52" s="252">
        <f>'[88]VENTAS TOTALES'!$F64</f>
        <v>2693</v>
      </c>
      <c r="BI52" s="253">
        <f>'[88]VENTAS TOTALES'!$G64</f>
        <v>656200</v>
      </c>
      <c r="BJ52" s="253">
        <f>'[88]VENTAS TOTALES'!$H64</f>
        <v>5234300</v>
      </c>
      <c r="BK52" s="252">
        <f>'[89]VENTAS TOTALES'!$F64</f>
        <v>11487</v>
      </c>
      <c r="BL52" s="253">
        <f>'[89]VENTAS TOTALES'!$G64</f>
        <v>4362700</v>
      </c>
      <c r="BM52" s="253">
        <f>'[89]VENTAS TOTALES'!$H64</f>
        <v>23890600</v>
      </c>
      <c r="BN52" s="252">
        <f>'[90]VENTAS TOTALES'!$F64</f>
        <v>10005</v>
      </c>
      <c r="BO52" s="253">
        <f>'[90]VENTAS TOTALES'!$G64</f>
        <v>3434450</v>
      </c>
      <c r="BP52" s="253">
        <f>'[90]VENTAS TOTALES'!$H64</f>
        <v>20442950</v>
      </c>
      <c r="BQ52" s="252">
        <f>'[91]VENTAS TOTALES'!$F64</f>
        <v>9823</v>
      </c>
      <c r="BR52" s="253">
        <f>'[91]VENTAS TOTALES'!$G64</f>
        <v>3298400</v>
      </c>
      <c r="BS52" s="253">
        <f>'[91]VENTAS TOTALES'!$H64</f>
        <v>19997500</v>
      </c>
      <c r="BT52" s="252">
        <f>'[92]VENTAS TOTALES'!$F64</f>
        <v>9332</v>
      </c>
      <c r="BU52" s="253">
        <f>'[92]VENTAS TOTALES'!$G64</f>
        <v>2988600</v>
      </c>
      <c r="BV52" s="253">
        <f>'[92]VENTAS TOTALES'!$H64</f>
        <v>18853000</v>
      </c>
      <c r="BW52" s="252">
        <f>'[93]VENTAS TOTALES'!$F64</f>
        <v>10316</v>
      </c>
      <c r="BX52" s="253">
        <f>'[93]VENTAS TOTALES'!$G64</f>
        <v>3099500</v>
      </c>
      <c r="BY52" s="253">
        <f>'[93]VENTAS TOTALES'!$H64</f>
        <v>20636700</v>
      </c>
      <c r="BZ52" s="252">
        <f>'[94]VENTAS TOTALES'!$F64</f>
        <v>7174</v>
      </c>
      <c r="CA52" s="253">
        <f>'[94]VENTAS TOTALES'!$G64</f>
        <v>1977100</v>
      </c>
      <c r="CB52" s="253">
        <f>'[94]VENTAS TOTALES'!$H64</f>
        <v>14172900</v>
      </c>
      <c r="CC52" s="252">
        <f>'[95]VENTAS TOTALES'!$F64</f>
        <v>2505</v>
      </c>
      <c r="CD52" s="253">
        <f>'[95]VENTAS TOTALES'!$G64</f>
        <v>385800</v>
      </c>
      <c r="CE52" s="253">
        <f>'[95]VENTAS TOTALES'!$H64</f>
        <v>4644300</v>
      </c>
      <c r="CF52" s="252">
        <f>'[96]VENTAS TOTALES'!$F64</f>
        <v>12863</v>
      </c>
      <c r="CG52" s="253">
        <f>'[96]VENTAS TOTALES'!$G64</f>
        <v>7437650</v>
      </c>
      <c r="CH52" s="253">
        <f>'[96]VENTAS TOTALES'!$H64</f>
        <v>29304750</v>
      </c>
      <c r="CI52" s="252">
        <f>'[97]VENTAS TOTALES'!$F64</f>
        <v>11258</v>
      </c>
      <c r="CJ52" s="253">
        <f>'[97]VENTAS TOTALES'!$G64</f>
        <v>5898850</v>
      </c>
      <c r="CK52" s="253">
        <f>'[97]VENTAS TOTALES'!$H64</f>
        <v>25037450</v>
      </c>
      <c r="CL52" s="252">
        <f>'[98]VENTAS TOTALES'!$F64</f>
        <v>10737</v>
      </c>
      <c r="CM52" s="253">
        <f>'[98]VENTAS TOTALES'!$G64</f>
        <v>4921900</v>
      </c>
      <c r="CN52" s="253">
        <f>'[98]VENTAS TOTALES'!$H64</f>
        <v>23174800</v>
      </c>
      <c r="CO52" s="252">
        <f>'[99]VENTAS TOTALES'!$F64</f>
        <v>10411</v>
      </c>
      <c r="CP52" s="253">
        <f>'[99]VENTAS TOTALES'!$G64</f>
        <v>3847400</v>
      </c>
      <c r="CQ52" s="253">
        <f>'[99]VENTAS TOTALES'!$H64</f>
        <v>21546100</v>
      </c>
      <c r="CR52" s="252">
        <f>'[100]VENTAS TOTALES'!$F64</f>
        <v>10331</v>
      </c>
      <c r="CS52" s="253">
        <f>'[100]VENTAS TOTALES'!$G64</f>
        <v>2842200</v>
      </c>
      <c r="CT52" s="253">
        <f>'[100]VENTAS TOTALES'!$H64</f>
        <v>20404900</v>
      </c>
      <c r="CU52" s="252">
        <f>'[101]VENTAS TOTALES'!$F64</f>
        <v>7256</v>
      </c>
      <c r="CV52" s="253">
        <f>'[101]VENTAS TOTALES'!$G64</f>
        <v>2074300</v>
      </c>
      <c r="CW52" s="253">
        <f>'[101]VENTAS TOTALES'!$H64</f>
        <v>14409500</v>
      </c>
      <c r="CX52" s="252">
        <f>'[102]VENTAS TOTALES'!$F64</f>
        <v>2776</v>
      </c>
      <c r="CY52" s="253">
        <f>'[102]VENTAS TOTALES'!$G64</f>
        <v>583600</v>
      </c>
      <c r="CZ52" s="253">
        <f>'[102]VENTAS TOTALES'!$H64</f>
        <v>5302800</v>
      </c>
    </row>
    <row r="53" spans="1:104" x14ac:dyDescent="0.2">
      <c r="A53" s="443"/>
      <c r="B53" s="45" t="s">
        <v>63</v>
      </c>
      <c r="C53" s="252">
        <f>'[69]VENTAS TOTALES'!$F65</f>
        <v>5565</v>
      </c>
      <c r="D53" s="253">
        <f>'[69]VENTAS TOTALES'!$G65</f>
        <v>3683000</v>
      </c>
      <c r="E53" s="253">
        <f>'[69]VENTAS TOTALES'!$H65</f>
        <v>13143500</v>
      </c>
      <c r="F53" s="252">
        <f>'[70]VENTAS TOTALES'!$F65</f>
        <v>5487</v>
      </c>
      <c r="G53" s="253">
        <f>'[70]VENTAS TOTALES'!$G65</f>
        <v>3231700</v>
      </c>
      <c r="H53" s="253">
        <f>'[70]VENTAS TOTALES'!$H65</f>
        <v>12559600</v>
      </c>
      <c r="I53" s="252">
        <f>'[71]VENTAS TOTALES'!$F65</f>
        <v>5121</v>
      </c>
      <c r="J53" s="253">
        <f>'[71]VENTAS TOTALES'!$G65</f>
        <v>2126300</v>
      </c>
      <c r="K53" s="253">
        <f>'[71]VENTAS TOTALES'!$H65</f>
        <v>10832000</v>
      </c>
      <c r="L53" s="252">
        <f>'[72]VENTAS TOTALES'!$F65</f>
        <v>5165</v>
      </c>
      <c r="M53" s="253">
        <f>'[72]VENTAS TOTALES'!$G65</f>
        <v>1609800</v>
      </c>
      <c r="N53" s="253">
        <f>'[72]VENTAS TOTALES'!$H65</f>
        <v>10390300</v>
      </c>
      <c r="O53" s="252">
        <f>'[73]VENTAS TOTALES'!$F65</f>
        <v>3183</v>
      </c>
      <c r="P53" s="253">
        <f>'[73]VENTAS TOTALES'!$G65</f>
        <v>1347600</v>
      </c>
      <c r="Q53" s="253">
        <f>'[73]VENTAS TOTALES'!$H65</f>
        <v>6758700</v>
      </c>
      <c r="R53" s="252">
        <f>'[74]VENTAS TOTALES'!$F65</f>
        <v>1037</v>
      </c>
      <c r="S53" s="253">
        <f>'[74]VENTAS TOTALES'!$G65</f>
        <v>370000</v>
      </c>
      <c r="T53" s="253">
        <f>'[74]VENTAS TOTALES'!$H65</f>
        <v>2132900</v>
      </c>
      <c r="U53" s="252">
        <f>'[75]VENTAS TOTALES'!$F65</f>
        <v>6700</v>
      </c>
      <c r="V53" s="253">
        <f>'[75]VENTAS TOTALES'!$G65</f>
        <v>3633950</v>
      </c>
      <c r="W53" s="253">
        <f>'[75]VENTAS TOTALES'!$H65</f>
        <v>15023950</v>
      </c>
      <c r="X53" s="252">
        <f>'[76]VENTAS TOTALES'!$F65</f>
        <v>6197</v>
      </c>
      <c r="Y53" s="253">
        <f>'[76]VENTAS TOTALES'!$G65</f>
        <v>2500800</v>
      </c>
      <c r="Z53" s="253">
        <f>'[76]VENTAS TOTALES'!$H65</f>
        <v>13035700</v>
      </c>
      <c r="AA53" s="252">
        <f>'[77]VENTAS TOTALES'!$F65</f>
        <v>5862</v>
      </c>
      <c r="AB53" s="253">
        <f>'[77]VENTAS TOTALES'!$G65</f>
        <v>2569700</v>
      </c>
      <c r="AC53" s="253">
        <f>'[77]VENTAS TOTALES'!$H65</f>
        <v>12535100</v>
      </c>
      <c r="AD53" s="252">
        <f>'[78]VENTAS TOTALES'!$F65</f>
        <v>5910</v>
      </c>
      <c r="AE53" s="253">
        <f>'[78]VENTAS TOTALES'!$G65</f>
        <v>2332400</v>
      </c>
      <c r="AF53" s="253">
        <f>'[78]VENTAS TOTALES'!$H65</f>
        <v>12379400</v>
      </c>
      <c r="AG53" s="252">
        <f>'[79]VENTAS TOTALES'!$F65</f>
        <v>5613</v>
      </c>
      <c r="AH53" s="253">
        <f>'[79]VENTAS TOTALES'!$G65</f>
        <v>2343300</v>
      </c>
      <c r="AI53" s="253">
        <f>'[79]VENTAS TOTALES'!$H65</f>
        <v>11885400</v>
      </c>
      <c r="AJ53" s="252">
        <f>'[80]VENTAS TOTALES'!$F65</f>
        <v>3290</v>
      </c>
      <c r="AK53" s="253">
        <f>'[80]VENTAS TOTALES'!$G65</f>
        <v>1483500</v>
      </c>
      <c r="AL53" s="253">
        <f>'[80]VENTAS TOTALES'!$H65</f>
        <v>7076500</v>
      </c>
      <c r="AM53" s="252">
        <f>'[81]VENTAS TOTALES'!$F65</f>
        <v>1051</v>
      </c>
      <c r="AN53" s="253">
        <f>'[81]VENTAS TOTALES'!$G65</f>
        <v>342300</v>
      </c>
      <c r="AO53" s="253">
        <f>'[81]VENTAS TOTALES'!$H65</f>
        <v>2129000</v>
      </c>
      <c r="AP53" s="252">
        <f>'[82]VENTAS TOTALES'!$F65</f>
        <v>7812</v>
      </c>
      <c r="AQ53" s="253">
        <f>'[82]VENTAS TOTALES'!$G65</f>
        <v>3507650</v>
      </c>
      <c r="AR53" s="253">
        <f>'[82]VENTAS TOTALES'!$H65</f>
        <v>16788050</v>
      </c>
      <c r="AS53" s="252">
        <f>'[83]VENTAS TOTALES'!$F65</f>
        <v>6369</v>
      </c>
      <c r="AT53" s="253">
        <f>'[83]VENTAS TOTALES'!$G65</f>
        <v>3982300</v>
      </c>
      <c r="AU53" s="253">
        <f>'[83]VENTAS TOTALES'!$H65</f>
        <v>14809600</v>
      </c>
      <c r="AV53" s="252">
        <f>'[84]VENTAS TOTALES'!$F65</f>
        <v>6860</v>
      </c>
      <c r="AW53" s="253">
        <f>'[84]VENTAS TOTALES'!$G65</f>
        <v>3562000</v>
      </c>
      <c r="AX53" s="253">
        <f>'[84]VENTAS TOTALES'!$H65</f>
        <v>15224000</v>
      </c>
      <c r="AY53" s="252">
        <f>'[85]VENTAS TOTALES'!$F65</f>
        <v>6518</v>
      </c>
      <c r="AZ53" s="253">
        <f>'[85]VENTAS TOTALES'!$G65</f>
        <v>3328200</v>
      </c>
      <c r="BA53" s="253">
        <f>'[85]VENTAS TOTALES'!$H65</f>
        <v>14408800</v>
      </c>
      <c r="BB53" s="252">
        <f>'[86]VENTAS TOTALES'!$F65</f>
        <v>6520</v>
      </c>
      <c r="BC53" s="253">
        <f>'[86]VENTAS TOTALES'!$G65</f>
        <v>2297800</v>
      </c>
      <c r="BD53" s="253">
        <f>'[86]VENTAS TOTALES'!$H65</f>
        <v>13381800</v>
      </c>
      <c r="BE53" s="252">
        <f>'[87]VENTAS TOTALES'!$F65</f>
        <v>3869</v>
      </c>
      <c r="BF53" s="253">
        <f>'[87]VENTAS TOTALES'!$G65</f>
        <v>1566900</v>
      </c>
      <c r="BG53" s="253">
        <f>'[87]VENTAS TOTALES'!$H65</f>
        <v>8144200</v>
      </c>
      <c r="BH53" s="252">
        <f>'[88]VENTAS TOTALES'!$F65</f>
        <v>1369</v>
      </c>
      <c r="BI53" s="253">
        <f>'[88]VENTAS TOTALES'!$G65</f>
        <v>421100</v>
      </c>
      <c r="BJ53" s="253">
        <f>'[88]VENTAS TOTALES'!$H65</f>
        <v>2748400</v>
      </c>
      <c r="BK53" s="252">
        <f>'[89]VENTAS TOTALES'!$F65</f>
        <v>8565</v>
      </c>
      <c r="BL53" s="253">
        <f>'[89]VENTAS TOTALES'!$G65</f>
        <v>3798600</v>
      </c>
      <c r="BM53" s="253">
        <f>'[89]VENTAS TOTALES'!$H65</f>
        <v>18359100</v>
      </c>
      <c r="BN53" s="252">
        <f>'[90]VENTAS TOTALES'!$F65</f>
        <v>6831</v>
      </c>
      <c r="BO53" s="253">
        <f>'[90]VENTAS TOTALES'!$G65</f>
        <v>2748300</v>
      </c>
      <c r="BP53" s="253">
        <f>'[90]VENTAS TOTALES'!$H65</f>
        <v>14361000</v>
      </c>
      <c r="BQ53" s="252">
        <f>'[91]VENTAS TOTALES'!$F65</f>
        <v>6589</v>
      </c>
      <c r="BR53" s="253">
        <f>'[91]VENTAS TOTALES'!$G65</f>
        <v>2882900</v>
      </c>
      <c r="BS53" s="253">
        <f>'[91]VENTAS TOTALES'!$H65</f>
        <v>14084200</v>
      </c>
      <c r="BT53" s="252">
        <f>'[92]VENTAS TOTALES'!$F65</f>
        <v>6882</v>
      </c>
      <c r="BU53" s="253">
        <f>'[92]VENTAS TOTALES'!$G65</f>
        <v>2871300</v>
      </c>
      <c r="BV53" s="253">
        <f>'[92]VENTAS TOTALES'!$H65</f>
        <v>14570700</v>
      </c>
      <c r="BW53" s="252">
        <f>'[93]VENTAS TOTALES'!$F65</f>
        <v>6818</v>
      </c>
      <c r="BX53" s="253">
        <f>'[93]VENTAS TOTALES'!$G65</f>
        <v>2859800</v>
      </c>
      <c r="BY53" s="253">
        <f>'[93]VENTAS TOTALES'!$H65</f>
        <v>14450400</v>
      </c>
      <c r="BZ53" s="252">
        <f>'[94]VENTAS TOTALES'!$F65</f>
        <v>4067</v>
      </c>
      <c r="CA53" s="253">
        <f>'[94]VENTAS TOTALES'!$G65</f>
        <v>1953400</v>
      </c>
      <c r="CB53" s="253">
        <f>'[94]VENTAS TOTALES'!$H65</f>
        <v>8867300</v>
      </c>
      <c r="CC53" s="252">
        <f>'[95]VENTAS TOTALES'!$F65</f>
        <v>1381</v>
      </c>
      <c r="CD53" s="253">
        <f>'[95]VENTAS TOTALES'!$G65</f>
        <v>487600</v>
      </c>
      <c r="CE53" s="253">
        <f>'[95]VENTAS TOTALES'!$H65</f>
        <v>2835300</v>
      </c>
      <c r="CF53" s="252">
        <f>'[96]VENTAS TOTALES'!$F65</f>
        <v>9288</v>
      </c>
      <c r="CG53" s="253">
        <f>'[96]VENTAS TOTALES'!$G65</f>
        <v>6304200</v>
      </c>
      <c r="CH53" s="253">
        <f>'[96]VENTAS TOTALES'!$H65</f>
        <v>22093800</v>
      </c>
      <c r="CI53" s="252">
        <f>'[97]VENTAS TOTALES'!$F65</f>
        <v>8304</v>
      </c>
      <c r="CJ53" s="253">
        <f>'[97]VENTAS TOTALES'!$G65</f>
        <v>5812200</v>
      </c>
      <c r="CK53" s="253">
        <f>'[97]VENTAS TOTALES'!$H65</f>
        <v>19929000</v>
      </c>
      <c r="CL53" s="252">
        <f>'[98]VENTAS TOTALES'!$F65</f>
        <v>7624</v>
      </c>
      <c r="CM53" s="253">
        <f>'[98]VENTAS TOTALES'!$G65</f>
        <v>3408800</v>
      </c>
      <c r="CN53" s="253">
        <f>'[98]VENTAS TOTALES'!$H65</f>
        <v>16369600</v>
      </c>
      <c r="CO53" s="252">
        <f>'[99]VENTAS TOTALES'!$F65</f>
        <v>7388</v>
      </c>
      <c r="CP53" s="253">
        <f>'[99]VENTAS TOTALES'!$G65</f>
        <v>3785200</v>
      </c>
      <c r="CQ53" s="253">
        <f>'[99]VENTAS TOTALES'!$H65</f>
        <v>16344800</v>
      </c>
      <c r="CR53" s="252">
        <f>'[100]VENTAS TOTALES'!$F65</f>
        <v>6996</v>
      </c>
      <c r="CS53" s="253">
        <f>'[100]VENTAS TOTALES'!$G65</f>
        <v>2499800</v>
      </c>
      <c r="CT53" s="253">
        <f>'[100]VENTAS TOTALES'!$H65</f>
        <v>14393000</v>
      </c>
      <c r="CU53" s="252">
        <f>'[101]VENTAS TOTALES'!$F65</f>
        <v>4299</v>
      </c>
      <c r="CV53" s="253">
        <f>'[101]VENTAS TOTALES'!$G65</f>
        <v>1680800</v>
      </c>
      <c r="CW53" s="253">
        <f>'[101]VENTAS TOTALES'!$H65</f>
        <v>8989100</v>
      </c>
      <c r="CX53" s="252">
        <f>'[102]VENTAS TOTALES'!$F65</f>
        <v>1223</v>
      </c>
      <c r="CY53" s="253">
        <f>'[102]VENTAS TOTALES'!$G65</f>
        <v>406800</v>
      </c>
      <c r="CZ53" s="253">
        <f>'[102]VENTAS TOTALES'!$H65</f>
        <v>2485900</v>
      </c>
    </row>
    <row r="54" spans="1:104" x14ac:dyDescent="0.2">
      <c r="A54" s="443"/>
      <c r="B54" s="45" t="s">
        <v>94</v>
      </c>
      <c r="C54" s="252">
        <f>'[69]VENTAS TOTALES'!$F66</f>
        <v>9294</v>
      </c>
      <c r="D54" s="253">
        <f>'[69]VENTAS TOTALES'!$G66</f>
        <v>6127600</v>
      </c>
      <c r="E54" s="253">
        <f>'[69]VENTAS TOTALES'!$H66</f>
        <v>21927400</v>
      </c>
      <c r="F54" s="252">
        <f>'[70]VENTAS TOTALES'!$F66</f>
        <v>9344</v>
      </c>
      <c r="G54" s="253">
        <f>'[70]VENTAS TOTALES'!$G66</f>
        <v>4040600</v>
      </c>
      <c r="H54" s="253">
        <f>'[70]VENTAS TOTALES'!$H66</f>
        <v>19925400</v>
      </c>
      <c r="I54" s="252">
        <f>'[71]VENTAS TOTALES'!$F66</f>
        <v>7331</v>
      </c>
      <c r="J54" s="253">
        <f>'[71]VENTAS TOTALES'!$G66</f>
        <v>3750500</v>
      </c>
      <c r="K54" s="253">
        <f>'[71]VENTAS TOTALES'!$H66</f>
        <v>16213200</v>
      </c>
      <c r="L54" s="252">
        <f>'[72]VENTAS TOTALES'!$F66</f>
        <v>7098</v>
      </c>
      <c r="M54" s="253">
        <f>'[72]VENTAS TOTALES'!$G66</f>
        <v>2372200</v>
      </c>
      <c r="N54" s="253">
        <f>'[72]VENTAS TOTALES'!$H66</f>
        <v>14438800</v>
      </c>
      <c r="O54" s="252">
        <f>'[73]VENTAS TOTALES'!$F66</f>
        <v>3772</v>
      </c>
      <c r="P54" s="253">
        <f>'[73]VENTAS TOTALES'!$G66</f>
        <v>1182600</v>
      </c>
      <c r="Q54" s="253">
        <f>'[73]VENTAS TOTALES'!$H66</f>
        <v>7595000</v>
      </c>
      <c r="R54" s="252">
        <f>'[74]VENTAS TOTALES'!$F66</f>
        <v>1284</v>
      </c>
      <c r="S54" s="253">
        <f>'[74]VENTAS TOTALES'!$G66</f>
        <v>354500</v>
      </c>
      <c r="T54" s="253">
        <f>'[74]VENTAS TOTALES'!$H66</f>
        <v>2537300</v>
      </c>
      <c r="U54" s="252">
        <f>'[75]VENTAS TOTALES'!$F66</f>
        <v>8633</v>
      </c>
      <c r="V54" s="253">
        <f>'[75]VENTAS TOTALES'!$G66</f>
        <v>4037700</v>
      </c>
      <c r="W54" s="253">
        <f>'[75]VENTAS TOTALES'!$H66</f>
        <v>18713800</v>
      </c>
      <c r="X54" s="252">
        <f>'[76]VENTAS TOTALES'!$F66</f>
        <v>7562</v>
      </c>
      <c r="Y54" s="253">
        <f>'[76]VENTAS TOTALES'!$G66</f>
        <v>3176500</v>
      </c>
      <c r="Z54" s="253">
        <f>'[76]VENTAS TOTALES'!$H66</f>
        <v>16031900</v>
      </c>
      <c r="AA54" s="252">
        <f>'[77]VENTAS TOTALES'!$F66</f>
        <v>7529</v>
      </c>
      <c r="AB54" s="253">
        <f>'[77]VENTAS TOTALES'!$G66</f>
        <v>2848600</v>
      </c>
      <c r="AC54" s="253">
        <f>'[77]VENTAS TOTALES'!$H66</f>
        <v>15647900</v>
      </c>
      <c r="AD54" s="252">
        <f>'[78]VENTAS TOTALES'!$F66</f>
        <v>7275</v>
      </c>
      <c r="AE54" s="253">
        <f>'[78]VENTAS TOTALES'!$G66</f>
        <v>3107100</v>
      </c>
      <c r="AF54" s="253">
        <f>'[78]VENTAS TOTALES'!$H66</f>
        <v>15474600</v>
      </c>
      <c r="AG54" s="252">
        <f>'[79]VENTAS TOTALES'!$F66</f>
        <v>6907</v>
      </c>
      <c r="AH54" s="253">
        <f>'[79]VENTAS TOTALES'!$G66</f>
        <v>2482300</v>
      </c>
      <c r="AI54" s="253">
        <f>'[79]VENTAS TOTALES'!$H66</f>
        <v>14224200</v>
      </c>
      <c r="AJ54" s="252">
        <f>'[80]VENTAS TOTALES'!$F66</f>
        <v>3579</v>
      </c>
      <c r="AK54" s="253">
        <f>'[80]VENTAS TOTALES'!$G66</f>
        <v>1379700</v>
      </c>
      <c r="AL54" s="253">
        <f>'[80]VENTAS TOTALES'!$H66</f>
        <v>7464000</v>
      </c>
      <c r="AM54" s="252">
        <f>'[81]VENTAS TOTALES'!$F66</f>
        <v>1129</v>
      </c>
      <c r="AN54" s="253">
        <f>'[81]VENTAS TOTALES'!$G66</f>
        <v>260550</v>
      </c>
      <c r="AO54" s="253">
        <f>'[81]VENTAS TOTALES'!$H66</f>
        <v>2179850</v>
      </c>
      <c r="AP54" s="252">
        <f>'[82]VENTAS TOTALES'!$F66</f>
        <v>8598</v>
      </c>
      <c r="AQ54" s="253">
        <f>'[82]VENTAS TOTALES'!$G66</f>
        <v>4032800</v>
      </c>
      <c r="AR54" s="253">
        <f>'[82]VENTAS TOTALES'!$H66</f>
        <v>18649400</v>
      </c>
      <c r="AS54" s="252">
        <f>'[83]VENTAS TOTALES'!$F66</f>
        <v>7341</v>
      </c>
      <c r="AT54" s="253">
        <f>'[83]VENTAS TOTALES'!$G66</f>
        <v>4389900</v>
      </c>
      <c r="AU54" s="253">
        <f>'[83]VENTAS TOTALES'!$H66</f>
        <v>16869600</v>
      </c>
      <c r="AV54" s="252">
        <f>'[84]VENTAS TOTALES'!$F66</f>
        <v>7136</v>
      </c>
      <c r="AW54" s="253">
        <f>'[84]VENTAS TOTALES'!$G66</f>
        <v>3985600</v>
      </c>
      <c r="AX54" s="253">
        <f>'[84]VENTAS TOTALES'!$H66</f>
        <v>16116800</v>
      </c>
      <c r="AY54" s="252">
        <f>'[85]VENTAS TOTALES'!$F66</f>
        <v>6596</v>
      </c>
      <c r="AZ54" s="253">
        <f>'[85]VENTAS TOTALES'!$G66</f>
        <v>3325400</v>
      </c>
      <c r="BA54" s="253">
        <f>'[85]VENTAS TOTALES'!$H66</f>
        <v>14538600</v>
      </c>
      <c r="BB54" s="252">
        <f>'[86]VENTAS TOTALES'!$F66</f>
        <v>6658</v>
      </c>
      <c r="BC54" s="253">
        <f>'[86]VENTAS TOTALES'!$G66</f>
        <v>2859400</v>
      </c>
      <c r="BD54" s="253">
        <f>'[86]VENTAS TOTALES'!$H66</f>
        <v>14178000</v>
      </c>
      <c r="BE54" s="252">
        <f>'[87]VENTAS TOTALES'!$F66</f>
        <v>3304</v>
      </c>
      <c r="BF54" s="253">
        <f>'[87]VENTAS TOTALES'!$G66</f>
        <v>1038400</v>
      </c>
      <c r="BG54" s="253">
        <f>'[87]VENTAS TOTALES'!$H66</f>
        <v>6655200</v>
      </c>
      <c r="BH54" s="252">
        <f>'[88]VENTAS TOTALES'!$F66</f>
        <v>1108</v>
      </c>
      <c r="BI54" s="253">
        <f>'[88]VENTAS TOTALES'!$G66</f>
        <v>333200</v>
      </c>
      <c r="BJ54" s="253">
        <f>'[88]VENTAS TOTALES'!$H66</f>
        <v>2216800</v>
      </c>
      <c r="BK54" s="252">
        <f>'[89]VENTAS TOTALES'!$F66</f>
        <v>7746</v>
      </c>
      <c r="BL54" s="253">
        <f>'[89]VENTAS TOTALES'!$G66</f>
        <v>3745300</v>
      </c>
      <c r="BM54" s="253">
        <f>'[89]VENTAS TOTALES'!$H66</f>
        <v>16913500</v>
      </c>
      <c r="BN54" s="252">
        <f>'[90]VENTAS TOTALES'!$F66</f>
        <v>7019</v>
      </c>
      <c r="BO54" s="253">
        <f>'[90]VENTAS TOTALES'!$G66</f>
        <v>2886200</v>
      </c>
      <c r="BP54" s="253">
        <f>'[90]VENTAS TOTALES'!$H66</f>
        <v>14818500</v>
      </c>
      <c r="BQ54" s="252">
        <f>'[91]VENTAS TOTALES'!$F66</f>
        <v>6743</v>
      </c>
      <c r="BR54" s="253">
        <f>'[91]VENTAS TOTALES'!$G66</f>
        <v>2454500</v>
      </c>
      <c r="BS54" s="253">
        <f>'[91]VENTAS TOTALES'!$H66</f>
        <v>13917600</v>
      </c>
      <c r="BT54" s="252">
        <f>'[92]VENTAS TOTALES'!$F66</f>
        <v>6486</v>
      </c>
      <c r="BU54" s="253">
        <f>'[92]VENTAS TOTALES'!$G66</f>
        <v>2365450</v>
      </c>
      <c r="BV54" s="253">
        <f>'[92]VENTAS TOTALES'!$H66</f>
        <v>13391650</v>
      </c>
      <c r="BW54" s="252">
        <f>'[93]VENTAS TOTALES'!$F66</f>
        <v>6752</v>
      </c>
      <c r="BX54" s="253">
        <f>'[93]VENTAS TOTALES'!$G66</f>
        <v>3455500</v>
      </c>
      <c r="BY54" s="253">
        <f>'[93]VENTAS TOTALES'!$H66</f>
        <v>14933900</v>
      </c>
      <c r="BZ54" s="252">
        <f>'[94]VENTAS TOTALES'!$F66</f>
        <v>3486</v>
      </c>
      <c r="CA54" s="253">
        <f>'[94]VENTAS TOTALES'!$G66</f>
        <v>1318500</v>
      </c>
      <c r="CB54" s="253">
        <f>'[94]VENTAS TOTALES'!$H66</f>
        <v>7244700</v>
      </c>
      <c r="CC54" s="252">
        <f>'[95]VENTAS TOTALES'!$F66</f>
        <v>985</v>
      </c>
      <c r="CD54" s="253">
        <f>'[95]VENTAS TOTALES'!$G66</f>
        <v>224600</v>
      </c>
      <c r="CE54" s="253">
        <f>'[95]VENTAS TOTALES'!$H66</f>
        <v>1899100</v>
      </c>
      <c r="CF54" s="252">
        <f>'[96]VENTAS TOTALES'!$F66</f>
        <v>9358</v>
      </c>
      <c r="CG54" s="253">
        <f>'[96]VENTAS TOTALES'!$G66</f>
        <v>5212000</v>
      </c>
      <c r="CH54" s="253">
        <f>'[96]VENTAS TOTALES'!$H66</f>
        <v>21120600</v>
      </c>
      <c r="CI54" s="252">
        <f>'[97]VENTAS TOTALES'!$F66</f>
        <v>8510</v>
      </c>
      <c r="CJ54" s="253">
        <f>'[97]VENTAS TOTALES'!$G66</f>
        <v>5425200</v>
      </c>
      <c r="CK54" s="253">
        <f>'[97]VENTAS TOTALES'!$H66</f>
        <v>19892200</v>
      </c>
      <c r="CL54" s="252">
        <f>'[98]VENTAS TOTALES'!$F66</f>
        <v>7668</v>
      </c>
      <c r="CM54" s="253">
        <f>'[98]VENTAS TOTALES'!$G66</f>
        <v>3741700</v>
      </c>
      <c r="CN54" s="253">
        <f>'[98]VENTAS TOTALES'!$H66</f>
        <v>16777300</v>
      </c>
      <c r="CO54" s="252">
        <f>'[99]VENTAS TOTALES'!$F66</f>
        <v>7432</v>
      </c>
      <c r="CP54" s="253">
        <f>'[99]VENTAS TOTALES'!$G66</f>
        <v>3112700</v>
      </c>
      <c r="CQ54" s="253">
        <f>'[99]VENTAS TOTALES'!$H66</f>
        <v>15747100</v>
      </c>
      <c r="CR54" s="252">
        <f>'[100]VENTAS TOTALES'!$F66</f>
        <v>6401</v>
      </c>
      <c r="CS54" s="253">
        <f>'[100]VENTAS TOTALES'!$G66</f>
        <v>2588900</v>
      </c>
      <c r="CT54" s="253">
        <f>'[100]VENTAS TOTALES'!$H66</f>
        <v>13470600</v>
      </c>
      <c r="CU54" s="252">
        <f>'[101]VENTAS TOTALES'!$F66</f>
        <v>3462</v>
      </c>
      <c r="CV54" s="253">
        <f>'[101]VENTAS TOTALES'!$G66</f>
        <v>1499500</v>
      </c>
      <c r="CW54" s="253">
        <f>'[101]VENTAS TOTALES'!$H66</f>
        <v>7384900</v>
      </c>
      <c r="CX54" s="252">
        <f>'[102]VENTAS TOTALES'!$F66</f>
        <v>1216</v>
      </c>
      <c r="CY54" s="253">
        <f>'[102]VENTAS TOTALES'!$G66</f>
        <v>477600</v>
      </c>
      <c r="CZ54" s="253">
        <f>'[102]VENTAS TOTALES'!$H66</f>
        <v>2544800</v>
      </c>
    </row>
    <row r="55" spans="1:104" x14ac:dyDescent="0.2">
      <c r="A55" s="443"/>
      <c r="B55" s="45" t="s">
        <v>93</v>
      </c>
      <c r="C55" s="252">
        <f>'[69]VENTAS TOTALES'!$F67</f>
        <v>5323</v>
      </c>
      <c r="D55" s="253">
        <f>'[69]VENTAS TOTALES'!$G67</f>
        <v>3418101</v>
      </c>
      <c r="E55" s="253">
        <f>'[69]VENTAS TOTALES'!$H67</f>
        <v>12467201</v>
      </c>
      <c r="F55" s="252">
        <f>'[70]VENTAS TOTALES'!$F67</f>
        <v>5417</v>
      </c>
      <c r="G55" s="253">
        <f>'[70]VENTAS TOTALES'!$G67</f>
        <v>2882900</v>
      </c>
      <c r="H55" s="253">
        <f>'[70]VENTAS TOTALES'!$H67</f>
        <v>12091800</v>
      </c>
      <c r="I55" s="252">
        <f>'[71]VENTAS TOTALES'!$F67</f>
        <v>4474</v>
      </c>
      <c r="J55" s="253">
        <f>'[71]VENTAS TOTALES'!$G67</f>
        <v>2161000</v>
      </c>
      <c r="K55" s="253">
        <f>'[71]VENTAS TOTALES'!$H67</f>
        <v>9766800</v>
      </c>
      <c r="L55" s="252">
        <f>'[72]VENTAS TOTALES'!$F67</f>
        <v>4520</v>
      </c>
      <c r="M55" s="253">
        <f>'[72]VENTAS TOTALES'!$G67</f>
        <v>1865000</v>
      </c>
      <c r="N55" s="253">
        <f>'[72]VENTAS TOTALES'!$H67</f>
        <v>9549000</v>
      </c>
      <c r="O55" s="252">
        <f>'[73]VENTAS TOTALES'!$F67</f>
        <v>1587</v>
      </c>
      <c r="P55" s="253">
        <f>'[73]VENTAS TOTALES'!$G67</f>
        <v>688100</v>
      </c>
      <c r="Q55" s="253">
        <f>'[73]VENTAS TOTALES'!$H67</f>
        <v>3386000</v>
      </c>
      <c r="R55" s="252">
        <f>'[74]VENTAS TOTALES'!$F67</f>
        <v>433</v>
      </c>
      <c r="S55" s="253">
        <f>'[74]VENTAS TOTALES'!$G67</f>
        <v>128000</v>
      </c>
      <c r="T55" s="253">
        <f>'[74]VENTAS TOTALES'!$H67</f>
        <v>864100</v>
      </c>
      <c r="U55" s="252">
        <f>'[75]VENTAS TOTALES'!$F67</f>
        <v>5883</v>
      </c>
      <c r="V55" s="253">
        <f>'[75]VENTAS TOTALES'!$G67</f>
        <v>2958700</v>
      </c>
      <c r="W55" s="253">
        <f>'[75]VENTAS TOTALES'!$H67</f>
        <v>12959800</v>
      </c>
      <c r="X55" s="252">
        <f>'[76]VENTAS TOTALES'!$F67</f>
        <v>5020</v>
      </c>
      <c r="Y55" s="253">
        <f>'[76]VENTAS TOTALES'!$G67</f>
        <v>2294900</v>
      </c>
      <c r="Z55" s="253">
        <f>'[76]VENTAS TOTALES'!$H67</f>
        <v>10828900</v>
      </c>
      <c r="AA55" s="252">
        <f>'[77]VENTAS TOTALES'!$F67</f>
        <v>4678</v>
      </c>
      <c r="AB55" s="253">
        <f>'[77]VENTAS TOTALES'!$G67</f>
        <v>2283200</v>
      </c>
      <c r="AC55" s="253">
        <f>'[77]VENTAS TOTALES'!$H67</f>
        <v>10235800</v>
      </c>
      <c r="AD55" s="252">
        <f>'[78]VENTAS TOTALES'!$F67</f>
        <v>4667</v>
      </c>
      <c r="AE55" s="253">
        <f>'[78]VENTAS TOTALES'!$G67</f>
        <v>2056900</v>
      </c>
      <c r="AF55" s="253">
        <f>'[78]VENTAS TOTALES'!$H67</f>
        <v>9990800</v>
      </c>
      <c r="AG55" s="252">
        <f>'[79]VENTAS TOTALES'!$F67</f>
        <v>4611</v>
      </c>
      <c r="AH55" s="253">
        <f>'[79]VENTAS TOTALES'!$G67</f>
        <v>1714000</v>
      </c>
      <c r="AI55" s="253">
        <f>'[79]VENTAS TOTALES'!$H67</f>
        <v>9552700</v>
      </c>
      <c r="AJ55" s="252">
        <f>'[80]VENTAS TOTALES'!$F67</f>
        <v>1714</v>
      </c>
      <c r="AK55" s="253">
        <f>'[80]VENTAS TOTALES'!$G67</f>
        <v>623600</v>
      </c>
      <c r="AL55" s="253">
        <f>'[80]VENTAS TOTALES'!$H67</f>
        <v>3537400</v>
      </c>
      <c r="AM55" s="252">
        <f>'[81]VENTAS TOTALES'!$F67</f>
        <v>477</v>
      </c>
      <c r="AN55" s="253">
        <f>'[81]VENTAS TOTALES'!$G67</f>
        <v>171400</v>
      </c>
      <c r="AO55" s="253">
        <f>'[81]VENTAS TOTALES'!$H67</f>
        <v>982300</v>
      </c>
      <c r="AP55" s="252">
        <f>'[82]VENTAS TOTALES'!$F67</f>
        <v>5924</v>
      </c>
      <c r="AQ55" s="253">
        <f>'[82]VENTAS TOTALES'!$G67</f>
        <v>2950500</v>
      </c>
      <c r="AR55" s="253">
        <f>'[82]VENTAS TOTALES'!$H67</f>
        <v>13021300</v>
      </c>
      <c r="AS55" s="252">
        <f>'[83]VENTAS TOTALES'!$F67</f>
        <v>5379</v>
      </c>
      <c r="AT55" s="253">
        <f>'[83]VENTAS TOTALES'!$G67</f>
        <v>3164200</v>
      </c>
      <c r="AU55" s="253">
        <f>'[83]VENTAS TOTALES'!$H67</f>
        <v>12308500</v>
      </c>
      <c r="AV55" s="252">
        <f>'[84]VENTAS TOTALES'!$F67</f>
        <v>5366</v>
      </c>
      <c r="AW55" s="253">
        <f>'[84]VENTAS TOTALES'!$G67</f>
        <v>3513400</v>
      </c>
      <c r="AX55" s="253">
        <f>'[84]VENTAS TOTALES'!$H67</f>
        <v>12635600</v>
      </c>
      <c r="AY55" s="252">
        <f>'[85]VENTAS TOTALES'!$F67</f>
        <v>5012</v>
      </c>
      <c r="AZ55" s="253">
        <f>'[85]VENTAS TOTALES'!$G67</f>
        <v>2241900</v>
      </c>
      <c r="BA55" s="253">
        <f>'[85]VENTAS TOTALES'!$H67</f>
        <v>10762300</v>
      </c>
      <c r="BB55" s="252">
        <f>'[86]VENTAS TOTALES'!$F67</f>
        <v>4362</v>
      </c>
      <c r="BC55" s="253">
        <f>'[86]VENTAS TOTALES'!$G67</f>
        <v>1950600</v>
      </c>
      <c r="BD55" s="253">
        <f>'[86]VENTAS TOTALES'!$H67</f>
        <v>9366000</v>
      </c>
      <c r="BE55" s="252">
        <f>'[87]VENTAS TOTALES'!$F67</f>
        <v>1731</v>
      </c>
      <c r="BF55" s="253">
        <f>'[87]VENTAS TOTALES'!$G67</f>
        <v>753500</v>
      </c>
      <c r="BG55" s="253">
        <f>'[87]VENTAS TOTALES'!$H67</f>
        <v>3696200</v>
      </c>
      <c r="BH55" s="252">
        <f>'[88]VENTAS TOTALES'!$F67</f>
        <v>460</v>
      </c>
      <c r="BI55" s="253">
        <f>'[88]VENTAS TOTALES'!$G67</f>
        <v>129300</v>
      </c>
      <c r="BJ55" s="253">
        <f>'[88]VENTAS TOTALES'!$H67</f>
        <v>911300</v>
      </c>
      <c r="BK55" s="252">
        <f>'[89]VENTAS TOTALES'!$F67</f>
        <v>5536</v>
      </c>
      <c r="BL55" s="253">
        <f>'[89]VENTAS TOTALES'!$G67</f>
        <v>3462300</v>
      </c>
      <c r="BM55" s="253">
        <f>'[89]VENTAS TOTALES'!$H67</f>
        <v>12873500</v>
      </c>
      <c r="BN55" s="252">
        <f>'[90]VENTAS TOTALES'!$F67</f>
        <v>4945</v>
      </c>
      <c r="BO55" s="253">
        <f>'[90]VENTAS TOTALES'!$G67</f>
        <v>2594700</v>
      </c>
      <c r="BP55" s="253">
        <f>'[90]VENTAS TOTALES'!$H67</f>
        <v>11001200</v>
      </c>
      <c r="BQ55" s="252">
        <f>'[91]VENTAS TOTALES'!$F67</f>
        <v>4710</v>
      </c>
      <c r="BR55" s="253">
        <f>'[91]VENTAS TOTALES'!$G67</f>
        <v>2051700</v>
      </c>
      <c r="BS55" s="253">
        <f>'[91]VENTAS TOTALES'!$H67</f>
        <v>10058700</v>
      </c>
      <c r="BT55" s="252">
        <f>'[92]VENTAS TOTALES'!$F67</f>
        <v>4507</v>
      </c>
      <c r="BU55" s="253">
        <f>'[92]VENTAS TOTALES'!$G67</f>
        <v>1917400</v>
      </c>
      <c r="BV55" s="253">
        <f>'[92]VENTAS TOTALES'!$H67</f>
        <v>9579300</v>
      </c>
      <c r="BW55" s="252">
        <f>'[93]VENTAS TOTALES'!$F67</f>
        <v>4609</v>
      </c>
      <c r="BX55" s="253">
        <f>'[93]VENTAS TOTALES'!$G67</f>
        <v>2194700</v>
      </c>
      <c r="BY55" s="253">
        <f>'[93]VENTAS TOTALES'!$H67</f>
        <v>10030000</v>
      </c>
      <c r="BZ55" s="252">
        <f>'[94]VENTAS TOTALES'!$F67</f>
        <v>1591</v>
      </c>
      <c r="CA55" s="253">
        <f>'[94]VENTAS TOTALES'!$G67</f>
        <v>639900</v>
      </c>
      <c r="CB55" s="253">
        <f>'[94]VENTAS TOTALES'!$H67</f>
        <v>3344600</v>
      </c>
      <c r="CC55" s="252">
        <f>'[95]VENTAS TOTALES'!$F67</f>
        <v>496</v>
      </c>
      <c r="CD55" s="253">
        <f>'[95]VENTAS TOTALES'!$G67</f>
        <v>163700</v>
      </c>
      <c r="CE55" s="253">
        <f>'[95]VENTAS TOTALES'!$H67</f>
        <v>1006900</v>
      </c>
      <c r="CF55" s="252">
        <f>'[96]VENTAS TOTALES'!$F67</f>
        <v>6871</v>
      </c>
      <c r="CG55" s="253">
        <f>'[96]VENTAS TOTALES'!$G67</f>
        <v>4068100</v>
      </c>
      <c r="CH55" s="253">
        <f>'[96]VENTAS TOTALES'!$H67</f>
        <v>15748800</v>
      </c>
      <c r="CI55" s="252">
        <f>'[97]VENTAS TOTALES'!$F67</f>
        <v>6678</v>
      </c>
      <c r="CJ55" s="253">
        <f>'[97]VENTAS TOTALES'!$G67</f>
        <v>4273100</v>
      </c>
      <c r="CK55" s="253">
        <f>'[97]VENTAS TOTALES'!$H67</f>
        <v>15625700</v>
      </c>
      <c r="CL55" s="252">
        <f>'[98]VENTAS TOTALES'!$F67</f>
        <v>5556</v>
      </c>
      <c r="CM55" s="253">
        <f>'[98]VENTAS TOTALES'!$G67</f>
        <v>3206900</v>
      </c>
      <c r="CN55" s="253">
        <f>'[98]VENTAS TOTALES'!$H67</f>
        <v>12652100</v>
      </c>
      <c r="CO55" s="252">
        <f>'[99]VENTAS TOTALES'!$F67</f>
        <v>4871</v>
      </c>
      <c r="CP55" s="253">
        <f>'[99]VENTAS TOTALES'!$G67</f>
        <v>2724100</v>
      </c>
      <c r="CQ55" s="253">
        <f>'[99]VENTAS TOTALES'!$H67</f>
        <v>11004800</v>
      </c>
      <c r="CR55" s="252">
        <f>'[100]VENTAS TOTALES'!$F67</f>
        <v>4471</v>
      </c>
      <c r="CS55" s="253">
        <f>'[100]VENTAS TOTALES'!$G67</f>
        <v>2123900</v>
      </c>
      <c r="CT55" s="253">
        <f>'[100]VENTAS TOTALES'!$H67</f>
        <v>9724600</v>
      </c>
      <c r="CU55" s="252">
        <f>'[101]VENTAS TOTALES'!$F67</f>
        <v>1816</v>
      </c>
      <c r="CV55" s="253">
        <f>'[101]VENTAS TOTALES'!$G67</f>
        <v>842900</v>
      </c>
      <c r="CW55" s="253">
        <f>'[101]VENTAS TOTALES'!$H67</f>
        <v>3930100</v>
      </c>
      <c r="CX55" s="252">
        <f>'[102]VENTAS TOTALES'!$F67</f>
        <v>459</v>
      </c>
      <c r="CY55" s="253">
        <f>'[102]VENTAS TOTALES'!$G67</f>
        <v>124100</v>
      </c>
      <c r="CZ55" s="253">
        <f>'[102]VENTAS TOTALES'!$H67</f>
        <v>904400</v>
      </c>
    </row>
    <row r="56" spans="1:104" x14ac:dyDescent="0.2">
      <c r="A56" s="443"/>
      <c r="B56" s="45" t="s">
        <v>97</v>
      </c>
      <c r="C56" s="252">
        <f>'[69]VENTAS TOTALES'!$F68</f>
        <v>9165</v>
      </c>
      <c r="D56" s="253">
        <f>'[69]VENTAS TOTALES'!$G68</f>
        <v>4424100</v>
      </c>
      <c r="E56" s="253">
        <f>'[69]VENTAS TOTALES'!$H68</f>
        <v>20004600</v>
      </c>
      <c r="F56" s="252">
        <f>'[70]VENTAS TOTALES'!$F68</f>
        <v>8969</v>
      </c>
      <c r="G56" s="253">
        <f>'[70]VENTAS TOTALES'!$G68</f>
        <v>4255100</v>
      </c>
      <c r="H56" s="253">
        <f>'[70]VENTAS TOTALES'!$H68</f>
        <v>19502400</v>
      </c>
      <c r="I56" s="252">
        <f>'[71]VENTAS TOTALES'!$F68</f>
        <v>7623</v>
      </c>
      <c r="J56" s="253">
        <f>'[71]VENTAS TOTALES'!$G68</f>
        <v>3118700</v>
      </c>
      <c r="K56" s="253">
        <f>'[71]VENTAS TOTALES'!$H68</f>
        <v>16077800</v>
      </c>
      <c r="L56" s="252">
        <f>'[72]VENTAS TOTALES'!$F68</f>
        <v>7636</v>
      </c>
      <c r="M56" s="253">
        <f>'[72]VENTAS TOTALES'!$G68</f>
        <v>2425300</v>
      </c>
      <c r="N56" s="253">
        <f>'[72]VENTAS TOTALES'!$H68</f>
        <v>15406500</v>
      </c>
      <c r="O56" s="252">
        <f>'[73]VENTAS TOTALES'!$F68</f>
        <v>4485</v>
      </c>
      <c r="P56" s="253">
        <f>'[73]VENTAS TOTALES'!$G68</f>
        <v>1155500</v>
      </c>
      <c r="Q56" s="253">
        <f>'[73]VENTAS TOTALES'!$H68</f>
        <v>8780000</v>
      </c>
      <c r="R56" s="252">
        <f>'[74]VENTAS TOTALES'!$F68</f>
        <v>1635</v>
      </c>
      <c r="S56" s="253">
        <f>'[74]VENTAS TOTALES'!$G68</f>
        <v>408900</v>
      </c>
      <c r="T56" s="253">
        <f>'[74]VENTAS TOTALES'!$H68</f>
        <v>3188400</v>
      </c>
      <c r="U56" s="252">
        <f>'[75]VENTAS TOTALES'!$F68</f>
        <v>9292</v>
      </c>
      <c r="V56" s="253">
        <f>'[75]VENTAS TOTALES'!$G68</f>
        <v>3183500</v>
      </c>
      <c r="W56" s="253">
        <f>'[75]VENTAS TOTALES'!$H68</f>
        <v>18979900</v>
      </c>
      <c r="X56" s="252">
        <f>'[76]VENTAS TOTALES'!$F68</f>
        <v>8251</v>
      </c>
      <c r="Y56" s="253">
        <f>'[76]VENTAS TOTALES'!$G68</f>
        <v>2743800</v>
      </c>
      <c r="Z56" s="253">
        <f>'[76]VENTAS TOTALES'!$H68</f>
        <v>16770500</v>
      </c>
      <c r="AA56" s="252">
        <f>'[77]VENTAS TOTALES'!$F68</f>
        <v>7767</v>
      </c>
      <c r="AB56" s="253">
        <f>'[77]VENTAS TOTALES'!$G68</f>
        <v>2269900</v>
      </c>
      <c r="AC56" s="253">
        <f>'[77]VENTAS TOTALES'!$H68</f>
        <v>15473800</v>
      </c>
      <c r="AD56" s="252">
        <f>'[78]VENTAS TOTALES'!$F68</f>
        <v>7932</v>
      </c>
      <c r="AE56" s="253">
        <f>'[78]VENTAS TOTALES'!$G68</f>
        <v>2622700</v>
      </c>
      <c r="AF56" s="253">
        <f>'[78]VENTAS TOTALES'!$H68</f>
        <v>16107100</v>
      </c>
      <c r="AG56" s="252">
        <f>'[79]VENTAS TOTALES'!$F68</f>
        <v>7625</v>
      </c>
      <c r="AH56" s="253">
        <f>'[79]VENTAS TOTALES'!$G68</f>
        <v>2489300</v>
      </c>
      <c r="AI56" s="253">
        <f>'[79]VENTAS TOTALES'!$H68</f>
        <v>15451800</v>
      </c>
      <c r="AJ56" s="252">
        <f>'[80]VENTAS TOTALES'!$F68</f>
        <v>4137</v>
      </c>
      <c r="AK56" s="253">
        <f>'[80]VENTAS TOTALES'!$G68</f>
        <v>1132800</v>
      </c>
      <c r="AL56" s="253">
        <f>'[80]VENTAS TOTALES'!$H68</f>
        <v>8165700</v>
      </c>
      <c r="AM56" s="252">
        <f>'[81]VENTAS TOTALES'!$F68</f>
        <v>1364</v>
      </c>
      <c r="AN56" s="253">
        <f>'[81]VENTAS TOTALES'!$G68</f>
        <v>487800</v>
      </c>
      <c r="AO56" s="253">
        <f>'[81]VENTAS TOTALES'!$H68</f>
        <v>2806600</v>
      </c>
      <c r="AP56" s="252">
        <f>'[82]VENTAS TOTALES'!$F68</f>
        <v>10289</v>
      </c>
      <c r="AQ56" s="253">
        <f>'[82]VENTAS TOTALES'!$G68</f>
        <v>3555600</v>
      </c>
      <c r="AR56" s="253">
        <f>'[82]VENTAS TOTALES'!$H68</f>
        <v>21046900</v>
      </c>
      <c r="AS56" s="252">
        <f>'[83]VENTAS TOTALES'!$F68</f>
        <v>8677</v>
      </c>
      <c r="AT56" s="253">
        <f>'[83]VENTAS TOTALES'!$G68</f>
        <v>5361300</v>
      </c>
      <c r="AU56" s="253">
        <f>'[83]VENTAS TOTALES'!$H68</f>
        <v>20112200</v>
      </c>
      <c r="AV56" s="252">
        <f>'[84]VENTAS TOTALES'!$F68</f>
        <v>8770</v>
      </c>
      <c r="AW56" s="253">
        <f>'[84]VENTAS TOTALES'!$G68</f>
        <v>3853000</v>
      </c>
      <c r="AX56" s="253">
        <f>'[84]VENTAS TOTALES'!$H68</f>
        <v>18762000</v>
      </c>
      <c r="AY56" s="252">
        <f>'[85]VENTAS TOTALES'!$F68</f>
        <v>7821</v>
      </c>
      <c r="AZ56" s="253">
        <f>'[85]VENTAS TOTALES'!$G68</f>
        <v>3022300</v>
      </c>
      <c r="BA56" s="253">
        <f>'[85]VENTAS TOTALES'!$H68</f>
        <v>16318000</v>
      </c>
      <c r="BB56" s="252">
        <f>'[86]VENTAS TOTALES'!$F68</f>
        <v>8307</v>
      </c>
      <c r="BC56" s="253">
        <f>'[86]VENTAS TOTALES'!$G68</f>
        <v>2532400</v>
      </c>
      <c r="BD56" s="253">
        <f>'[86]VENTAS TOTALES'!$H68</f>
        <v>16654300</v>
      </c>
      <c r="BE56" s="252">
        <f>'[87]VENTAS TOTALES'!$F68</f>
        <v>4151</v>
      </c>
      <c r="BF56" s="253">
        <f>'[87]VENTAS TOTALES'!$G68</f>
        <v>1421900</v>
      </c>
      <c r="BG56" s="253">
        <f>'[87]VENTAS TOTALES'!$H68</f>
        <v>8478600</v>
      </c>
      <c r="BH56" s="252">
        <f>'[88]VENTAS TOTALES'!$F68</f>
        <v>1606</v>
      </c>
      <c r="BI56" s="253">
        <f>'[88]VENTAS TOTALES'!$G68</f>
        <v>335700</v>
      </c>
      <c r="BJ56" s="253">
        <f>'[88]VENTAS TOTALES'!$H68</f>
        <v>3065900</v>
      </c>
      <c r="BK56" s="252">
        <f>'[89]VENTAS TOTALES'!$F68</f>
        <v>10103</v>
      </c>
      <c r="BL56" s="253">
        <f>'[89]VENTAS TOTALES'!$G68</f>
        <v>3658300</v>
      </c>
      <c r="BM56" s="253">
        <f>'[89]VENTAS TOTALES'!$H68</f>
        <v>20833400</v>
      </c>
      <c r="BN56" s="252">
        <f>'[90]VENTAS TOTALES'!$F68</f>
        <v>8926</v>
      </c>
      <c r="BO56" s="253">
        <f>'[90]VENTAS TOTALES'!$G68</f>
        <v>2880400</v>
      </c>
      <c r="BP56" s="253">
        <f>'[90]VENTAS TOTALES'!$H68</f>
        <v>18054600</v>
      </c>
      <c r="BQ56" s="252">
        <f>'[91]VENTAS TOTALES'!$F68</f>
        <v>8445</v>
      </c>
      <c r="BR56" s="253">
        <f>'[91]VENTAS TOTALES'!$G68</f>
        <v>3067300</v>
      </c>
      <c r="BS56" s="253">
        <f>'[91]VENTAS TOTALES'!$H68</f>
        <v>17423800</v>
      </c>
      <c r="BT56" s="252">
        <f>'[92]VENTAS TOTALES'!$F68</f>
        <v>8397</v>
      </c>
      <c r="BU56" s="253">
        <f>'[92]VENTAS TOTALES'!$G68</f>
        <v>2730500</v>
      </c>
      <c r="BV56" s="253">
        <f>'[92]VENTAS TOTALES'!$H68</f>
        <v>17005400</v>
      </c>
      <c r="BW56" s="252">
        <f>'[93]VENTAS TOTALES'!$F68</f>
        <v>8409</v>
      </c>
      <c r="BX56" s="253">
        <f>'[93]VENTAS TOTALES'!$G68</f>
        <v>2800400</v>
      </c>
      <c r="BY56" s="253">
        <f>'[93]VENTAS TOTALES'!$H68</f>
        <v>17095700</v>
      </c>
      <c r="BZ56" s="252">
        <f>'[94]VENTAS TOTALES'!$F68</f>
        <v>4425</v>
      </c>
      <c r="CA56" s="253">
        <f>'[94]VENTAS TOTALES'!$G68</f>
        <v>1502500</v>
      </c>
      <c r="CB56" s="253">
        <f>'[94]VENTAS TOTALES'!$H68</f>
        <v>9025000</v>
      </c>
      <c r="CC56" s="252">
        <f>'[95]VENTAS TOTALES'!$F68</f>
        <v>1382</v>
      </c>
      <c r="CD56" s="253">
        <f>'[95]VENTAS TOTALES'!$G68</f>
        <v>265600</v>
      </c>
      <c r="CE56" s="253">
        <f>'[95]VENTAS TOTALES'!$H68</f>
        <v>2615000</v>
      </c>
      <c r="CF56" s="252">
        <f>'[96]VENTAS TOTALES'!$F68</f>
        <v>11664</v>
      </c>
      <c r="CG56" s="253">
        <f>'[96]VENTAS TOTALES'!$G68</f>
        <v>6696700</v>
      </c>
      <c r="CH56" s="253">
        <f>'[96]VENTAS TOTALES'!$H68</f>
        <v>26525500</v>
      </c>
      <c r="CI56" s="252">
        <f>'[97]VENTAS TOTALES'!$F68</f>
        <v>10167</v>
      </c>
      <c r="CJ56" s="253">
        <f>'[97]VENTAS TOTALES'!$G68</f>
        <v>4427000</v>
      </c>
      <c r="CK56" s="253">
        <f>'[97]VENTAS TOTALES'!$H68</f>
        <v>21710900</v>
      </c>
      <c r="CL56" s="252">
        <f>'[98]VENTAS TOTALES'!$F68</f>
        <v>9435</v>
      </c>
      <c r="CM56" s="253">
        <f>'[98]VENTAS TOTALES'!$G68</f>
        <v>4274400</v>
      </c>
      <c r="CN56" s="253">
        <f>'[98]VENTAS TOTALES'!$H68</f>
        <v>20313900</v>
      </c>
      <c r="CO56" s="252">
        <f>'[99]VENTAS TOTALES'!$F68</f>
        <v>8827</v>
      </c>
      <c r="CP56" s="253">
        <f>'[99]VENTAS TOTALES'!$G68</f>
        <v>2768900</v>
      </c>
      <c r="CQ56" s="253">
        <f>'[99]VENTAS TOTALES'!$H68</f>
        <v>17774800</v>
      </c>
      <c r="CR56" s="252">
        <f>'[100]VENTAS TOTALES'!$F68</f>
        <v>8457</v>
      </c>
      <c r="CS56" s="253">
        <f>'[100]VENTAS TOTALES'!$G68</f>
        <v>2409600</v>
      </c>
      <c r="CT56" s="253">
        <f>'[100]VENTAS TOTALES'!$H68</f>
        <v>16786500</v>
      </c>
      <c r="CU56" s="252">
        <f>'[101]VENTAS TOTALES'!$F68</f>
        <v>4434</v>
      </c>
      <c r="CV56" s="253">
        <f>'[101]VENTAS TOTALES'!$G68</f>
        <v>1324600</v>
      </c>
      <c r="CW56" s="253">
        <f>'[101]VENTAS TOTALES'!$H68</f>
        <v>8862400</v>
      </c>
      <c r="CX56" s="252">
        <f>'[102]VENTAS TOTALES'!$F68</f>
        <v>1444</v>
      </c>
      <c r="CY56" s="253">
        <f>'[102]VENTAS TOTALES'!$G68</f>
        <v>322300</v>
      </c>
      <c r="CZ56" s="253">
        <f>'[102]VENTAS TOTALES'!$H68</f>
        <v>2777100</v>
      </c>
    </row>
    <row r="57" spans="1:104" x14ac:dyDescent="0.2">
      <c r="A57" s="443"/>
      <c r="B57" s="45" t="s">
        <v>98</v>
      </c>
      <c r="C57" s="252">
        <f>'[69]VENTAS TOTALES'!$F69</f>
        <v>6914</v>
      </c>
      <c r="D57" s="253">
        <f>'[69]VENTAS TOTALES'!$G69</f>
        <v>3500200</v>
      </c>
      <c r="E57" s="253">
        <f>'[69]VENTAS TOTALES'!$H69</f>
        <v>15254000</v>
      </c>
      <c r="F57" s="252">
        <f>'[70]VENTAS TOTALES'!$F69</f>
        <v>6794</v>
      </c>
      <c r="G57" s="253">
        <f>'[70]VENTAS TOTALES'!$G69</f>
        <v>3224800</v>
      </c>
      <c r="H57" s="253">
        <f>'[70]VENTAS TOTALES'!$H69</f>
        <v>14774600</v>
      </c>
      <c r="I57" s="252">
        <f>'[71]VENTAS TOTALES'!$F69</f>
        <v>5863</v>
      </c>
      <c r="J57" s="253">
        <f>'[71]VENTAS TOTALES'!$G69</f>
        <v>2668300</v>
      </c>
      <c r="K57" s="253">
        <f>'[71]VENTAS TOTALES'!$H69</f>
        <v>12635400</v>
      </c>
      <c r="L57" s="252">
        <f>'[72]VENTAS TOTALES'!$F69</f>
        <v>6021</v>
      </c>
      <c r="M57" s="253">
        <f>'[72]VENTAS TOTALES'!$G69</f>
        <v>1635300</v>
      </c>
      <c r="N57" s="253">
        <f>'[72]VENTAS TOTALES'!$H69</f>
        <v>11871000</v>
      </c>
      <c r="O57" s="252">
        <f>'[73]VENTAS TOTALES'!$F69</f>
        <v>3261</v>
      </c>
      <c r="P57" s="253">
        <f>'[73]VENTAS TOTALES'!$G69</f>
        <v>857200</v>
      </c>
      <c r="Q57" s="253">
        <f>'[73]VENTAS TOTALES'!$H69</f>
        <v>6400900</v>
      </c>
      <c r="R57" s="252">
        <f>'[74]VENTAS TOTALES'!$F69</f>
        <v>1397</v>
      </c>
      <c r="S57" s="253">
        <f>'[74]VENTAS TOTALES'!$G69</f>
        <v>354400</v>
      </c>
      <c r="T57" s="253">
        <f>'[74]VENTAS TOTALES'!$H69</f>
        <v>2729300</v>
      </c>
      <c r="U57" s="252">
        <f>'[75]VENTAS TOTALES'!$F69</f>
        <v>7668</v>
      </c>
      <c r="V57" s="253">
        <f>'[75]VENTAS TOTALES'!$G69</f>
        <v>3553700</v>
      </c>
      <c r="W57" s="253">
        <f>'[75]VENTAS TOTALES'!$H69</f>
        <v>16589300</v>
      </c>
      <c r="X57" s="252">
        <f>'[76]VENTAS TOTALES'!$F69</f>
        <v>6474</v>
      </c>
      <c r="Y57" s="253">
        <f>'[76]VENTAS TOTALES'!$G69</f>
        <v>2154700</v>
      </c>
      <c r="Z57" s="253">
        <f>'[76]VENTAS TOTALES'!$H69</f>
        <v>13160500</v>
      </c>
      <c r="AA57" s="252">
        <f>'[77]VENTAS TOTALES'!$F69</f>
        <v>6368</v>
      </c>
      <c r="AB57" s="253">
        <f>'[77]VENTAS TOTALES'!$G69</f>
        <v>2278400</v>
      </c>
      <c r="AC57" s="253">
        <f>'[77]VENTAS TOTALES'!$H69</f>
        <v>13104000</v>
      </c>
      <c r="AD57" s="252">
        <f>'[78]VENTAS TOTALES'!$F69</f>
        <v>5891</v>
      </c>
      <c r="AE57" s="253">
        <f>'[78]VENTAS TOTALES'!$G69</f>
        <v>2286400</v>
      </c>
      <c r="AF57" s="253">
        <f>'[78]VENTAS TOTALES'!$H69</f>
        <v>12301100</v>
      </c>
      <c r="AG57" s="252">
        <f>'[79]VENTAS TOTALES'!$F69</f>
        <v>5649</v>
      </c>
      <c r="AH57" s="253">
        <f>'[79]VENTAS TOTALES'!$G69</f>
        <v>2010200</v>
      </c>
      <c r="AI57" s="253">
        <f>'[79]VENTAS TOTALES'!$H69</f>
        <v>11613500</v>
      </c>
      <c r="AJ57" s="252">
        <f>'[80]VENTAS TOTALES'!$F69</f>
        <v>2856</v>
      </c>
      <c r="AK57" s="253">
        <f>'[80]VENTAS TOTALES'!$G69</f>
        <v>778800</v>
      </c>
      <c r="AL57" s="253">
        <f>'[80]VENTAS TOTALES'!$H69</f>
        <v>5634000</v>
      </c>
      <c r="AM57" s="252">
        <f>'[81]VENTAS TOTALES'!$F69</f>
        <v>1409</v>
      </c>
      <c r="AN57" s="253">
        <f>'[81]VENTAS TOTALES'!$G69</f>
        <v>235700</v>
      </c>
      <c r="AO57" s="253">
        <f>'[81]VENTAS TOTALES'!$H69</f>
        <v>2631000</v>
      </c>
      <c r="AP57" s="252">
        <f>'[82]VENTAS TOTALES'!$F69</f>
        <v>7462</v>
      </c>
      <c r="AQ57" s="253">
        <f>'[82]VENTAS TOTALES'!$G69</f>
        <v>2897800</v>
      </c>
      <c r="AR57" s="253">
        <f>'[82]VENTAS TOTALES'!$H69</f>
        <v>15583200</v>
      </c>
      <c r="AS57" s="252">
        <f>'[83]VENTAS TOTALES'!$F69</f>
        <v>6996</v>
      </c>
      <c r="AT57" s="253">
        <f>'[83]VENTAS TOTALES'!$G69</f>
        <v>3558100</v>
      </c>
      <c r="AU57" s="253">
        <f>'[83]VENTAS TOTALES'!$H69</f>
        <v>15451300</v>
      </c>
      <c r="AV57" s="252">
        <f>'[84]VENTAS TOTALES'!$F69</f>
        <v>6826</v>
      </c>
      <c r="AW57" s="253">
        <f>'[84]VENTAS TOTALES'!$G69</f>
        <v>3687200</v>
      </c>
      <c r="AX57" s="253">
        <f>'[84]VENTAS TOTALES'!$H69</f>
        <v>15291400</v>
      </c>
      <c r="AY57" s="252">
        <f>'[85]VENTAS TOTALES'!$F69</f>
        <v>6343</v>
      </c>
      <c r="AZ57" s="253">
        <f>'[85]VENTAS TOTALES'!$G69</f>
        <v>2540600</v>
      </c>
      <c r="BA57" s="253">
        <f>'[85]VENTAS TOTALES'!$H69</f>
        <v>13323700</v>
      </c>
      <c r="BB57" s="252">
        <f>'[86]VENTAS TOTALES'!$F69</f>
        <v>5569</v>
      </c>
      <c r="BC57" s="253">
        <f>'[86]VENTAS TOTALES'!$G69</f>
        <v>1984400</v>
      </c>
      <c r="BD57" s="253">
        <f>'[86]VENTAS TOTALES'!$H69</f>
        <v>11451700</v>
      </c>
      <c r="BE57" s="252">
        <f>'[87]VENTAS TOTALES'!$F69</f>
        <v>2943</v>
      </c>
      <c r="BF57" s="253">
        <f>'[87]VENTAS TOTALES'!$G69</f>
        <v>847600</v>
      </c>
      <c r="BG57" s="253">
        <f>'[87]VENTAS TOTALES'!$H69</f>
        <v>5850700</v>
      </c>
      <c r="BH57" s="252">
        <f>'[88]VENTAS TOTALES'!$F69</f>
        <v>1562</v>
      </c>
      <c r="BI57" s="253">
        <f>'[88]VENTAS TOTALES'!$G69</f>
        <v>384800</v>
      </c>
      <c r="BJ57" s="253">
        <f>'[88]VENTAS TOTALES'!$H69</f>
        <v>3040200</v>
      </c>
      <c r="BK57" s="252">
        <f>'[89]VENTAS TOTALES'!$F69</f>
        <v>6901</v>
      </c>
      <c r="BL57" s="253">
        <f>'[89]VENTAS TOTALES'!$G69</f>
        <v>2511200</v>
      </c>
      <c r="BM57" s="253">
        <f>'[89]VENTAS TOTALES'!$H69</f>
        <v>14242900</v>
      </c>
      <c r="BN57" s="252">
        <f>'[90]VENTAS TOTALES'!$F69</f>
        <v>6384</v>
      </c>
      <c r="BO57" s="253">
        <f>'[90]VENTAS TOTALES'!$G69</f>
        <v>2352400</v>
      </c>
      <c r="BP57" s="253">
        <f>'[90]VENTAS TOTALES'!$H69</f>
        <v>13205200</v>
      </c>
      <c r="BQ57" s="252">
        <f>'[91]VENTAS TOTALES'!$F69</f>
        <v>6106</v>
      </c>
      <c r="BR57" s="253">
        <f>'[91]VENTAS TOTALES'!$G69</f>
        <v>2554900</v>
      </c>
      <c r="BS57" s="253">
        <f>'[91]VENTAS TOTALES'!$H69</f>
        <v>12935100</v>
      </c>
      <c r="BT57" s="252">
        <f>'[92]VENTAS TOTALES'!$F69</f>
        <v>5846</v>
      </c>
      <c r="BU57" s="253">
        <f>'[92]VENTAS TOTALES'!$G69</f>
        <v>1823300</v>
      </c>
      <c r="BV57" s="253">
        <f>'[92]VENTAS TOTALES'!$H69</f>
        <v>11761500</v>
      </c>
      <c r="BW57" s="252">
        <f>'[93]VENTAS TOTALES'!$F69</f>
        <v>6371</v>
      </c>
      <c r="BX57" s="253">
        <f>'[93]VENTAS TOTALES'!$G69</f>
        <v>2202000</v>
      </c>
      <c r="BY57" s="253">
        <f>'[93]VENTAS TOTALES'!$H69</f>
        <v>13032700</v>
      </c>
      <c r="BZ57" s="252">
        <f>'[94]VENTAS TOTALES'!$F69</f>
        <v>3058</v>
      </c>
      <c r="CA57" s="253">
        <f>'[94]VENTAS TOTALES'!$G69</f>
        <v>1158500</v>
      </c>
      <c r="CB57" s="253">
        <f>'[94]VENTAS TOTALES'!$H69</f>
        <v>6357100</v>
      </c>
      <c r="CC57" s="252">
        <f>'[95]VENTAS TOTALES'!$F69</f>
        <v>1553</v>
      </c>
      <c r="CD57" s="253">
        <f>'[95]VENTAS TOTALES'!$G69</f>
        <v>430600</v>
      </c>
      <c r="CE57" s="253">
        <f>'[95]VENTAS TOTALES'!$H69</f>
        <v>3070700</v>
      </c>
      <c r="CF57" s="252">
        <f>'[96]VENTAS TOTALES'!$F69</f>
        <v>8124</v>
      </c>
      <c r="CG57" s="253">
        <f>'[96]VENTAS TOTALES'!$G69</f>
        <v>5091000</v>
      </c>
      <c r="CH57" s="253">
        <f>'[96]VENTAS TOTALES'!$H69</f>
        <v>18901800</v>
      </c>
      <c r="CI57" s="252">
        <f>'[97]VENTAS TOTALES'!$F69</f>
        <v>7714</v>
      </c>
      <c r="CJ57" s="253">
        <f>'[97]VENTAS TOTALES'!$G69</f>
        <v>4358000</v>
      </c>
      <c r="CK57" s="253">
        <f>'[97]VENTAS TOTALES'!$H69</f>
        <v>17471800</v>
      </c>
      <c r="CL57" s="252">
        <f>'[98]VENTAS TOTALES'!$F69</f>
        <v>7165</v>
      </c>
      <c r="CM57" s="253">
        <f>'[98]VENTAS TOTALES'!$G69</f>
        <v>3819500</v>
      </c>
      <c r="CN57" s="253">
        <f>'[98]VENTAS TOTALES'!$H69</f>
        <v>16000000</v>
      </c>
      <c r="CO57" s="252">
        <f>'[99]VENTAS TOTALES'!$F69</f>
        <v>6074</v>
      </c>
      <c r="CP57" s="253">
        <f>'[99]VENTAS TOTALES'!$G69</f>
        <v>2976300</v>
      </c>
      <c r="CQ57" s="253">
        <f>'[99]VENTAS TOTALES'!$H69</f>
        <v>13302100</v>
      </c>
      <c r="CR57" s="252">
        <f>'[100]VENTAS TOTALES'!$F69</f>
        <v>5745</v>
      </c>
      <c r="CS57" s="253">
        <f>'[100]VENTAS TOTALES'!$G69</f>
        <v>1926300</v>
      </c>
      <c r="CT57" s="253">
        <f>'[100]VENTAS TOTALES'!$H69</f>
        <v>11692800</v>
      </c>
      <c r="CU57" s="252">
        <f>'[101]VENTAS TOTALES'!$F69</f>
        <v>3160</v>
      </c>
      <c r="CV57" s="253">
        <f>'[101]VENTAS TOTALES'!$G69</f>
        <v>829400</v>
      </c>
      <c r="CW57" s="253">
        <f>'[101]VENTAS TOTALES'!$H69</f>
        <v>6201400</v>
      </c>
      <c r="CX57" s="252">
        <f>'[102]VENTAS TOTALES'!$F69</f>
        <v>1630</v>
      </c>
      <c r="CY57" s="253">
        <f>'[102]VENTAS TOTALES'!$G69</f>
        <v>313000</v>
      </c>
      <c r="CZ57" s="253">
        <f>'[102]VENTAS TOTALES'!$H69</f>
        <v>3084000</v>
      </c>
    </row>
    <row r="58" spans="1:104" x14ac:dyDescent="0.2">
      <c r="A58" s="443"/>
      <c r="B58" s="45" t="s">
        <v>62</v>
      </c>
      <c r="C58" s="252">
        <f>'[69]VENTAS TOTALES'!$F70</f>
        <v>12111</v>
      </c>
      <c r="D58" s="253">
        <f>'[69]VENTAS TOTALES'!$G70</f>
        <v>6761550</v>
      </c>
      <c r="E58" s="253">
        <f>'[69]VENTAS TOTALES'!$H70</f>
        <v>27350250</v>
      </c>
      <c r="F58" s="252">
        <f>'[70]VENTAS TOTALES'!$F70</f>
        <v>11062</v>
      </c>
      <c r="G58" s="253">
        <f>'[70]VENTAS TOTALES'!$G70</f>
        <v>5056600</v>
      </c>
      <c r="H58" s="253">
        <f>'[70]VENTAS TOTALES'!$H70</f>
        <v>23862000</v>
      </c>
      <c r="I58" s="252">
        <f>'[71]VENTAS TOTALES'!$F70</f>
        <v>9993</v>
      </c>
      <c r="J58" s="253">
        <f>'[71]VENTAS TOTALES'!$G70</f>
        <v>4286800</v>
      </c>
      <c r="K58" s="253">
        <f>'[71]VENTAS TOTALES'!$H70</f>
        <v>21274900</v>
      </c>
      <c r="L58" s="252">
        <f>'[72]VENTAS TOTALES'!$F70</f>
        <v>10470</v>
      </c>
      <c r="M58" s="253">
        <f>'[72]VENTAS TOTALES'!$G70</f>
        <v>3535400</v>
      </c>
      <c r="N58" s="253">
        <f>'[72]VENTAS TOTALES'!$H70</f>
        <v>21334400</v>
      </c>
      <c r="O58" s="252">
        <f>'[73]VENTAS TOTALES'!$F70</f>
        <v>4340</v>
      </c>
      <c r="P58" s="253">
        <f>'[73]VENTAS TOTALES'!$G70</f>
        <v>1510200</v>
      </c>
      <c r="Q58" s="253">
        <f>'[73]VENTAS TOTALES'!$H70</f>
        <v>8888200</v>
      </c>
      <c r="R58" s="252">
        <f>'[74]VENTAS TOTALES'!$F70</f>
        <v>1747</v>
      </c>
      <c r="S58" s="253">
        <f>'[74]VENTAS TOTALES'!$G70</f>
        <v>598200</v>
      </c>
      <c r="T58" s="253">
        <f>'[74]VENTAS TOTALES'!$H70</f>
        <v>3568100</v>
      </c>
      <c r="U58" s="252">
        <f>'[75]VENTAS TOTALES'!$F70</f>
        <v>12499</v>
      </c>
      <c r="V58" s="253">
        <f>'[75]VENTAS TOTALES'!$G70</f>
        <v>5382600</v>
      </c>
      <c r="W58" s="253">
        <f>'[75]VENTAS TOTALES'!$H70</f>
        <v>26630900</v>
      </c>
      <c r="X58" s="252">
        <f>'[76]VENTAS TOTALES'!$F70</f>
        <v>10989</v>
      </c>
      <c r="Y58" s="253">
        <f>'[76]VENTAS TOTALES'!$G70</f>
        <v>3714500</v>
      </c>
      <c r="Z58" s="253">
        <f>'[76]VENTAS TOTALES'!$H70</f>
        <v>22395800</v>
      </c>
      <c r="AA58" s="252">
        <f>'[77]VENTAS TOTALES'!$F70</f>
        <v>10261</v>
      </c>
      <c r="AB58" s="253">
        <f>'[77]VENTAS TOTALES'!$G70</f>
        <v>3682450</v>
      </c>
      <c r="AC58" s="253">
        <f>'[77]VENTAS TOTALES'!$H70</f>
        <v>21126150</v>
      </c>
      <c r="AD58" s="252">
        <f>'[78]VENTAS TOTALES'!$F70</f>
        <v>10642</v>
      </c>
      <c r="AE58" s="253">
        <f>'[78]VENTAS TOTALES'!$G70</f>
        <v>4813000</v>
      </c>
      <c r="AF58" s="253">
        <f>'[78]VENTAS TOTALES'!$H70</f>
        <v>22904400</v>
      </c>
      <c r="AG58" s="252">
        <f>'[79]VENTAS TOTALES'!$F70</f>
        <v>9631</v>
      </c>
      <c r="AH58" s="253">
        <f>'[79]VENTAS TOTALES'!$G70</f>
        <v>4271200</v>
      </c>
      <c r="AI58" s="253">
        <f>'[79]VENTAS TOTALES'!$H70</f>
        <v>20643900</v>
      </c>
      <c r="AJ58" s="252">
        <f>'[80]VENTAS TOTALES'!$F70</f>
        <v>4356</v>
      </c>
      <c r="AK58" s="253">
        <f>'[80]VENTAS TOTALES'!$G70</f>
        <v>1450700</v>
      </c>
      <c r="AL58" s="253">
        <f>'[80]VENTAS TOTALES'!$H70</f>
        <v>8855900</v>
      </c>
      <c r="AM58" s="252">
        <f>'[81]VENTAS TOTALES'!$F70</f>
        <v>2144</v>
      </c>
      <c r="AN58" s="253">
        <f>'[81]VENTAS TOTALES'!$G70</f>
        <v>700900</v>
      </c>
      <c r="AO58" s="253">
        <f>'[81]VENTAS TOTALES'!$H70</f>
        <v>4345700</v>
      </c>
      <c r="AP58" s="252">
        <f>'[82]VENTAS TOTALES'!$F70</f>
        <v>13257</v>
      </c>
      <c r="AQ58" s="253">
        <f>'[82]VENTAS TOTALES'!$G70</f>
        <v>6381300</v>
      </c>
      <c r="AR58" s="253">
        <f>'[82]VENTAS TOTALES'!$H70</f>
        <v>28918200</v>
      </c>
      <c r="AS58" s="252">
        <f>'[83]VENTAS TOTALES'!$F70</f>
        <v>11900</v>
      </c>
      <c r="AT58" s="253">
        <f>'[83]VENTAS TOTALES'!$G70</f>
        <v>6132200</v>
      </c>
      <c r="AU58" s="253">
        <f>'[83]VENTAS TOTALES'!$H70</f>
        <v>26362200</v>
      </c>
      <c r="AV58" s="252">
        <f>'[84]VENTAS TOTALES'!$F70</f>
        <v>11752</v>
      </c>
      <c r="AW58" s="253">
        <f>'[84]VENTAS TOTALES'!$G70</f>
        <v>5077600</v>
      </c>
      <c r="AX58" s="253">
        <f>'[84]VENTAS TOTALES'!$H70</f>
        <v>25056000</v>
      </c>
      <c r="AY58" s="252">
        <f>'[85]VENTAS TOTALES'!$F70</f>
        <v>10227</v>
      </c>
      <c r="AZ58" s="253">
        <f>'[85]VENTAS TOTALES'!$G70</f>
        <v>4633600</v>
      </c>
      <c r="BA58" s="253">
        <f>'[85]VENTAS TOTALES'!$H70</f>
        <v>22019500</v>
      </c>
      <c r="BB58" s="252">
        <f>'[86]VENTAS TOTALES'!$F70</f>
        <v>10306</v>
      </c>
      <c r="BC58" s="253">
        <f>'[86]VENTAS TOTALES'!$G70</f>
        <v>3760750</v>
      </c>
      <c r="BD58" s="253">
        <f>'[86]VENTAS TOTALES'!$H70</f>
        <v>21280950</v>
      </c>
      <c r="BE58" s="252">
        <f>'[87]VENTAS TOTALES'!$F70</f>
        <v>4758</v>
      </c>
      <c r="BF58" s="253">
        <f>'[87]VENTAS TOTALES'!$G70</f>
        <v>1317800</v>
      </c>
      <c r="BG58" s="253">
        <f>'[87]VENTAS TOTALES'!$H70</f>
        <v>9406400</v>
      </c>
      <c r="BH58" s="252">
        <f>'[88]VENTAS TOTALES'!$F70</f>
        <v>1983</v>
      </c>
      <c r="BI58" s="253">
        <f>'[88]VENTAS TOTALES'!$G70</f>
        <v>595100</v>
      </c>
      <c r="BJ58" s="253">
        <f>'[88]VENTAS TOTALES'!$H70</f>
        <v>3966200</v>
      </c>
      <c r="BK58" s="252">
        <f>'[89]VENTAS TOTALES'!$F70</f>
        <v>13194</v>
      </c>
      <c r="BL58" s="253">
        <f>'[89]VENTAS TOTALES'!$G70</f>
        <v>4912000</v>
      </c>
      <c r="BM58" s="253">
        <f>'[89]VENTAS TOTALES'!$H70</f>
        <v>27341800</v>
      </c>
      <c r="BN58" s="252">
        <f>'[90]VENTAS TOTALES'!$F70</f>
        <v>11406</v>
      </c>
      <c r="BO58" s="253">
        <f>'[90]VENTAS TOTALES'!$G70</f>
        <v>4780050</v>
      </c>
      <c r="BP58" s="253">
        <f>'[90]VENTAS TOTALES'!$H70</f>
        <v>24170250</v>
      </c>
      <c r="BQ58" s="252">
        <f>'[91]VENTAS TOTALES'!$F70</f>
        <v>11220</v>
      </c>
      <c r="BR58" s="253">
        <f>'[91]VENTAS TOTALES'!$G70</f>
        <v>3873300</v>
      </c>
      <c r="BS58" s="253">
        <f>'[91]VENTAS TOTALES'!$H70</f>
        <v>22947300</v>
      </c>
      <c r="BT58" s="252">
        <f>'[92]VENTAS TOTALES'!$F70</f>
        <v>10312</v>
      </c>
      <c r="BU58" s="253">
        <f>'[92]VENTAS TOTALES'!$G70</f>
        <v>4277900</v>
      </c>
      <c r="BV58" s="253">
        <f>'[92]VENTAS TOTALES'!$H70</f>
        <v>21808300</v>
      </c>
      <c r="BW58" s="252">
        <f>'[93]VENTAS TOTALES'!$F70</f>
        <v>10434</v>
      </c>
      <c r="BX58" s="253">
        <f>'[93]VENTAS TOTALES'!$G70</f>
        <v>4546700</v>
      </c>
      <c r="BY58" s="253">
        <f>'[93]VENTAS TOTALES'!$H70</f>
        <v>22284500</v>
      </c>
      <c r="BZ58" s="252">
        <f>'[94]VENTAS TOTALES'!$F70</f>
        <v>4811</v>
      </c>
      <c r="CA58" s="253">
        <f>'[94]VENTAS TOTALES'!$G70</f>
        <v>2242600</v>
      </c>
      <c r="CB58" s="253">
        <f>'[94]VENTAS TOTALES'!$H70</f>
        <v>10421300</v>
      </c>
      <c r="CC58" s="252">
        <f>'[95]VENTAS TOTALES'!$F70</f>
        <v>1853</v>
      </c>
      <c r="CD58" s="253">
        <f>'[95]VENTAS TOTALES'!$G70</f>
        <v>630900</v>
      </c>
      <c r="CE58" s="253">
        <f>'[95]VENTAS TOTALES'!$H70</f>
        <v>3781000</v>
      </c>
      <c r="CF58" s="252">
        <f>'[96]VENTAS TOTALES'!$F70</f>
        <v>15419</v>
      </c>
      <c r="CG58" s="253">
        <f>'[96]VENTAS TOTALES'!$G70</f>
        <v>9376850</v>
      </c>
      <c r="CH58" s="253">
        <f>'[96]VENTAS TOTALES'!$H70</f>
        <v>35589150</v>
      </c>
      <c r="CI58" s="252">
        <f>'[97]VENTAS TOTALES'!$F70</f>
        <v>13515</v>
      </c>
      <c r="CJ58" s="253">
        <f>'[97]VENTAS TOTALES'!$G70</f>
        <v>7222900</v>
      </c>
      <c r="CK58" s="253">
        <f>'[97]VENTAS TOTALES'!$H70</f>
        <v>30198400</v>
      </c>
      <c r="CL58" s="252">
        <f>'[98]VENTAS TOTALES'!$F70</f>
        <v>12371</v>
      </c>
      <c r="CM58" s="253">
        <f>'[98]VENTAS TOTALES'!$G70</f>
        <v>5495200</v>
      </c>
      <c r="CN58" s="253">
        <f>'[98]VENTAS TOTALES'!$H70</f>
        <v>26525900</v>
      </c>
      <c r="CO58" s="252">
        <f>'[99]VENTAS TOTALES'!$F70</f>
        <v>10762</v>
      </c>
      <c r="CP58" s="253">
        <f>'[99]VENTAS TOTALES'!$G70</f>
        <v>4540200</v>
      </c>
      <c r="CQ58" s="253">
        <f>'[99]VENTAS TOTALES'!$H70</f>
        <v>22835600</v>
      </c>
      <c r="CR58" s="252">
        <f>'[100]VENTAS TOTALES'!$F70</f>
        <v>10408</v>
      </c>
      <c r="CS58" s="253">
        <f>'[100]VENTAS TOTALES'!$G70</f>
        <v>3312400</v>
      </c>
      <c r="CT58" s="253">
        <f>'[100]VENTAS TOTALES'!$H70</f>
        <v>21006000</v>
      </c>
      <c r="CU58" s="252">
        <f>'[101]VENTAS TOTALES'!$F70</f>
        <v>4363</v>
      </c>
      <c r="CV58" s="253">
        <f>'[101]VENTAS TOTALES'!$G70</f>
        <v>1571000</v>
      </c>
      <c r="CW58" s="253">
        <f>'[101]VENTAS TOTALES'!$H70</f>
        <v>8988100</v>
      </c>
      <c r="CX58" s="252">
        <f>'[102]VENTAS TOTALES'!$F70</f>
        <v>1688</v>
      </c>
      <c r="CY58" s="253">
        <f>'[102]VENTAS TOTALES'!$G70</f>
        <v>597600</v>
      </c>
      <c r="CZ58" s="253">
        <f>'[102]VENTAS TOTALES'!$H70</f>
        <v>3467200</v>
      </c>
    </row>
    <row r="59" spans="1:104" x14ac:dyDescent="0.2">
      <c r="A59" s="443"/>
      <c r="B59" s="45" t="s">
        <v>61</v>
      </c>
      <c r="C59" s="252">
        <f>'[69]VENTAS TOTALES'!$F71</f>
        <v>0</v>
      </c>
      <c r="D59" s="253">
        <f>'[69]VENTAS TOTALES'!$G71</f>
        <v>0</v>
      </c>
      <c r="E59" s="253">
        <f>'[69]VENTAS TOTALES'!$H71</f>
        <v>0</v>
      </c>
      <c r="F59" s="252">
        <f>'[70]VENTAS TOTALES'!$F71</f>
        <v>0</v>
      </c>
      <c r="G59" s="253">
        <f>'[70]VENTAS TOTALES'!$G71</f>
        <v>0</v>
      </c>
      <c r="H59" s="253">
        <f>'[70]VENTAS TOTALES'!$H71</f>
        <v>0</v>
      </c>
      <c r="I59" s="252">
        <f>'[71]VENTAS TOTALES'!$F71</f>
        <v>0</v>
      </c>
      <c r="J59" s="253">
        <f>'[71]VENTAS TOTALES'!$G71</f>
        <v>0</v>
      </c>
      <c r="K59" s="253">
        <f>'[71]VENTAS TOTALES'!$H71</f>
        <v>0</v>
      </c>
      <c r="L59" s="252">
        <f>'[72]VENTAS TOTALES'!$F71</f>
        <v>0</v>
      </c>
      <c r="M59" s="253">
        <f>'[72]VENTAS TOTALES'!$G71</f>
        <v>0</v>
      </c>
      <c r="N59" s="253">
        <f>'[72]VENTAS TOTALES'!$H71</f>
        <v>0</v>
      </c>
      <c r="O59" s="252">
        <f>'[73]VENTAS TOTALES'!$F71</f>
        <v>0</v>
      </c>
      <c r="P59" s="253">
        <f>'[73]VENTAS TOTALES'!$G71</f>
        <v>0</v>
      </c>
      <c r="Q59" s="253">
        <f>'[73]VENTAS TOTALES'!$H71</f>
        <v>0</v>
      </c>
      <c r="R59" s="252">
        <f>'[74]VENTAS TOTALES'!$F71</f>
        <v>0</v>
      </c>
      <c r="S59" s="253">
        <f>'[74]VENTAS TOTALES'!$G71</f>
        <v>0</v>
      </c>
      <c r="T59" s="253">
        <f>'[74]VENTAS TOTALES'!$H71</f>
        <v>0</v>
      </c>
      <c r="U59" s="252">
        <f>'[75]VENTAS TOTALES'!$F71</f>
        <v>0</v>
      </c>
      <c r="V59" s="253">
        <f>'[75]VENTAS TOTALES'!$G71</f>
        <v>0</v>
      </c>
      <c r="W59" s="253">
        <f>'[75]VENTAS TOTALES'!$H71</f>
        <v>0</v>
      </c>
      <c r="X59" s="252">
        <f>'[76]VENTAS TOTALES'!$F71</f>
        <v>0</v>
      </c>
      <c r="Y59" s="253">
        <f>'[76]VENTAS TOTALES'!$G71</f>
        <v>0</v>
      </c>
      <c r="Z59" s="253">
        <f>'[76]VENTAS TOTALES'!$H71</f>
        <v>0</v>
      </c>
      <c r="AA59" s="252">
        <f>'[77]VENTAS TOTALES'!$F71</f>
        <v>0</v>
      </c>
      <c r="AB59" s="253">
        <f>'[77]VENTAS TOTALES'!$G71</f>
        <v>0</v>
      </c>
      <c r="AC59" s="253">
        <f>'[77]VENTAS TOTALES'!$H71</f>
        <v>0</v>
      </c>
      <c r="AD59" s="252">
        <f>'[78]VENTAS TOTALES'!$F71</f>
        <v>0</v>
      </c>
      <c r="AE59" s="253">
        <f>'[78]VENTAS TOTALES'!$G71</f>
        <v>0</v>
      </c>
      <c r="AF59" s="253">
        <f>'[78]VENTAS TOTALES'!$H71</f>
        <v>0</v>
      </c>
      <c r="AG59" s="252">
        <f>'[79]VENTAS TOTALES'!$F71</f>
        <v>0</v>
      </c>
      <c r="AH59" s="253">
        <f>'[79]VENTAS TOTALES'!$G71</f>
        <v>0</v>
      </c>
      <c r="AI59" s="253">
        <f>'[79]VENTAS TOTALES'!$H71</f>
        <v>0</v>
      </c>
      <c r="AJ59" s="252">
        <f>'[80]VENTAS TOTALES'!$F71</f>
        <v>0</v>
      </c>
      <c r="AK59" s="253">
        <f>'[80]VENTAS TOTALES'!$G71</f>
        <v>0</v>
      </c>
      <c r="AL59" s="253">
        <f>'[80]VENTAS TOTALES'!$H71</f>
        <v>0</v>
      </c>
      <c r="AM59" s="252">
        <f>'[81]VENTAS TOTALES'!$F71</f>
        <v>0</v>
      </c>
      <c r="AN59" s="253">
        <f>'[81]VENTAS TOTALES'!$G71</f>
        <v>0</v>
      </c>
      <c r="AO59" s="253">
        <f>'[81]VENTAS TOTALES'!$H71</f>
        <v>0</v>
      </c>
      <c r="AP59" s="252">
        <f>'[82]VENTAS TOTALES'!$F71</f>
        <v>0</v>
      </c>
      <c r="AQ59" s="253">
        <f>'[82]VENTAS TOTALES'!$G71</f>
        <v>0</v>
      </c>
      <c r="AR59" s="253">
        <f>'[82]VENTAS TOTALES'!$H71</f>
        <v>0</v>
      </c>
      <c r="AS59" s="252">
        <f>'[83]VENTAS TOTALES'!$F71</f>
        <v>0</v>
      </c>
      <c r="AT59" s="253">
        <f>'[83]VENTAS TOTALES'!$G71</f>
        <v>0</v>
      </c>
      <c r="AU59" s="253">
        <f>'[83]VENTAS TOTALES'!$H71</f>
        <v>0</v>
      </c>
      <c r="AV59" s="252">
        <f>'[84]VENTAS TOTALES'!$F71</f>
        <v>0</v>
      </c>
      <c r="AW59" s="253">
        <f>'[84]VENTAS TOTALES'!$G71</f>
        <v>0</v>
      </c>
      <c r="AX59" s="253">
        <f>'[84]VENTAS TOTALES'!$H71</f>
        <v>0</v>
      </c>
      <c r="AY59" s="252">
        <f>'[85]VENTAS TOTALES'!$F71</f>
        <v>0</v>
      </c>
      <c r="AZ59" s="253">
        <f>'[85]VENTAS TOTALES'!$G71</f>
        <v>0</v>
      </c>
      <c r="BA59" s="253">
        <f>'[85]VENTAS TOTALES'!$H71</f>
        <v>0</v>
      </c>
      <c r="BB59" s="252">
        <f>'[86]VENTAS TOTALES'!$F71</f>
        <v>0</v>
      </c>
      <c r="BC59" s="253">
        <f>'[86]VENTAS TOTALES'!$G71</f>
        <v>0</v>
      </c>
      <c r="BD59" s="253">
        <f>'[86]VENTAS TOTALES'!$H71</f>
        <v>0</v>
      </c>
      <c r="BE59" s="252">
        <f>'[87]VENTAS TOTALES'!$F71</f>
        <v>0</v>
      </c>
      <c r="BF59" s="253">
        <f>'[87]VENTAS TOTALES'!$G71</f>
        <v>0</v>
      </c>
      <c r="BG59" s="253">
        <f>'[87]VENTAS TOTALES'!$H71</f>
        <v>0</v>
      </c>
      <c r="BH59" s="252">
        <f>'[88]VENTAS TOTALES'!$F71</f>
        <v>0</v>
      </c>
      <c r="BI59" s="253">
        <f>'[88]VENTAS TOTALES'!$G71</f>
        <v>0</v>
      </c>
      <c r="BJ59" s="253">
        <f>'[88]VENTAS TOTALES'!$H71</f>
        <v>0</v>
      </c>
      <c r="BK59" s="252">
        <f>'[89]VENTAS TOTALES'!$F71</f>
        <v>0</v>
      </c>
      <c r="BL59" s="253">
        <f>'[89]VENTAS TOTALES'!$G71</f>
        <v>0</v>
      </c>
      <c r="BM59" s="253">
        <f>'[89]VENTAS TOTALES'!$H71</f>
        <v>0</v>
      </c>
      <c r="BN59" s="252">
        <f>'[90]VENTAS TOTALES'!$F71</f>
        <v>0</v>
      </c>
      <c r="BO59" s="253">
        <f>'[90]VENTAS TOTALES'!$G71</f>
        <v>0</v>
      </c>
      <c r="BP59" s="253">
        <f>'[90]VENTAS TOTALES'!$H71</f>
        <v>0</v>
      </c>
      <c r="BQ59" s="252">
        <f>'[91]VENTAS TOTALES'!$F71</f>
        <v>0</v>
      </c>
      <c r="BR59" s="253">
        <f>'[91]VENTAS TOTALES'!$G71</f>
        <v>0</v>
      </c>
      <c r="BS59" s="253">
        <f>'[91]VENTAS TOTALES'!$H71</f>
        <v>0</v>
      </c>
      <c r="BT59" s="252">
        <f>'[92]VENTAS TOTALES'!$F71</f>
        <v>0</v>
      </c>
      <c r="BU59" s="253">
        <f>'[92]VENTAS TOTALES'!$G71</f>
        <v>0</v>
      </c>
      <c r="BV59" s="253">
        <f>'[92]VENTAS TOTALES'!$H71</f>
        <v>0</v>
      </c>
      <c r="BW59" s="252">
        <f>'[93]VENTAS TOTALES'!$F71</f>
        <v>0</v>
      </c>
      <c r="BX59" s="253">
        <f>'[93]VENTAS TOTALES'!$G71</f>
        <v>0</v>
      </c>
      <c r="BY59" s="253">
        <f>'[93]VENTAS TOTALES'!$H71</f>
        <v>0</v>
      </c>
      <c r="BZ59" s="252">
        <f>'[94]VENTAS TOTALES'!$F71</f>
        <v>0</v>
      </c>
      <c r="CA59" s="253">
        <f>'[94]VENTAS TOTALES'!$G71</f>
        <v>0</v>
      </c>
      <c r="CB59" s="253">
        <f>'[94]VENTAS TOTALES'!$H71</f>
        <v>0</v>
      </c>
      <c r="CC59" s="252">
        <f>'[95]VENTAS TOTALES'!$F71</f>
        <v>0</v>
      </c>
      <c r="CD59" s="253">
        <f>'[95]VENTAS TOTALES'!$G71</f>
        <v>0</v>
      </c>
      <c r="CE59" s="253">
        <f>'[95]VENTAS TOTALES'!$H71</f>
        <v>0</v>
      </c>
      <c r="CF59" s="252">
        <f>'[96]VENTAS TOTALES'!$F71</f>
        <v>0</v>
      </c>
      <c r="CG59" s="253">
        <f>'[96]VENTAS TOTALES'!$G71</f>
        <v>0</v>
      </c>
      <c r="CH59" s="253">
        <f>'[96]VENTAS TOTALES'!$H71</f>
        <v>0</v>
      </c>
      <c r="CI59" s="252">
        <f>'[97]VENTAS TOTALES'!$F71</f>
        <v>0</v>
      </c>
      <c r="CJ59" s="253">
        <f>'[97]VENTAS TOTALES'!$G71</f>
        <v>0</v>
      </c>
      <c r="CK59" s="253">
        <f>'[97]VENTAS TOTALES'!$H71</f>
        <v>0</v>
      </c>
      <c r="CL59" s="252">
        <f>'[98]VENTAS TOTALES'!$F71</f>
        <v>0</v>
      </c>
      <c r="CM59" s="253">
        <f>'[98]VENTAS TOTALES'!$G71</f>
        <v>0</v>
      </c>
      <c r="CN59" s="253">
        <f>'[98]VENTAS TOTALES'!$H71</f>
        <v>0</v>
      </c>
      <c r="CO59" s="252">
        <f>'[99]VENTAS TOTALES'!$F71</f>
        <v>0</v>
      </c>
      <c r="CP59" s="253">
        <f>'[99]VENTAS TOTALES'!$G71</f>
        <v>0</v>
      </c>
      <c r="CQ59" s="253">
        <f>'[99]VENTAS TOTALES'!$H71</f>
        <v>0</v>
      </c>
      <c r="CR59" s="252">
        <f>'[100]VENTAS TOTALES'!$F71</f>
        <v>0</v>
      </c>
      <c r="CS59" s="253">
        <f>'[100]VENTAS TOTALES'!$G71</f>
        <v>0</v>
      </c>
      <c r="CT59" s="253">
        <f>'[100]VENTAS TOTALES'!$H71</f>
        <v>0</v>
      </c>
      <c r="CU59" s="252">
        <f>'[101]VENTAS TOTALES'!$F71</f>
        <v>0</v>
      </c>
      <c r="CV59" s="253">
        <f>'[101]VENTAS TOTALES'!$G71</f>
        <v>0</v>
      </c>
      <c r="CW59" s="253">
        <f>'[101]VENTAS TOTALES'!$H71</f>
        <v>0</v>
      </c>
      <c r="CX59" s="252">
        <f>'[102]VENTAS TOTALES'!$F71</f>
        <v>0</v>
      </c>
      <c r="CY59" s="253">
        <f>'[102]VENTAS TOTALES'!$G71</f>
        <v>0</v>
      </c>
      <c r="CZ59" s="253">
        <f>'[102]VENTAS TOTALES'!$H71</f>
        <v>0</v>
      </c>
    </row>
    <row r="60" spans="1:104" x14ac:dyDescent="0.2">
      <c r="A60" s="443"/>
      <c r="B60" s="45" t="s">
        <v>199</v>
      </c>
      <c r="C60" s="252">
        <f>'[69]VENTAS TOTALES'!$F72</f>
        <v>5811</v>
      </c>
      <c r="D60" s="253">
        <f>'[69]VENTAS TOTALES'!$G72</f>
        <v>2736000</v>
      </c>
      <c r="E60" s="253">
        <f>'[69]VENTAS TOTALES'!$H72</f>
        <v>12614700</v>
      </c>
      <c r="F60" s="252">
        <f>'[70]VENTAS TOTALES'!$F72</f>
        <v>5915</v>
      </c>
      <c r="G60" s="253">
        <f>'[70]VENTAS TOTALES'!$G72</f>
        <v>2294450</v>
      </c>
      <c r="H60" s="253">
        <f>'[70]VENTAS TOTALES'!$H72</f>
        <v>12349950</v>
      </c>
      <c r="I60" s="252">
        <f>'[71]VENTAS TOTALES'!$F72</f>
        <v>5121</v>
      </c>
      <c r="J60" s="253">
        <f>'[71]VENTAS TOTALES'!$G72</f>
        <v>1774200</v>
      </c>
      <c r="K60" s="253">
        <f>'[71]VENTAS TOTALES'!$H72</f>
        <v>10479900</v>
      </c>
      <c r="L60" s="252">
        <f>'[72]VENTAS TOTALES'!$F72</f>
        <v>5734</v>
      </c>
      <c r="M60" s="253">
        <f>'[72]VENTAS TOTALES'!$G72</f>
        <v>1710400</v>
      </c>
      <c r="N60" s="253">
        <f>'[72]VENTAS TOTALES'!$H72</f>
        <v>11458200</v>
      </c>
      <c r="O60" s="252">
        <f>'[73]VENTAS TOTALES'!$F72</f>
        <v>3206</v>
      </c>
      <c r="P60" s="253">
        <f>'[73]VENTAS TOTALES'!$G72</f>
        <v>621800</v>
      </c>
      <c r="Q60" s="253">
        <f>'[73]VENTAS TOTALES'!$H72</f>
        <v>6072000</v>
      </c>
      <c r="R60" s="252">
        <f>'[74]VENTAS TOTALES'!$F72</f>
        <v>1761</v>
      </c>
      <c r="S60" s="253">
        <f>'[74]VENTAS TOTALES'!$G72</f>
        <v>253100</v>
      </c>
      <c r="T60" s="253">
        <f>'[74]VENTAS TOTALES'!$H72</f>
        <v>3246800</v>
      </c>
      <c r="U60" s="252">
        <f>'[75]VENTAS TOTALES'!$F72</f>
        <v>5977</v>
      </c>
      <c r="V60" s="253">
        <f>'[75]VENTAS TOTALES'!$G72</f>
        <v>2554150</v>
      </c>
      <c r="W60" s="253">
        <f>'[75]VENTAS TOTALES'!$H72</f>
        <v>12715050</v>
      </c>
      <c r="X60" s="252">
        <f>'[76]VENTAS TOTALES'!$F72</f>
        <v>5600</v>
      </c>
      <c r="Y60" s="253">
        <f>'[76]VENTAS TOTALES'!$G72</f>
        <v>1917500</v>
      </c>
      <c r="Z60" s="253">
        <f>'[76]VENTAS TOTALES'!$H72</f>
        <v>11437500</v>
      </c>
      <c r="AA60" s="252">
        <f>'[77]VENTAS TOTALES'!$F72</f>
        <v>5258</v>
      </c>
      <c r="AB60" s="253">
        <f>'[77]VENTAS TOTALES'!$G72</f>
        <v>1739400</v>
      </c>
      <c r="AC60" s="253">
        <f>'[77]VENTAS TOTALES'!$H72</f>
        <v>10678000</v>
      </c>
      <c r="AD60" s="252">
        <f>'[78]VENTAS TOTALES'!$F72</f>
        <v>5445</v>
      </c>
      <c r="AE60" s="253">
        <f>'[78]VENTAS TOTALES'!$G72</f>
        <v>1836600</v>
      </c>
      <c r="AF60" s="253">
        <f>'[78]VENTAS TOTALES'!$H72</f>
        <v>11093100</v>
      </c>
      <c r="AG60" s="252">
        <f>'[79]VENTAS TOTALES'!$F72</f>
        <v>5694</v>
      </c>
      <c r="AH60" s="253">
        <f>'[79]VENTAS TOTALES'!$G72</f>
        <v>1466900</v>
      </c>
      <c r="AI60" s="253">
        <f>'[79]VENTAS TOTALES'!$H72</f>
        <v>11146700</v>
      </c>
      <c r="AJ60" s="252">
        <f>'[80]VENTAS TOTALES'!$F72</f>
        <v>3530</v>
      </c>
      <c r="AK60" s="253">
        <f>'[80]VENTAS TOTALES'!$G72</f>
        <v>746200</v>
      </c>
      <c r="AL60" s="253">
        <f>'[80]VENTAS TOTALES'!$H72</f>
        <v>6747200</v>
      </c>
      <c r="AM60" s="252">
        <f>'[81]VENTAS TOTALES'!$F72</f>
        <v>1686</v>
      </c>
      <c r="AN60" s="253">
        <f>'[81]VENTAS TOTALES'!$G72</f>
        <v>245100</v>
      </c>
      <c r="AO60" s="253">
        <f>'[81]VENTAS TOTALES'!$H72</f>
        <v>3111300</v>
      </c>
      <c r="AP60" s="252">
        <f>'[82]VENTAS TOTALES'!$F72</f>
        <v>6191</v>
      </c>
      <c r="AQ60" s="253">
        <f>'[82]VENTAS TOTALES'!$G72</f>
        <v>3104100</v>
      </c>
      <c r="AR60" s="253">
        <f>'[82]VENTAS TOTALES'!$H72</f>
        <v>13628800</v>
      </c>
      <c r="AS60" s="252">
        <f>'[83]VENTAS TOTALES'!$F72</f>
        <v>5742</v>
      </c>
      <c r="AT60" s="253">
        <f>'[83]VENTAS TOTALES'!$G72</f>
        <v>2718600</v>
      </c>
      <c r="AU60" s="253">
        <f>'[83]VENTAS TOTALES'!$H72</f>
        <v>12480000</v>
      </c>
      <c r="AV60" s="252">
        <f>'[84]VENTAS TOTALES'!$F72</f>
        <v>5498</v>
      </c>
      <c r="AW60" s="253">
        <f>'[84]VENTAS TOTALES'!$G72</f>
        <v>2306000</v>
      </c>
      <c r="AX60" s="253">
        <f>'[84]VENTAS TOTALES'!$H72</f>
        <v>11652600</v>
      </c>
      <c r="AY60" s="252">
        <f>'[85]VENTAS TOTALES'!$F72</f>
        <v>5855</v>
      </c>
      <c r="AZ60" s="253">
        <f>'[85]VENTAS TOTALES'!$G72</f>
        <v>2165000</v>
      </c>
      <c r="BA60" s="253">
        <f>'[85]VENTAS TOTALES'!$H72</f>
        <v>12118500</v>
      </c>
      <c r="BB60" s="252">
        <f>'[86]VENTAS TOTALES'!$F72</f>
        <v>5673</v>
      </c>
      <c r="BC60" s="253">
        <f>'[86]VENTAS TOTALES'!$G72</f>
        <v>1659750</v>
      </c>
      <c r="BD60" s="253">
        <f>'[86]VENTAS TOTALES'!$H72</f>
        <v>11303850</v>
      </c>
      <c r="BE60" s="252">
        <f>'[87]VENTAS TOTALES'!$F72</f>
        <v>3587</v>
      </c>
      <c r="BF60" s="253">
        <f>'[87]VENTAS TOTALES'!$G72</f>
        <v>924300</v>
      </c>
      <c r="BG60" s="253">
        <f>'[87]VENTAS TOTALES'!$H72</f>
        <v>7022200</v>
      </c>
      <c r="BH60" s="252">
        <f>'[88]VENTAS TOTALES'!$F72</f>
        <v>1761</v>
      </c>
      <c r="BI60" s="253">
        <f>'[88]VENTAS TOTALES'!$G72</f>
        <v>356600</v>
      </c>
      <c r="BJ60" s="253">
        <f>'[88]VENTAS TOTALES'!$H72</f>
        <v>3350300</v>
      </c>
      <c r="BK60" s="252">
        <f>'[89]VENTAS TOTALES'!$F72</f>
        <v>6432</v>
      </c>
      <c r="BL60" s="253">
        <f>'[89]VENTAS TOTALES'!$G72</f>
        <v>2488650</v>
      </c>
      <c r="BM60" s="253">
        <f>'[89]VENTAS TOTALES'!$H72</f>
        <v>13423050</v>
      </c>
      <c r="BN60" s="252">
        <f>'[90]VENTAS TOTALES'!$F72</f>
        <v>5746</v>
      </c>
      <c r="BO60" s="253">
        <f>'[90]VENTAS TOTALES'!$G72</f>
        <v>2045000</v>
      </c>
      <c r="BP60" s="253">
        <f>'[90]VENTAS TOTALES'!$H72</f>
        <v>11813200</v>
      </c>
      <c r="BQ60" s="252">
        <f>'[91]VENTAS TOTALES'!$F72</f>
        <v>5421</v>
      </c>
      <c r="BR60" s="253">
        <f>'[91]VENTAS TOTALES'!$G72</f>
        <v>1699400</v>
      </c>
      <c r="BS60" s="253">
        <f>'[91]VENTAS TOTALES'!$H72</f>
        <v>10915100</v>
      </c>
      <c r="BT60" s="252">
        <f>'[92]VENTAS TOTALES'!$F72</f>
        <v>5642</v>
      </c>
      <c r="BU60" s="253">
        <f>'[92]VENTAS TOTALES'!$G72</f>
        <v>1411150</v>
      </c>
      <c r="BV60" s="253">
        <f>'[92]VENTAS TOTALES'!$H72</f>
        <v>11002550</v>
      </c>
      <c r="BW60" s="252">
        <f>'[93]VENTAS TOTALES'!$F72</f>
        <v>5856</v>
      </c>
      <c r="BX60" s="253">
        <f>'[93]VENTAS TOTALES'!$G72</f>
        <v>1869150</v>
      </c>
      <c r="BY60" s="253">
        <f>'[93]VENTAS TOTALES'!$H72</f>
        <v>11824350</v>
      </c>
      <c r="BZ60" s="252">
        <f>'[94]VENTAS TOTALES'!$F72</f>
        <v>3796</v>
      </c>
      <c r="CA60" s="253">
        <f>'[94]VENTAS TOTALES'!$G72</f>
        <v>911200</v>
      </c>
      <c r="CB60" s="253">
        <f>'[94]VENTAS TOTALES'!$H72</f>
        <v>7364400</v>
      </c>
      <c r="CC60" s="252">
        <f>'[95]VENTAS TOTALES'!$F72</f>
        <v>1733</v>
      </c>
      <c r="CD60" s="253">
        <f>'[95]VENTAS TOTALES'!$G72</f>
        <v>254000</v>
      </c>
      <c r="CE60" s="253">
        <f>'[95]VENTAS TOTALES'!$H72</f>
        <v>3200100</v>
      </c>
      <c r="CF60" s="252">
        <f>'[96]VENTAS TOTALES'!$F72</f>
        <v>7017</v>
      </c>
      <c r="CG60" s="253">
        <f>'[96]VENTAS TOTALES'!$G72</f>
        <v>3595100</v>
      </c>
      <c r="CH60" s="253">
        <f>'[96]VENTAS TOTALES'!$H72</f>
        <v>15524000</v>
      </c>
      <c r="CI60" s="252">
        <f>'[97]VENTAS TOTALES'!$F72</f>
        <v>6615</v>
      </c>
      <c r="CJ60" s="253">
        <f>'[97]VENTAS TOTALES'!$G72</f>
        <v>3729000</v>
      </c>
      <c r="CK60" s="253">
        <f>'[97]VENTAS TOTALES'!$H72</f>
        <v>14974500</v>
      </c>
      <c r="CL60" s="252">
        <f>'[98]VENTAS TOTALES'!$F72</f>
        <v>6636</v>
      </c>
      <c r="CM60" s="253">
        <f>'[98]VENTAS TOTALES'!$G72</f>
        <v>2722500</v>
      </c>
      <c r="CN60" s="253">
        <f>'[98]VENTAS TOTALES'!$H72</f>
        <v>14003700</v>
      </c>
      <c r="CO60" s="252">
        <f>'[99]VENTAS TOTALES'!$F72</f>
        <v>6095</v>
      </c>
      <c r="CP60" s="253">
        <f>'[99]VENTAS TOTALES'!$G72</f>
        <v>2051550</v>
      </c>
      <c r="CQ60" s="253">
        <f>'[99]VENTAS TOTALES'!$H72</f>
        <v>12413050</v>
      </c>
      <c r="CR60" s="252">
        <f>'[100]VENTAS TOTALES'!$F72</f>
        <v>5909</v>
      </c>
      <c r="CS60" s="253">
        <f>'[100]VENTAS TOTALES'!$G72</f>
        <v>1616800</v>
      </c>
      <c r="CT60" s="253">
        <f>'[100]VENTAS TOTALES'!$H72</f>
        <v>11662100</v>
      </c>
      <c r="CU60" s="252">
        <f>'[101]VENTAS TOTALES'!$F72</f>
        <v>3598</v>
      </c>
      <c r="CV60" s="253">
        <f>'[101]VENTAS TOTALES'!$G72</f>
        <v>844600</v>
      </c>
      <c r="CW60" s="253">
        <f>'[101]VENTAS TOTALES'!$H72</f>
        <v>6961200</v>
      </c>
      <c r="CX60" s="252">
        <f>'[102]VENTAS TOTALES'!$F72</f>
        <v>1770</v>
      </c>
      <c r="CY60" s="253">
        <f>'[102]VENTAS TOTALES'!$G72</f>
        <v>219100</v>
      </c>
      <c r="CZ60" s="253">
        <f>'[102]VENTAS TOTALES'!$H72</f>
        <v>3228100</v>
      </c>
    </row>
    <row r="61" spans="1:104" x14ac:dyDescent="0.2">
      <c r="A61" s="443"/>
      <c r="B61" s="45" t="s">
        <v>200</v>
      </c>
      <c r="C61" s="252">
        <f>'[69]VENTAS TOTALES'!$F73</f>
        <v>3891</v>
      </c>
      <c r="D61" s="253">
        <f>'[69]VENTAS TOTALES'!$G73</f>
        <v>1039000</v>
      </c>
      <c r="E61" s="253">
        <f>'[69]VENTAS TOTALES'!$H73</f>
        <v>7653700</v>
      </c>
      <c r="F61" s="252">
        <f>'[70]VENTAS TOTALES'!$F73</f>
        <v>3851</v>
      </c>
      <c r="G61" s="253">
        <f>'[70]VENTAS TOTALES'!$G73</f>
        <v>865400</v>
      </c>
      <c r="H61" s="253">
        <f>'[70]VENTAS TOTALES'!$H73</f>
        <v>7412100</v>
      </c>
      <c r="I61" s="252">
        <f>'[71]VENTAS TOTALES'!$F73</f>
        <v>3671</v>
      </c>
      <c r="J61" s="253">
        <f>'[71]VENTAS TOTALES'!$G73</f>
        <v>907500</v>
      </c>
      <c r="K61" s="253">
        <f>'[71]VENTAS TOTALES'!$H73</f>
        <v>7148200</v>
      </c>
      <c r="L61" s="252">
        <f>'[72]VENTAS TOTALES'!$F73</f>
        <v>3582</v>
      </c>
      <c r="M61" s="253">
        <f>'[72]VENTAS TOTALES'!$G73</f>
        <v>559500</v>
      </c>
      <c r="N61" s="253">
        <f>'[72]VENTAS TOTALES'!$H73</f>
        <v>6648900</v>
      </c>
      <c r="O61" s="252">
        <f>'[73]VENTAS TOTALES'!$F73</f>
        <v>2772</v>
      </c>
      <c r="P61" s="253">
        <f>'[73]VENTAS TOTALES'!$G73</f>
        <v>632100</v>
      </c>
      <c r="Q61" s="253">
        <f>'[73]VENTAS TOTALES'!$H73</f>
        <v>5344500</v>
      </c>
      <c r="R61" s="252">
        <f>'[74]VENTAS TOTALES'!$F73</f>
        <v>1442</v>
      </c>
      <c r="S61" s="253">
        <f>'[74]VENTAS TOTALES'!$G73</f>
        <v>163000</v>
      </c>
      <c r="T61" s="253">
        <f>'[74]VENTAS TOTALES'!$H73</f>
        <v>2614400</v>
      </c>
      <c r="U61" s="252">
        <f>'[75]VENTAS TOTALES'!$F73</f>
        <v>3984</v>
      </c>
      <c r="V61" s="253">
        <f>'[75]VENTAS TOTALES'!$G73</f>
        <v>949900</v>
      </c>
      <c r="W61" s="253">
        <f>'[75]VENTAS TOTALES'!$H73</f>
        <v>7722700</v>
      </c>
      <c r="X61" s="252">
        <f>'[76]VENTAS TOTALES'!$F73</f>
        <v>3784</v>
      </c>
      <c r="Y61" s="253">
        <f>'[76]VENTAS TOTALES'!$G73</f>
        <v>967300</v>
      </c>
      <c r="Z61" s="253">
        <f>'[76]VENTAS TOTALES'!$H73</f>
        <v>7400100</v>
      </c>
      <c r="AA61" s="252">
        <f>'[77]VENTAS TOTALES'!$F73</f>
        <v>3396</v>
      </c>
      <c r="AB61" s="253">
        <f>'[77]VENTAS TOTALES'!$G73</f>
        <v>722900</v>
      </c>
      <c r="AC61" s="253">
        <f>'[77]VENTAS TOTALES'!$H73</f>
        <v>6496100</v>
      </c>
      <c r="AD61" s="252">
        <f>'[78]VENTAS TOTALES'!$F73</f>
        <v>3584</v>
      </c>
      <c r="AE61" s="253">
        <f>'[78]VENTAS TOTALES'!$G73</f>
        <v>703300</v>
      </c>
      <c r="AF61" s="253">
        <f>'[78]VENTAS TOTALES'!$H73</f>
        <v>6796100</v>
      </c>
      <c r="AG61" s="252">
        <f>'[79]VENTAS TOTALES'!$F73</f>
        <v>3600</v>
      </c>
      <c r="AH61" s="253">
        <f>'[79]VENTAS TOTALES'!$G73</f>
        <v>756150</v>
      </c>
      <c r="AI61" s="253">
        <f>'[79]VENTAS TOTALES'!$H73</f>
        <v>6876150</v>
      </c>
      <c r="AJ61" s="252">
        <f>'[80]VENTAS TOTALES'!$F73</f>
        <v>2935</v>
      </c>
      <c r="AK61" s="253">
        <f>'[80]VENTAS TOTALES'!$G73</f>
        <v>560850</v>
      </c>
      <c r="AL61" s="253">
        <f>'[80]VENTAS TOTALES'!$H73</f>
        <v>5550350</v>
      </c>
      <c r="AM61" s="252">
        <f>'[81]VENTAS TOTALES'!$F73</f>
        <v>1435</v>
      </c>
      <c r="AN61" s="253">
        <f>'[81]VENTAS TOTALES'!$G73</f>
        <v>273600</v>
      </c>
      <c r="AO61" s="253">
        <f>'[81]VENTAS TOTALES'!$H73</f>
        <v>2713100</v>
      </c>
      <c r="AP61" s="252">
        <f>'[82]VENTAS TOTALES'!$F73</f>
        <v>3997</v>
      </c>
      <c r="AQ61" s="253">
        <f>'[82]VENTAS TOTALES'!$G73</f>
        <v>886000</v>
      </c>
      <c r="AR61" s="253">
        <f>'[82]VENTAS TOTALES'!$H73</f>
        <v>7680900</v>
      </c>
      <c r="AS61" s="252">
        <f>'[83]VENTAS TOTALES'!$F73</f>
        <v>3870</v>
      </c>
      <c r="AT61" s="253">
        <f>'[83]VENTAS TOTALES'!$G73</f>
        <v>1319700</v>
      </c>
      <c r="AU61" s="253">
        <f>'[83]VENTAS TOTALES'!$H73</f>
        <v>7898700</v>
      </c>
      <c r="AV61" s="252">
        <f>'[84]VENTAS TOTALES'!$F73</f>
        <v>3877</v>
      </c>
      <c r="AW61" s="253">
        <f>'[84]VENTAS TOTALES'!$G73</f>
        <v>1163500</v>
      </c>
      <c r="AX61" s="253">
        <f>'[84]VENTAS TOTALES'!$H73</f>
        <v>7754400</v>
      </c>
      <c r="AY61" s="252">
        <f>'[85]VENTAS TOTALES'!$F73</f>
        <v>3803</v>
      </c>
      <c r="AZ61" s="253">
        <f>'[85]VENTAS TOTALES'!$G73</f>
        <v>982200</v>
      </c>
      <c r="BA61" s="253">
        <f>'[85]VENTAS TOTALES'!$H73</f>
        <v>7447300</v>
      </c>
      <c r="BB61" s="252">
        <f>'[86]VENTAS TOTALES'!$F73</f>
        <v>3629</v>
      </c>
      <c r="BC61" s="253">
        <f>'[86]VENTAS TOTALES'!$G73</f>
        <v>795900</v>
      </c>
      <c r="BD61" s="253">
        <f>'[86]VENTAS TOTALES'!$H73</f>
        <v>6965200</v>
      </c>
      <c r="BE61" s="252">
        <f>'[87]VENTAS TOTALES'!$F73</f>
        <v>3062</v>
      </c>
      <c r="BF61" s="253">
        <f>'[87]VENTAS TOTALES'!$G73</f>
        <v>661900</v>
      </c>
      <c r="BG61" s="253">
        <f>'[87]VENTAS TOTALES'!$H73</f>
        <v>5867300</v>
      </c>
      <c r="BH61" s="252">
        <f>'[88]VENTAS TOTALES'!$F73</f>
        <v>1483</v>
      </c>
      <c r="BI61" s="253">
        <f>'[88]VENTAS TOTALES'!$G73</f>
        <v>234400</v>
      </c>
      <c r="BJ61" s="253">
        <f>'[88]VENTAS TOTALES'!$H73</f>
        <v>2755500</v>
      </c>
      <c r="BK61" s="252">
        <f>'[89]VENTAS TOTALES'!$F73</f>
        <v>4063</v>
      </c>
      <c r="BL61" s="253">
        <f>'[89]VENTAS TOTALES'!$G73</f>
        <v>826400</v>
      </c>
      <c r="BM61" s="253">
        <f>'[89]VENTAS TOTALES'!$H73</f>
        <v>7733500</v>
      </c>
      <c r="BN61" s="252">
        <f>'[90]VENTAS TOTALES'!$F73</f>
        <v>3767</v>
      </c>
      <c r="BO61" s="253">
        <f>'[90]VENTAS TOTALES'!$G73</f>
        <v>887500</v>
      </c>
      <c r="BP61" s="253">
        <f>'[90]VENTAS TOTALES'!$H73</f>
        <v>7291400</v>
      </c>
      <c r="BQ61" s="252">
        <f>'[91]VENTAS TOTALES'!$F73</f>
        <v>3833</v>
      </c>
      <c r="BR61" s="253">
        <f>'[91]VENTAS TOTALES'!$G73</f>
        <v>842600</v>
      </c>
      <c r="BS61" s="253">
        <f>'[91]VENTAS TOTALES'!$H73</f>
        <v>7358700</v>
      </c>
      <c r="BT61" s="252">
        <f>'[92]VENTAS TOTALES'!$F73</f>
        <v>3657</v>
      </c>
      <c r="BU61" s="253">
        <f>'[92]VENTAS TOTALES'!$G73</f>
        <v>910700</v>
      </c>
      <c r="BV61" s="253">
        <f>'[92]VENTAS TOTALES'!$H73</f>
        <v>7127600</v>
      </c>
      <c r="BW61" s="252">
        <f>'[93]VENTAS TOTALES'!$F73</f>
        <v>3775</v>
      </c>
      <c r="BX61" s="253">
        <f>'[93]VENTAS TOTALES'!$G73</f>
        <v>844300</v>
      </c>
      <c r="BY61" s="253">
        <f>'[93]VENTAS TOTALES'!$H73</f>
        <v>7261800</v>
      </c>
      <c r="BZ61" s="252">
        <f>'[94]VENTAS TOTALES'!$F73</f>
        <v>3245</v>
      </c>
      <c r="CA61" s="253">
        <f>'[94]VENTAS TOTALES'!$G73</f>
        <v>530700</v>
      </c>
      <c r="CB61" s="253">
        <f>'[94]VENTAS TOTALES'!$H73</f>
        <v>6047200</v>
      </c>
      <c r="CC61" s="252">
        <f>'[95]VENTAS TOTALES'!$F73</f>
        <v>1517</v>
      </c>
      <c r="CD61" s="253">
        <f>'[95]VENTAS TOTALES'!$G73</f>
        <v>190500</v>
      </c>
      <c r="CE61" s="253">
        <f>'[95]VENTAS TOTALES'!$H73</f>
        <v>2769400</v>
      </c>
      <c r="CF61" s="252">
        <f>'[96]VENTAS TOTALES'!$F73</f>
        <v>4202</v>
      </c>
      <c r="CG61" s="253">
        <f>'[96]VENTAS TOTALES'!$G73</f>
        <v>1607600</v>
      </c>
      <c r="CH61" s="253">
        <f>'[96]VENTAS TOTALES'!$H73</f>
        <v>8751000</v>
      </c>
      <c r="CI61" s="252">
        <f>'[97]VENTAS TOTALES'!$F73</f>
        <v>4370</v>
      </c>
      <c r="CJ61" s="253">
        <f>'[97]VENTAS TOTALES'!$G73</f>
        <v>1675900</v>
      </c>
      <c r="CK61" s="253">
        <f>'[97]VENTAS TOTALES'!$H73</f>
        <v>9104900</v>
      </c>
      <c r="CL61" s="252">
        <f>'[98]VENTAS TOTALES'!$F73</f>
        <v>4297</v>
      </c>
      <c r="CM61" s="253">
        <f>'[98]VENTAS TOTALES'!$G73</f>
        <v>1051500</v>
      </c>
      <c r="CN61" s="253">
        <f>'[98]VENTAS TOTALES'!$H73</f>
        <v>8356400</v>
      </c>
      <c r="CO61" s="252">
        <f>'[99]VENTAS TOTALES'!$F73</f>
        <v>3869</v>
      </c>
      <c r="CP61" s="253">
        <f>'[99]VENTAS TOTALES'!$G73</f>
        <v>931700</v>
      </c>
      <c r="CQ61" s="253">
        <f>'[99]VENTAS TOTALES'!$H73</f>
        <v>7509000</v>
      </c>
      <c r="CR61" s="252">
        <f>'[100]VENTAS TOTALES'!$F73</f>
        <v>3813</v>
      </c>
      <c r="CS61" s="253">
        <f>'[100]VENTAS TOTALES'!$G73</f>
        <v>942000</v>
      </c>
      <c r="CT61" s="253">
        <f>'[100]VENTAS TOTALES'!$H73</f>
        <v>7424100</v>
      </c>
      <c r="CU61" s="252">
        <f>'[101]VENTAS TOTALES'!$F73</f>
        <v>3072</v>
      </c>
      <c r="CV61" s="253">
        <f>'[101]VENTAS TOTALES'!$G73</f>
        <v>653800</v>
      </c>
      <c r="CW61" s="253">
        <f>'[101]VENTAS TOTALES'!$H73</f>
        <v>5876200</v>
      </c>
      <c r="CX61" s="252">
        <f>'[102]VENTAS TOTALES'!$F73</f>
        <v>1401</v>
      </c>
      <c r="CY61" s="253">
        <f>'[102]VENTAS TOTALES'!$G73</f>
        <v>196300</v>
      </c>
      <c r="CZ61" s="253">
        <f>'[102]VENTAS TOTALES'!$H73</f>
        <v>2578000</v>
      </c>
    </row>
    <row r="62" spans="1:104" x14ac:dyDescent="0.2">
      <c r="A62" s="443"/>
      <c r="B62" s="45" t="s">
        <v>31</v>
      </c>
      <c r="C62" s="252">
        <f>'[69]VENTAS TOTALES'!$F74</f>
        <v>13105</v>
      </c>
      <c r="D62" s="253">
        <f>'[69]VENTAS TOTALES'!$G74</f>
        <v>4520000</v>
      </c>
      <c r="E62" s="253">
        <f>'[69]VENTAS TOTALES'!$H74</f>
        <v>26798500</v>
      </c>
      <c r="F62" s="252">
        <f>'[70]VENTAS TOTALES'!$F74</f>
        <v>12585</v>
      </c>
      <c r="G62" s="253">
        <f>'[70]VENTAS TOTALES'!$G74</f>
        <v>3399050</v>
      </c>
      <c r="H62" s="253">
        <f>'[70]VENTAS TOTALES'!$H74</f>
        <v>24793550</v>
      </c>
      <c r="I62" s="252">
        <f>'[71]VENTAS TOTALES'!$F74</f>
        <v>11312</v>
      </c>
      <c r="J62" s="253">
        <f>'[71]VENTAS TOTALES'!$G74</f>
        <v>2786400</v>
      </c>
      <c r="K62" s="253">
        <f>'[71]VENTAS TOTALES'!$H74</f>
        <v>22016800</v>
      </c>
      <c r="L62" s="252">
        <f>'[72]VENTAS TOTALES'!$F74</f>
        <v>12344</v>
      </c>
      <c r="M62" s="253">
        <f>'[72]VENTAS TOTALES'!$G74</f>
        <v>2821350</v>
      </c>
      <c r="N62" s="253">
        <f>'[72]VENTAS TOTALES'!$H74</f>
        <v>23806150</v>
      </c>
      <c r="O62" s="252">
        <f>'[73]VENTAS TOTALES'!$F74</f>
        <v>8690</v>
      </c>
      <c r="P62" s="253">
        <f>'[73]VENTAS TOTALES'!$G74</f>
        <v>2158700</v>
      </c>
      <c r="Q62" s="253">
        <f>'[73]VENTAS TOTALES'!$H74</f>
        <v>16931700</v>
      </c>
      <c r="R62" s="252">
        <f>'[74]VENTAS TOTALES'!$F74</f>
        <v>4202</v>
      </c>
      <c r="S62" s="253">
        <f>'[74]VENTAS TOTALES'!$G74</f>
        <v>675000</v>
      </c>
      <c r="T62" s="253">
        <f>'[74]VENTAS TOTALES'!$H74</f>
        <v>7818400</v>
      </c>
      <c r="U62" s="252">
        <f>'[75]VENTAS TOTALES'!$F74</f>
        <v>14272</v>
      </c>
      <c r="V62" s="253">
        <f>'[75]VENTAS TOTALES'!$G74</f>
        <v>4401050</v>
      </c>
      <c r="W62" s="253">
        <f>'[75]VENTAS TOTALES'!$H74</f>
        <v>28663450</v>
      </c>
      <c r="X62" s="252">
        <f>'[76]VENTAS TOTALES'!$F74</f>
        <v>12167</v>
      </c>
      <c r="Y62" s="253">
        <f>'[76]VENTAS TOTALES'!$G74</f>
        <v>2413800</v>
      </c>
      <c r="Z62" s="253">
        <f>'[76]VENTAS TOTALES'!$H74</f>
        <v>23097700</v>
      </c>
      <c r="AA62" s="252">
        <f>'[77]VENTAS TOTALES'!$F74</f>
        <v>11718</v>
      </c>
      <c r="AB62" s="253">
        <f>'[77]VENTAS TOTALES'!$G74</f>
        <v>2579500</v>
      </c>
      <c r="AC62" s="253">
        <f>'[77]VENTAS TOTALES'!$H74</f>
        <v>22500100</v>
      </c>
      <c r="AD62" s="252">
        <f>'[78]VENTAS TOTALES'!$F74</f>
        <v>11899</v>
      </c>
      <c r="AE62" s="253">
        <f>'[78]VENTAS TOTALES'!$G74</f>
        <v>2842000</v>
      </c>
      <c r="AF62" s="253">
        <f>'[78]VENTAS TOTALES'!$H74</f>
        <v>23070300</v>
      </c>
      <c r="AG62" s="252">
        <f>'[79]VENTAS TOTALES'!$F74</f>
        <v>12249</v>
      </c>
      <c r="AH62" s="253">
        <f>'[79]VENTAS TOTALES'!$G74</f>
        <v>2663100</v>
      </c>
      <c r="AI62" s="253">
        <f>'[79]VENTAS TOTALES'!$H74</f>
        <v>23486400</v>
      </c>
      <c r="AJ62" s="252">
        <f>'[80]VENTAS TOTALES'!$F74</f>
        <v>8562</v>
      </c>
      <c r="AK62" s="253">
        <f>'[80]VENTAS TOTALES'!$G74</f>
        <v>1832500</v>
      </c>
      <c r="AL62" s="253">
        <f>'[80]VENTAS TOTALES'!$H74</f>
        <v>16387900</v>
      </c>
      <c r="AM62" s="252">
        <f>'[81]VENTAS TOTALES'!$F74</f>
        <v>3850</v>
      </c>
      <c r="AN62" s="253">
        <f>'[81]VENTAS TOTALES'!$G74</f>
        <v>652400</v>
      </c>
      <c r="AO62" s="253">
        <f>'[81]VENTAS TOTALES'!$H74</f>
        <v>7197400</v>
      </c>
      <c r="AP62" s="252">
        <f>'[82]VENTAS TOTALES'!$F74</f>
        <v>13384</v>
      </c>
      <c r="AQ62" s="253">
        <f>'[82]VENTAS TOTALES'!$G74</f>
        <v>3737200</v>
      </c>
      <c r="AR62" s="253">
        <f>'[82]VENTAS TOTALES'!$H74</f>
        <v>26490000</v>
      </c>
      <c r="AS62" s="252">
        <f>'[83]VENTAS TOTALES'!$F74</f>
        <v>12904</v>
      </c>
      <c r="AT62" s="253">
        <f>'[83]VENTAS TOTALES'!$G74</f>
        <v>4356500</v>
      </c>
      <c r="AU62" s="253">
        <f>'[83]VENTAS TOTALES'!$H74</f>
        <v>26293300</v>
      </c>
      <c r="AV62" s="252">
        <f>'[84]VENTAS TOTALES'!$F74</f>
        <v>12049</v>
      </c>
      <c r="AW62" s="253">
        <f>'[84]VENTAS TOTALES'!$G74</f>
        <v>4414450</v>
      </c>
      <c r="AX62" s="253">
        <f>'[84]VENTAS TOTALES'!$H74</f>
        <v>24897750</v>
      </c>
      <c r="AY62" s="252">
        <f>'[85]VENTAS TOTALES'!$F74</f>
        <v>11938</v>
      </c>
      <c r="AZ62" s="253">
        <f>'[85]VENTAS TOTALES'!$G74</f>
        <v>2826000</v>
      </c>
      <c r="BA62" s="253">
        <f>'[85]VENTAS TOTALES'!$H74</f>
        <v>23120600</v>
      </c>
      <c r="BB62" s="252">
        <f>'[86]VENTAS TOTALES'!$F74</f>
        <v>12007</v>
      </c>
      <c r="BC62" s="253">
        <f>'[86]VENTAS TOTALES'!$G74</f>
        <v>2829100</v>
      </c>
      <c r="BD62" s="253">
        <f>'[86]VENTAS TOTALES'!$H74</f>
        <v>23241000</v>
      </c>
      <c r="BE62" s="252">
        <f>'[87]VENTAS TOTALES'!$F74</f>
        <v>8646</v>
      </c>
      <c r="BF62" s="253">
        <f>'[87]VENTAS TOTALES'!$G74</f>
        <v>1767700</v>
      </c>
      <c r="BG62" s="253">
        <f>'[87]VENTAS TOTALES'!$H74</f>
        <v>16465900</v>
      </c>
      <c r="BH62" s="252">
        <f>'[88]VENTAS TOTALES'!$F74</f>
        <v>4016</v>
      </c>
      <c r="BI62" s="253">
        <f>'[88]VENTAS TOTALES'!$G74</f>
        <v>621800</v>
      </c>
      <c r="BJ62" s="253">
        <f>'[88]VENTAS TOTALES'!$H74</f>
        <v>7449000</v>
      </c>
      <c r="BK62" s="252">
        <f>'[89]VENTAS TOTALES'!$F74</f>
        <v>13346</v>
      </c>
      <c r="BL62" s="253">
        <f>'[89]VENTAS TOTALES'!$G74</f>
        <v>3519000</v>
      </c>
      <c r="BM62" s="253">
        <f>'[89]VENTAS TOTALES'!$H74</f>
        <v>26207200</v>
      </c>
      <c r="BN62" s="252">
        <f>'[90]VENTAS TOTALES'!$F74</f>
        <v>12066</v>
      </c>
      <c r="BO62" s="253">
        <f>'[90]VENTAS TOTALES'!$G74</f>
        <v>2888100</v>
      </c>
      <c r="BP62" s="253">
        <f>'[90]VENTAS TOTALES'!$H74</f>
        <v>23400300</v>
      </c>
      <c r="BQ62" s="252">
        <f>'[91]VENTAS TOTALES'!$F74</f>
        <v>11766</v>
      </c>
      <c r="BR62" s="253">
        <f>'[91]VENTAS TOTALES'!$G74</f>
        <v>2802000</v>
      </c>
      <c r="BS62" s="253">
        <f>'[91]VENTAS TOTALES'!$H74</f>
        <v>22804200</v>
      </c>
      <c r="BT62" s="252">
        <f>'[92]VENTAS TOTALES'!$F74</f>
        <v>12257</v>
      </c>
      <c r="BU62" s="253">
        <f>'[92]VENTAS TOTALES'!$G74</f>
        <v>2916500</v>
      </c>
      <c r="BV62" s="253">
        <f>'[92]VENTAS TOTALES'!$H74</f>
        <v>23753400</v>
      </c>
      <c r="BW62" s="252">
        <f>'[93]VENTAS TOTALES'!$F74</f>
        <v>13147</v>
      </c>
      <c r="BX62" s="253">
        <f>'[93]VENTAS TOTALES'!$G74</f>
        <v>3109650</v>
      </c>
      <c r="BY62" s="253">
        <f>'[93]VENTAS TOTALES'!$H74</f>
        <v>25459550</v>
      </c>
      <c r="BZ62" s="252">
        <f>'[94]VENTAS TOTALES'!$F74</f>
        <v>9274</v>
      </c>
      <c r="CA62" s="253">
        <f>'[94]VENTAS TOTALES'!$G74</f>
        <v>2202400</v>
      </c>
      <c r="CB62" s="253">
        <f>'[94]VENTAS TOTALES'!$H74</f>
        <v>17968200</v>
      </c>
      <c r="CC62" s="252">
        <f>'[95]VENTAS TOTALES'!$F74</f>
        <v>4314</v>
      </c>
      <c r="CD62" s="253">
        <f>'[95]VENTAS TOTALES'!$G74</f>
        <v>570500</v>
      </c>
      <c r="CE62" s="253">
        <f>'[95]VENTAS TOTALES'!$H74</f>
        <v>7904300</v>
      </c>
      <c r="CF62" s="252">
        <f>'[96]VENTAS TOTALES'!$F74</f>
        <v>14514</v>
      </c>
      <c r="CG62" s="253">
        <f>'[96]VENTAS TOTALES'!$G74</f>
        <v>5094700</v>
      </c>
      <c r="CH62" s="253">
        <f>'[96]VENTAS TOTALES'!$H74</f>
        <v>29768500</v>
      </c>
      <c r="CI62" s="252">
        <f>'[97]VENTAS TOTALES'!$F74</f>
        <v>13932</v>
      </c>
      <c r="CJ62" s="253">
        <f>'[97]VENTAS TOTALES'!$G74</f>
        <v>4272300</v>
      </c>
      <c r="CK62" s="253">
        <f>'[97]VENTAS TOTALES'!$H74</f>
        <v>27956700</v>
      </c>
      <c r="CL62" s="252">
        <f>'[98]VENTAS TOTALES'!$F74</f>
        <v>13851</v>
      </c>
      <c r="CM62" s="253">
        <f>'[98]VENTAS TOTALES'!$G74</f>
        <v>4148200</v>
      </c>
      <c r="CN62" s="253">
        <f>'[98]VENTAS TOTALES'!$H74</f>
        <v>27694900</v>
      </c>
      <c r="CO62" s="252">
        <f>'[99]VENTAS TOTALES'!$F74</f>
        <v>12539</v>
      </c>
      <c r="CP62" s="253">
        <f>'[99]VENTAS TOTALES'!$G74</f>
        <v>2690000</v>
      </c>
      <c r="CQ62" s="253">
        <f>'[99]VENTAS TOTALES'!$H74</f>
        <v>24006300</v>
      </c>
      <c r="CR62" s="252">
        <f>'[100]VENTAS TOTALES'!$F74</f>
        <v>10326</v>
      </c>
      <c r="CS62" s="253">
        <f>'[100]VENTAS TOTALES'!$G74</f>
        <v>2378500</v>
      </c>
      <c r="CT62" s="253">
        <f>'[100]VENTAS TOTALES'!$H74</f>
        <v>19932700</v>
      </c>
      <c r="CU62" s="252">
        <f>'[101]VENTAS TOTALES'!$F74</f>
        <v>8031</v>
      </c>
      <c r="CV62" s="253">
        <f>'[101]VENTAS TOTALES'!$G74</f>
        <v>1892900</v>
      </c>
      <c r="CW62" s="253">
        <f>'[101]VENTAS TOTALES'!$H74</f>
        <v>15545600</v>
      </c>
      <c r="CX62" s="252">
        <f>'[102]VENTAS TOTALES'!$F74</f>
        <v>3451</v>
      </c>
      <c r="CY62" s="253">
        <f>'[102]VENTAS TOTALES'!$G74</f>
        <v>497800</v>
      </c>
      <c r="CZ62" s="253">
        <f>'[102]VENTAS TOTALES'!$H74</f>
        <v>6364500</v>
      </c>
    </row>
    <row r="63" spans="1:104" x14ac:dyDescent="0.2">
      <c r="A63" s="443"/>
      <c r="B63" s="45" t="s">
        <v>32</v>
      </c>
      <c r="C63" s="252">
        <f>'[69]VENTAS TOTALES'!$F75</f>
        <v>6252</v>
      </c>
      <c r="D63" s="253">
        <f>'[69]VENTAS TOTALES'!$G75</f>
        <v>2576500</v>
      </c>
      <c r="E63" s="253">
        <f>'[69]VENTAS TOTALES'!$H75</f>
        <v>13204900</v>
      </c>
      <c r="F63" s="252">
        <f>'[70]VENTAS TOTALES'!$F75</f>
        <v>5837</v>
      </c>
      <c r="G63" s="253">
        <f>'[70]VENTAS TOTALES'!$G75</f>
        <v>2262900</v>
      </c>
      <c r="H63" s="253">
        <f>'[70]VENTAS TOTALES'!$H75</f>
        <v>12185800</v>
      </c>
      <c r="I63" s="252">
        <f>'[71]VENTAS TOTALES'!$F75</f>
        <v>5238</v>
      </c>
      <c r="J63" s="253">
        <f>'[71]VENTAS TOTALES'!$G75</f>
        <v>1944600</v>
      </c>
      <c r="K63" s="253">
        <f>'[71]VENTAS TOTALES'!$H75</f>
        <v>10849200</v>
      </c>
      <c r="L63" s="252">
        <f>'[72]VENTAS TOTALES'!$F75</f>
        <v>5317</v>
      </c>
      <c r="M63" s="253">
        <f>'[72]VENTAS TOTALES'!$G75</f>
        <v>1782900</v>
      </c>
      <c r="N63" s="253">
        <f>'[72]VENTAS TOTALES'!$H75</f>
        <v>10821800</v>
      </c>
      <c r="O63" s="252">
        <f>'[73]VENTAS TOTALES'!$F75</f>
        <v>3615</v>
      </c>
      <c r="P63" s="253">
        <f>'[73]VENTAS TOTALES'!$G75</f>
        <v>748500</v>
      </c>
      <c r="Q63" s="253">
        <f>'[73]VENTAS TOTALES'!$H75</f>
        <v>6894000</v>
      </c>
      <c r="R63" s="252">
        <f>'[74]VENTAS TOTALES'!$F75</f>
        <v>1136</v>
      </c>
      <c r="S63" s="253">
        <f>'[74]VENTAS TOTALES'!$G75</f>
        <v>382400</v>
      </c>
      <c r="T63" s="253">
        <f>'[74]VENTAS TOTALES'!$H75</f>
        <v>2313600</v>
      </c>
      <c r="U63" s="252">
        <f>'[75]VENTAS TOTALES'!$F75</f>
        <v>5827</v>
      </c>
      <c r="V63" s="253">
        <f>'[75]VENTAS TOTALES'!$G75</f>
        <v>2372000</v>
      </c>
      <c r="W63" s="253">
        <f>'[75]VENTAS TOTALES'!$H75</f>
        <v>12277900</v>
      </c>
      <c r="X63" s="252">
        <f>'[76]VENTAS TOTALES'!$F75</f>
        <v>5714</v>
      </c>
      <c r="Y63" s="253">
        <f>'[76]VENTAS TOTALES'!$G75</f>
        <v>1941900</v>
      </c>
      <c r="Z63" s="253">
        <f>'[76]VENTAS TOTALES'!$H75</f>
        <v>11655700</v>
      </c>
      <c r="AA63" s="252">
        <f>'[77]VENTAS TOTALES'!$F75</f>
        <v>5470</v>
      </c>
      <c r="AB63" s="253">
        <f>'[77]VENTAS TOTALES'!$G75</f>
        <v>1780700</v>
      </c>
      <c r="AC63" s="253">
        <f>'[77]VENTAS TOTALES'!$H75</f>
        <v>11079700</v>
      </c>
      <c r="AD63" s="252">
        <f>'[78]VENTAS TOTALES'!$F75</f>
        <v>5367</v>
      </c>
      <c r="AE63" s="253">
        <f>'[78]VENTAS TOTALES'!$G75</f>
        <v>1871500</v>
      </c>
      <c r="AF63" s="253">
        <f>'[78]VENTAS TOTALES'!$H75</f>
        <v>10995400</v>
      </c>
      <c r="AG63" s="252">
        <f>'[79]VENTAS TOTALES'!$F75</f>
        <v>5110</v>
      </c>
      <c r="AH63" s="253">
        <f>'[79]VENTAS TOTALES'!$G75</f>
        <v>1606000</v>
      </c>
      <c r="AI63" s="253">
        <f>'[79]VENTAS TOTALES'!$H75</f>
        <v>10293000</v>
      </c>
      <c r="AJ63" s="252">
        <f>'[80]VENTAS TOTALES'!$F75</f>
        <v>3476</v>
      </c>
      <c r="AK63" s="253">
        <f>'[80]VENTAS TOTALES'!$G75</f>
        <v>791700</v>
      </c>
      <c r="AL63" s="253">
        <f>'[80]VENTAS TOTALES'!$H75</f>
        <v>6700900</v>
      </c>
      <c r="AM63" s="252">
        <f>'[81]VENTAS TOTALES'!$F75</f>
        <v>1116</v>
      </c>
      <c r="AN63" s="253">
        <f>'[81]VENTAS TOTALES'!$G75</f>
        <v>267600</v>
      </c>
      <c r="AO63" s="253">
        <f>'[81]VENTAS TOTALES'!$H75</f>
        <v>2164800</v>
      </c>
      <c r="AP63" s="252">
        <f>'[82]VENTAS TOTALES'!$F75</f>
        <v>6036</v>
      </c>
      <c r="AQ63" s="253">
        <f>'[82]VENTAS TOTALES'!$G75</f>
        <v>2489200</v>
      </c>
      <c r="AR63" s="253">
        <f>'[82]VENTAS TOTALES'!$H75</f>
        <v>12750400</v>
      </c>
      <c r="AS63" s="252">
        <f>'[83]VENTAS TOTALES'!$F75</f>
        <v>5624</v>
      </c>
      <c r="AT63" s="253">
        <f>'[83]VENTAS TOTALES'!$G75</f>
        <v>2905600</v>
      </c>
      <c r="AU63" s="253">
        <f>'[83]VENTAS TOTALES'!$H75</f>
        <v>12466400</v>
      </c>
      <c r="AV63" s="252">
        <f>'[84]VENTAS TOTALES'!$F75</f>
        <v>5717</v>
      </c>
      <c r="AW63" s="253">
        <f>'[84]VENTAS TOTALES'!$G75</f>
        <v>2329500</v>
      </c>
      <c r="AX63" s="253">
        <f>'[84]VENTAS TOTALES'!$H75</f>
        <v>12048400</v>
      </c>
      <c r="AY63" s="252">
        <f>'[85]VENTAS TOTALES'!$F75</f>
        <v>5329</v>
      </c>
      <c r="AZ63" s="253">
        <f>'[85]VENTAS TOTALES'!$G75</f>
        <v>1678800</v>
      </c>
      <c r="BA63" s="253">
        <f>'[85]VENTAS TOTALES'!$H75</f>
        <v>10738100</v>
      </c>
      <c r="BB63" s="252">
        <f>'[86]VENTAS TOTALES'!$F75</f>
        <v>5342</v>
      </c>
      <c r="BC63" s="253">
        <f>'[86]VENTAS TOTALES'!$G75</f>
        <v>1712600</v>
      </c>
      <c r="BD63" s="253">
        <f>'[86]VENTAS TOTALES'!$H75</f>
        <v>10794000</v>
      </c>
      <c r="BE63" s="252">
        <f>'[87]VENTAS TOTALES'!$F75</f>
        <v>3451</v>
      </c>
      <c r="BF63" s="253">
        <f>'[87]VENTAS TOTALES'!$G75</f>
        <v>831200</v>
      </c>
      <c r="BG63" s="253">
        <f>'[87]VENTAS TOTALES'!$H75</f>
        <v>6697900</v>
      </c>
      <c r="BH63" s="252">
        <f>'[88]VENTAS TOTALES'!$F75</f>
        <v>1036</v>
      </c>
      <c r="BI63" s="253">
        <f>'[88]VENTAS TOTALES'!$G75</f>
        <v>168500</v>
      </c>
      <c r="BJ63" s="253">
        <f>'[88]VENTAS TOTALES'!$H75</f>
        <v>1929700</v>
      </c>
      <c r="BK63" s="252">
        <f>'[89]VENTAS TOTALES'!$F75</f>
        <v>6027</v>
      </c>
      <c r="BL63" s="253">
        <f>'[89]VENTAS TOTALES'!$G75</f>
        <v>2403350</v>
      </c>
      <c r="BM63" s="253">
        <f>'[89]VENTAS TOTALES'!$H75</f>
        <v>12649250</v>
      </c>
      <c r="BN63" s="252">
        <f>'[90]VENTAS TOTALES'!$F75</f>
        <v>5565</v>
      </c>
      <c r="BO63" s="253">
        <f>'[90]VENTAS TOTALES'!$G75</f>
        <v>1948600</v>
      </c>
      <c r="BP63" s="253">
        <f>'[90]VENTAS TOTALES'!$H75</f>
        <v>11409100</v>
      </c>
      <c r="BQ63" s="252">
        <f>'[91]VENTAS TOTALES'!$F75</f>
        <v>5538</v>
      </c>
      <c r="BR63" s="253">
        <f>'[91]VENTAS TOTALES'!$G75</f>
        <v>1641000</v>
      </c>
      <c r="BS63" s="253">
        <f>'[91]VENTAS TOTALES'!$H75</f>
        <v>11055600</v>
      </c>
      <c r="BT63" s="252">
        <f>'[92]VENTAS TOTALES'!$F75</f>
        <v>5262</v>
      </c>
      <c r="BU63" s="253">
        <f>'[92]VENTAS TOTALES'!$G75</f>
        <v>1682900</v>
      </c>
      <c r="BV63" s="253">
        <f>'[92]VENTAS TOTALES'!$H75</f>
        <v>10628300</v>
      </c>
      <c r="BW63" s="252">
        <f>'[93]VENTAS TOTALES'!$F75</f>
        <v>5223</v>
      </c>
      <c r="BX63" s="253">
        <f>'[93]VENTAS TOTALES'!$G75</f>
        <v>1838100</v>
      </c>
      <c r="BY63" s="253">
        <f>'[93]VENTAS TOTALES'!$H75</f>
        <v>10717200</v>
      </c>
      <c r="BZ63" s="252">
        <f>'[94]VENTAS TOTALES'!$F75</f>
        <v>3404</v>
      </c>
      <c r="CA63" s="253">
        <f>'[94]VENTAS TOTALES'!$G75</f>
        <v>782400</v>
      </c>
      <c r="CB63" s="253">
        <f>'[94]VENTAS TOTALES'!$H75</f>
        <v>6569200</v>
      </c>
      <c r="CC63" s="252">
        <f>'[95]VENTAS TOTALES'!$F75</f>
        <v>1181</v>
      </c>
      <c r="CD63" s="253">
        <f>'[95]VENTAS TOTALES'!$G75</f>
        <v>126100</v>
      </c>
      <c r="CE63" s="253">
        <f>'[95]VENTAS TOTALES'!$H75</f>
        <v>2133800</v>
      </c>
      <c r="CF63" s="252">
        <f>'[96]VENTAS TOTALES'!$F75</f>
        <v>6944</v>
      </c>
      <c r="CG63" s="253">
        <f>'[96]VENTAS TOTALES'!$G75</f>
        <v>3085800</v>
      </c>
      <c r="CH63" s="253">
        <f>'[96]VENTAS TOTALES'!$H75</f>
        <v>14890600</v>
      </c>
      <c r="CI63" s="252">
        <f>'[97]VENTAS TOTALES'!$F75</f>
        <v>6373</v>
      </c>
      <c r="CJ63" s="253">
        <f>'[97]VENTAS TOTALES'!$G75</f>
        <v>2794100</v>
      </c>
      <c r="CK63" s="253">
        <f>'[97]VENTAS TOTALES'!$H75</f>
        <v>13628200</v>
      </c>
      <c r="CL63" s="252">
        <f>'[98]VENTAS TOTALES'!$F75</f>
        <v>6235</v>
      </c>
      <c r="CM63" s="253">
        <f>'[98]VENTAS TOTALES'!$G75</f>
        <v>1945400</v>
      </c>
      <c r="CN63" s="253">
        <f>'[98]VENTAS TOTALES'!$H75</f>
        <v>12544900</v>
      </c>
      <c r="CO63" s="252">
        <f>'[99]VENTAS TOTALES'!$F75</f>
        <v>6093</v>
      </c>
      <c r="CP63" s="253">
        <f>'[99]VENTAS TOTALES'!$G75</f>
        <v>2139200</v>
      </c>
      <c r="CQ63" s="253">
        <f>'[99]VENTAS TOTALES'!$H75</f>
        <v>12497300</v>
      </c>
      <c r="CR63" s="252">
        <f>'[100]VENTAS TOTALES'!$F75</f>
        <v>5542</v>
      </c>
      <c r="CS63" s="253">
        <f>'[100]VENTAS TOTALES'!$G75</f>
        <v>1901600</v>
      </c>
      <c r="CT63" s="253">
        <f>'[100]VENTAS TOTALES'!$H75</f>
        <v>11323000</v>
      </c>
      <c r="CU63" s="252">
        <f>'[101]VENTAS TOTALES'!$F75</f>
        <v>3363</v>
      </c>
      <c r="CV63" s="253">
        <f>'[101]VENTAS TOTALES'!$G75</f>
        <v>1078800</v>
      </c>
      <c r="CW63" s="253">
        <f>'[101]VENTAS TOTALES'!$H75</f>
        <v>6795900</v>
      </c>
      <c r="CX63" s="252">
        <f>'[102]VENTAS TOTALES'!$F75</f>
        <v>1067</v>
      </c>
      <c r="CY63" s="253">
        <f>'[102]VENTAS TOTALES'!$G75</f>
        <v>293400</v>
      </c>
      <c r="CZ63" s="253">
        <f>'[102]VENTAS TOTALES'!$H75</f>
        <v>2107300</v>
      </c>
    </row>
    <row r="64" spans="1:104" x14ac:dyDescent="0.2">
      <c r="A64" s="443"/>
      <c r="B64" s="81" t="s">
        <v>197</v>
      </c>
      <c r="C64" s="254">
        <f>'[69]VENTAS TOTALES'!$F76</f>
        <v>21006</v>
      </c>
      <c r="D64" s="255">
        <f>'[69]VENTAS TOTALES'!$G76</f>
        <v>7855300</v>
      </c>
      <c r="E64" s="255">
        <f>'[69]VENTAS TOTALES'!$H76</f>
        <v>43565500</v>
      </c>
      <c r="F64" s="254">
        <f>'[70]VENTAS TOTALES'!$F76</f>
        <v>20961</v>
      </c>
      <c r="G64" s="255">
        <f>'[70]VENTAS TOTALES'!$G76</f>
        <v>7203000</v>
      </c>
      <c r="H64" s="255">
        <f>'[70]VENTAS TOTALES'!$H76</f>
        <v>42836700</v>
      </c>
      <c r="I64" s="254">
        <f>'[71]VENTAS TOTALES'!$F76</f>
        <v>17818</v>
      </c>
      <c r="J64" s="255">
        <f>'[71]VENTAS TOTALES'!$G76</f>
        <v>5544650</v>
      </c>
      <c r="K64" s="255">
        <f>'[71]VENTAS TOTALES'!$H76</f>
        <v>35835250</v>
      </c>
      <c r="L64" s="254">
        <f>'[72]VENTAS TOTALES'!$F76</f>
        <v>17047</v>
      </c>
      <c r="M64" s="255">
        <f>'[72]VENTAS TOTALES'!$G76</f>
        <v>4700450</v>
      </c>
      <c r="N64" s="255">
        <f>'[72]VENTAS TOTALES'!$H76</f>
        <v>33680350</v>
      </c>
      <c r="O64" s="254">
        <f>'[73]VENTAS TOTALES'!$F76</f>
        <v>14230</v>
      </c>
      <c r="P64" s="255">
        <f>'[73]VENTAS TOTALES'!$G76</f>
        <v>3256250</v>
      </c>
      <c r="Q64" s="255">
        <f>'[73]VENTAS TOTALES'!$H76</f>
        <v>27447250</v>
      </c>
      <c r="R64" s="254">
        <f>'[74]VENTAS TOTALES'!$F76</f>
        <v>8862</v>
      </c>
      <c r="S64" s="255">
        <f>'[74]VENTAS TOTALES'!$G76</f>
        <v>1554900</v>
      </c>
      <c r="T64" s="255">
        <f>'[74]VENTAS TOTALES'!$H76</f>
        <v>16620300</v>
      </c>
      <c r="U64" s="254">
        <f>'[75]VENTAS TOTALES'!$F76</f>
        <v>21495</v>
      </c>
      <c r="V64" s="255">
        <f>'[75]VENTAS TOTALES'!$G76</f>
        <v>7126700</v>
      </c>
      <c r="W64" s="255">
        <f>'[75]VENTAS TOTALES'!$H76</f>
        <v>43668200</v>
      </c>
      <c r="X64" s="254">
        <f>'[76]VENTAS TOTALES'!$F76</f>
        <v>19265</v>
      </c>
      <c r="Y64" s="255">
        <f>'[76]VENTAS TOTALES'!$G76</f>
        <v>5280600</v>
      </c>
      <c r="Z64" s="255">
        <f>'[76]VENTAS TOTALES'!$H76</f>
        <v>38031100</v>
      </c>
      <c r="AA64" s="254">
        <f>'[77]VENTAS TOTALES'!$F76</f>
        <v>19173</v>
      </c>
      <c r="AB64" s="255">
        <f>'[77]VENTAS TOTALES'!$G76</f>
        <v>5920350</v>
      </c>
      <c r="AC64" s="255">
        <f>'[77]VENTAS TOTALES'!$H76</f>
        <v>38514450</v>
      </c>
      <c r="AD64" s="254">
        <f>'[78]VENTAS TOTALES'!$F76</f>
        <v>18465</v>
      </c>
      <c r="AE64" s="255">
        <f>'[78]VENTAS TOTALES'!$G76</f>
        <v>5499200</v>
      </c>
      <c r="AF64" s="255">
        <f>'[78]VENTAS TOTALES'!$H76</f>
        <v>36889700</v>
      </c>
      <c r="AG64" s="254">
        <f>'[79]VENTAS TOTALES'!$F76</f>
        <v>17912</v>
      </c>
      <c r="AH64" s="255">
        <f>'[79]VENTAS TOTALES'!$G76</f>
        <v>4712400</v>
      </c>
      <c r="AI64" s="255">
        <f>'[79]VENTAS TOTALES'!$H76</f>
        <v>35162800</v>
      </c>
      <c r="AJ64" s="254">
        <f>'[80]VENTAS TOTALES'!$F76</f>
        <v>14317</v>
      </c>
      <c r="AK64" s="255">
        <f>'[80]VENTAS TOTALES'!$G76</f>
        <v>3172500</v>
      </c>
      <c r="AL64" s="255">
        <f>'[80]VENTAS TOTALES'!$H76</f>
        <v>27511400</v>
      </c>
      <c r="AM64" s="254">
        <f>'[81]VENTAS TOTALES'!$F76</f>
        <v>7539</v>
      </c>
      <c r="AN64" s="255">
        <f>'[81]VENTAS TOTALES'!$G76</f>
        <v>1124100</v>
      </c>
      <c r="AO64" s="255">
        <f>'[81]VENTAS TOTALES'!$H76</f>
        <v>13940400</v>
      </c>
      <c r="AP64" s="254">
        <f>'[82]VENTAS TOTALES'!$F76</f>
        <v>20174</v>
      </c>
      <c r="AQ64" s="255">
        <f>'[82]VENTAS TOTALES'!$G76</f>
        <v>6824400</v>
      </c>
      <c r="AR64" s="255">
        <f>'[82]VENTAS TOTALES'!$H76</f>
        <v>41120200</v>
      </c>
      <c r="AS64" s="254">
        <f>'[83]VENTAS TOTALES'!$F76</f>
        <v>18040</v>
      </c>
      <c r="AT64" s="255">
        <f>'[83]VENTAS TOTALES'!$G76</f>
        <v>9038400</v>
      </c>
      <c r="AU64" s="255">
        <f>'[83]VENTAS TOTALES'!$H76</f>
        <v>39706400</v>
      </c>
      <c r="AV64" s="254">
        <f>'[84]VENTAS TOTALES'!$F76</f>
        <v>20136</v>
      </c>
      <c r="AW64" s="255">
        <f>'[84]VENTAS TOTALES'!$G76</f>
        <v>8231200</v>
      </c>
      <c r="AX64" s="255">
        <f>'[84]VENTAS TOTALES'!$H76</f>
        <v>42462400</v>
      </c>
      <c r="AY64" s="254">
        <f>'[85]VENTAS TOTALES'!$F76</f>
        <v>18497</v>
      </c>
      <c r="AZ64" s="255">
        <f>'[85]VENTAS TOTALES'!$G76</f>
        <v>6143500</v>
      </c>
      <c r="BA64" s="255">
        <f>'[85]VENTAS TOTALES'!$H76</f>
        <v>37588400</v>
      </c>
      <c r="BB64" s="254">
        <f>'[86]VENTAS TOTALES'!$F76</f>
        <v>19651</v>
      </c>
      <c r="BC64" s="255">
        <f>'[86]VENTAS TOTALES'!$G76</f>
        <v>5851401</v>
      </c>
      <c r="BD64" s="255">
        <f>'[86]VENTAS TOTALES'!$H76</f>
        <v>39258101</v>
      </c>
      <c r="BE64" s="254">
        <f>'[87]VENTAS TOTALES'!$F76</f>
        <v>14058</v>
      </c>
      <c r="BF64" s="255">
        <f>'[87]VENTAS TOTALES'!$G76</f>
        <v>3166500</v>
      </c>
      <c r="BG64" s="255">
        <f>'[87]VENTAS TOTALES'!$H76</f>
        <v>27065100</v>
      </c>
      <c r="BH64" s="254">
        <f>'[88]VENTAS TOTALES'!$F76</f>
        <v>7136</v>
      </c>
      <c r="BI64" s="255">
        <f>'[88]VENTAS TOTALES'!$G76</f>
        <v>1462700</v>
      </c>
      <c r="BJ64" s="255">
        <f>'[88]VENTAS TOTALES'!$H76</f>
        <v>13593900</v>
      </c>
      <c r="BK64" s="254">
        <f>'[89]VENTAS TOTALES'!$F76</f>
        <v>21174</v>
      </c>
      <c r="BL64" s="255">
        <f>'[89]VENTAS TOTALES'!$G76</f>
        <v>8320200</v>
      </c>
      <c r="BM64" s="255">
        <f>'[89]VENTAS TOTALES'!$H76</f>
        <v>44316000</v>
      </c>
      <c r="BN64" s="254">
        <f>'[90]VENTAS TOTALES'!$F76</f>
        <v>19666</v>
      </c>
      <c r="BO64" s="255">
        <f>'[90]VENTAS TOTALES'!$G76</f>
        <v>5449200</v>
      </c>
      <c r="BP64" s="255">
        <f>'[90]VENTAS TOTALES'!$H76</f>
        <v>38881400</v>
      </c>
      <c r="BQ64" s="254">
        <f>'[91]VENTAS TOTALES'!$F76</f>
        <v>18979</v>
      </c>
      <c r="BR64" s="255">
        <f>'[91]VENTAS TOTALES'!$G76</f>
        <v>5500400</v>
      </c>
      <c r="BS64" s="255">
        <f>'[91]VENTAS TOTALES'!$H76</f>
        <v>37764700</v>
      </c>
      <c r="BT64" s="254">
        <f>'[92]VENTAS TOTALES'!$F76</f>
        <v>17513</v>
      </c>
      <c r="BU64" s="255">
        <f>'[92]VENTAS TOTALES'!$G76</f>
        <v>5373400</v>
      </c>
      <c r="BV64" s="255">
        <f>'[92]VENTAS TOTALES'!$H76</f>
        <v>35145500</v>
      </c>
      <c r="BW64" s="254">
        <f>'[93]VENTAS TOTALES'!$F76</f>
        <v>18980</v>
      </c>
      <c r="BX64" s="255">
        <f>'[93]VENTAS TOTALES'!$G76</f>
        <v>6184450</v>
      </c>
      <c r="BY64" s="255">
        <f>'[93]VENTAS TOTALES'!$H76</f>
        <v>38450450</v>
      </c>
      <c r="BZ64" s="254">
        <f>'[94]VENTAS TOTALES'!$F76</f>
        <v>13977</v>
      </c>
      <c r="CA64" s="255">
        <f>'[94]VENTAS TOTALES'!$G76</f>
        <v>3061600</v>
      </c>
      <c r="CB64" s="255">
        <f>'[94]VENTAS TOTALES'!$H76</f>
        <v>26822500</v>
      </c>
      <c r="CC64" s="254">
        <f>'[95]VENTAS TOTALES'!$F76</f>
        <v>7368</v>
      </c>
      <c r="CD64" s="255">
        <f>'[95]VENTAS TOTALES'!$G76</f>
        <v>1228200</v>
      </c>
      <c r="CE64" s="255">
        <f>'[95]VENTAS TOTALES'!$H76</f>
        <v>13753800</v>
      </c>
      <c r="CF64" s="254">
        <f>'[96]VENTAS TOTALES'!$F76</f>
        <v>22981</v>
      </c>
      <c r="CG64" s="255">
        <f>'[96]VENTAS TOTALES'!$G76</f>
        <v>11365050</v>
      </c>
      <c r="CH64" s="255">
        <f>'[96]VENTAS TOTALES'!$H76</f>
        <v>50432750</v>
      </c>
      <c r="CI64" s="254">
        <f>'[97]VENTAS TOTALES'!$F76</f>
        <v>21014</v>
      </c>
      <c r="CJ64" s="255">
        <f>'[97]VENTAS TOTALES'!$G76</f>
        <v>8208750</v>
      </c>
      <c r="CK64" s="255">
        <f>'[97]VENTAS TOTALES'!$H76</f>
        <v>43932550</v>
      </c>
      <c r="CL64" s="254">
        <f>'[98]VENTAS TOTALES'!$F76</f>
        <v>21972</v>
      </c>
      <c r="CM64" s="255">
        <f>'[98]VENTAS TOTALES'!$G76</f>
        <v>7507350</v>
      </c>
      <c r="CN64" s="255">
        <f>'[98]VENTAS TOTALES'!$H76</f>
        <v>44859750</v>
      </c>
      <c r="CO64" s="254">
        <f>'[99]VENTAS TOTALES'!$F76</f>
        <v>19528</v>
      </c>
      <c r="CP64" s="255">
        <f>'[99]VENTAS TOTALES'!$G76</f>
        <v>6010800</v>
      </c>
      <c r="CQ64" s="255">
        <f>'[99]VENTAS TOTALES'!$H76</f>
        <v>39208400</v>
      </c>
      <c r="CR64" s="254">
        <f>'[100]VENTAS TOTALES'!$F76</f>
        <v>13170</v>
      </c>
      <c r="CS64" s="255">
        <f>'[100]VENTAS TOTALES'!$G76</f>
        <v>3182800</v>
      </c>
      <c r="CT64" s="255">
        <f>'[100]VENTAS TOTALES'!$H76</f>
        <v>25571800</v>
      </c>
      <c r="CU64" s="254">
        <f>'[101]VENTAS TOTALES'!$F76</f>
        <v>11402</v>
      </c>
      <c r="CV64" s="255">
        <f>'[101]VENTAS TOTALES'!$G76</f>
        <v>2341500</v>
      </c>
      <c r="CW64" s="255">
        <f>'[101]VENTAS TOTALES'!$H76</f>
        <v>21724900</v>
      </c>
      <c r="CX64" s="254">
        <f>'[102]VENTAS TOTALES'!$F76</f>
        <v>5650</v>
      </c>
      <c r="CY64" s="255">
        <f>'[102]VENTAS TOTALES'!$G76</f>
        <v>1067700</v>
      </c>
      <c r="CZ64" s="255">
        <f>'[102]VENTAS TOTALES'!$H76</f>
        <v>10672700</v>
      </c>
    </row>
    <row r="65" spans="1:104" x14ac:dyDescent="0.2">
      <c r="A65" s="443"/>
      <c r="B65" s="71" t="s">
        <v>138</v>
      </c>
      <c r="C65" s="254">
        <f>'[69]VENTAS TOTALES'!$F77</f>
        <v>9260</v>
      </c>
      <c r="D65" s="255">
        <f>'[69]VENTAS TOTALES'!$G77</f>
        <v>2080100</v>
      </c>
      <c r="E65" s="255">
        <f>'[69]VENTAS TOTALES'!$H77</f>
        <v>17822100</v>
      </c>
      <c r="F65" s="254">
        <f>'[70]VENTAS TOTALES'!$F77</f>
        <v>9967</v>
      </c>
      <c r="G65" s="255">
        <f>'[70]VENTAS TOTALES'!$G77</f>
        <v>1915800</v>
      </c>
      <c r="H65" s="255">
        <f>'[70]VENTAS TOTALES'!$H77</f>
        <v>18859700</v>
      </c>
      <c r="I65" s="254">
        <f>'[71]VENTAS TOTALES'!$F77</f>
        <v>8094</v>
      </c>
      <c r="J65" s="255">
        <f>'[71]VENTAS TOTALES'!$G77</f>
        <v>1312000</v>
      </c>
      <c r="K65" s="255">
        <f>'[71]VENTAS TOTALES'!$H77</f>
        <v>15071800</v>
      </c>
      <c r="L65" s="254">
        <f>'[72]VENTAS TOTALES'!$F77</f>
        <v>8366</v>
      </c>
      <c r="M65" s="255">
        <f>'[72]VENTAS TOTALES'!$G77</f>
        <v>1212100</v>
      </c>
      <c r="N65" s="255">
        <f>'[72]VENTAS TOTALES'!$H77</f>
        <v>15434300</v>
      </c>
      <c r="O65" s="254">
        <f>'[73]VENTAS TOTALES'!$F77</f>
        <v>9308</v>
      </c>
      <c r="P65" s="255">
        <f>'[73]VENTAS TOTALES'!$G77</f>
        <v>1416100</v>
      </c>
      <c r="Q65" s="255">
        <f>'[73]VENTAS TOTALES'!$H77</f>
        <v>17239700</v>
      </c>
      <c r="R65" s="254">
        <f>'[74]VENTAS TOTALES'!$F77</f>
        <v>4025</v>
      </c>
      <c r="S65" s="255">
        <f>'[74]VENTAS TOTALES'!$G77</f>
        <v>461100</v>
      </c>
      <c r="T65" s="255">
        <f>'[74]VENTAS TOTALES'!$H77</f>
        <v>7303600</v>
      </c>
      <c r="U65" s="254">
        <f>'[75]VENTAS TOTALES'!$F77</f>
        <v>8604</v>
      </c>
      <c r="V65" s="255">
        <f>'[75]VENTAS TOTALES'!$G77</f>
        <v>1907100</v>
      </c>
      <c r="W65" s="255">
        <f>'[75]VENTAS TOTALES'!$H77</f>
        <v>16533900</v>
      </c>
      <c r="X65" s="254">
        <f>'[76]VENTAS TOTALES'!$F77</f>
        <v>8060</v>
      </c>
      <c r="Y65" s="255">
        <f>'[76]VENTAS TOTALES'!$G77</f>
        <v>1260500</v>
      </c>
      <c r="Z65" s="255">
        <f>'[76]VENTAS TOTALES'!$H77</f>
        <v>14962500</v>
      </c>
      <c r="AA65" s="254">
        <f>'[77]VENTAS TOTALES'!$F77</f>
        <v>8092</v>
      </c>
      <c r="AB65" s="255">
        <f>'[77]VENTAS TOTALES'!$G77</f>
        <v>1390300</v>
      </c>
      <c r="AC65" s="255">
        <f>'[77]VENTAS TOTALES'!$H77</f>
        <v>15146700</v>
      </c>
      <c r="AD65" s="254">
        <f>'[78]VENTAS TOTALES'!$F77</f>
        <v>7880</v>
      </c>
      <c r="AE65" s="255">
        <f>'[78]VENTAS TOTALES'!$G77</f>
        <v>1227200</v>
      </c>
      <c r="AF65" s="255">
        <f>'[78]VENTAS TOTALES'!$H77</f>
        <v>14623200</v>
      </c>
      <c r="AG65" s="254">
        <f>'[79]VENTAS TOTALES'!$F77</f>
        <v>7436</v>
      </c>
      <c r="AH65" s="255">
        <f>'[79]VENTAS TOTALES'!$G77</f>
        <v>1035300</v>
      </c>
      <c r="AI65" s="255">
        <f>'[79]VENTAS TOTALES'!$H77</f>
        <v>13676500</v>
      </c>
      <c r="AJ65" s="254">
        <f>'[80]VENTAS TOTALES'!$F77</f>
        <v>8458</v>
      </c>
      <c r="AK65" s="255">
        <f>'[80]VENTAS TOTALES'!$G77</f>
        <v>1095800</v>
      </c>
      <c r="AL65" s="255">
        <f>'[80]VENTAS TOTALES'!$H77</f>
        <v>15474400</v>
      </c>
      <c r="AM65" s="254">
        <f>'[81]VENTAS TOTALES'!$F77</f>
        <v>2970</v>
      </c>
      <c r="AN65" s="255">
        <f>'[81]VENTAS TOTALES'!$G77</f>
        <v>422500</v>
      </c>
      <c r="AO65" s="255">
        <f>'[81]VENTAS TOTALES'!$H77</f>
        <v>5471500</v>
      </c>
      <c r="AP65" s="254">
        <f>'[82]VENTAS TOTALES'!$F77</f>
        <v>8344</v>
      </c>
      <c r="AQ65" s="255">
        <f>'[82]VENTAS TOTALES'!$G77</f>
        <v>1519600</v>
      </c>
      <c r="AR65" s="255">
        <f>'[82]VENTAS TOTALES'!$H77</f>
        <v>15704400</v>
      </c>
      <c r="AS65" s="254">
        <f>'[83]VENTAS TOTALES'!$F77</f>
        <v>7895</v>
      </c>
      <c r="AT65" s="255">
        <f>'[83]VENTAS TOTALES'!$G77</f>
        <v>1827000</v>
      </c>
      <c r="AU65" s="255">
        <f>'[83]VENTAS TOTALES'!$H77</f>
        <v>15248500</v>
      </c>
      <c r="AV65" s="254">
        <f>'[84]VENTAS TOTALES'!$F77</f>
        <v>8541</v>
      </c>
      <c r="AW65" s="255">
        <f>'[84]VENTAS TOTALES'!$G77</f>
        <v>2115600</v>
      </c>
      <c r="AX65" s="255">
        <f>'[84]VENTAS TOTALES'!$H77</f>
        <v>16635300</v>
      </c>
      <c r="AY65" s="254">
        <f>'[85]VENTAS TOTALES'!$F77</f>
        <v>7554</v>
      </c>
      <c r="AZ65" s="255">
        <f>'[85]VENTAS TOTALES'!$G77</f>
        <v>1342300</v>
      </c>
      <c r="BA65" s="255">
        <f>'[85]VENTAS TOTALES'!$H77</f>
        <v>14184100</v>
      </c>
      <c r="BB65" s="254">
        <f>'[86]VENTAS TOTALES'!$F77</f>
        <v>7956</v>
      </c>
      <c r="BC65" s="255">
        <f>'[86]VENTAS TOTALES'!$G77</f>
        <v>1015700</v>
      </c>
      <c r="BD65" s="255">
        <f>'[86]VENTAS TOTALES'!$H77</f>
        <v>14540900</v>
      </c>
      <c r="BE65" s="254">
        <f>'[87]VENTAS TOTALES'!$F77</f>
        <v>8292</v>
      </c>
      <c r="BF65" s="255">
        <f>'[87]VENTAS TOTALES'!$G77</f>
        <v>1240800</v>
      </c>
      <c r="BG65" s="255">
        <f>'[87]VENTAS TOTALES'!$H77</f>
        <v>15337200</v>
      </c>
      <c r="BH65" s="254">
        <f>'[88]VENTAS TOTALES'!$F77</f>
        <v>2810</v>
      </c>
      <c r="BI65" s="255">
        <f>'[88]VENTAS TOTALES'!$G77</f>
        <v>381000</v>
      </c>
      <c r="BJ65" s="255">
        <f>'[88]VENTAS TOTALES'!$H77</f>
        <v>5158000</v>
      </c>
      <c r="BK65" s="254">
        <f>'[89]VENTAS TOTALES'!$F77</f>
        <v>8547</v>
      </c>
      <c r="BL65" s="255">
        <f>'[89]VENTAS TOTALES'!$G77</f>
        <v>1670400</v>
      </c>
      <c r="BM65" s="255">
        <f>'[89]VENTAS TOTALES'!$H77</f>
        <v>16200300</v>
      </c>
      <c r="BN65" s="254">
        <f>'[90]VENTAS TOTALES'!$F77</f>
        <v>7903</v>
      </c>
      <c r="BO65" s="255">
        <f>'[90]VENTAS TOTALES'!$G77</f>
        <v>1382400</v>
      </c>
      <c r="BP65" s="255">
        <f>'[90]VENTAS TOTALES'!$H77</f>
        <v>14817500</v>
      </c>
      <c r="BQ65" s="254">
        <f>'[91]VENTAS TOTALES'!$F77</f>
        <v>8395</v>
      </c>
      <c r="BR65" s="255">
        <f>'[91]VENTAS TOTALES'!$G77</f>
        <v>1219700</v>
      </c>
      <c r="BS65" s="255">
        <f>'[91]VENTAS TOTALES'!$H77</f>
        <v>15491200</v>
      </c>
      <c r="BT65" s="254">
        <f>'[92]VENTAS TOTALES'!$F77</f>
        <v>7187</v>
      </c>
      <c r="BU65" s="255">
        <f>'[92]VENTAS TOTALES'!$G77</f>
        <v>1028050</v>
      </c>
      <c r="BV65" s="255">
        <f>'[92]VENTAS TOTALES'!$H77</f>
        <v>13245950</v>
      </c>
      <c r="BW65" s="254">
        <f>'[93]VENTAS TOTALES'!$F77</f>
        <v>7256</v>
      </c>
      <c r="BX65" s="255">
        <f>'[93]VENTAS TOTALES'!$G77</f>
        <v>1216400</v>
      </c>
      <c r="BY65" s="255">
        <f>'[93]VENTAS TOTALES'!$H77</f>
        <v>13551600</v>
      </c>
      <c r="BZ65" s="254">
        <f>'[94]VENTAS TOTALES'!$F77</f>
        <v>8669</v>
      </c>
      <c r="CA65" s="255">
        <f>'[94]VENTAS TOTALES'!$G77</f>
        <v>1564800</v>
      </c>
      <c r="CB65" s="255">
        <f>'[94]VENTAS TOTALES'!$H77</f>
        <v>16302100</v>
      </c>
      <c r="CC65" s="254">
        <f>'[95]VENTAS TOTALES'!$F77</f>
        <v>2922</v>
      </c>
      <c r="CD65" s="255">
        <f>'[95]VENTAS TOTALES'!$G77</f>
        <v>357100</v>
      </c>
      <c r="CE65" s="255">
        <f>'[95]VENTAS TOTALES'!$H77</f>
        <v>5324500</v>
      </c>
      <c r="CF65" s="254">
        <f>'[96]VENTAS TOTALES'!$F77</f>
        <v>9233</v>
      </c>
      <c r="CG65" s="255">
        <f>'[96]VENTAS TOTALES'!$G77</f>
        <v>2407400</v>
      </c>
      <c r="CH65" s="255">
        <f>'[96]VENTAS TOTALES'!$H77</f>
        <v>18103500</v>
      </c>
      <c r="CI65" s="254">
        <f>'[97]VENTAS TOTALES'!$F77</f>
        <v>9223</v>
      </c>
      <c r="CJ65" s="255">
        <f>'[97]VENTAS TOTALES'!$G77</f>
        <v>1859800</v>
      </c>
      <c r="CK65" s="255">
        <f>'[97]VENTAS TOTALES'!$H77</f>
        <v>17538900</v>
      </c>
      <c r="CL65" s="254">
        <f>'[98]VENTAS TOTALES'!$F77</f>
        <v>9308</v>
      </c>
      <c r="CM65" s="255">
        <f>'[98]VENTAS TOTALES'!$G77</f>
        <v>1567200</v>
      </c>
      <c r="CN65" s="255">
        <f>'[98]VENTAS TOTALES'!$H77</f>
        <v>17390800</v>
      </c>
      <c r="CO65" s="254">
        <f>'[99]VENTAS TOTALES'!$F77</f>
        <v>8493</v>
      </c>
      <c r="CP65" s="255">
        <f>'[99]VENTAS TOTALES'!$G77</f>
        <v>1516400</v>
      </c>
      <c r="CQ65" s="255">
        <f>'[99]VENTAS TOTALES'!$H77</f>
        <v>15954500</v>
      </c>
      <c r="CR65" s="254">
        <f>'[100]VENTAS TOTALES'!$F77</f>
        <v>7811</v>
      </c>
      <c r="CS65" s="255">
        <f>'[100]VENTAS TOTALES'!$G77</f>
        <v>1292100</v>
      </c>
      <c r="CT65" s="255">
        <f>'[100]VENTAS TOTALES'!$H77</f>
        <v>14570800</v>
      </c>
      <c r="CU65" s="254">
        <f>'[101]VENTAS TOTALES'!$F77</f>
        <v>8577</v>
      </c>
      <c r="CV65" s="255">
        <f>'[101]VENTAS TOTALES'!$G77</f>
        <v>1204400</v>
      </c>
      <c r="CW65" s="255">
        <f>'[101]VENTAS TOTALES'!$H77</f>
        <v>15785300</v>
      </c>
      <c r="CX65" s="254">
        <f>'[102]VENTAS TOTALES'!$F77</f>
        <v>2897</v>
      </c>
      <c r="CY65" s="255">
        <f>'[102]VENTAS TOTALES'!$G77</f>
        <v>294200</v>
      </c>
      <c r="CZ65" s="255">
        <f>'[102]VENTAS TOTALES'!$H77</f>
        <v>5219100</v>
      </c>
    </row>
    <row r="66" spans="1:104" x14ac:dyDescent="0.2">
      <c r="A66" s="443"/>
      <c r="B66" s="115" t="s">
        <v>198</v>
      </c>
      <c r="C66" s="254">
        <f>'[69]VENTAS TOTALES'!$F78</f>
        <v>7378</v>
      </c>
      <c r="D66" s="255">
        <f>'[69]VENTAS TOTALES'!$G78</f>
        <v>2983000</v>
      </c>
      <c r="E66" s="255">
        <f>'[69]VENTAS TOTALES'!$H78</f>
        <v>15525600</v>
      </c>
      <c r="F66" s="254">
        <f>'[70]VENTAS TOTALES'!$F78</f>
        <v>6680</v>
      </c>
      <c r="G66" s="255">
        <f>'[70]VENTAS TOTALES'!$G78</f>
        <v>2211800</v>
      </c>
      <c r="H66" s="255">
        <f>'[70]VENTAS TOTALES'!$H78</f>
        <v>13567800</v>
      </c>
      <c r="I66" s="254">
        <f>'[71]VENTAS TOTALES'!$F78</f>
        <v>5464</v>
      </c>
      <c r="J66" s="255">
        <f>'[71]VENTAS TOTALES'!$G78</f>
        <v>1634600</v>
      </c>
      <c r="K66" s="255">
        <f>'[71]VENTAS TOTALES'!$H78</f>
        <v>10923400</v>
      </c>
      <c r="L66" s="254">
        <f>'[72]VENTAS TOTALES'!$F78</f>
        <v>5793</v>
      </c>
      <c r="M66" s="255">
        <f>'[72]VENTAS TOTALES'!$G78</f>
        <v>1562300</v>
      </c>
      <c r="N66" s="255">
        <f>'[72]VENTAS TOTALES'!$H78</f>
        <v>11410400</v>
      </c>
      <c r="O66" s="254">
        <f>'[73]VENTAS TOTALES'!$F78</f>
        <v>5367</v>
      </c>
      <c r="P66" s="255">
        <f>'[73]VENTAS TOTALES'!$G78</f>
        <v>1116800</v>
      </c>
      <c r="Q66" s="255">
        <f>'[73]VENTAS TOTALES'!$H78</f>
        <v>10240700</v>
      </c>
      <c r="R66" s="254">
        <f>'[74]VENTAS TOTALES'!$F78</f>
        <v>1759</v>
      </c>
      <c r="S66" s="255">
        <f>'[74]VENTAS TOTALES'!$G78</f>
        <v>297100</v>
      </c>
      <c r="T66" s="255">
        <f>'[74]VENTAS TOTALES'!$H78</f>
        <v>3287400</v>
      </c>
      <c r="U66" s="254">
        <f>'[75]VENTAS TOTALES'!$F78</f>
        <v>7109</v>
      </c>
      <c r="V66" s="255">
        <f>'[75]VENTAS TOTALES'!$G78</f>
        <v>2230800</v>
      </c>
      <c r="W66" s="255">
        <f>'[75]VENTAS TOTALES'!$H78</f>
        <v>14316100</v>
      </c>
      <c r="X66" s="254">
        <f>'[76]VENTAS TOTALES'!$F78</f>
        <v>6350</v>
      </c>
      <c r="Y66" s="255">
        <f>'[76]VENTAS TOTALES'!$G78</f>
        <v>1742400</v>
      </c>
      <c r="Z66" s="255">
        <f>'[76]VENTAS TOTALES'!$H78</f>
        <v>12537400</v>
      </c>
      <c r="AA66" s="254">
        <f>'[77]VENTAS TOTALES'!$F78</f>
        <v>5816</v>
      </c>
      <c r="AB66" s="255">
        <f>'[77]VENTAS TOTALES'!$G78</f>
        <v>1813800</v>
      </c>
      <c r="AC66" s="255">
        <f>'[77]VENTAS TOTALES'!$H78</f>
        <v>11701000</v>
      </c>
      <c r="AD66" s="254">
        <f>'[78]VENTAS TOTALES'!$F78</f>
        <v>5756</v>
      </c>
      <c r="AE66" s="255">
        <f>'[78]VENTAS TOTALES'!$G78</f>
        <v>1833400</v>
      </c>
      <c r="AF66" s="255">
        <f>'[78]VENTAS TOTALES'!$H78</f>
        <v>11618600</v>
      </c>
      <c r="AG66" s="254">
        <f>'[79]VENTAS TOTALES'!$F78</f>
        <v>5449</v>
      </c>
      <c r="AH66" s="255">
        <f>'[79]VENTAS TOTALES'!$G78</f>
        <v>1516800</v>
      </c>
      <c r="AI66" s="255">
        <f>'[79]VENTAS TOTALES'!$H78</f>
        <v>10780100</v>
      </c>
      <c r="AJ66" s="254">
        <f>'[80]VENTAS TOTALES'!$F78</f>
        <v>4673</v>
      </c>
      <c r="AK66" s="255">
        <f>'[80]VENTAS TOTALES'!$G78</f>
        <v>1063700</v>
      </c>
      <c r="AL66" s="255">
        <f>'[80]VENTAS TOTALES'!$H78</f>
        <v>9007800</v>
      </c>
      <c r="AM66" s="254">
        <f>'[81]VENTAS TOTALES'!$F78</f>
        <v>1578</v>
      </c>
      <c r="AN66" s="255">
        <f>'[81]VENTAS TOTALES'!$G78</f>
        <v>240400</v>
      </c>
      <c r="AO66" s="255">
        <f>'[81]VENTAS TOTALES'!$H78</f>
        <v>2923000</v>
      </c>
      <c r="AP66" s="254">
        <f>'[82]VENTAS TOTALES'!$F78</f>
        <v>6663</v>
      </c>
      <c r="AQ66" s="255">
        <f>'[82]VENTAS TOTALES'!$G78</f>
        <v>2182700</v>
      </c>
      <c r="AR66" s="255">
        <f>'[82]VENTAS TOTALES'!$H78</f>
        <v>13509800</v>
      </c>
      <c r="AS66" s="254">
        <f>'[83]VENTAS TOTALES'!$F78</f>
        <v>6218</v>
      </c>
      <c r="AT66" s="255">
        <f>'[83]VENTAS TOTALES'!$G78</f>
        <v>2471200</v>
      </c>
      <c r="AU66" s="255">
        <f>'[83]VENTAS TOTALES'!$H78</f>
        <v>13041800</v>
      </c>
      <c r="AV66" s="254">
        <f>'[84]VENTAS TOTALES'!$F78</f>
        <v>5992</v>
      </c>
      <c r="AW66" s="255">
        <f>'[84]VENTAS TOTALES'!$G78</f>
        <v>2066600</v>
      </c>
      <c r="AX66" s="255">
        <f>'[84]VENTAS TOTALES'!$H78</f>
        <v>12253000</v>
      </c>
      <c r="AY66" s="254">
        <f>'[85]VENTAS TOTALES'!$F78</f>
        <v>6031</v>
      </c>
      <c r="AZ66" s="255">
        <f>'[85]VENTAS TOTALES'!$G78</f>
        <v>1589400</v>
      </c>
      <c r="BA66" s="255">
        <f>'[85]VENTAS TOTALES'!$H78</f>
        <v>11842100</v>
      </c>
      <c r="BB66" s="254">
        <f>'[86]VENTAS TOTALES'!$F78</f>
        <v>5480</v>
      </c>
      <c r="BC66" s="255">
        <f>'[86]VENTAS TOTALES'!$G78</f>
        <v>1754100</v>
      </c>
      <c r="BD66" s="255">
        <f>'[86]VENTAS TOTALES'!$H78</f>
        <v>11070100</v>
      </c>
      <c r="BE66" s="254">
        <f>'[87]VENTAS TOTALES'!$F78</f>
        <v>4936</v>
      </c>
      <c r="BF66" s="255">
        <f>'[87]VENTAS TOTALES'!$G78</f>
        <v>1224800</v>
      </c>
      <c r="BG66" s="255">
        <f>'[87]VENTAS TOTALES'!$H78</f>
        <v>9616000</v>
      </c>
      <c r="BH66" s="254">
        <f>'[88]VENTAS TOTALES'!$F78</f>
        <v>1554</v>
      </c>
      <c r="BI66" s="255">
        <f>'[88]VENTAS TOTALES'!$G78</f>
        <v>221000</v>
      </c>
      <c r="BJ66" s="255">
        <f>'[88]VENTAS TOTALES'!$H78</f>
        <v>2862800</v>
      </c>
      <c r="BK66" s="254">
        <f>'[89]VENTAS TOTALES'!$F78</f>
        <v>6982</v>
      </c>
      <c r="BL66" s="255">
        <f>'[89]VENTAS TOTALES'!$G78</f>
        <v>2463500</v>
      </c>
      <c r="BM66" s="255">
        <f>'[89]VENTAS TOTALES'!$H78</f>
        <v>14332900</v>
      </c>
      <c r="BN66" s="254">
        <f>'[90]VENTAS TOTALES'!$F78</f>
        <v>6010</v>
      </c>
      <c r="BO66" s="255">
        <f>'[90]VENTAS TOTALES'!$G78</f>
        <v>1901800</v>
      </c>
      <c r="BP66" s="255">
        <f>'[90]VENTAS TOTALES'!$H78</f>
        <v>12118800</v>
      </c>
      <c r="BQ66" s="254">
        <f>'[91]VENTAS TOTALES'!$F78</f>
        <v>6088</v>
      </c>
      <c r="BR66" s="255">
        <f>'[91]VENTAS TOTALES'!$G78</f>
        <v>1603800</v>
      </c>
      <c r="BS66" s="255">
        <f>'[91]VENTAS TOTALES'!$H78</f>
        <v>11953400</v>
      </c>
      <c r="BT66" s="254">
        <f>'[92]VENTAS TOTALES'!$F78</f>
        <v>6111</v>
      </c>
      <c r="BU66" s="255">
        <f>'[92]VENTAS TOTALES'!$G78</f>
        <v>1662100</v>
      </c>
      <c r="BV66" s="255">
        <f>'[92]VENTAS TOTALES'!$H78</f>
        <v>12050800</v>
      </c>
      <c r="BW66" s="254">
        <f>'[93]VENTAS TOTALES'!$F78</f>
        <v>5474</v>
      </c>
      <c r="BX66" s="255">
        <f>'[93]VENTAS TOTALES'!$G78</f>
        <v>1849100</v>
      </c>
      <c r="BY66" s="255">
        <f>'[93]VENTAS TOTALES'!$H78</f>
        <v>11154900</v>
      </c>
      <c r="BZ66" s="254">
        <f>'[94]VENTAS TOTALES'!$F78</f>
        <v>5262</v>
      </c>
      <c r="CA66" s="255">
        <f>'[94]VENTAS TOTALES'!$G78</f>
        <v>1494300</v>
      </c>
      <c r="CB66" s="255">
        <f>'[94]VENTAS TOTALES'!$H78</f>
        <v>10439700</v>
      </c>
      <c r="CC66" s="254">
        <f>'[95]VENTAS TOTALES'!$F78</f>
        <v>1716</v>
      </c>
      <c r="CD66" s="255">
        <f>'[95]VENTAS TOTALES'!$G78</f>
        <v>311700</v>
      </c>
      <c r="CE66" s="255">
        <f>'[95]VENTAS TOTALES'!$H78</f>
        <v>3228900</v>
      </c>
      <c r="CF66" s="254">
        <f>'[96]VENTAS TOTALES'!$F78</f>
        <v>7747</v>
      </c>
      <c r="CG66" s="255">
        <f>'[96]VENTAS TOTALES'!$G78</f>
        <v>3447800</v>
      </c>
      <c r="CH66" s="255">
        <f>'[96]VENTAS TOTALES'!$H78</f>
        <v>16617700</v>
      </c>
      <c r="CI66" s="254">
        <f>'[97]VENTAS TOTALES'!$F78</f>
        <v>7353</v>
      </c>
      <c r="CJ66" s="255">
        <f>'[97]VENTAS TOTALES'!$G78</f>
        <v>3279200</v>
      </c>
      <c r="CK66" s="255">
        <f>'[97]VENTAS TOTALES'!$H78</f>
        <v>15779300</v>
      </c>
      <c r="CL66" s="254">
        <f>'[98]VENTAS TOTALES'!$F78</f>
        <v>7485</v>
      </c>
      <c r="CM66" s="255">
        <f>'[98]VENTAS TOTALES'!$G78</f>
        <v>2557300</v>
      </c>
      <c r="CN66" s="255">
        <f>'[98]VENTAS TOTALES'!$H78</f>
        <v>15281800</v>
      </c>
      <c r="CO66" s="254">
        <f>'[99]VENTAS TOTALES'!$F78</f>
        <v>6464</v>
      </c>
      <c r="CP66" s="255">
        <f>'[99]VENTAS TOTALES'!$G78</f>
        <v>1850300</v>
      </c>
      <c r="CQ66" s="255">
        <f>'[99]VENTAS TOTALES'!$H78</f>
        <v>12839100</v>
      </c>
      <c r="CR66" s="254">
        <f>'[100]VENTAS TOTALES'!$F78</f>
        <v>5582</v>
      </c>
      <c r="CS66" s="255">
        <f>'[100]VENTAS TOTALES'!$G78</f>
        <v>1290800</v>
      </c>
      <c r="CT66" s="255">
        <f>'[100]VENTAS TOTALES'!$H78</f>
        <v>10780200</v>
      </c>
      <c r="CU66" s="254">
        <f>'[101]VENTAS TOTALES'!$F78</f>
        <v>4827</v>
      </c>
      <c r="CV66" s="255">
        <f>'[101]VENTAS TOTALES'!$G78</f>
        <v>1118700</v>
      </c>
      <c r="CW66" s="255">
        <f>'[101]VENTAS TOTALES'!$H78</f>
        <v>9324600</v>
      </c>
      <c r="CX66" s="254">
        <f>'[102]VENTAS TOTALES'!$F78</f>
        <v>1668</v>
      </c>
      <c r="CY66" s="255">
        <f>'[102]VENTAS TOTALES'!$G78</f>
        <v>337000</v>
      </c>
      <c r="CZ66" s="255">
        <f>'[102]VENTAS TOTALES'!$H78</f>
        <v>3172600</v>
      </c>
    </row>
    <row r="67" spans="1:104" x14ac:dyDescent="0.2">
      <c r="A67" s="443"/>
      <c r="B67" s="43" t="s">
        <v>33</v>
      </c>
      <c r="C67" s="252">
        <f>'[69]VENTAS TOTALES'!$F79</f>
        <v>2424</v>
      </c>
      <c r="D67" s="253">
        <f>'[69]VENTAS TOTALES'!$G79</f>
        <v>415200</v>
      </c>
      <c r="E67" s="253">
        <f>'[69]VENTAS TOTALES'!$H79</f>
        <v>4536000</v>
      </c>
      <c r="F67" s="252">
        <f>'[70]VENTAS TOTALES'!$F79</f>
        <v>2176</v>
      </c>
      <c r="G67" s="253">
        <f>'[70]VENTAS TOTALES'!$G79</f>
        <v>719400</v>
      </c>
      <c r="H67" s="253">
        <f>'[70]VENTAS TOTALES'!$H79</f>
        <v>4418600</v>
      </c>
      <c r="I67" s="252">
        <f>'[71]VENTAS TOTALES'!$F79</f>
        <v>2085</v>
      </c>
      <c r="J67" s="253">
        <f>'[71]VENTAS TOTALES'!$G79</f>
        <v>439150</v>
      </c>
      <c r="K67" s="253">
        <f>'[71]VENTAS TOTALES'!$H79</f>
        <v>3983650</v>
      </c>
      <c r="L67" s="252">
        <f>'[72]VENTAS TOTALES'!$F79</f>
        <v>2072</v>
      </c>
      <c r="M67" s="253">
        <f>'[72]VENTAS TOTALES'!$G79</f>
        <v>279000</v>
      </c>
      <c r="N67" s="253">
        <f>'[72]VENTAS TOTALES'!$H79</f>
        <v>3801400</v>
      </c>
      <c r="O67" s="252">
        <f>'[73]VENTAS TOTALES'!$F79</f>
        <v>1500</v>
      </c>
      <c r="P67" s="253">
        <f>'[73]VENTAS TOTALES'!$G79</f>
        <v>152200</v>
      </c>
      <c r="Q67" s="253">
        <f>'[73]VENTAS TOTALES'!$H79</f>
        <v>2702200</v>
      </c>
      <c r="R67" s="252">
        <f>'[74]VENTAS TOTALES'!$F79</f>
        <v>427</v>
      </c>
      <c r="S67" s="253">
        <f>'[74]VENTAS TOTALES'!$G79</f>
        <v>97300</v>
      </c>
      <c r="T67" s="253">
        <f>'[74]VENTAS TOTALES'!$H79</f>
        <v>823200</v>
      </c>
      <c r="U67" s="252">
        <f>'[75]VENTAS TOTALES'!$F79</f>
        <v>2163</v>
      </c>
      <c r="V67" s="253">
        <f>'[75]VENTAS TOTALES'!$G79</f>
        <v>663500</v>
      </c>
      <c r="W67" s="253">
        <f>'[75]VENTAS TOTALES'!$H79</f>
        <v>4340600</v>
      </c>
      <c r="X67" s="252">
        <f>'[76]VENTAS TOTALES'!$F79</f>
        <v>2137</v>
      </c>
      <c r="Y67" s="253">
        <f>'[76]VENTAS TOTALES'!$G79</f>
        <v>660000</v>
      </c>
      <c r="Z67" s="253">
        <f>'[76]VENTAS TOTALES'!$H79</f>
        <v>4292900</v>
      </c>
      <c r="AA67" s="252">
        <f>'[77]VENTAS TOTALES'!$F79</f>
        <v>2049</v>
      </c>
      <c r="AB67" s="253">
        <f>'[77]VENTAS TOTALES'!$G79</f>
        <v>560000</v>
      </c>
      <c r="AC67" s="253">
        <f>'[77]VENTAS TOTALES'!$H79</f>
        <v>4043300</v>
      </c>
      <c r="AD67" s="252">
        <f>'[78]VENTAS TOTALES'!$F79</f>
        <v>2143</v>
      </c>
      <c r="AE67" s="253">
        <f>'[78]VENTAS TOTALES'!$G79</f>
        <v>452700</v>
      </c>
      <c r="AF67" s="253">
        <f>'[78]VENTAS TOTALES'!$H79</f>
        <v>4095800</v>
      </c>
      <c r="AG67" s="252">
        <f>'[79]VENTAS TOTALES'!$F79</f>
        <v>2021</v>
      </c>
      <c r="AH67" s="253">
        <f>'[79]VENTAS TOTALES'!$G79</f>
        <v>388500</v>
      </c>
      <c r="AI67" s="253">
        <f>'[79]VENTAS TOTALES'!$H79</f>
        <v>3824200</v>
      </c>
      <c r="AJ67" s="252">
        <f>'[80]VENTAS TOTALES'!$F79</f>
        <v>1447</v>
      </c>
      <c r="AK67" s="253">
        <f>'[80]VENTAS TOTALES'!$G79</f>
        <v>241800</v>
      </c>
      <c r="AL67" s="253">
        <f>'[80]VENTAS TOTALES'!$H79</f>
        <v>2701700</v>
      </c>
      <c r="AM67" s="252">
        <f>'[81]VENTAS TOTALES'!$F79</f>
        <v>425</v>
      </c>
      <c r="AN67" s="253">
        <f>'[81]VENTAS TOTALES'!$G79</f>
        <v>8000</v>
      </c>
      <c r="AO67" s="253">
        <f>'[81]VENTAS TOTALES'!$H79</f>
        <v>730500</v>
      </c>
      <c r="AP67" s="252">
        <f>'[82]VENTAS TOTALES'!$F79</f>
        <v>2390</v>
      </c>
      <c r="AQ67" s="253">
        <f>'[82]VENTAS TOTALES'!$G79</f>
        <v>624100</v>
      </c>
      <c r="AR67" s="253">
        <f>'[82]VENTAS TOTALES'!$H79</f>
        <v>4687100</v>
      </c>
      <c r="AS67" s="252">
        <f>'[83]VENTAS TOTALES'!$F79</f>
        <v>2157</v>
      </c>
      <c r="AT67" s="253">
        <f>'[83]VENTAS TOTALES'!$G79</f>
        <v>477000</v>
      </c>
      <c r="AU67" s="253">
        <f>'[83]VENTAS TOTALES'!$H79</f>
        <v>4143900</v>
      </c>
      <c r="AV67" s="252">
        <f>'[84]VENTAS TOTALES'!$F79</f>
        <v>2200</v>
      </c>
      <c r="AW67" s="253">
        <f>'[84]VENTAS TOTALES'!$G79</f>
        <v>653000</v>
      </c>
      <c r="AX67" s="253">
        <f>'[84]VENTAS TOTALES'!$H79</f>
        <v>4393000</v>
      </c>
      <c r="AY67" s="252">
        <f>'[85]VENTAS TOTALES'!$F79</f>
        <v>2050</v>
      </c>
      <c r="AZ67" s="253">
        <f>'[85]VENTAS TOTALES'!$G79</f>
        <v>371700</v>
      </c>
      <c r="BA67" s="253">
        <f>'[85]VENTAS TOTALES'!$H79</f>
        <v>3856700</v>
      </c>
      <c r="BB67" s="252">
        <f>'[86]VENTAS TOTALES'!$F79</f>
        <v>1999</v>
      </c>
      <c r="BC67" s="253">
        <f>'[86]VENTAS TOTALES'!$G79</f>
        <v>366200</v>
      </c>
      <c r="BD67" s="253">
        <f>'[86]VENTAS TOTALES'!$H79</f>
        <v>3764500</v>
      </c>
      <c r="BE67" s="252">
        <f>'[87]VENTAS TOTALES'!$F79</f>
        <v>1430</v>
      </c>
      <c r="BF67" s="253">
        <f>'[87]VENTAS TOTALES'!$G79</f>
        <v>323500</v>
      </c>
      <c r="BG67" s="253">
        <f>'[87]VENTAS TOTALES'!$H79</f>
        <v>2754500</v>
      </c>
      <c r="BH67" s="252">
        <f>'[88]VENTAS TOTALES'!$F79</f>
        <v>380</v>
      </c>
      <c r="BI67" s="253">
        <f>'[88]VENTAS TOTALES'!$G79</f>
        <v>38900</v>
      </c>
      <c r="BJ67" s="253">
        <f>'[88]VENTAS TOTALES'!$H79</f>
        <v>684900</v>
      </c>
      <c r="BK67" s="252">
        <f>'[89]VENTAS TOTALES'!$F79</f>
        <v>2437</v>
      </c>
      <c r="BL67" s="253">
        <f>'[89]VENTAS TOTALES'!$G79</f>
        <v>586800</v>
      </c>
      <c r="BM67" s="253">
        <f>'[89]VENTAS TOTALES'!$H79</f>
        <v>4729700</v>
      </c>
      <c r="BN67" s="252">
        <f>'[90]VENTAS TOTALES'!$F79</f>
        <v>2294</v>
      </c>
      <c r="BO67" s="253">
        <f>'[90]VENTAS TOTALES'!$G79</f>
        <v>513600</v>
      </c>
      <c r="BP67" s="253">
        <f>'[90]VENTAS TOTALES'!$H79</f>
        <v>4413400</v>
      </c>
      <c r="BQ67" s="252">
        <f>'[91]VENTAS TOTALES'!$F79</f>
        <v>2196</v>
      </c>
      <c r="BR67" s="253">
        <f>'[91]VENTAS TOTALES'!$G79</f>
        <v>449100</v>
      </c>
      <c r="BS67" s="253">
        <f>'[91]VENTAS TOTALES'!$H79</f>
        <v>4182300</v>
      </c>
      <c r="BT67" s="252">
        <f>'[92]VENTAS TOTALES'!$F79</f>
        <v>2105</v>
      </c>
      <c r="BU67" s="253">
        <f>'[92]VENTAS TOTALES'!$G79</f>
        <v>513700</v>
      </c>
      <c r="BV67" s="253">
        <f>'[92]VENTAS TOTALES'!$H79</f>
        <v>4092200</v>
      </c>
      <c r="BW67" s="252">
        <f>'[93]VENTAS TOTALES'!$F79</f>
        <v>2209</v>
      </c>
      <c r="BX67" s="253">
        <f>'[93]VENTAS TOTALES'!$G79</f>
        <v>514500</v>
      </c>
      <c r="BY67" s="253">
        <f>'[93]VENTAS TOTALES'!$H79</f>
        <v>4269800</v>
      </c>
      <c r="BZ67" s="252">
        <f>'[94]VENTAS TOTALES'!$F79</f>
        <v>1640</v>
      </c>
      <c r="CA67" s="253">
        <f>'[94]VENTAS TOTALES'!$G79</f>
        <v>170300</v>
      </c>
      <c r="CB67" s="253">
        <f>'[94]VENTAS TOTALES'!$H79</f>
        <v>2958300</v>
      </c>
      <c r="CC67" s="252">
        <f>'[95]VENTAS TOTALES'!$F79</f>
        <v>534</v>
      </c>
      <c r="CD67" s="253">
        <f>'[95]VENTAS TOTALES'!$G79</f>
        <v>48000</v>
      </c>
      <c r="CE67" s="253">
        <f>'[95]VENTAS TOTALES'!$H79</f>
        <v>955800</v>
      </c>
      <c r="CF67" s="252">
        <f>'[96]VENTAS TOTALES'!$F79</f>
        <v>2625</v>
      </c>
      <c r="CG67" s="253">
        <f>'[96]VENTAS TOTALES'!$G79</f>
        <v>899900</v>
      </c>
      <c r="CH67" s="253">
        <f>'[96]VENTAS TOTALES'!$H79</f>
        <v>5362400</v>
      </c>
      <c r="CI67" s="252">
        <f>'[97]VENTAS TOTALES'!$F79</f>
        <v>2534</v>
      </c>
      <c r="CJ67" s="253">
        <f>'[97]VENTAS TOTALES'!$G79</f>
        <v>705100</v>
      </c>
      <c r="CK67" s="253">
        <f>'[97]VENTAS TOTALES'!$H79</f>
        <v>5012900</v>
      </c>
      <c r="CL67" s="252">
        <f>'[98]VENTAS TOTALES'!$F79</f>
        <v>2361</v>
      </c>
      <c r="CM67" s="253">
        <f>'[98]VENTAS TOTALES'!$G79</f>
        <v>507100</v>
      </c>
      <c r="CN67" s="253">
        <f>'[98]VENTAS TOTALES'!$H79</f>
        <v>4520800</v>
      </c>
      <c r="CO67" s="252">
        <f>'[99]VENTAS TOTALES'!$F79</f>
        <v>2426</v>
      </c>
      <c r="CP67" s="253">
        <f>'[99]VENTAS TOTALES'!$G79</f>
        <v>474500</v>
      </c>
      <c r="CQ67" s="253">
        <f>'[99]VENTAS TOTALES'!$H79</f>
        <v>4598700</v>
      </c>
      <c r="CR67" s="252">
        <f>'[100]VENTAS TOTALES'!$F79</f>
        <v>2082</v>
      </c>
      <c r="CS67" s="253">
        <f>'[100]VENTAS TOTALES'!$G79</f>
        <v>442800</v>
      </c>
      <c r="CT67" s="253">
        <f>'[100]VENTAS TOTALES'!$H79</f>
        <v>3982200</v>
      </c>
      <c r="CU67" s="252">
        <f>'[101]VENTAS TOTALES'!$F79</f>
        <v>1532</v>
      </c>
      <c r="CV67" s="253">
        <f>'[101]VENTAS TOTALES'!$G79</f>
        <v>244900</v>
      </c>
      <c r="CW67" s="253">
        <f>'[101]VENTAS TOTALES'!$H79</f>
        <v>2849300</v>
      </c>
      <c r="CX67" s="252">
        <f>'[102]VENTAS TOTALES'!$F79</f>
        <v>446</v>
      </c>
      <c r="CY67" s="253">
        <f>'[102]VENTAS TOTALES'!$G79</f>
        <v>33000</v>
      </c>
      <c r="CZ67" s="253">
        <f>'[102]VENTAS TOTALES'!$H79</f>
        <v>791200</v>
      </c>
    </row>
    <row r="68" spans="1:104" ht="13.5" thickBot="1" x14ac:dyDescent="0.25">
      <c r="A68" s="443"/>
      <c r="B68" s="40" t="s">
        <v>34</v>
      </c>
      <c r="C68" s="269">
        <f>'[69]VENTAS TOTALES'!$F80</f>
        <v>4310</v>
      </c>
      <c r="D68" s="270">
        <f>'[69]VENTAS TOTALES'!$G80</f>
        <v>1249000</v>
      </c>
      <c r="E68" s="270">
        <f>'[69]VENTAS TOTALES'!$H80</f>
        <v>8576000</v>
      </c>
      <c r="F68" s="269">
        <f>'[70]VENTAS TOTALES'!$F80</f>
        <v>4719</v>
      </c>
      <c r="G68" s="270">
        <f>'[70]VENTAS TOTALES'!$G80</f>
        <v>935900</v>
      </c>
      <c r="H68" s="270">
        <f>'[70]VENTAS TOTALES'!$H80</f>
        <v>8958200</v>
      </c>
      <c r="I68" s="269">
        <f>'[71]VENTAS TOTALES'!$F80</f>
        <v>3910</v>
      </c>
      <c r="J68" s="270">
        <f>'[71]VENTAS TOTALES'!$G80</f>
        <v>999500</v>
      </c>
      <c r="K68" s="270">
        <f>'[71]VENTAS TOTALES'!$H80</f>
        <v>7646500</v>
      </c>
      <c r="L68" s="269">
        <f>'[72]VENTAS TOTALES'!$F80</f>
        <v>4120</v>
      </c>
      <c r="M68" s="270">
        <f>'[72]VENTAS TOTALES'!$G80</f>
        <v>777300</v>
      </c>
      <c r="N68" s="270">
        <f>'[72]VENTAS TOTALES'!$H80</f>
        <v>7781300</v>
      </c>
      <c r="O68" s="269">
        <f>'[73]VENTAS TOTALES'!$F80</f>
        <v>3439</v>
      </c>
      <c r="P68" s="270">
        <f>'[73]VENTAS TOTALES'!$G80</f>
        <v>492900</v>
      </c>
      <c r="Q68" s="270">
        <f>'[73]VENTAS TOTALES'!$H80</f>
        <v>6339200</v>
      </c>
      <c r="R68" s="269">
        <f>'[74]VENTAS TOTALES'!$F80</f>
        <v>1715</v>
      </c>
      <c r="S68" s="270">
        <f>'[74]VENTAS TOTALES'!$G80</f>
        <v>363200</v>
      </c>
      <c r="T68" s="270">
        <f>'[74]VENTAS TOTALES'!$H80</f>
        <v>3278700</v>
      </c>
      <c r="U68" s="269">
        <f>'[75]VENTAS TOTALES'!$F80</f>
        <v>4613</v>
      </c>
      <c r="V68" s="270">
        <f>'[75]VENTAS TOTALES'!$G80</f>
        <v>1451200</v>
      </c>
      <c r="W68" s="270">
        <f>'[75]VENTAS TOTALES'!$H80</f>
        <v>9293300</v>
      </c>
      <c r="X68" s="269">
        <f>'[76]VENTAS TOTALES'!$F80</f>
        <v>4134</v>
      </c>
      <c r="Y68" s="270">
        <f>'[76]VENTAS TOTALES'!$G80</f>
        <v>914300</v>
      </c>
      <c r="Z68" s="270">
        <f>'[76]VENTAS TOTALES'!$H80</f>
        <v>7942100</v>
      </c>
      <c r="AA68" s="269">
        <f>'[77]VENTAS TOTALES'!$F80</f>
        <v>3870</v>
      </c>
      <c r="AB68" s="270">
        <f>'[77]VENTAS TOTALES'!$G80</f>
        <v>552000</v>
      </c>
      <c r="AC68" s="270">
        <f>'[77]VENTAS TOTALES'!$H80</f>
        <v>7131000</v>
      </c>
      <c r="AD68" s="269">
        <f>'[78]VENTAS TOTALES'!$F80</f>
        <v>4064</v>
      </c>
      <c r="AE68" s="270">
        <f>'[78]VENTAS TOTALES'!$G80</f>
        <v>707000</v>
      </c>
      <c r="AF68" s="270">
        <f>'[78]VENTAS TOTALES'!$H80</f>
        <v>7615800</v>
      </c>
      <c r="AG68" s="269">
        <f>'[79]VENTAS TOTALES'!$F80</f>
        <v>4017</v>
      </c>
      <c r="AH68" s="270">
        <f>'[79]VENTAS TOTALES'!$G80</f>
        <v>682950</v>
      </c>
      <c r="AI68" s="270">
        <f>'[79]VENTAS TOTALES'!$H80</f>
        <v>7511850</v>
      </c>
      <c r="AJ68" s="269">
        <f>'[80]VENTAS TOTALES'!$F80</f>
        <v>3179</v>
      </c>
      <c r="AK68" s="270">
        <f>'[80]VENTAS TOTALES'!$G80</f>
        <v>448200</v>
      </c>
      <c r="AL68" s="270">
        <f>'[80]VENTAS TOTALES'!$H80</f>
        <v>5852500</v>
      </c>
      <c r="AM68" s="269">
        <f>'[81]VENTAS TOTALES'!$F80</f>
        <v>1673</v>
      </c>
      <c r="AN68" s="270">
        <f>'[81]VENTAS TOTALES'!$G80</f>
        <v>215700</v>
      </c>
      <c r="AO68" s="270">
        <f>'[81]VENTAS TOTALES'!$H80</f>
        <v>3059800</v>
      </c>
      <c r="AP68" s="269">
        <f>'[82]VENTAS TOTALES'!$F80</f>
        <v>4687</v>
      </c>
      <c r="AQ68" s="270">
        <f>'[82]VENTAS TOTALES'!$G80</f>
        <v>1012400</v>
      </c>
      <c r="AR68" s="270">
        <f>'[82]VENTAS TOTALES'!$H80</f>
        <v>8980300</v>
      </c>
      <c r="AS68" s="269">
        <f>'[83]VENTAS TOTALES'!$F80</f>
        <v>4152</v>
      </c>
      <c r="AT68" s="270">
        <f>'[83]VENTAS TOTALES'!$G80</f>
        <v>787900</v>
      </c>
      <c r="AU68" s="270">
        <f>'[83]VENTAS TOTALES'!$H80</f>
        <v>7846300</v>
      </c>
      <c r="AV68" s="269">
        <f>'[84]VENTAS TOTALES'!$F80</f>
        <v>4539</v>
      </c>
      <c r="AW68" s="270">
        <f>'[84]VENTAS TOTALES'!$G80</f>
        <v>964800</v>
      </c>
      <c r="AX68" s="270">
        <f>'[84]VENTAS TOTALES'!$H80</f>
        <v>8681100</v>
      </c>
      <c r="AY68" s="269">
        <f>'[85]VENTAS TOTALES'!$F80</f>
        <v>3937</v>
      </c>
      <c r="AZ68" s="270">
        <f>'[85]VENTAS TOTALES'!$G80</f>
        <v>784800</v>
      </c>
      <c r="BA68" s="270">
        <f>'[85]VENTAS TOTALES'!$H80</f>
        <v>7477700</v>
      </c>
      <c r="BB68" s="269">
        <f>'[86]VENTAS TOTALES'!$F80</f>
        <v>4076</v>
      </c>
      <c r="BC68" s="270">
        <f>'[86]VENTAS TOTALES'!$G80</f>
        <v>567600</v>
      </c>
      <c r="BD68" s="270">
        <f>'[86]VENTAS TOTALES'!$H80</f>
        <v>7496800</v>
      </c>
      <c r="BE68" s="269">
        <f>'[87]VENTAS TOTALES'!$F80</f>
        <v>3252</v>
      </c>
      <c r="BF68" s="270">
        <f>'[87]VENTAS TOTALES'!$G80</f>
        <v>458300</v>
      </c>
      <c r="BG68" s="270">
        <f>'[87]VENTAS TOTALES'!$H80</f>
        <v>5986700</v>
      </c>
      <c r="BH68" s="269">
        <f>'[88]VENTAS TOTALES'!$F80</f>
        <v>1813</v>
      </c>
      <c r="BI68" s="270">
        <f>'[88]VENTAS TOTALES'!$G80</f>
        <v>232900</v>
      </c>
      <c r="BJ68" s="270">
        <f>'[88]VENTAS TOTALES'!$H80</f>
        <v>3315000</v>
      </c>
      <c r="BK68" s="269">
        <f>'[89]VENTAS TOTALES'!$F80</f>
        <v>4582</v>
      </c>
      <c r="BL68" s="270">
        <f>'[89]VENTAS TOTALES'!$G80</f>
        <v>1024800</v>
      </c>
      <c r="BM68" s="270">
        <f>'[89]VENTAS TOTALES'!$H80</f>
        <v>8814200</v>
      </c>
      <c r="BN68" s="269">
        <f>'[90]VENTAS TOTALES'!$F80</f>
        <v>4270</v>
      </c>
      <c r="BO68" s="270">
        <f>'[90]VENTAS TOTALES'!$G80</f>
        <v>636250</v>
      </c>
      <c r="BP68" s="270">
        <f>'[90]VENTAS TOTALES'!$H80</f>
        <v>7895250</v>
      </c>
      <c r="BQ68" s="269">
        <f>'[91]VENTAS TOTALES'!$F80</f>
        <v>4139</v>
      </c>
      <c r="BR68" s="270">
        <f>'[91]VENTAS TOTALES'!$G80</f>
        <v>817500</v>
      </c>
      <c r="BS68" s="270">
        <f>'[91]VENTAS TOTALES'!$H80</f>
        <v>7853800</v>
      </c>
      <c r="BT68" s="269">
        <f>'[92]VENTAS TOTALES'!$F80</f>
        <v>3936</v>
      </c>
      <c r="BU68" s="270">
        <f>'[92]VENTAS TOTALES'!$G80</f>
        <v>596600</v>
      </c>
      <c r="BV68" s="270">
        <f>'[92]VENTAS TOTALES'!$H80</f>
        <v>7287800</v>
      </c>
      <c r="BW68" s="269">
        <f>'[93]VENTAS TOTALES'!$F80</f>
        <v>4228</v>
      </c>
      <c r="BX68" s="270">
        <f>'[93]VENTAS TOTALES'!$G80</f>
        <v>834500</v>
      </c>
      <c r="BY68" s="270">
        <f>'[93]VENTAS TOTALES'!$H80</f>
        <v>8022100</v>
      </c>
      <c r="BZ68" s="269">
        <f>'[94]VENTAS TOTALES'!$F80</f>
        <v>3217</v>
      </c>
      <c r="CA68" s="270">
        <f>'[94]VENTAS TOTALES'!$G80</f>
        <v>647500</v>
      </c>
      <c r="CB68" s="270">
        <f>'[94]VENTAS TOTALES'!$H80</f>
        <v>6116400</v>
      </c>
      <c r="CC68" s="269">
        <f>'[95]VENTAS TOTALES'!$F80</f>
        <v>1914</v>
      </c>
      <c r="CD68" s="270">
        <f>'[95]VENTAS TOTALES'!$G80</f>
        <v>191100</v>
      </c>
      <c r="CE68" s="270">
        <f>'[95]VENTAS TOTALES'!$H80</f>
        <v>3444900</v>
      </c>
      <c r="CF68" s="269">
        <f>'[96]VENTAS TOTALES'!$F80</f>
        <v>4892</v>
      </c>
      <c r="CG68" s="270">
        <f>'[96]VENTAS TOTALES'!$G80</f>
        <v>1366300</v>
      </c>
      <c r="CH68" s="270">
        <f>'[96]VENTAS TOTALES'!$H80</f>
        <v>9682700</v>
      </c>
      <c r="CI68" s="269">
        <f>'[97]VENTAS TOTALES'!$F80</f>
        <v>4800</v>
      </c>
      <c r="CJ68" s="270">
        <f>'[97]VENTAS TOTALES'!$G80</f>
        <v>1273600</v>
      </c>
      <c r="CK68" s="270">
        <f>'[97]VENTAS TOTALES'!$H80</f>
        <v>9433600</v>
      </c>
      <c r="CL68" s="269">
        <f>'[98]VENTAS TOTALES'!$F80</f>
        <v>4624</v>
      </c>
      <c r="CM68" s="270">
        <f>'[98]VENTAS TOTALES'!$G80</f>
        <v>888200</v>
      </c>
      <c r="CN68" s="270">
        <f>'[98]VENTAS TOTALES'!$H80</f>
        <v>8749000</v>
      </c>
      <c r="CO68" s="269">
        <f>'[99]VENTAS TOTALES'!$F80</f>
        <v>4265</v>
      </c>
      <c r="CP68" s="270">
        <f>'[99]VENTAS TOTALES'!$G80</f>
        <v>860200</v>
      </c>
      <c r="CQ68" s="270">
        <f>'[99]VENTAS TOTALES'!$H80</f>
        <v>8110700</v>
      </c>
      <c r="CR68" s="269">
        <f>'[100]VENTAS TOTALES'!$F80</f>
        <v>4328</v>
      </c>
      <c r="CS68" s="270">
        <f>'[100]VENTAS TOTALES'!$G80</f>
        <v>804300</v>
      </c>
      <c r="CT68" s="270">
        <f>'[100]VENTAS TOTALES'!$H80</f>
        <v>8161900</v>
      </c>
      <c r="CU68" s="269">
        <f>'[101]VENTAS TOTALES'!$F80</f>
        <v>3440</v>
      </c>
      <c r="CV68" s="270">
        <f>'[101]VENTAS TOTALES'!$G80</f>
        <v>518950</v>
      </c>
      <c r="CW68" s="270">
        <f>'[101]VENTAS TOTALES'!$H80</f>
        <v>6366950</v>
      </c>
      <c r="CX68" s="269">
        <f>'[102]VENTAS TOTALES'!$F80</f>
        <v>1711</v>
      </c>
      <c r="CY68" s="270">
        <f>'[102]VENTAS TOTALES'!$G80</f>
        <v>180300</v>
      </c>
      <c r="CZ68" s="270">
        <f>'[102]VENTAS TOTALES'!$H80</f>
        <v>3089000</v>
      </c>
    </row>
    <row r="69" spans="1:104" x14ac:dyDescent="0.2">
      <c r="A69" s="443"/>
      <c r="B69" s="41" t="s">
        <v>127</v>
      </c>
      <c r="C69" s="267">
        <f>'[69]VENTAS TOTALES'!$F81</f>
        <v>0</v>
      </c>
      <c r="D69" s="268">
        <f>'[69]VENTAS TOTALES'!$G81</f>
        <v>0</v>
      </c>
      <c r="E69" s="268">
        <f>'[69]VENTAS TOTALES'!$H81</f>
        <v>0</v>
      </c>
      <c r="F69" s="267">
        <f>'[70]VENTAS TOTALES'!$F81</f>
        <v>0</v>
      </c>
      <c r="G69" s="268">
        <f>'[70]VENTAS TOTALES'!$G81</f>
        <v>0</v>
      </c>
      <c r="H69" s="268">
        <f>'[70]VENTAS TOTALES'!$H81</f>
        <v>0</v>
      </c>
      <c r="I69" s="267">
        <f>'[71]VENTAS TOTALES'!$F81</f>
        <v>0</v>
      </c>
      <c r="J69" s="268">
        <f>'[71]VENTAS TOTALES'!$G81</f>
        <v>0</v>
      </c>
      <c r="K69" s="268">
        <f>'[71]VENTAS TOTALES'!$H81</f>
        <v>0</v>
      </c>
      <c r="L69" s="267">
        <f>'[72]VENTAS TOTALES'!$F81</f>
        <v>0</v>
      </c>
      <c r="M69" s="268">
        <f>'[72]VENTAS TOTALES'!$G81</f>
        <v>0</v>
      </c>
      <c r="N69" s="268">
        <f>'[72]VENTAS TOTALES'!$H81</f>
        <v>0</v>
      </c>
      <c r="O69" s="267">
        <f>'[73]VENTAS TOTALES'!$F81</f>
        <v>0</v>
      </c>
      <c r="P69" s="268">
        <f>'[73]VENTAS TOTALES'!$G81</f>
        <v>0</v>
      </c>
      <c r="Q69" s="268">
        <f>'[73]VENTAS TOTALES'!$H81</f>
        <v>0</v>
      </c>
      <c r="R69" s="267">
        <f>'[74]VENTAS TOTALES'!$F81</f>
        <v>0</v>
      </c>
      <c r="S69" s="268">
        <f>'[74]VENTAS TOTALES'!$G81</f>
        <v>0</v>
      </c>
      <c r="T69" s="268">
        <f>'[74]VENTAS TOTALES'!$H81</f>
        <v>0</v>
      </c>
      <c r="U69" s="267">
        <f>'[75]VENTAS TOTALES'!$F81</f>
        <v>0</v>
      </c>
      <c r="V69" s="268">
        <f>'[75]VENTAS TOTALES'!$G81</f>
        <v>0</v>
      </c>
      <c r="W69" s="268">
        <f>'[75]VENTAS TOTALES'!$H81</f>
        <v>0</v>
      </c>
      <c r="X69" s="267">
        <f>'[76]VENTAS TOTALES'!$F81</f>
        <v>0</v>
      </c>
      <c r="Y69" s="268">
        <f>'[76]VENTAS TOTALES'!$G81</f>
        <v>0</v>
      </c>
      <c r="Z69" s="268">
        <f>'[76]VENTAS TOTALES'!$H81</f>
        <v>0</v>
      </c>
      <c r="AA69" s="267">
        <f>'[77]VENTAS TOTALES'!$F81</f>
        <v>0</v>
      </c>
      <c r="AB69" s="268">
        <f>'[77]VENTAS TOTALES'!$G81</f>
        <v>0</v>
      </c>
      <c r="AC69" s="268">
        <f>'[77]VENTAS TOTALES'!$H81</f>
        <v>0</v>
      </c>
      <c r="AD69" s="267">
        <f>'[78]VENTAS TOTALES'!$F81</f>
        <v>0</v>
      </c>
      <c r="AE69" s="268">
        <f>'[78]VENTAS TOTALES'!$G81</f>
        <v>0</v>
      </c>
      <c r="AF69" s="268">
        <f>'[78]VENTAS TOTALES'!$H81</f>
        <v>0</v>
      </c>
      <c r="AG69" s="267">
        <f>'[79]VENTAS TOTALES'!$F81</f>
        <v>0</v>
      </c>
      <c r="AH69" s="268">
        <f>'[79]VENTAS TOTALES'!$G81</f>
        <v>0</v>
      </c>
      <c r="AI69" s="268">
        <f>'[79]VENTAS TOTALES'!$H81</f>
        <v>0</v>
      </c>
      <c r="AJ69" s="267">
        <f>'[80]VENTAS TOTALES'!$F81</f>
        <v>0</v>
      </c>
      <c r="AK69" s="268">
        <f>'[80]VENTAS TOTALES'!$G81</f>
        <v>0</v>
      </c>
      <c r="AL69" s="268">
        <f>'[80]VENTAS TOTALES'!$H81</f>
        <v>0</v>
      </c>
      <c r="AM69" s="267">
        <f>'[81]VENTAS TOTALES'!$F81</f>
        <v>0</v>
      </c>
      <c r="AN69" s="268">
        <f>'[81]VENTAS TOTALES'!$G81</f>
        <v>0</v>
      </c>
      <c r="AO69" s="268">
        <f>'[81]VENTAS TOTALES'!$H81</f>
        <v>0</v>
      </c>
      <c r="AP69" s="267">
        <f>'[82]VENTAS TOTALES'!$F81</f>
        <v>0</v>
      </c>
      <c r="AQ69" s="268">
        <f>'[82]VENTAS TOTALES'!$G81</f>
        <v>0</v>
      </c>
      <c r="AR69" s="268">
        <f>'[82]VENTAS TOTALES'!$H81</f>
        <v>0</v>
      </c>
      <c r="AS69" s="267">
        <f>'[83]VENTAS TOTALES'!$F81</f>
        <v>0</v>
      </c>
      <c r="AT69" s="268">
        <f>'[83]VENTAS TOTALES'!$G81</f>
        <v>0</v>
      </c>
      <c r="AU69" s="268">
        <f>'[83]VENTAS TOTALES'!$H81</f>
        <v>0</v>
      </c>
      <c r="AV69" s="267">
        <f>'[84]VENTAS TOTALES'!$F81</f>
        <v>0</v>
      </c>
      <c r="AW69" s="268">
        <f>'[84]VENTAS TOTALES'!$G81</f>
        <v>0</v>
      </c>
      <c r="AX69" s="268">
        <f>'[84]VENTAS TOTALES'!$H81</f>
        <v>0</v>
      </c>
      <c r="AY69" s="267">
        <f>'[85]VENTAS TOTALES'!$F81</f>
        <v>0</v>
      </c>
      <c r="AZ69" s="268">
        <f>'[85]VENTAS TOTALES'!$G81</f>
        <v>0</v>
      </c>
      <c r="BA69" s="268">
        <f>'[85]VENTAS TOTALES'!$H81</f>
        <v>0</v>
      </c>
      <c r="BB69" s="267">
        <f>'[86]VENTAS TOTALES'!$F81</f>
        <v>0</v>
      </c>
      <c r="BC69" s="268">
        <f>'[86]VENTAS TOTALES'!$G81</f>
        <v>0</v>
      </c>
      <c r="BD69" s="268">
        <f>'[86]VENTAS TOTALES'!$H81</f>
        <v>0</v>
      </c>
      <c r="BE69" s="267">
        <f>'[87]VENTAS TOTALES'!$F81</f>
        <v>0</v>
      </c>
      <c r="BF69" s="268">
        <f>'[87]VENTAS TOTALES'!$G81</f>
        <v>0</v>
      </c>
      <c r="BG69" s="268">
        <f>'[87]VENTAS TOTALES'!$H81</f>
        <v>0</v>
      </c>
      <c r="BH69" s="267">
        <f>'[88]VENTAS TOTALES'!$F81</f>
        <v>0</v>
      </c>
      <c r="BI69" s="268">
        <f>'[88]VENTAS TOTALES'!$G81</f>
        <v>0</v>
      </c>
      <c r="BJ69" s="268">
        <f>'[88]VENTAS TOTALES'!$H81</f>
        <v>0</v>
      </c>
      <c r="BK69" s="267">
        <f>'[89]VENTAS TOTALES'!$F81</f>
        <v>0</v>
      </c>
      <c r="BL69" s="268">
        <f>'[89]VENTAS TOTALES'!$G81</f>
        <v>0</v>
      </c>
      <c r="BM69" s="268">
        <f>'[89]VENTAS TOTALES'!$H81</f>
        <v>0</v>
      </c>
      <c r="BN69" s="267">
        <f>'[90]VENTAS TOTALES'!$F81</f>
        <v>0</v>
      </c>
      <c r="BO69" s="268">
        <f>'[90]VENTAS TOTALES'!$G81</f>
        <v>0</v>
      </c>
      <c r="BP69" s="268">
        <f>'[90]VENTAS TOTALES'!$H81</f>
        <v>0</v>
      </c>
      <c r="BQ69" s="267">
        <f>'[91]VENTAS TOTALES'!$F81</f>
        <v>0</v>
      </c>
      <c r="BR69" s="268">
        <f>'[91]VENTAS TOTALES'!$G81</f>
        <v>0</v>
      </c>
      <c r="BS69" s="268">
        <f>'[91]VENTAS TOTALES'!$H81</f>
        <v>0</v>
      </c>
      <c r="BT69" s="267">
        <f>'[92]VENTAS TOTALES'!$F81</f>
        <v>0</v>
      </c>
      <c r="BU69" s="268">
        <f>'[92]VENTAS TOTALES'!$G81</f>
        <v>0</v>
      </c>
      <c r="BV69" s="268">
        <f>'[92]VENTAS TOTALES'!$H81</f>
        <v>0</v>
      </c>
      <c r="BW69" s="267">
        <f>'[93]VENTAS TOTALES'!$F81</f>
        <v>0</v>
      </c>
      <c r="BX69" s="268">
        <f>'[93]VENTAS TOTALES'!$G81</f>
        <v>0</v>
      </c>
      <c r="BY69" s="268">
        <f>'[93]VENTAS TOTALES'!$H81</f>
        <v>0</v>
      </c>
      <c r="BZ69" s="267">
        <f>'[94]VENTAS TOTALES'!$F81</f>
        <v>0</v>
      </c>
      <c r="CA69" s="268">
        <f>'[94]VENTAS TOTALES'!$G81</f>
        <v>0</v>
      </c>
      <c r="CB69" s="268">
        <f>'[94]VENTAS TOTALES'!$H81</f>
        <v>0</v>
      </c>
      <c r="CC69" s="267">
        <f>'[95]VENTAS TOTALES'!$F81</f>
        <v>0</v>
      </c>
      <c r="CD69" s="268">
        <f>'[95]VENTAS TOTALES'!$G81</f>
        <v>0</v>
      </c>
      <c r="CE69" s="268">
        <f>'[95]VENTAS TOTALES'!$H81</f>
        <v>0</v>
      </c>
      <c r="CF69" s="267">
        <f>'[96]VENTAS TOTALES'!$F81</f>
        <v>0</v>
      </c>
      <c r="CG69" s="268">
        <f>'[96]VENTAS TOTALES'!$G81</f>
        <v>0</v>
      </c>
      <c r="CH69" s="268">
        <f>'[96]VENTAS TOTALES'!$H81</f>
        <v>0</v>
      </c>
      <c r="CI69" s="267">
        <f>'[97]VENTAS TOTALES'!$F81</f>
        <v>0</v>
      </c>
      <c r="CJ69" s="268">
        <f>'[97]VENTAS TOTALES'!$G81</f>
        <v>0</v>
      </c>
      <c r="CK69" s="268">
        <f>'[97]VENTAS TOTALES'!$H81</f>
        <v>0</v>
      </c>
      <c r="CL69" s="267">
        <f>'[98]VENTAS TOTALES'!$F81</f>
        <v>0</v>
      </c>
      <c r="CM69" s="268">
        <f>'[98]VENTAS TOTALES'!$G81</f>
        <v>0</v>
      </c>
      <c r="CN69" s="268">
        <f>'[98]VENTAS TOTALES'!$H81</f>
        <v>0</v>
      </c>
      <c r="CO69" s="267">
        <f>'[99]VENTAS TOTALES'!$F81</f>
        <v>0</v>
      </c>
      <c r="CP69" s="268">
        <f>'[99]VENTAS TOTALES'!$G81</f>
        <v>0</v>
      </c>
      <c r="CQ69" s="268">
        <f>'[99]VENTAS TOTALES'!$H81</f>
        <v>0</v>
      </c>
      <c r="CR69" s="267">
        <f>'[100]VENTAS TOTALES'!$F81</f>
        <v>14466</v>
      </c>
      <c r="CS69" s="268">
        <f>'[100]VENTAS TOTALES'!$G81</f>
        <v>4546200</v>
      </c>
      <c r="CT69" s="268">
        <f>'[100]VENTAS TOTALES'!$H81</f>
        <v>29138400</v>
      </c>
      <c r="CU69" s="267">
        <f>'[101]VENTAS TOTALES'!$F81</f>
        <v>8066</v>
      </c>
      <c r="CV69" s="268">
        <f>'[101]VENTAS TOTALES'!$G81</f>
        <v>2637100</v>
      </c>
      <c r="CW69" s="268">
        <f>'[101]VENTAS TOTALES'!$H81</f>
        <v>16349300</v>
      </c>
      <c r="CX69" s="267">
        <f>'[102]VENTAS TOTALES'!$F81</f>
        <v>2668</v>
      </c>
      <c r="CY69" s="268">
        <f>'[102]VENTAS TOTALES'!$G81</f>
        <v>770900</v>
      </c>
      <c r="CZ69" s="268">
        <f>'[102]VENTAS TOTALES'!$H81</f>
        <v>5306500</v>
      </c>
    </row>
    <row r="70" spans="1:104" x14ac:dyDescent="0.2">
      <c r="A70" s="443"/>
      <c r="B70" s="46" t="s">
        <v>293</v>
      </c>
      <c r="C70" s="252">
        <f>'[69]VENTAS TOTALES'!$F82</f>
        <v>0</v>
      </c>
      <c r="D70" s="253">
        <f>'[69]VENTAS TOTALES'!$G82</f>
        <v>0</v>
      </c>
      <c r="E70" s="253">
        <f>'[69]VENTAS TOTALES'!$H82</f>
        <v>0</v>
      </c>
      <c r="F70" s="252">
        <f>'[70]VENTAS TOTALES'!$F82</f>
        <v>0</v>
      </c>
      <c r="G70" s="253">
        <f>'[70]VENTAS TOTALES'!$G82</f>
        <v>0</v>
      </c>
      <c r="H70" s="253">
        <f>'[70]VENTAS TOTALES'!$H82</f>
        <v>0</v>
      </c>
      <c r="I70" s="252">
        <f>'[71]VENTAS TOTALES'!$F82</f>
        <v>0</v>
      </c>
      <c r="J70" s="253">
        <f>'[71]VENTAS TOTALES'!$G82</f>
        <v>0</v>
      </c>
      <c r="K70" s="253">
        <f>'[71]VENTAS TOTALES'!$H82</f>
        <v>0</v>
      </c>
      <c r="L70" s="252">
        <f>'[72]VENTAS TOTALES'!$F82</f>
        <v>0</v>
      </c>
      <c r="M70" s="253">
        <f>'[72]VENTAS TOTALES'!$G82</f>
        <v>0</v>
      </c>
      <c r="N70" s="253">
        <f>'[72]VENTAS TOTALES'!$H82</f>
        <v>0</v>
      </c>
      <c r="O70" s="252">
        <f>'[73]VENTAS TOTALES'!$F82</f>
        <v>0</v>
      </c>
      <c r="P70" s="253">
        <f>'[73]VENTAS TOTALES'!$G82</f>
        <v>0</v>
      </c>
      <c r="Q70" s="253">
        <f>'[73]VENTAS TOTALES'!$H82</f>
        <v>0</v>
      </c>
      <c r="R70" s="252">
        <f>'[74]VENTAS TOTALES'!$F82</f>
        <v>0</v>
      </c>
      <c r="S70" s="253">
        <f>'[74]VENTAS TOTALES'!$G82</f>
        <v>0</v>
      </c>
      <c r="T70" s="253">
        <f>'[74]VENTAS TOTALES'!$H82</f>
        <v>0</v>
      </c>
      <c r="U70" s="252">
        <f>'[75]VENTAS TOTALES'!$F82</f>
        <v>0</v>
      </c>
      <c r="V70" s="253">
        <f>'[75]VENTAS TOTALES'!$G82</f>
        <v>0</v>
      </c>
      <c r="W70" s="253">
        <f>'[75]VENTAS TOTALES'!$H82</f>
        <v>0</v>
      </c>
      <c r="X70" s="252">
        <f>'[76]VENTAS TOTALES'!$F82</f>
        <v>0</v>
      </c>
      <c r="Y70" s="253">
        <f>'[76]VENTAS TOTALES'!$G82</f>
        <v>0</v>
      </c>
      <c r="Z70" s="253">
        <f>'[76]VENTAS TOTALES'!$H82</f>
        <v>0</v>
      </c>
      <c r="AA70" s="252">
        <f>'[77]VENTAS TOTALES'!$F82</f>
        <v>0</v>
      </c>
      <c r="AB70" s="253">
        <f>'[77]VENTAS TOTALES'!$G82</f>
        <v>0</v>
      </c>
      <c r="AC70" s="253">
        <f>'[77]VENTAS TOTALES'!$H82</f>
        <v>0</v>
      </c>
      <c r="AD70" s="252">
        <f>'[78]VENTAS TOTALES'!$F82</f>
        <v>0</v>
      </c>
      <c r="AE70" s="253">
        <f>'[78]VENTAS TOTALES'!$G82</f>
        <v>0</v>
      </c>
      <c r="AF70" s="253">
        <f>'[78]VENTAS TOTALES'!$H82</f>
        <v>0</v>
      </c>
      <c r="AG70" s="252">
        <f>'[79]VENTAS TOTALES'!$F82</f>
        <v>0</v>
      </c>
      <c r="AH70" s="253">
        <f>'[79]VENTAS TOTALES'!$G82</f>
        <v>0</v>
      </c>
      <c r="AI70" s="253">
        <f>'[79]VENTAS TOTALES'!$H82</f>
        <v>0</v>
      </c>
      <c r="AJ70" s="252">
        <f>'[80]VENTAS TOTALES'!$F82</f>
        <v>0</v>
      </c>
      <c r="AK70" s="253">
        <f>'[80]VENTAS TOTALES'!$G82</f>
        <v>0</v>
      </c>
      <c r="AL70" s="253">
        <f>'[80]VENTAS TOTALES'!$H82</f>
        <v>0</v>
      </c>
      <c r="AM70" s="252">
        <f>'[81]VENTAS TOTALES'!$F82</f>
        <v>0</v>
      </c>
      <c r="AN70" s="253">
        <f>'[81]VENTAS TOTALES'!$G82</f>
        <v>0</v>
      </c>
      <c r="AO70" s="253">
        <f>'[81]VENTAS TOTALES'!$H82</f>
        <v>0</v>
      </c>
      <c r="AP70" s="252">
        <f>'[82]VENTAS TOTALES'!$F82</f>
        <v>0</v>
      </c>
      <c r="AQ70" s="253">
        <f>'[82]VENTAS TOTALES'!$G82</f>
        <v>0</v>
      </c>
      <c r="AR70" s="253">
        <f>'[82]VENTAS TOTALES'!$H82</f>
        <v>0</v>
      </c>
      <c r="AS70" s="252">
        <f>'[83]VENTAS TOTALES'!$F82</f>
        <v>0</v>
      </c>
      <c r="AT70" s="253">
        <f>'[83]VENTAS TOTALES'!$G82</f>
        <v>0</v>
      </c>
      <c r="AU70" s="253">
        <f>'[83]VENTAS TOTALES'!$H82</f>
        <v>0</v>
      </c>
      <c r="AV70" s="252">
        <f>'[84]VENTAS TOTALES'!$F82</f>
        <v>0</v>
      </c>
      <c r="AW70" s="253">
        <f>'[84]VENTAS TOTALES'!$G82</f>
        <v>0</v>
      </c>
      <c r="AX70" s="253">
        <f>'[84]VENTAS TOTALES'!$H82</f>
        <v>0</v>
      </c>
      <c r="AY70" s="252">
        <f>'[85]VENTAS TOTALES'!$F82</f>
        <v>0</v>
      </c>
      <c r="AZ70" s="253">
        <f>'[85]VENTAS TOTALES'!$G82</f>
        <v>0</v>
      </c>
      <c r="BA70" s="253">
        <f>'[85]VENTAS TOTALES'!$H82</f>
        <v>0</v>
      </c>
      <c r="BB70" s="252">
        <f>'[86]VENTAS TOTALES'!$F82</f>
        <v>0</v>
      </c>
      <c r="BC70" s="253">
        <f>'[86]VENTAS TOTALES'!$G82</f>
        <v>0</v>
      </c>
      <c r="BD70" s="253">
        <f>'[86]VENTAS TOTALES'!$H82</f>
        <v>0</v>
      </c>
      <c r="BE70" s="252">
        <f>'[87]VENTAS TOTALES'!$F82</f>
        <v>0</v>
      </c>
      <c r="BF70" s="253">
        <f>'[87]VENTAS TOTALES'!$G82</f>
        <v>0</v>
      </c>
      <c r="BG70" s="253">
        <f>'[87]VENTAS TOTALES'!$H82</f>
        <v>0</v>
      </c>
      <c r="BH70" s="252">
        <f>'[88]VENTAS TOTALES'!$F82</f>
        <v>0</v>
      </c>
      <c r="BI70" s="253">
        <f>'[88]VENTAS TOTALES'!$G82</f>
        <v>0</v>
      </c>
      <c r="BJ70" s="253">
        <f>'[88]VENTAS TOTALES'!$H82</f>
        <v>0</v>
      </c>
      <c r="BK70" s="252">
        <f>'[89]VENTAS TOTALES'!$F82</f>
        <v>0</v>
      </c>
      <c r="BL70" s="253">
        <f>'[89]VENTAS TOTALES'!$G82</f>
        <v>0</v>
      </c>
      <c r="BM70" s="253">
        <f>'[89]VENTAS TOTALES'!$H82</f>
        <v>0</v>
      </c>
      <c r="BN70" s="252">
        <f>'[90]VENTAS TOTALES'!$F82</f>
        <v>0</v>
      </c>
      <c r="BO70" s="253">
        <f>'[90]VENTAS TOTALES'!$G82</f>
        <v>0</v>
      </c>
      <c r="BP70" s="253">
        <f>'[90]VENTAS TOTALES'!$H82</f>
        <v>0</v>
      </c>
      <c r="BQ70" s="252">
        <f>'[91]VENTAS TOTALES'!$F82</f>
        <v>0</v>
      </c>
      <c r="BR70" s="253">
        <f>'[91]VENTAS TOTALES'!$G82</f>
        <v>0</v>
      </c>
      <c r="BS70" s="253">
        <f>'[91]VENTAS TOTALES'!$H82</f>
        <v>0</v>
      </c>
      <c r="BT70" s="252">
        <f>'[92]VENTAS TOTALES'!$F82</f>
        <v>0</v>
      </c>
      <c r="BU70" s="253">
        <f>'[92]VENTAS TOTALES'!$G82</f>
        <v>0</v>
      </c>
      <c r="BV70" s="253">
        <f>'[92]VENTAS TOTALES'!$H82</f>
        <v>0</v>
      </c>
      <c r="BW70" s="252">
        <f>'[93]VENTAS TOTALES'!$F82</f>
        <v>0</v>
      </c>
      <c r="BX70" s="253">
        <f>'[93]VENTAS TOTALES'!$G82</f>
        <v>0</v>
      </c>
      <c r="BY70" s="253">
        <f>'[93]VENTAS TOTALES'!$H82</f>
        <v>0</v>
      </c>
      <c r="BZ70" s="252">
        <f>'[94]VENTAS TOTALES'!$F82</f>
        <v>0</v>
      </c>
      <c r="CA70" s="253">
        <f>'[94]VENTAS TOTALES'!$G82</f>
        <v>0</v>
      </c>
      <c r="CB70" s="253">
        <f>'[94]VENTAS TOTALES'!$H82</f>
        <v>0</v>
      </c>
      <c r="CC70" s="252">
        <f>'[95]VENTAS TOTALES'!$F82</f>
        <v>0</v>
      </c>
      <c r="CD70" s="253">
        <f>'[95]VENTAS TOTALES'!$G82</f>
        <v>0</v>
      </c>
      <c r="CE70" s="253">
        <f>'[95]VENTAS TOTALES'!$H82</f>
        <v>0</v>
      </c>
      <c r="CF70" s="252">
        <f>'[96]VENTAS TOTALES'!$F82</f>
        <v>0</v>
      </c>
      <c r="CG70" s="253">
        <f>'[96]VENTAS TOTALES'!$G82</f>
        <v>0</v>
      </c>
      <c r="CH70" s="253">
        <f>'[96]VENTAS TOTALES'!$H82</f>
        <v>0</v>
      </c>
      <c r="CI70" s="252">
        <f>'[97]VENTAS TOTALES'!$F82</f>
        <v>0</v>
      </c>
      <c r="CJ70" s="253">
        <f>'[97]VENTAS TOTALES'!$G82</f>
        <v>0</v>
      </c>
      <c r="CK70" s="253">
        <f>'[97]VENTAS TOTALES'!$H82</f>
        <v>0</v>
      </c>
      <c r="CL70" s="252">
        <f>'[98]VENTAS TOTALES'!$F82</f>
        <v>0</v>
      </c>
      <c r="CM70" s="253">
        <f>'[98]VENTAS TOTALES'!$G82</f>
        <v>0</v>
      </c>
      <c r="CN70" s="253">
        <f>'[98]VENTAS TOTALES'!$H82</f>
        <v>0</v>
      </c>
      <c r="CO70" s="252">
        <f>'[99]VENTAS TOTALES'!$F82</f>
        <v>0</v>
      </c>
      <c r="CP70" s="253">
        <f>'[99]VENTAS TOTALES'!$G82</f>
        <v>0</v>
      </c>
      <c r="CQ70" s="253">
        <f>'[99]VENTAS TOTALES'!$H82</f>
        <v>0</v>
      </c>
      <c r="CR70" s="252">
        <f>'[100]VENTAS TOTALES'!$F82</f>
        <v>5277</v>
      </c>
      <c r="CS70" s="253">
        <f>'[100]VENTAS TOTALES'!$G82</f>
        <v>1974800</v>
      </c>
      <c r="CT70" s="253">
        <f>'[100]VENTAS TOTALES'!$H82</f>
        <v>10945700</v>
      </c>
      <c r="CU70" s="252">
        <f>'[101]VENTAS TOTALES'!$F82</f>
        <v>2996</v>
      </c>
      <c r="CV70" s="253">
        <f>'[101]VENTAS TOTALES'!$G82</f>
        <v>1098700</v>
      </c>
      <c r="CW70" s="253">
        <f>'[101]VENTAS TOTALES'!$H82</f>
        <v>6191900</v>
      </c>
      <c r="CX70" s="252">
        <f>'[102]VENTAS TOTALES'!$F82</f>
        <v>911</v>
      </c>
      <c r="CY70" s="253">
        <f>'[102]VENTAS TOTALES'!$G82</f>
        <v>270000</v>
      </c>
      <c r="CZ70" s="253">
        <f>'[102]VENTAS TOTALES'!$H82</f>
        <v>1818700</v>
      </c>
    </row>
    <row r="71" spans="1:104" x14ac:dyDescent="0.2">
      <c r="A71" s="443"/>
      <c r="B71" s="46" t="s">
        <v>294</v>
      </c>
      <c r="C71" s="252">
        <f>'[69]VENTAS TOTALES'!$F83</f>
        <v>0</v>
      </c>
      <c r="D71" s="253">
        <f>'[69]VENTAS TOTALES'!$G83</f>
        <v>0</v>
      </c>
      <c r="E71" s="253">
        <f>'[69]VENTAS TOTALES'!$H83</f>
        <v>0</v>
      </c>
      <c r="F71" s="252">
        <f>'[70]VENTAS TOTALES'!$F83</f>
        <v>0</v>
      </c>
      <c r="G71" s="253">
        <f>'[70]VENTAS TOTALES'!$G83</f>
        <v>0</v>
      </c>
      <c r="H71" s="253">
        <f>'[70]VENTAS TOTALES'!$H83</f>
        <v>0</v>
      </c>
      <c r="I71" s="252">
        <f>'[71]VENTAS TOTALES'!$F83</f>
        <v>0</v>
      </c>
      <c r="J71" s="253">
        <f>'[71]VENTAS TOTALES'!$G83</f>
        <v>0</v>
      </c>
      <c r="K71" s="253">
        <f>'[71]VENTAS TOTALES'!$H83</f>
        <v>0</v>
      </c>
      <c r="L71" s="252">
        <f>'[72]VENTAS TOTALES'!$F83</f>
        <v>0</v>
      </c>
      <c r="M71" s="253">
        <f>'[72]VENTAS TOTALES'!$G83</f>
        <v>0</v>
      </c>
      <c r="N71" s="253">
        <f>'[72]VENTAS TOTALES'!$H83</f>
        <v>0</v>
      </c>
      <c r="O71" s="252">
        <f>'[73]VENTAS TOTALES'!$F83</f>
        <v>0</v>
      </c>
      <c r="P71" s="253">
        <f>'[73]VENTAS TOTALES'!$G83</f>
        <v>0</v>
      </c>
      <c r="Q71" s="253">
        <f>'[73]VENTAS TOTALES'!$H83</f>
        <v>0</v>
      </c>
      <c r="R71" s="252">
        <f>'[74]VENTAS TOTALES'!$F83</f>
        <v>0</v>
      </c>
      <c r="S71" s="253">
        <f>'[74]VENTAS TOTALES'!$G83</f>
        <v>0</v>
      </c>
      <c r="T71" s="253">
        <f>'[74]VENTAS TOTALES'!$H83</f>
        <v>0</v>
      </c>
      <c r="U71" s="252">
        <f>'[75]VENTAS TOTALES'!$F83</f>
        <v>0</v>
      </c>
      <c r="V71" s="253">
        <f>'[75]VENTAS TOTALES'!$G83</f>
        <v>0</v>
      </c>
      <c r="W71" s="253">
        <f>'[75]VENTAS TOTALES'!$H83</f>
        <v>0</v>
      </c>
      <c r="X71" s="252">
        <f>'[76]VENTAS TOTALES'!$F83</f>
        <v>0</v>
      </c>
      <c r="Y71" s="253">
        <f>'[76]VENTAS TOTALES'!$G83</f>
        <v>0</v>
      </c>
      <c r="Z71" s="253">
        <f>'[76]VENTAS TOTALES'!$H83</f>
        <v>0</v>
      </c>
      <c r="AA71" s="252">
        <f>'[77]VENTAS TOTALES'!$F83</f>
        <v>0</v>
      </c>
      <c r="AB71" s="253">
        <f>'[77]VENTAS TOTALES'!$G83</f>
        <v>0</v>
      </c>
      <c r="AC71" s="253">
        <f>'[77]VENTAS TOTALES'!$H83</f>
        <v>0</v>
      </c>
      <c r="AD71" s="252">
        <f>'[78]VENTAS TOTALES'!$F83</f>
        <v>0</v>
      </c>
      <c r="AE71" s="253">
        <f>'[78]VENTAS TOTALES'!$G83</f>
        <v>0</v>
      </c>
      <c r="AF71" s="253">
        <f>'[78]VENTAS TOTALES'!$H83</f>
        <v>0</v>
      </c>
      <c r="AG71" s="252">
        <f>'[79]VENTAS TOTALES'!$F83</f>
        <v>0</v>
      </c>
      <c r="AH71" s="253">
        <f>'[79]VENTAS TOTALES'!$G83</f>
        <v>0</v>
      </c>
      <c r="AI71" s="253">
        <f>'[79]VENTAS TOTALES'!$H83</f>
        <v>0</v>
      </c>
      <c r="AJ71" s="252">
        <f>'[80]VENTAS TOTALES'!$F83</f>
        <v>0</v>
      </c>
      <c r="AK71" s="253">
        <f>'[80]VENTAS TOTALES'!$G83</f>
        <v>0</v>
      </c>
      <c r="AL71" s="253">
        <f>'[80]VENTAS TOTALES'!$H83</f>
        <v>0</v>
      </c>
      <c r="AM71" s="252">
        <f>'[81]VENTAS TOTALES'!$F83</f>
        <v>0</v>
      </c>
      <c r="AN71" s="253">
        <f>'[81]VENTAS TOTALES'!$G83</f>
        <v>0</v>
      </c>
      <c r="AO71" s="253">
        <f>'[81]VENTAS TOTALES'!$H83</f>
        <v>0</v>
      </c>
      <c r="AP71" s="252">
        <f>'[82]VENTAS TOTALES'!$F83</f>
        <v>0</v>
      </c>
      <c r="AQ71" s="253">
        <f>'[82]VENTAS TOTALES'!$G83</f>
        <v>0</v>
      </c>
      <c r="AR71" s="253">
        <f>'[82]VENTAS TOTALES'!$H83</f>
        <v>0</v>
      </c>
      <c r="AS71" s="252">
        <f>'[83]VENTAS TOTALES'!$F83</f>
        <v>0</v>
      </c>
      <c r="AT71" s="253">
        <f>'[83]VENTAS TOTALES'!$G83</f>
        <v>0</v>
      </c>
      <c r="AU71" s="253">
        <f>'[83]VENTAS TOTALES'!$H83</f>
        <v>0</v>
      </c>
      <c r="AV71" s="252">
        <f>'[84]VENTAS TOTALES'!$F83</f>
        <v>0</v>
      </c>
      <c r="AW71" s="253">
        <f>'[84]VENTAS TOTALES'!$G83</f>
        <v>0</v>
      </c>
      <c r="AX71" s="253">
        <f>'[84]VENTAS TOTALES'!$H83</f>
        <v>0</v>
      </c>
      <c r="AY71" s="252">
        <f>'[85]VENTAS TOTALES'!$F83</f>
        <v>0</v>
      </c>
      <c r="AZ71" s="253">
        <f>'[85]VENTAS TOTALES'!$G83</f>
        <v>0</v>
      </c>
      <c r="BA71" s="253">
        <f>'[85]VENTAS TOTALES'!$H83</f>
        <v>0</v>
      </c>
      <c r="BB71" s="252">
        <f>'[86]VENTAS TOTALES'!$F83</f>
        <v>0</v>
      </c>
      <c r="BC71" s="253">
        <f>'[86]VENTAS TOTALES'!$G83</f>
        <v>0</v>
      </c>
      <c r="BD71" s="253">
        <f>'[86]VENTAS TOTALES'!$H83</f>
        <v>0</v>
      </c>
      <c r="BE71" s="252">
        <f>'[87]VENTAS TOTALES'!$F83</f>
        <v>0</v>
      </c>
      <c r="BF71" s="253">
        <f>'[87]VENTAS TOTALES'!$G83</f>
        <v>0</v>
      </c>
      <c r="BG71" s="253">
        <f>'[87]VENTAS TOTALES'!$H83</f>
        <v>0</v>
      </c>
      <c r="BH71" s="252">
        <f>'[88]VENTAS TOTALES'!$F83</f>
        <v>0</v>
      </c>
      <c r="BI71" s="253">
        <f>'[88]VENTAS TOTALES'!$G83</f>
        <v>0</v>
      </c>
      <c r="BJ71" s="253">
        <f>'[88]VENTAS TOTALES'!$H83</f>
        <v>0</v>
      </c>
      <c r="BK71" s="252">
        <f>'[89]VENTAS TOTALES'!$F83</f>
        <v>0</v>
      </c>
      <c r="BL71" s="253">
        <f>'[89]VENTAS TOTALES'!$G83</f>
        <v>0</v>
      </c>
      <c r="BM71" s="253">
        <f>'[89]VENTAS TOTALES'!$H83</f>
        <v>0</v>
      </c>
      <c r="BN71" s="252">
        <f>'[90]VENTAS TOTALES'!$F83</f>
        <v>0</v>
      </c>
      <c r="BO71" s="253">
        <f>'[90]VENTAS TOTALES'!$G83</f>
        <v>0</v>
      </c>
      <c r="BP71" s="253">
        <f>'[90]VENTAS TOTALES'!$H83</f>
        <v>0</v>
      </c>
      <c r="BQ71" s="252">
        <f>'[91]VENTAS TOTALES'!$F83</f>
        <v>0</v>
      </c>
      <c r="BR71" s="253">
        <f>'[91]VENTAS TOTALES'!$G83</f>
        <v>0</v>
      </c>
      <c r="BS71" s="253">
        <f>'[91]VENTAS TOTALES'!$H83</f>
        <v>0</v>
      </c>
      <c r="BT71" s="252">
        <f>'[92]VENTAS TOTALES'!$F83</f>
        <v>0</v>
      </c>
      <c r="BU71" s="253">
        <f>'[92]VENTAS TOTALES'!$G83</f>
        <v>0</v>
      </c>
      <c r="BV71" s="253">
        <f>'[92]VENTAS TOTALES'!$H83</f>
        <v>0</v>
      </c>
      <c r="BW71" s="252">
        <f>'[93]VENTAS TOTALES'!$F83</f>
        <v>0</v>
      </c>
      <c r="BX71" s="253">
        <f>'[93]VENTAS TOTALES'!$G83</f>
        <v>0</v>
      </c>
      <c r="BY71" s="253">
        <f>'[93]VENTAS TOTALES'!$H83</f>
        <v>0</v>
      </c>
      <c r="BZ71" s="252">
        <f>'[94]VENTAS TOTALES'!$F83</f>
        <v>0</v>
      </c>
      <c r="CA71" s="253">
        <f>'[94]VENTAS TOTALES'!$G83</f>
        <v>0</v>
      </c>
      <c r="CB71" s="253">
        <f>'[94]VENTAS TOTALES'!$H83</f>
        <v>0</v>
      </c>
      <c r="CC71" s="252">
        <f>'[95]VENTAS TOTALES'!$F83</f>
        <v>0</v>
      </c>
      <c r="CD71" s="253">
        <f>'[95]VENTAS TOTALES'!$G83</f>
        <v>0</v>
      </c>
      <c r="CE71" s="253">
        <f>'[95]VENTAS TOTALES'!$H83</f>
        <v>0</v>
      </c>
      <c r="CF71" s="252">
        <f>'[96]VENTAS TOTALES'!$F83</f>
        <v>0</v>
      </c>
      <c r="CG71" s="253">
        <f>'[96]VENTAS TOTALES'!$G83</f>
        <v>0</v>
      </c>
      <c r="CH71" s="253">
        <f>'[96]VENTAS TOTALES'!$H83</f>
        <v>0</v>
      </c>
      <c r="CI71" s="252">
        <f>'[97]VENTAS TOTALES'!$F83</f>
        <v>0</v>
      </c>
      <c r="CJ71" s="253">
        <f>'[97]VENTAS TOTALES'!$G83</f>
        <v>0</v>
      </c>
      <c r="CK71" s="253">
        <f>'[97]VENTAS TOTALES'!$H83</f>
        <v>0</v>
      </c>
      <c r="CL71" s="252">
        <f>'[98]VENTAS TOTALES'!$F83</f>
        <v>0</v>
      </c>
      <c r="CM71" s="253">
        <f>'[98]VENTAS TOTALES'!$G83</f>
        <v>0</v>
      </c>
      <c r="CN71" s="253">
        <f>'[98]VENTAS TOTALES'!$H83</f>
        <v>0</v>
      </c>
      <c r="CO71" s="252">
        <f>'[99]VENTAS TOTALES'!$F83</f>
        <v>0</v>
      </c>
      <c r="CP71" s="253">
        <f>'[99]VENTAS TOTALES'!$G83</f>
        <v>0</v>
      </c>
      <c r="CQ71" s="253">
        <f>'[99]VENTAS TOTALES'!$H83</f>
        <v>0</v>
      </c>
      <c r="CR71" s="252">
        <f>'[100]VENTAS TOTALES'!$F83</f>
        <v>2588</v>
      </c>
      <c r="CS71" s="253">
        <f>'[100]VENTAS TOTALES'!$G83</f>
        <v>875600</v>
      </c>
      <c r="CT71" s="253">
        <f>'[100]VENTAS TOTALES'!$H83</f>
        <v>5275200</v>
      </c>
      <c r="CU71" s="252">
        <f>'[101]VENTAS TOTALES'!$F83</f>
        <v>1666</v>
      </c>
      <c r="CV71" s="253">
        <f>'[101]VENTAS TOTALES'!$G83</f>
        <v>491600</v>
      </c>
      <c r="CW71" s="253">
        <f>'[101]VENTAS TOTALES'!$H83</f>
        <v>3323800</v>
      </c>
      <c r="CX71" s="252">
        <f>'[102]VENTAS TOTALES'!$F83</f>
        <v>743</v>
      </c>
      <c r="CY71" s="253">
        <f>'[102]VENTAS TOTALES'!$G83</f>
        <v>53300</v>
      </c>
      <c r="CZ71" s="253">
        <f>'[102]VENTAS TOTALES'!$H83</f>
        <v>1316400</v>
      </c>
    </row>
    <row r="72" spans="1:104" x14ac:dyDescent="0.2">
      <c r="A72" s="443"/>
      <c r="B72" s="46" t="s">
        <v>140</v>
      </c>
      <c r="C72" s="252">
        <f>'[69]VENTAS TOTALES'!$F84</f>
        <v>3018</v>
      </c>
      <c r="D72" s="253">
        <f>'[69]VENTAS TOTALES'!$G84</f>
        <v>1286600</v>
      </c>
      <c r="E72" s="253">
        <f>'[69]VENTAS TOTALES'!$H84</f>
        <v>6417200</v>
      </c>
      <c r="F72" s="252">
        <f>'[70]VENTAS TOTALES'!$F84</f>
        <v>2942</v>
      </c>
      <c r="G72" s="253">
        <f>'[70]VENTAS TOTALES'!$G84</f>
        <v>826800</v>
      </c>
      <c r="H72" s="253">
        <f>'[70]VENTAS TOTALES'!$H84</f>
        <v>5828200</v>
      </c>
      <c r="I72" s="252">
        <f>'[71]VENTAS TOTALES'!$F84</f>
        <v>2602</v>
      </c>
      <c r="J72" s="253">
        <f>'[71]VENTAS TOTALES'!$G84</f>
        <v>722500</v>
      </c>
      <c r="K72" s="253">
        <f>'[71]VENTAS TOTALES'!$H84</f>
        <v>5145900</v>
      </c>
      <c r="L72" s="252">
        <f>'[72]VENTAS TOTALES'!$F84</f>
        <v>2340</v>
      </c>
      <c r="M72" s="253">
        <f>'[72]VENTAS TOTALES'!$G84</f>
        <v>420900</v>
      </c>
      <c r="N72" s="253">
        <f>'[72]VENTAS TOTALES'!$H84</f>
        <v>4398900</v>
      </c>
      <c r="O72" s="252">
        <f>'[73]VENTAS TOTALES'!$F84</f>
        <v>1966</v>
      </c>
      <c r="P72" s="253">
        <f>'[73]VENTAS TOTALES'!$G84</f>
        <v>460700</v>
      </c>
      <c r="Q72" s="253">
        <f>'[73]VENTAS TOTALES'!$H84</f>
        <v>3802900</v>
      </c>
      <c r="R72" s="252">
        <f>'[74]VENTAS TOTALES'!$F84</f>
        <v>576</v>
      </c>
      <c r="S72" s="253">
        <f>'[74]VENTAS TOTALES'!$G84</f>
        <v>65300</v>
      </c>
      <c r="T72" s="253">
        <f>'[74]VENTAS TOTALES'!$H84</f>
        <v>1044500</v>
      </c>
      <c r="U72" s="252">
        <f>'[75]VENTAS TOTALES'!$F84</f>
        <v>2682</v>
      </c>
      <c r="V72" s="253">
        <f>'[75]VENTAS TOTALES'!$G84</f>
        <v>887700</v>
      </c>
      <c r="W72" s="253">
        <f>'[75]VENTAS TOTALES'!$H84</f>
        <v>5447100</v>
      </c>
      <c r="X72" s="252">
        <f>'[76]VENTAS TOTALES'!$F84</f>
        <v>2674</v>
      </c>
      <c r="Y72" s="253">
        <f>'[76]VENTAS TOTALES'!$G84</f>
        <v>877700</v>
      </c>
      <c r="Z72" s="253">
        <f>'[76]VENTAS TOTALES'!$H84</f>
        <v>5423500</v>
      </c>
      <c r="AA72" s="252">
        <f>'[77]VENTAS TOTALES'!$F84</f>
        <v>2415</v>
      </c>
      <c r="AB72" s="253">
        <f>'[77]VENTAS TOTALES'!$G84</f>
        <v>643200</v>
      </c>
      <c r="AC72" s="253">
        <f>'[77]VENTAS TOTALES'!$H84</f>
        <v>4748700</v>
      </c>
      <c r="AD72" s="252">
        <f>'[78]VENTAS TOTALES'!$F84</f>
        <v>2512</v>
      </c>
      <c r="AE72" s="253">
        <f>'[78]VENTAS TOTALES'!$G84</f>
        <v>564300</v>
      </c>
      <c r="AF72" s="253">
        <f>'[78]VENTAS TOTALES'!$H84</f>
        <v>4834700</v>
      </c>
      <c r="AG72" s="252">
        <f>'[79]VENTAS TOTALES'!$F84</f>
        <v>2668</v>
      </c>
      <c r="AH72" s="253">
        <f>'[79]VENTAS TOTALES'!$G84</f>
        <v>543100</v>
      </c>
      <c r="AI72" s="253">
        <f>'[79]VENTAS TOTALES'!$H84</f>
        <v>5078700</v>
      </c>
      <c r="AJ72" s="252">
        <f>'[80]VENTAS TOTALES'!$F84</f>
        <v>1644</v>
      </c>
      <c r="AK72" s="253">
        <f>'[80]VENTAS TOTALES'!$G84</f>
        <v>225800</v>
      </c>
      <c r="AL72" s="253">
        <f>'[80]VENTAS TOTALES'!$H84</f>
        <v>3020600</v>
      </c>
      <c r="AM72" s="252">
        <f>'[81]VENTAS TOTALES'!$F84</f>
        <v>517</v>
      </c>
      <c r="AN72" s="253">
        <f>'[81]VENTAS TOTALES'!$G84</f>
        <v>41000</v>
      </c>
      <c r="AO72" s="253">
        <f>'[81]VENTAS TOTALES'!$H84</f>
        <v>919900</v>
      </c>
      <c r="AP72" s="252">
        <f>'[82]VENTAS TOTALES'!$F84</f>
        <v>2521</v>
      </c>
      <c r="AQ72" s="253">
        <f>'[82]VENTAS TOTALES'!$G84</f>
        <v>807100</v>
      </c>
      <c r="AR72" s="253">
        <f>'[82]VENTAS TOTALES'!$H84</f>
        <v>5092800</v>
      </c>
      <c r="AS72" s="252">
        <f>'[83]VENTAS TOTALES'!$F84</f>
        <v>2335</v>
      </c>
      <c r="AT72" s="253">
        <f>'[83]VENTAS TOTALES'!$G84</f>
        <v>1027400</v>
      </c>
      <c r="AU72" s="253">
        <f>'[83]VENTAS TOTALES'!$H84</f>
        <v>4996900</v>
      </c>
      <c r="AV72" s="252">
        <f>'[84]VENTAS TOTALES'!$F84</f>
        <v>2626</v>
      </c>
      <c r="AW72" s="253">
        <f>'[84]VENTAS TOTALES'!$G84</f>
        <v>1060100</v>
      </c>
      <c r="AX72" s="253">
        <f>'[84]VENTAS TOTALES'!$H84</f>
        <v>5524300</v>
      </c>
      <c r="AY72" s="252">
        <f>'[85]VENTAS TOTALES'!$F84</f>
        <v>2221</v>
      </c>
      <c r="AZ72" s="253">
        <f>'[85]VENTAS TOTALES'!$G84</f>
        <v>657700</v>
      </c>
      <c r="BA72" s="253">
        <f>'[85]VENTAS TOTALES'!$H84</f>
        <v>4433400</v>
      </c>
      <c r="BB72" s="252">
        <f>'[86]VENTAS TOTALES'!$F84</f>
        <v>2455</v>
      </c>
      <c r="BC72" s="253">
        <f>'[86]VENTAS TOTALES'!$G84</f>
        <v>578200</v>
      </c>
      <c r="BD72" s="253">
        <f>'[86]VENTAS TOTALES'!$H84</f>
        <v>4751700</v>
      </c>
      <c r="BE72" s="252">
        <f>'[87]VENTAS TOTALES'!$F84</f>
        <v>1870</v>
      </c>
      <c r="BF72" s="253">
        <f>'[87]VENTAS TOTALES'!$G84</f>
        <v>403200</v>
      </c>
      <c r="BG72" s="253">
        <f>'[87]VENTAS TOTALES'!$H84</f>
        <v>3582200</v>
      </c>
      <c r="BH72" s="252">
        <f>'[88]VENTAS TOTALES'!$F84</f>
        <v>548</v>
      </c>
      <c r="BI72" s="253">
        <f>'[88]VENTAS TOTALES'!$G84</f>
        <v>78600</v>
      </c>
      <c r="BJ72" s="253">
        <f>'[88]VENTAS TOTALES'!$H84</f>
        <v>1010200</v>
      </c>
      <c r="BK72" s="252">
        <f>'[89]VENTAS TOTALES'!$F84</f>
        <v>2678</v>
      </c>
      <c r="BL72" s="253">
        <f>'[89]VENTAS TOTALES'!$G84</f>
        <v>728300</v>
      </c>
      <c r="BM72" s="253">
        <f>'[89]VENTAS TOTALES'!$H84</f>
        <v>5280900</v>
      </c>
      <c r="BN72" s="252">
        <f>'[90]VENTAS TOTALES'!$F84</f>
        <v>2589</v>
      </c>
      <c r="BO72" s="253">
        <f>'[90]VENTAS TOTALES'!$G84</f>
        <v>1101100</v>
      </c>
      <c r="BP72" s="253">
        <f>'[90]VENTAS TOTALES'!$H84</f>
        <v>5502400</v>
      </c>
      <c r="BQ72" s="252">
        <f>'[91]VENTAS TOTALES'!$F84</f>
        <v>2506</v>
      </c>
      <c r="BR72" s="253">
        <f>'[91]VENTAS TOTALES'!$G84</f>
        <v>577400</v>
      </c>
      <c r="BS72" s="253">
        <f>'[91]VENTAS TOTALES'!$H84</f>
        <v>4837600</v>
      </c>
      <c r="BT72" s="252">
        <f>'[92]VENTAS TOTALES'!$F84</f>
        <v>2583</v>
      </c>
      <c r="BU72" s="253">
        <f>'[92]VENTAS TOTALES'!$G84</f>
        <v>458100</v>
      </c>
      <c r="BV72" s="253">
        <f>'[92]VENTAS TOTALES'!$H84</f>
        <v>4849200</v>
      </c>
      <c r="BW72" s="252">
        <f>'[93]VENTAS TOTALES'!$F84</f>
        <v>2527</v>
      </c>
      <c r="BX72" s="253">
        <f>'[93]VENTAS TOTALES'!$G84</f>
        <v>565000</v>
      </c>
      <c r="BY72" s="253">
        <f>'[93]VENTAS TOTALES'!$H84</f>
        <v>4860900</v>
      </c>
      <c r="BZ72" s="252">
        <f>'[94]VENTAS TOTALES'!$F84</f>
        <v>1886</v>
      </c>
      <c r="CA72" s="253">
        <f>'[94]VENTAS TOTALES'!$G84</f>
        <v>447800</v>
      </c>
      <c r="CB72" s="253">
        <f>'[94]VENTAS TOTALES'!$H84</f>
        <v>3654000</v>
      </c>
      <c r="CC72" s="252">
        <f>'[95]VENTAS TOTALES'!$F84</f>
        <v>620</v>
      </c>
      <c r="CD72" s="253">
        <f>'[95]VENTAS TOTALES'!$G84</f>
        <v>42000</v>
      </c>
      <c r="CE72" s="253">
        <f>'[95]VENTAS TOTALES'!$H84</f>
        <v>1096000</v>
      </c>
      <c r="CF72" s="252">
        <f>'[96]VENTAS TOTALES'!$F84</f>
        <v>3285</v>
      </c>
      <c r="CG72" s="253">
        <f>'[96]VENTAS TOTALES'!$G84</f>
        <v>1598600</v>
      </c>
      <c r="CH72" s="253">
        <f>'[96]VENTAS TOTALES'!$H84</f>
        <v>7183100</v>
      </c>
      <c r="CI72" s="252">
        <f>'[97]VENTAS TOTALES'!$F84</f>
        <v>3285</v>
      </c>
      <c r="CJ72" s="253">
        <f>'[97]VENTAS TOTALES'!$G84</f>
        <v>1400650</v>
      </c>
      <c r="CK72" s="253">
        <f>'[97]VENTAS TOTALES'!$H84</f>
        <v>6985150</v>
      </c>
      <c r="CL72" s="252">
        <f>'[98]VENTAS TOTALES'!$F84</f>
        <v>2946</v>
      </c>
      <c r="CM72" s="253">
        <f>'[98]VENTAS TOTALES'!$G84</f>
        <v>1119500</v>
      </c>
      <c r="CN72" s="253">
        <f>'[98]VENTAS TOTALES'!$H84</f>
        <v>6127700</v>
      </c>
      <c r="CO72" s="252">
        <f>'[99]VENTAS TOTALES'!$F84</f>
        <v>2559</v>
      </c>
      <c r="CP72" s="253">
        <f>'[99]VENTAS TOTALES'!$G84</f>
        <v>734000</v>
      </c>
      <c r="CQ72" s="253">
        <f>'[99]VENTAS TOTALES'!$H84</f>
        <v>5084300</v>
      </c>
      <c r="CR72" s="252">
        <f>'[100]VENTAS TOTALES'!$F84</f>
        <v>2543</v>
      </c>
      <c r="CS72" s="253">
        <f>'[100]VENTAS TOTALES'!$G84</f>
        <v>496650</v>
      </c>
      <c r="CT72" s="253">
        <f>'[100]VENTAS TOTALES'!$H84</f>
        <v>4819750</v>
      </c>
      <c r="CU72" s="252">
        <f>'[101]VENTAS TOTALES'!$F84</f>
        <v>1911</v>
      </c>
      <c r="CV72" s="253">
        <f>'[101]VENTAS TOTALES'!$G84</f>
        <v>412300</v>
      </c>
      <c r="CW72" s="253">
        <f>'[101]VENTAS TOTALES'!$H84</f>
        <v>3661000</v>
      </c>
      <c r="CX72" s="252">
        <f>'[102]VENTAS TOTALES'!$F84</f>
        <v>552</v>
      </c>
      <c r="CY72" s="253">
        <f>'[102]VENTAS TOTALES'!$G84</f>
        <v>93200</v>
      </c>
      <c r="CZ72" s="253">
        <f>'[102]VENTAS TOTALES'!$H84</f>
        <v>1031600</v>
      </c>
    </row>
    <row r="73" spans="1:104" ht="13.5" thickBot="1" x14ac:dyDescent="0.25">
      <c r="A73" s="443"/>
      <c r="B73" s="47" t="s">
        <v>141</v>
      </c>
      <c r="C73" s="269">
        <f>'[69]VENTAS TOTALES'!$F85</f>
        <v>1463</v>
      </c>
      <c r="D73" s="270">
        <f>'[69]VENTAS TOTALES'!$G85</f>
        <v>440600</v>
      </c>
      <c r="E73" s="270">
        <f>'[69]VENTAS TOTALES'!$H85</f>
        <v>2927700</v>
      </c>
      <c r="F73" s="269">
        <f>'[70]VENTAS TOTALES'!$F85</f>
        <v>1362</v>
      </c>
      <c r="G73" s="270">
        <f>'[70]VENTAS TOTALES'!$G85</f>
        <v>279600</v>
      </c>
      <c r="H73" s="270">
        <f>'[70]VENTAS TOTALES'!$H85</f>
        <v>2595000</v>
      </c>
      <c r="I73" s="269">
        <f>'[71]VENTAS TOTALES'!$F85</f>
        <v>1224</v>
      </c>
      <c r="J73" s="270">
        <f>'[71]VENTAS TOTALES'!$G85</f>
        <v>284100</v>
      </c>
      <c r="K73" s="270">
        <f>'[71]VENTAS TOTALES'!$H85</f>
        <v>2364900</v>
      </c>
      <c r="L73" s="269">
        <f>'[72]VENTAS TOTALES'!$F85</f>
        <v>1262</v>
      </c>
      <c r="M73" s="270">
        <f>'[72]VENTAS TOTALES'!$G85</f>
        <v>198000</v>
      </c>
      <c r="N73" s="270">
        <f>'[72]VENTAS TOTALES'!$H85</f>
        <v>2343400</v>
      </c>
      <c r="O73" s="269">
        <f>'[73]VENTAS TOTALES'!$F85</f>
        <v>1190</v>
      </c>
      <c r="P73" s="270">
        <f>'[73]VENTAS TOTALES'!$G85</f>
        <v>184300</v>
      </c>
      <c r="Q73" s="270">
        <f>'[73]VENTAS TOTALES'!$H85</f>
        <v>2207300</v>
      </c>
      <c r="R73" s="269">
        <f>'[74]VENTAS TOTALES'!$F85</f>
        <v>391</v>
      </c>
      <c r="S73" s="270">
        <f>'[74]VENTAS TOTALES'!$G85</f>
        <v>20800</v>
      </c>
      <c r="T73" s="270">
        <f>'[74]VENTAS TOTALES'!$H85</f>
        <v>685500</v>
      </c>
      <c r="U73" s="269">
        <f>'[75]VENTAS TOTALES'!$F85</f>
        <v>1311</v>
      </c>
      <c r="V73" s="270">
        <f>'[75]VENTAS TOTALES'!$G85</f>
        <v>379600</v>
      </c>
      <c r="W73" s="270">
        <f>'[75]VENTAS TOTALES'!$H85</f>
        <v>2608300</v>
      </c>
      <c r="X73" s="269">
        <f>'[76]VENTAS TOTALES'!$F85</f>
        <v>1182</v>
      </c>
      <c r="Y73" s="270">
        <f>'[76]VENTAS TOTALES'!$G85</f>
        <v>312400</v>
      </c>
      <c r="Z73" s="270">
        <f>'[76]VENTAS TOTALES'!$H85</f>
        <v>2321800</v>
      </c>
      <c r="AA73" s="269">
        <f>'[77]VENTAS TOTALES'!$F85</f>
        <v>1216</v>
      </c>
      <c r="AB73" s="270">
        <f>'[77]VENTAS TOTALES'!$G85</f>
        <v>337400</v>
      </c>
      <c r="AC73" s="270">
        <f>'[77]VENTAS TOTALES'!$H85</f>
        <v>2404600</v>
      </c>
      <c r="AD73" s="269">
        <f>'[78]VENTAS TOTALES'!$F85</f>
        <v>1217</v>
      </c>
      <c r="AE73" s="270">
        <f>'[78]VENTAS TOTALES'!$G85</f>
        <v>217900</v>
      </c>
      <c r="AF73" s="270">
        <f>'[78]VENTAS TOTALES'!$H85</f>
        <v>2286800</v>
      </c>
      <c r="AG73" s="269">
        <f>'[79]VENTAS TOTALES'!$F85</f>
        <v>1235</v>
      </c>
      <c r="AH73" s="270">
        <f>'[79]VENTAS TOTALES'!$G85</f>
        <v>212600</v>
      </c>
      <c r="AI73" s="270">
        <f>'[79]VENTAS TOTALES'!$H85</f>
        <v>2312100</v>
      </c>
      <c r="AJ73" s="269">
        <f>'[80]VENTAS TOTALES'!$F85</f>
        <v>1018</v>
      </c>
      <c r="AK73" s="270">
        <f>'[80]VENTAS TOTALES'!$G85</f>
        <v>223700</v>
      </c>
      <c r="AL73" s="270">
        <f>'[80]VENTAS TOTALES'!$H85</f>
        <v>1954300</v>
      </c>
      <c r="AM73" s="269">
        <f>'[81]VENTAS TOTALES'!$F85</f>
        <v>307</v>
      </c>
      <c r="AN73" s="270">
        <f>'[81]VENTAS TOTALES'!$G85</f>
        <v>39500</v>
      </c>
      <c r="AO73" s="270">
        <f>'[81]VENTAS TOTALES'!$H85</f>
        <v>561400</v>
      </c>
      <c r="AP73" s="269">
        <f>'[82]VENTAS TOTALES'!$F85</f>
        <v>1203</v>
      </c>
      <c r="AQ73" s="270">
        <f>'[82]VENTAS TOTALES'!$G85</f>
        <v>289200</v>
      </c>
      <c r="AR73" s="270">
        <f>'[82]VENTAS TOTALES'!$H85</f>
        <v>2334300</v>
      </c>
      <c r="AS73" s="269">
        <f>'[83]VENTAS TOTALES'!$F85</f>
        <v>1121</v>
      </c>
      <c r="AT73" s="270">
        <f>'[83]VENTAS TOTALES'!$G85</f>
        <v>401000</v>
      </c>
      <c r="AU73" s="270">
        <f>'[83]VENTAS TOTALES'!$H85</f>
        <v>2306700</v>
      </c>
      <c r="AV73" s="269">
        <f>'[84]VENTAS TOTALES'!$F85</f>
        <v>1251</v>
      </c>
      <c r="AW73" s="270">
        <f>'[84]VENTAS TOTALES'!$G85</f>
        <v>326900</v>
      </c>
      <c r="AX73" s="270">
        <f>'[84]VENTAS TOTALES'!$H85</f>
        <v>2453600</v>
      </c>
      <c r="AY73" s="269">
        <f>'[85]VENTAS TOTALES'!$F85</f>
        <v>1169</v>
      </c>
      <c r="AZ73" s="270">
        <f>'[85]VENTAS TOTALES'!$G85</f>
        <v>368700</v>
      </c>
      <c r="BA73" s="270">
        <f>'[85]VENTAS TOTALES'!$H85</f>
        <v>2356000</v>
      </c>
      <c r="BB73" s="269">
        <f>'[86]VENTAS TOTALES'!$F85</f>
        <v>1186</v>
      </c>
      <c r="BC73" s="270">
        <f>'[86]VENTAS TOTALES'!$G85</f>
        <v>308500</v>
      </c>
      <c r="BD73" s="270">
        <f>'[86]VENTAS TOTALES'!$H85</f>
        <v>2324700</v>
      </c>
      <c r="BE73" s="269">
        <f>'[87]VENTAS TOTALES'!$F85</f>
        <v>1119</v>
      </c>
      <c r="BF73" s="270">
        <f>'[87]VENTAS TOTALES'!$G85</f>
        <v>114300</v>
      </c>
      <c r="BG73" s="270">
        <f>'[87]VENTAS TOTALES'!$H85</f>
        <v>2016600</v>
      </c>
      <c r="BH73" s="269">
        <f>'[88]VENTAS TOTALES'!$F85</f>
        <v>351</v>
      </c>
      <c r="BI73" s="270">
        <f>'[88]VENTAS TOTALES'!$G85</f>
        <v>27300</v>
      </c>
      <c r="BJ73" s="270">
        <f>'[88]VENTAS TOTALES'!$H85</f>
        <v>624000</v>
      </c>
      <c r="BK73" s="269">
        <f>'[89]VENTAS TOTALES'!$F85</f>
        <v>1355</v>
      </c>
      <c r="BL73" s="270">
        <f>'[89]VENTAS TOTALES'!$G85</f>
        <v>247000</v>
      </c>
      <c r="BM73" s="270">
        <f>'[89]VENTAS TOTALES'!$H85</f>
        <v>2550500</v>
      </c>
      <c r="BN73" s="269">
        <f>'[90]VENTAS TOTALES'!$F85</f>
        <v>1204</v>
      </c>
      <c r="BO73" s="270">
        <f>'[90]VENTAS TOTALES'!$G85</f>
        <v>240400</v>
      </c>
      <c r="BP73" s="270">
        <f>'[90]VENTAS TOTALES'!$H85</f>
        <v>2287200</v>
      </c>
      <c r="BQ73" s="269">
        <f>'[91]VENTAS TOTALES'!$F85</f>
        <v>1191</v>
      </c>
      <c r="BR73" s="270">
        <f>'[91]VENTAS TOTALES'!$G85</f>
        <v>151900</v>
      </c>
      <c r="BS73" s="270">
        <f>'[91]VENTAS TOTALES'!$H85</f>
        <v>2176600</v>
      </c>
      <c r="BT73" s="269">
        <f>'[92]VENTAS TOTALES'!$F85</f>
        <v>1220</v>
      </c>
      <c r="BU73" s="270">
        <f>'[92]VENTAS TOTALES'!$G85</f>
        <v>232100</v>
      </c>
      <c r="BV73" s="270">
        <f>'[92]VENTAS TOTALES'!$H85</f>
        <v>2306100</v>
      </c>
      <c r="BW73" s="269">
        <f>'[93]VENTAS TOTALES'!$F85</f>
        <v>1152</v>
      </c>
      <c r="BX73" s="270">
        <f>'[93]VENTAS TOTALES'!$G85</f>
        <v>221500</v>
      </c>
      <c r="BY73" s="270">
        <f>'[93]VENTAS TOTALES'!$H85</f>
        <v>2179900</v>
      </c>
      <c r="BZ73" s="269">
        <f>'[94]VENTAS TOTALES'!$F85</f>
        <v>1190</v>
      </c>
      <c r="CA73" s="270">
        <f>'[94]VENTAS TOTALES'!$G85</f>
        <v>188400</v>
      </c>
      <c r="CB73" s="270">
        <f>'[94]VENTAS TOTALES'!$H85</f>
        <v>2211400</v>
      </c>
      <c r="CC73" s="269">
        <f>'[95]VENTAS TOTALES'!$F85</f>
        <v>351</v>
      </c>
      <c r="CD73" s="270">
        <f>'[95]VENTAS TOTALES'!$G85</f>
        <v>22100</v>
      </c>
      <c r="CE73" s="270">
        <f>'[95]VENTAS TOTALES'!$H85</f>
        <v>618800</v>
      </c>
      <c r="CF73" s="269">
        <f>'[96]VENTAS TOTALES'!$F85</f>
        <v>978</v>
      </c>
      <c r="CG73" s="270">
        <f>'[96]VENTAS TOTALES'!$G85</f>
        <v>90500</v>
      </c>
      <c r="CH73" s="270">
        <f>'[96]VENTAS TOTALES'!$H85</f>
        <v>1753100</v>
      </c>
      <c r="CI73" s="269">
        <f>'[97]VENTAS TOTALES'!$F85</f>
        <v>1636</v>
      </c>
      <c r="CJ73" s="270">
        <f>'[97]VENTAS TOTALES'!$G85</f>
        <v>585700</v>
      </c>
      <c r="CK73" s="270">
        <f>'[97]VENTAS TOTALES'!$H85</f>
        <v>3366900</v>
      </c>
      <c r="CL73" s="269">
        <f>'[98]VENTAS TOTALES'!$F85</f>
        <v>1397</v>
      </c>
      <c r="CM73" s="270">
        <f>'[98]VENTAS TOTALES'!$G85</f>
        <v>353300</v>
      </c>
      <c r="CN73" s="270">
        <f>'[98]VENTAS TOTALES'!$H85</f>
        <v>2728200</v>
      </c>
      <c r="CO73" s="269">
        <f>'[99]VENTAS TOTALES'!$F85</f>
        <v>1403</v>
      </c>
      <c r="CP73" s="270">
        <f>'[99]VENTAS TOTALES'!$G85</f>
        <v>244600</v>
      </c>
      <c r="CQ73" s="270">
        <f>'[99]VENTAS TOTALES'!$H85</f>
        <v>2629700</v>
      </c>
      <c r="CR73" s="269">
        <f>'[100]VENTAS TOTALES'!$F85</f>
        <v>1162</v>
      </c>
      <c r="CS73" s="270">
        <f>'[100]VENTAS TOTALES'!$G85</f>
        <v>224300</v>
      </c>
      <c r="CT73" s="270">
        <f>'[100]VENTAS TOTALES'!$H85</f>
        <v>2199700</v>
      </c>
      <c r="CU73" s="269">
        <f>'[101]VENTAS TOTALES'!$F85</f>
        <v>1127</v>
      </c>
      <c r="CV73" s="270">
        <f>'[101]VENTAS TOTALES'!$G85</f>
        <v>305700</v>
      </c>
      <c r="CW73" s="270">
        <f>'[101]VENTAS TOTALES'!$H85</f>
        <v>2221600</v>
      </c>
      <c r="CX73" s="269">
        <f>'[102]VENTAS TOTALES'!$F85</f>
        <v>471</v>
      </c>
      <c r="CY73" s="270">
        <f>'[102]VENTAS TOTALES'!$G85</f>
        <v>50400</v>
      </c>
      <c r="CZ73" s="270">
        <f>'[102]VENTAS TOTALES'!$H85</f>
        <v>851100</v>
      </c>
    </row>
    <row r="74" spans="1:104" x14ac:dyDescent="0.2">
      <c r="A74" s="443"/>
      <c r="B74" s="48" t="s">
        <v>304</v>
      </c>
      <c r="C74" s="267">
        <f>'[69]VENTAS TOTALES'!$F86</f>
        <v>4145</v>
      </c>
      <c r="D74" s="268">
        <f>'[69]VENTAS TOTALES'!$G86</f>
        <v>2003500</v>
      </c>
      <c r="E74" s="268">
        <f>'[69]VENTAS TOTALES'!$H86</f>
        <v>9050000</v>
      </c>
      <c r="F74" s="267">
        <f>'[70]VENTAS TOTALES'!$F86</f>
        <v>3556</v>
      </c>
      <c r="G74" s="268">
        <f>'[70]VENTAS TOTALES'!$G86</f>
        <v>1491550</v>
      </c>
      <c r="H74" s="268">
        <f>'[70]VENTAS TOTALES'!$H86</f>
        <v>7536750</v>
      </c>
      <c r="I74" s="267">
        <f>'[71]VENTAS TOTALES'!$F86</f>
        <v>2851</v>
      </c>
      <c r="J74" s="268">
        <f>'[71]VENTAS TOTALES'!$G86</f>
        <v>893050</v>
      </c>
      <c r="K74" s="268">
        <f>'[71]VENTAS TOTALES'!$H86</f>
        <v>5739750</v>
      </c>
      <c r="L74" s="267">
        <f>'[72]VENTAS TOTALES'!$F86</f>
        <v>2864</v>
      </c>
      <c r="M74" s="268">
        <f>'[72]VENTAS TOTALES'!$G86</f>
        <v>1019150</v>
      </c>
      <c r="N74" s="268">
        <f>'[72]VENTAS TOTALES'!$H86</f>
        <v>5887950</v>
      </c>
      <c r="O74" s="267">
        <f>'[73]VENTAS TOTALES'!$F86</f>
        <v>2555</v>
      </c>
      <c r="P74" s="268">
        <f>'[73]VENTAS TOTALES'!$G86</f>
        <v>785700</v>
      </c>
      <c r="Q74" s="268">
        <f>'[73]VENTAS TOTALES'!$H86</f>
        <v>5129200</v>
      </c>
      <c r="R74" s="267">
        <f>'[74]VENTAS TOTALES'!$F86</f>
        <v>1064</v>
      </c>
      <c r="S74" s="268">
        <f>'[74]VENTAS TOTALES'!$G86</f>
        <v>153900</v>
      </c>
      <c r="T74" s="268">
        <f>'[74]VENTAS TOTALES'!$H86</f>
        <v>1962700</v>
      </c>
      <c r="U74" s="267">
        <f>'[75]VENTAS TOTALES'!$F86</f>
        <v>3739</v>
      </c>
      <c r="V74" s="268">
        <f>'[75]VENTAS TOTALES'!$G86</f>
        <v>1184150</v>
      </c>
      <c r="W74" s="268">
        <f>'[75]VENTAS TOTALES'!$H86</f>
        <v>7540450</v>
      </c>
      <c r="X74" s="267">
        <f>'[76]VENTAS TOTALES'!$F86</f>
        <v>3265</v>
      </c>
      <c r="Y74" s="268">
        <f>'[76]VENTAS TOTALES'!$G86</f>
        <v>914400</v>
      </c>
      <c r="Z74" s="268">
        <f>'[76]VENTAS TOTALES'!$H86</f>
        <v>6464900</v>
      </c>
      <c r="AA74" s="267">
        <f>'[77]VENTAS TOTALES'!$F86</f>
        <v>3129</v>
      </c>
      <c r="AB74" s="268">
        <f>'[77]VENTAS TOTALES'!$G86</f>
        <v>814850</v>
      </c>
      <c r="AC74" s="268">
        <f>'[77]VENTAS TOTALES'!$H86</f>
        <v>6134150</v>
      </c>
      <c r="AD74" s="267">
        <f>'[78]VENTAS TOTALES'!$F86</f>
        <v>2964</v>
      </c>
      <c r="AE74" s="268">
        <f>'[78]VENTAS TOTALES'!$G86</f>
        <v>1122950</v>
      </c>
      <c r="AF74" s="268">
        <f>'[78]VENTAS TOTALES'!$H86</f>
        <v>6161750</v>
      </c>
      <c r="AG74" s="267">
        <f>'[79]VENTAS TOTALES'!$F86</f>
        <v>2997</v>
      </c>
      <c r="AH74" s="268">
        <f>'[79]VENTAS TOTALES'!$G86</f>
        <v>753200</v>
      </c>
      <c r="AI74" s="268">
        <f>'[79]VENTAS TOTALES'!$H86</f>
        <v>5848100</v>
      </c>
      <c r="AJ74" s="267">
        <f>'[80]VENTAS TOTALES'!$F86</f>
        <v>2427</v>
      </c>
      <c r="AK74" s="268">
        <f>'[80]VENTAS TOTALES'!$G86</f>
        <v>664900</v>
      </c>
      <c r="AL74" s="268">
        <f>'[80]VENTAS TOTALES'!$H86</f>
        <v>4790800</v>
      </c>
      <c r="AM74" s="267">
        <f>'[81]VENTAS TOTALES'!$F86</f>
        <v>897</v>
      </c>
      <c r="AN74" s="268">
        <f>'[81]VENTAS TOTALES'!$G86</f>
        <v>196200</v>
      </c>
      <c r="AO74" s="268">
        <f>'[81]VENTAS TOTALES'!$H86</f>
        <v>1721100</v>
      </c>
      <c r="AP74" s="267">
        <f>'[82]VENTAS TOTALES'!$F86</f>
        <v>3208</v>
      </c>
      <c r="AQ74" s="268">
        <f>'[82]VENTAS TOTALES'!$G86</f>
        <v>966400</v>
      </c>
      <c r="AR74" s="268">
        <f>'[82]VENTAS TOTALES'!$H86</f>
        <v>6420000</v>
      </c>
      <c r="AS74" s="267">
        <f>'[83]VENTAS TOTALES'!$F86</f>
        <v>3061</v>
      </c>
      <c r="AT74" s="268">
        <f>'[83]VENTAS TOTALES'!$G86</f>
        <v>1630200</v>
      </c>
      <c r="AU74" s="268">
        <f>'[83]VENTAS TOTALES'!$H86</f>
        <v>6833900</v>
      </c>
      <c r="AV74" s="267">
        <f>'[84]VENTAS TOTALES'!$F86</f>
        <v>3495</v>
      </c>
      <c r="AW74" s="268">
        <f>'[84]VENTAS TOTALES'!$G86</f>
        <v>2300900</v>
      </c>
      <c r="AX74" s="268">
        <f>'[84]VENTAS TOTALES'!$H86</f>
        <v>8242400</v>
      </c>
      <c r="AY74" s="267">
        <f>'[85]VENTAS TOTALES'!$F86</f>
        <v>3196</v>
      </c>
      <c r="AZ74" s="268">
        <f>'[85]VENTAS TOTALES'!$G86</f>
        <v>1356900</v>
      </c>
      <c r="BA74" s="268">
        <f>'[85]VENTAS TOTALES'!$H86</f>
        <v>6790100</v>
      </c>
      <c r="BB74" s="267">
        <f>'[86]VENTAS TOTALES'!$F86</f>
        <v>2972</v>
      </c>
      <c r="BC74" s="268">
        <f>'[86]VENTAS TOTALES'!$G86</f>
        <v>1097750</v>
      </c>
      <c r="BD74" s="268">
        <f>'[86]VENTAS TOTALES'!$H86</f>
        <v>6150150</v>
      </c>
      <c r="BE74" s="267">
        <f>'[87]VENTAS TOTALES'!$F86</f>
        <v>2361</v>
      </c>
      <c r="BF74" s="268">
        <f>'[87]VENTAS TOTALES'!$G86</f>
        <v>1001000</v>
      </c>
      <c r="BG74" s="268">
        <f>'[87]VENTAS TOTALES'!$H86</f>
        <v>5014700</v>
      </c>
      <c r="BH74" s="267">
        <f>'[88]VENTAS TOTALES'!$F86</f>
        <v>961</v>
      </c>
      <c r="BI74" s="268">
        <f>'[88]VENTAS TOTALES'!$G86</f>
        <v>206200</v>
      </c>
      <c r="BJ74" s="268">
        <f>'[88]VENTAS TOTALES'!$H86</f>
        <v>1839900</v>
      </c>
      <c r="BK74" s="267">
        <f>'[89]VENTAS TOTALES'!$F86</f>
        <v>3460</v>
      </c>
      <c r="BL74" s="268">
        <f>'[89]VENTAS TOTALES'!$G86</f>
        <v>1134800</v>
      </c>
      <c r="BM74" s="268">
        <f>'[89]VENTAS TOTALES'!$H86</f>
        <v>7016800</v>
      </c>
      <c r="BN74" s="267">
        <f>'[90]VENTAS TOTALES'!$F86</f>
        <v>3215</v>
      </c>
      <c r="BO74" s="268">
        <f>'[90]VENTAS TOTALES'!$G86</f>
        <v>1000500</v>
      </c>
      <c r="BP74" s="268">
        <f>'[90]VENTAS TOTALES'!$H86</f>
        <v>6466000</v>
      </c>
      <c r="BQ74" s="267">
        <f>'[91]VENTAS TOTALES'!$F86</f>
        <v>3052</v>
      </c>
      <c r="BR74" s="268">
        <f>'[91]VENTAS TOTALES'!$G86</f>
        <v>944100</v>
      </c>
      <c r="BS74" s="268">
        <f>'[91]VENTAS TOTALES'!$H86</f>
        <v>6132500</v>
      </c>
      <c r="BT74" s="267">
        <f>'[92]VENTAS TOTALES'!$F86</f>
        <v>2834</v>
      </c>
      <c r="BU74" s="268">
        <f>'[92]VENTAS TOTALES'!$G86</f>
        <v>953400</v>
      </c>
      <c r="BV74" s="268">
        <f>'[92]VENTAS TOTALES'!$H86</f>
        <v>5771200</v>
      </c>
      <c r="BW74" s="267">
        <f>'[93]VENTAS TOTALES'!$F86</f>
        <v>2987</v>
      </c>
      <c r="BX74" s="268">
        <f>'[93]VENTAS TOTALES'!$G86</f>
        <v>700300</v>
      </c>
      <c r="BY74" s="268">
        <f>'[93]VENTAS TOTALES'!$H86</f>
        <v>5778200</v>
      </c>
      <c r="BZ74" s="267">
        <f>'[94]VENTAS TOTALES'!$F86</f>
        <v>2508</v>
      </c>
      <c r="CA74" s="268">
        <f>'[94]VENTAS TOTALES'!$G86</f>
        <v>808100</v>
      </c>
      <c r="CB74" s="268">
        <f>'[94]VENTAS TOTALES'!$H86</f>
        <v>5071700</v>
      </c>
      <c r="CC74" s="267">
        <f>'[95]VENTAS TOTALES'!$F86</f>
        <v>948</v>
      </c>
      <c r="CD74" s="268">
        <f>'[95]VENTAS TOTALES'!$G86</f>
        <v>324000</v>
      </c>
      <c r="CE74" s="268">
        <f>'[95]VENTAS TOTALES'!$H86</f>
        <v>1935600</v>
      </c>
      <c r="CF74" s="267">
        <f>'[96]VENTAS TOTALES'!$F86</f>
        <v>4155</v>
      </c>
      <c r="CG74" s="268">
        <f>'[96]VENTAS TOTALES'!$G86</f>
        <v>1957000</v>
      </c>
      <c r="CH74" s="268">
        <f>'[96]VENTAS TOTALES'!$H86</f>
        <v>9020500</v>
      </c>
      <c r="CI74" s="267">
        <f>'[97]VENTAS TOTALES'!$F86</f>
        <v>4072</v>
      </c>
      <c r="CJ74" s="268">
        <f>'[97]VENTAS TOTALES'!$G86</f>
        <v>2232800</v>
      </c>
      <c r="CK74" s="268">
        <f>'[97]VENTAS TOTALES'!$H86</f>
        <v>9155200</v>
      </c>
      <c r="CL74" s="267">
        <f>'[98]VENTAS TOTALES'!$F86</f>
        <v>3868</v>
      </c>
      <c r="CM74" s="268">
        <f>'[98]VENTAS TOTALES'!$G86</f>
        <v>1449800</v>
      </c>
      <c r="CN74" s="268">
        <f>'[98]VENTAS TOTALES'!$H86</f>
        <v>8025400</v>
      </c>
      <c r="CO74" s="267">
        <f>'[99]VENTAS TOTALES'!$F86</f>
        <v>3189</v>
      </c>
      <c r="CP74" s="268">
        <f>'[99]VENTAS TOTALES'!$G86</f>
        <v>1058800</v>
      </c>
      <c r="CQ74" s="268">
        <f>'[99]VENTAS TOTALES'!$H86</f>
        <v>6480100</v>
      </c>
      <c r="CR74" s="267">
        <f>'[100]VENTAS TOTALES'!$F86</f>
        <v>3156</v>
      </c>
      <c r="CS74" s="268">
        <f>'[100]VENTAS TOTALES'!$G86</f>
        <v>942900</v>
      </c>
      <c r="CT74" s="268">
        <f>'[100]VENTAS TOTALES'!$H86</f>
        <v>6308100</v>
      </c>
      <c r="CU74" s="267">
        <f>'[101]VENTAS TOTALES'!$F86</f>
        <v>2721</v>
      </c>
      <c r="CV74" s="268">
        <f>'[101]VENTAS TOTALES'!$G86</f>
        <v>859900</v>
      </c>
      <c r="CW74" s="268">
        <f>'[101]VENTAS TOTALES'!$H86</f>
        <v>5485600</v>
      </c>
      <c r="CX74" s="267">
        <f>'[102]VENTAS TOTALES'!$F86</f>
        <v>1046</v>
      </c>
      <c r="CY74" s="268">
        <f>'[102]VENTAS TOTALES'!$G86</f>
        <v>257200</v>
      </c>
      <c r="CZ74" s="268">
        <f>'[102]VENTAS TOTALES'!$H86</f>
        <v>2035400</v>
      </c>
    </row>
    <row r="75" spans="1:104" x14ac:dyDescent="0.2">
      <c r="A75" s="443"/>
      <c r="B75" s="45" t="s">
        <v>303</v>
      </c>
      <c r="C75" s="252">
        <f>'[69]VENTAS TOTALES'!$F87</f>
        <v>3456</v>
      </c>
      <c r="D75" s="253">
        <f>'[69]VENTAS TOTALES'!$G87</f>
        <v>1217400</v>
      </c>
      <c r="E75" s="253">
        <f>'[69]VENTAS TOTALES'!$H87</f>
        <v>7092600</v>
      </c>
      <c r="F75" s="252">
        <f>'[70]VENTAS TOTALES'!$F87</f>
        <v>3563</v>
      </c>
      <c r="G75" s="253">
        <f>'[70]VENTAS TOTALES'!$G87</f>
        <v>1263400</v>
      </c>
      <c r="H75" s="253">
        <f>'[70]VENTAS TOTALES'!$H87</f>
        <v>7320500</v>
      </c>
      <c r="I75" s="252">
        <f>'[71]VENTAS TOTALES'!$F87</f>
        <v>2971</v>
      </c>
      <c r="J75" s="253">
        <f>'[71]VENTAS TOTALES'!$G87</f>
        <v>668300</v>
      </c>
      <c r="K75" s="253">
        <f>'[71]VENTAS TOTALES'!$H87</f>
        <v>5719000</v>
      </c>
      <c r="L75" s="252">
        <f>'[72]VENTAS TOTALES'!$F87</f>
        <v>3011</v>
      </c>
      <c r="M75" s="253">
        <f>'[72]VENTAS TOTALES'!$G87</f>
        <v>746600</v>
      </c>
      <c r="N75" s="253">
        <f>'[72]VENTAS TOTALES'!$H87</f>
        <v>5865300</v>
      </c>
      <c r="O75" s="252">
        <f>'[73]VENTAS TOTALES'!$F87</f>
        <v>3120</v>
      </c>
      <c r="P75" s="253">
        <f>'[73]VENTAS TOTALES'!$G87</f>
        <v>859400</v>
      </c>
      <c r="Q75" s="253">
        <f>'[73]VENTAS TOTALES'!$H87</f>
        <v>6163400</v>
      </c>
      <c r="R75" s="252">
        <f>'[74]VENTAS TOTALES'!$F87</f>
        <v>1155</v>
      </c>
      <c r="S75" s="253">
        <f>'[74]VENTAS TOTALES'!$G87</f>
        <v>228600</v>
      </c>
      <c r="T75" s="253">
        <f>'[74]VENTAS TOTALES'!$H87</f>
        <v>2192100</v>
      </c>
      <c r="U75" s="252">
        <f>'[75]VENTAS TOTALES'!$F87</f>
        <v>3096</v>
      </c>
      <c r="V75" s="253">
        <f>'[75]VENTAS TOTALES'!$G87</f>
        <v>762300</v>
      </c>
      <c r="W75" s="253">
        <f>'[75]VENTAS TOTALES'!$H87</f>
        <v>6025500</v>
      </c>
      <c r="X75" s="252">
        <f>'[76]VENTAS TOTALES'!$F87</f>
        <v>2875</v>
      </c>
      <c r="Y75" s="253">
        <f>'[76]VENTAS TOTALES'!$G87</f>
        <v>750700</v>
      </c>
      <c r="Z75" s="253">
        <f>'[76]VENTAS TOTALES'!$H87</f>
        <v>5638200</v>
      </c>
      <c r="AA75" s="252">
        <f>'[77]VENTAS TOTALES'!$F87</f>
        <v>2926</v>
      </c>
      <c r="AB75" s="253">
        <f>'[77]VENTAS TOTALES'!$G87</f>
        <v>494700</v>
      </c>
      <c r="AC75" s="253">
        <f>'[77]VENTAS TOTALES'!$H87</f>
        <v>5468900</v>
      </c>
      <c r="AD75" s="252">
        <f>'[78]VENTAS TOTALES'!$F87</f>
        <v>2710</v>
      </c>
      <c r="AE75" s="253">
        <f>'[78]VENTAS TOTALES'!$G87</f>
        <v>668850</v>
      </c>
      <c r="AF75" s="253">
        <f>'[78]VENTAS TOTALES'!$H87</f>
        <v>5275850</v>
      </c>
      <c r="AG75" s="252">
        <f>'[79]VENTAS TOTALES'!$F87</f>
        <v>2797</v>
      </c>
      <c r="AH75" s="253">
        <f>'[79]VENTAS TOTALES'!$G87</f>
        <v>768600</v>
      </c>
      <c r="AI75" s="253">
        <f>'[79]VENTAS TOTALES'!$H87</f>
        <v>5523500</v>
      </c>
      <c r="AJ75" s="252">
        <f>'[80]VENTAS TOTALES'!$F87</f>
        <v>2897</v>
      </c>
      <c r="AK75" s="253">
        <f>'[80]VENTAS TOTALES'!$G87</f>
        <v>588700</v>
      </c>
      <c r="AL75" s="253">
        <f>'[80]VENTAS TOTALES'!$H87</f>
        <v>5513600</v>
      </c>
      <c r="AM75" s="252">
        <f>'[81]VENTAS TOTALES'!$F87</f>
        <v>1149</v>
      </c>
      <c r="AN75" s="253">
        <f>'[81]VENTAS TOTALES'!$G87</f>
        <v>206500</v>
      </c>
      <c r="AO75" s="253">
        <f>'[81]VENTAS TOTALES'!$H87</f>
        <v>2159800</v>
      </c>
      <c r="AP75" s="252">
        <f>'[82]VENTAS TOTALES'!$F87</f>
        <v>3017</v>
      </c>
      <c r="AQ75" s="253">
        <f>'[82]VENTAS TOTALES'!$G87</f>
        <v>893700</v>
      </c>
      <c r="AR75" s="253">
        <f>'[82]VENTAS TOTALES'!$H87</f>
        <v>6022600</v>
      </c>
      <c r="AS75" s="252">
        <f>'[83]VENTAS TOTALES'!$F87</f>
        <v>2592</v>
      </c>
      <c r="AT75" s="253">
        <f>'[83]VENTAS TOTALES'!$G87</f>
        <v>982800</v>
      </c>
      <c r="AU75" s="253">
        <f>'[83]VENTAS TOTALES'!$H87</f>
        <v>5389200</v>
      </c>
      <c r="AV75" s="252">
        <f>'[84]VENTAS TOTALES'!$F87</f>
        <v>2847</v>
      </c>
      <c r="AW75" s="253">
        <f>'[84]VENTAS TOTALES'!$G87</f>
        <v>987300</v>
      </c>
      <c r="AX75" s="253">
        <f>'[84]VENTAS TOTALES'!$H87</f>
        <v>5827200</v>
      </c>
      <c r="AY75" s="252">
        <f>'[85]VENTAS TOTALES'!$F87</f>
        <v>2922</v>
      </c>
      <c r="AZ75" s="253">
        <f>'[85]VENTAS TOTALES'!$G87</f>
        <v>952900</v>
      </c>
      <c r="BA75" s="253">
        <f>'[85]VENTAS TOTALES'!$H87</f>
        <v>5920300</v>
      </c>
      <c r="BB75" s="252">
        <f>'[86]VENTAS TOTALES'!$F87</f>
        <v>3132</v>
      </c>
      <c r="BC75" s="253">
        <f>'[86]VENTAS TOTALES'!$G87</f>
        <v>570400</v>
      </c>
      <c r="BD75" s="253">
        <f>'[86]VENTAS TOTALES'!$H87</f>
        <v>5894800</v>
      </c>
      <c r="BE75" s="252">
        <f>'[87]VENTAS TOTALES'!$F87</f>
        <v>3014</v>
      </c>
      <c r="BF75" s="253">
        <f>'[87]VENTAS TOTALES'!$G87</f>
        <v>690100</v>
      </c>
      <c r="BG75" s="253">
        <f>'[87]VENTAS TOTALES'!$H87</f>
        <v>5813900</v>
      </c>
      <c r="BH75" s="252">
        <f>'[88]VENTAS TOTALES'!$F87</f>
        <v>1084</v>
      </c>
      <c r="BI75" s="253">
        <f>'[88]VENTAS TOTALES'!$G87</f>
        <v>182300</v>
      </c>
      <c r="BJ75" s="253">
        <f>'[88]VENTAS TOTALES'!$H87</f>
        <v>2025100</v>
      </c>
      <c r="BK75" s="252">
        <f>'[89]VENTAS TOTALES'!$F87</f>
        <v>3068</v>
      </c>
      <c r="BL75" s="253">
        <f>'[89]VENTAS TOTALES'!$G87</f>
        <v>668950</v>
      </c>
      <c r="BM75" s="253">
        <f>'[89]VENTAS TOTALES'!$H87</f>
        <v>5884550</v>
      </c>
      <c r="BN75" s="252">
        <f>'[90]VENTAS TOTALES'!$F87</f>
        <v>2957</v>
      </c>
      <c r="BO75" s="253">
        <f>'[90]VENTAS TOTALES'!$G87</f>
        <v>637850</v>
      </c>
      <c r="BP75" s="253">
        <f>'[90]VENTAS TOTALES'!$H87</f>
        <v>5664750</v>
      </c>
      <c r="BQ75" s="252">
        <f>'[91]VENTAS TOTALES'!$F87</f>
        <v>2866</v>
      </c>
      <c r="BR75" s="253">
        <f>'[91]VENTAS TOTALES'!$G87</f>
        <v>653300</v>
      </c>
      <c r="BS75" s="253">
        <f>'[91]VENTAS TOTALES'!$H87</f>
        <v>5525500</v>
      </c>
      <c r="BT75" s="252">
        <f>'[92]VENTAS TOTALES'!$F87</f>
        <v>2679</v>
      </c>
      <c r="BU75" s="253">
        <f>'[92]VENTAS TOTALES'!$G87</f>
        <v>658400</v>
      </c>
      <c r="BV75" s="253">
        <f>'[92]VENTAS TOTALES'!$H87</f>
        <v>5212700</v>
      </c>
      <c r="BW75" s="252">
        <f>'[93]VENTAS TOTALES'!$F87</f>
        <v>2740</v>
      </c>
      <c r="BX75" s="253">
        <f>'[93]VENTAS TOTALES'!$G87</f>
        <v>742000</v>
      </c>
      <c r="BY75" s="253">
        <f>'[93]VENTAS TOTALES'!$H87</f>
        <v>5400000</v>
      </c>
      <c r="BZ75" s="252">
        <f>'[94]VENTAS TOTALES'!$F87</f>
        <v>2952</v>
      </c>
      <c r="CA75" s="253">
        <f>'[94]VENTAS TOTALES'!$G87</f>
        <v>632250</v>
      </c>
      <c r="CB75" s="253">
        <f>'[94]VENTAS TOTALES'!$H87</f>
        <v>5650650</v>
      </c>
      <c r="CC75" s="252">
        <f>'[95]VENTAS TOTALES'!$F87</f>
        <v>1175</v>
      </c>
      <c r="CD75" s="253">
        <f>'[95]VENTAS TOTALES'!$G87</f>
        <v>197000</v>
      </c>
      <c r="CE75" s="253">
        <f>'[95]VENTAS TOTALES'!$H87</f>
        <v>2194500</v>
      </c>
      <c r="CF75" s="252">
        <f>'[96]VENTAS TOTALES'!$F87</f>
        <v>3207</v>
      </c>
      <c r="CG75" s="253">
        <f>'[96]VENTAS TOTALES'!$G87</f>
        <v>1156400</v>
      </c>
      <c r="CH75" s="253">
        <f>'[96]VENTAS TOTALES'!$H87</f>
        <v>6608300</v>
      </c>
      <c r="CI75" s="252">
        <f>'[97]VENTAS TOTALES'!$F87</f>
        <v>3264</v>
      </c>
      <c r="CJ75" s="253">
        <f>'[97]VENTAS TOTALES'!$G87</f>
        <v>1384700</v>
      </c>
      <c r="CK75" s="253">
        <f>'[97]VENTAS TOTALES'!$H87</f>
        <v>6933500</v>
      </c>
      <c r="CL75" s="252">
        <f>'[98]VENTAS TOTALES'!$F87</f>
        <v>3265</v>
      </c>
      <c r="CM75" s="253">
        <f>'[98]VENTAS TOTALES'!$G87</f>
        <v>963400</v>
      </c>
      <c r="CN75" s="253">
        <f>'[98]VENTAS TOTALES'!$H87</f>
        <v>6513900</v>
      </c>
      <c r="CO75" s="252">
        <f>'[99]VENTAS TOTALES'!$F87</f>
        <v>3151</v>
      </c>
      <c r="CP75" s="253">
        <f>'[99]VENTAS TOTALES'!$G87</f>
        <v>875500</v>
      </c>
      <c r="CQ75" s="253">
        <f>'[99]VENTAS TOTALES'!$H87</f>
        <v>6232200</v>
      </c>
      <c r="CR75" s="252">
        <f>'[100]VENTAS TOTALES'!$F87</f>
        <v>3170</v>
      </c>
      <c r="CS75" s="253">
        <f>'[100]VENTAS TOTALES'!$G87</f>
        <v>700900</v>
      </c>
      <c r="CT75" s="253">
        <f>'[100]VENTAS TOTALES'!$H87</f>
        <v>6089900</v>
      </c>
      <c r="CU75" s="252">
        <f>'[101]VENTAS TOTALES'!$F87</f>
        <v>3239</v>
      </c>
      <c r="CV75" s="253">
        <f>'[101]VENTAS TOTALES'!$G87</f>
        <v>717300</v>
      </c>
      <c r="CW75" s="253">
        <f>'[101]VENTAS TOTALES'!$H87</f>
        <v>6223600</v>
      </c>
      <c r="CX75" s="252">
        <f>'[102]VENTAS TOTALES'!$F87</f>
        <v>1347</v>
      </c>
      <c r="CY75" s="253">
        <f>'[102]VENTAS TOTALES'!$G87</f>
        <v>150000</v>
      </c>
      <c r="CZ75" s="253">
        <f>'[102]VENTAS TOTALES'!$H87</f>
        <v>2439900</v>
      </c>
    </row>
    <row r="76" spans="1:104" x14ac:dyDescent="0.2">
      <c r="A76" s="443"/>
      <c r="B76" s="45" t="s">
        <v>154</v>
      </c>
      <c r="C76" s="252">
        <f>'[69]VENTAS TOTALES'!$F88</f>
        <v>5661</v>
      </c>
      <c r="D76" s="253">
        <f>'[69]VENTAS TOTALES'!$G88</f>
        <v>2540000</v>
      </c>
      <c r="E76" s="253">
        <f>'[69]VENTAS TOTALES'!$H88</f>
        <v>12163700</v>
      </c>
      <c r="F76" s="252">
        <f>'[70]VENTAS TOTALES'!$F88</f>
        <v>5262</v>
      </c>
      <c r="G76" s="253">
        <f>'[70]VENTAS TOTALES'!$G88</f>
        <v>2268300</v>
      </c>
      <c r="H76" s="253">
        <f>'[70]VENTAS TOTALES'!$H88</f>
        <v>11213700</v>
      </c>
      <c r="I76" s="252">
        <f>'[71]VENTAS TOTALES'!$F88</f>
        <v>4955</v>
      </c>
      <c r="J76" s="253">
        <f>'[71]VENTAS TOTALES'!$G88</f>
        <v>1362500</v>
      </c>
      <c r="K76" s="253">
        <f>'[71]VENTAS TOTALES'!$H88</f>
        <v>9786000</v>
      </c>
      <c r="L76" s="252">
        <f>'[72]VENTAS TOTALES'!$F88</f>
        <v>4494</v>
      </c>
      <c r="M76" s="253">
        <f>'[72]VENTAS TOTALES'!$G88</f>
        <v>1316400</v>
      </c>
      <c r="N76" s="253">
        <f>'[72]VENTAS TOTALES'!$H88</f>
        <v>8956200</v>
      </c>
      <c r="O76" s="252">
        <f>'[73]VENTAS TOTALES'!$F88</f>
        <v>3074</v>
      </c>
      <c r="P76" s="253">
        <f>'[73]VENTAS TOTALES'!$G88</f>
        <v>956900</v>
      </c>
      <c r="Q76" s="253">
        <f>'[73]VENTAS TOTALES'!$H88</f>
        <v>6182700</v>
      </c>
      <c r="R76" s="252">
        <f>'[74]VENTAS TOTALES'!$F88</f>
        <v>630</v>
      </c>
      <c r="S76" s="253">
        <f>'[74]VENTAS TOTALES'!$G88</f>
        <v>120100</v>
      </c>
      <c r="T76" s="253">
        <f>'[74]VENTAS TOTALES'!$H88</f>
        <v>1191100</v>
      </c>
      <c r="U76" s="252">
        <f>'[75]VENTAS TOTALES'!$F88</f>
        <v>4953</v>
      </c>
      <c r="V76" s="253">
        <f>'[75]VENTAS TOTALES'!$G88</f>
        <v>1788800</v>
      </c>
      <c r="W76" s="253">
        <f>'[75]VENTAS TOTALES'!$H88</f>
        <v>10208900</v>
      </c>
      <c r="X76" s="252">
        <f>'[76]VENTAS TOTALES'!$F88</f>
        <v>4701</v>
      </c>
      <c r="Y76" s="253">
        <f>'[76]VENTAS TOTALES'!$G88</f>
        <v>1308100</v>
      </c>
      <c r="Z76" s="253">
        <f>'[76]VENTAS TOTALES'!$H88</f>
        <v>9299800</v>
      </c>
      <c r="AA76" s="252">
        <f>'[77]VENTAS TOTALES'!$F88</f>
        <v>4613</v>
      </c>
      <c r="AB76" s="253">
        <f>'[77]VENTAS TOTALES'!$G88</f>
        <v>1171100</v>
      </c>
      <c r="AC76" s="253">
        <f>'[77]VENTAS TOTALES'!$H88</f>
        <v>9013200</v>
      </c>
      <c r="AD76" s="252">
        <f>'[78]VENTAS TOTALES'!$F88</f>
        <v>4512</v>
      </c>
      <c r="AE76" s="253">
        <f>'[78]VENTAS TOTALES'!$G88</f>
        <v>1307300</v>
      </c>
      <c r="AF76" s="253">
        <f>'[78]VENTAS TOTALES'!$H88</f>
        <v>8977700</v>
      </c>
      <c r="AG76" s="252">
        <f>'[79]VENTAS TOTALES'!$F88</f>
        <v>4326</v>
      </c>
      <c r="AH76" s="253">
        <f>'[79]VENTAS TOTALES'!$G88</f>
        <v>1017700</v>
      </c>
      <c r="AI76" s="253">
        <f>'[79]VENTAS TOTALES'!$H88</f>
        <v>8371900</v>
      </c>
      <c r="AJ76" s="252">
        <f>'[80]VENTAS TOTALES'!$F88</f>
        <v>3084</v>
      </c>
      <c r="AK76" s="253">
        <f>'[80]VENTAS TOTALES'!$G88</f>
        <v>849200</v>
      </c>
      <c r="AL76" s="253">
        <f>'[80]VENTAS TOTALES'!$H88</f>
        <v>6092000</v>
      </c>
      <c r="AM76" s="252">
        <f>'[81]VENTAS TOTALES'!$F88</f>
        <v>613</v>
      </c>
      <c r="AN76" s="253">
        <f>'[81]VENTAS TOTALES'!$G88</f>
        <v>178900</v>
      </c>
      <c r="AO76" s="253">
        <f>'[81]VENTAS TOTALES'!$H88</f>
        <v>1221000</v>
      </c>
      <c r="AP76" s="252">
        <f>'[82]VENTAS TOTALES'!$F88</f>
        <v>5085</v>
      </c>
      <c r="AQ76" s="253">
        <f>'[82]VENTAS TOTALES'!$G88</f>
        <v>1588600</v>
      </c>
      <c r="AR76" s="253">
        <f>'[82]VENTAS TOTALES'!$H88</f>
        <v>10233100</v>
      </c>
      <c r="AS76" s="252">
        <f>'[83]VENTAS TOTALES'!$F88</f>
        <v>4910</v>
      </c>
      <c r="AT76" s="253">
        <f>'[83]VENTAS TOTALES'!$G88</f>
        <v>2593600</v>
      </c>
      <c r="AU76" s="253">
        <f>'[83]VENTAS TOTALES'!$H88</f>
        <v>10940600</v>
      </c>
      <c r="AV76" s="252">
        <f>'[84]VENTAS TOTALES'!$F88</f>
        <v>5187</v>
      </c>
      <c r="AW76" s="253">
        <f>'[84]VENTAS TOTALES'!$G88</f>
        <v>2558200</v>
      </c>
      <c r="AX76" s="253">
        <f>'[84]VENTAS TOTALES'!$H88</f>
        <v>11376100</v>
      </c>
      <c r="AY76" s="252">
        <f>'[85]VENTAS TOTALES'!$F88</f>
        <v>4969</v>
      </c>
      <c r="AZ76" s="253">
        <f>'[85]VENTAS TOTALES'!$G88</f>
        <v>1628650</v>
      </c>
      <c r="BA76" s="253">
        <f>'[85]VENTAS TOTALES'!$H88</f>
        <v>10075950</v>
      </c>
      <c r="BB76" s="252">
        <f>'[86]VENTAS TOTALES'!$F88</f>
        <v>4590</v>
      </c>
      <c r="BC76" s="253">
        <f>'[86]VENTAS TOTALES'!$G88</f>
        <v>1710000</v>
      </c>
      <c r="BD76" s="253">
        <f>'[86]VENTAS TOTALES'!$H88</f>
        <v>9513000</v>
      </c>
      <c r="BE76" s="252">
        <f>'[87]VENTAS TOTALES'!$F88</f>
        <v>3023</v>
      </c>
      <c r="BF76" s="253">
        <f>'[87]VENTAS TOTALES'!$G88</f>
        <v>857900</v>
      </c>
      <c r="BG76" s="253">
        <f>'[87]VENTAS TOTALES'!$H88</f>
        <v>5997000</v>
      </c>
      <c r="BH76" s="252">
        <f>'[88]VENTAS TOTALES'!$F88</f>
        <v>582</v>
      </c>
      <c r="BI76" s="253">
        <f>'[88]VENTAS TOTALES'!$G88</f>
        <v>136900</v>
      </c>
      <c r="BJ76" s="253">
        <f>'[88]VENTAS TOTALES'!$H88</f>
        <v>1126300</v>
      </c>
      <c r="BK76" s="252">
        <f>'[89]VENTAS TOTALES'!$F88</f>
        <v>4938</v>
      </c>
      <c r="BL76" s="253">
        <f>'[89]VENTAS TOTALES'!$G88</f>
        <v>1458900</v>
      </c>
      <c r="BM76" s="253">
        <f>'[89]VENTAS TOTALES'!$H88</f>
        <v>9853500</v>
      </c>
      <c r="BN76" s="252">
        <f>'[90]VENTAS TOTALES'!$F88</f>
        <v>4483</v>
      </c>
      <c r="BO76" s="253">
        <f>'[90]VENTAS TOTALES'!$G88</f>
        <v>1286800</v>
      </c>
      <c r="BP76" s="253">
        <f>'[90]VENTAS TOTALES'!$H88</f>
        <v>8907900</v>
      </c>
      <c r="BQ76" s="252">
        <f>'[91]VENTAS TOTALES'!$F88</f>
        <v>4735</v>
      </c>
      <c r="BR76" s="253">
        <f>'[91]VENTAS TOTALES'!$G88</f>
        <v>1140300</v>
      </c>
      <c r="BS76" s="253">
        <f>'[91]VENTAS TOTALES'!$H88</f>
        <v>9189800</v>
      </c>
      <c r="BT76" s="252">
        <f>'[92]VENTAS TOTALES'!$F88</f>
        <v>4514</v>
      </c>
      <c r="BU76" s="253">
        <f>'[92]VENTAS TOTALES'!$G88</f>
        <v>1459250</v>
      </c>
      <c r="BV76" s="253">
        <f>'[92]VENTAS TOTALES'!$H88</f>
        <v>9133050</v>
      </c>
      <c r="BW76" s="252">
        <f>'[93]VENTAS TOTALES'!$F88</f>
        <v>4600</v>
      </c>
      <c r="BX76" s="253">
        <f>'[93]VENTAS TOTALES'!$G88</f>
        <v>1299200</v>
      </c>
      <c r="BY76" s="253">
        <f>'[93]VENTAS TOTALES'!$H88</f>
        <v>9119200</v>
      </c>
      <c r="BZ76" s="252">
        <f>'[94]VENTAS TOTALES'!$F88</f>
        <v>3150</v>
      </c>
      <c r="CA76" s="253">
        <f>'[94]VENTAS TOTALES'!$G88</f>
        <v>934600</v>
      </c>
      <c r="CB76" s="253">
        <f>'[94]VENTAS TOTALES'!$H88</f>
        <v>6289600</v>
      </c>
      <c r="CC76" s="252">
        <f>'[95]VENTAS TOTALES'!$F88</f>
        <v>602</v>
      </c>
      <c r="CD76" s="253">
        <f>'[95]VENTAS TOTALES'!$G88</f>
        <v>136900</v>
      </c>
      <c r="CE76" s="253">
        <f>'[95]VENTAS TOTALES'!$H88</f>
        <v>1160300</v>
      </c>
      <c r="CF76" s="252">
        <f>'[96]VENTAS TOTALES'!$F88</f>
        <v>5778</v>
      </c>
      <c r="CG76" s="253">
        <f>'[96]VENTAS TOTALES'!$G88</f>
        <v>2841900</v>
      </c>
      <c r="CH76" s="253">
        <f>'[96]VENTAS TOTALES'!$H88</f>
        <v>12664500</v>
      </c>
      <c r="CI76" s="252">
        <f>'[97]VENTAS TOTALES'!$F88</f>
        <v>5808</v>
      </c>
      <c r="CJ76" s="253">
        <f>'[97]VENTAS TOTALES'!$G88</f>
        <v>2856300</v>
      </c>
      <c r="CK76" s="253">
        <f>'[97]VENTAS TOTALES'!$H88</f>
        <v>12729900</v>
      </c>
      <c r="CL76" s="252">
        <f>'[98]VENTAS TOTALES'!$F88</f>
        <v>5394</v>
      </c>
      <c r="CM76" s="253">
        <f>'[98]VENTAS TOTALES'!$G88</f>
        <v>2174100</v>
      </c>
      <c r="CN76" s="253">
        <f>'[98]VENTAS TOTALES'!$H88</f>
        <v>11343900</v>
      </c>
      <c r="CO76" s="252">
        <f>'[99]VENTAS TOTALES'!$F88</f>
        <v>4821</v>
      </c>
      <c r="CP76" s="253">
        <f>'[99]VENTAS TOTALES'!$G88</f>
        <v>1736050</v>
      </c>
      <c r="CQ76" s="253">
        <f>'[99]VENTAS TOTALES'!$H88</f>
        <v>9931750</v>
      </c>
      <c r="CR76" s="252">
        <f>'[100]VENTAS TOTALES'!$F88</f>
        <v>4792</v>
      </c>
      <c r="CS76" s="253">
        <f>'[100]VENTAS TOTALES'!$G88</f>
        <v>1433000</v>
      </c>
      <c r="CT76" s="253">
        <f>'[100]VENTAS TOTALES'!$H88</f>
        <v>9579400</v>
      </c>
      <c r="CU76" s="252">
        <f>'[101]VENTAS TOTALES'!$F88</f>
        <v>3398</v>
      </c>
      <c r="CV76" s="253">
        <f>'[101]VENTAS TOTALES'!$G88</f>
        <v>814500</v>
      </c>
      <c r="CW76" s="253">
        <f>'[101]VENTAS TOTALES'!$H88</f>
        <v>6591100</v>
      </c>
      <c r="CX76" s="252">
        <f>'[102]VENTAS TOTALES'!$F88</f>
        <v>636</v>
      </c>
      <c r="CY76" s="253">
        <f>'[102]VENTAS TOTALES'!$G88</f>
        <v>101600</v>
      </c>
      <c r="CZ76" s="253">
        <f>'[102]VENTAS TOTALES'!$H88</f>
        <v>1182800</v>
      </c>
    </row>
    <row r="77" spans="1:104" ht="12.75" customHeight="1" x14ac:dyDescent="0.2">
      <c r="A77" s="443"/>
      <c r="B77" s="45" t="s">
        <v>146</v>
      </c>
      <c r="C77" s="252">
        <f>'[69]VENTAS TOTALES'!$F89</f>
        <v>2062</v>
      </c>
      <c r="D77" s="253">
        <f>'[69]VENTAS TOTALES'!$G89</f>
        <v>1738400</v>
      </c>
      <c r="E77" s="253">
        <f>'[69]VENTAS TOTALES'!$H89</f>
        <v>5243800</v>
      </c>
      <c r="F77" s="252">
        <f>'[70]VENTAS TOTALES'!$F89</f>
        <v>2115</v>
      </c>
      <c r="G77" s="253">
        <f>'[70]VENTAS TOTALES'!$G89</f>
        <v>1206700</v>
      </c>
      <c r="H77" s="253">
        <f>'[70]VENTAS TOTALES'!$H89</f>
        <v>4802200</v>
      </c>
      <c r="I77" s="252">
        <f>'[71]VENTAS TOTALES'!$F89</f>
        <v>1596</v>
      </c>
      <c r="J77" s="253">
        <f>'[71]VENTAS TOTALES'!$G89</f>
        <v>1017800</v>
      </c>
      <c r="K77" s="253">
        <f>'[71]VENTAS TOTALES'!$H89</f>
        <v>3731000</v>
      </c>
      <c r="L77" s="252">
        <f>'[72]VENTAS TOTALES'!$F89</f>
        <v>2015</v>
      </c>
      <c r="M77" s="253">
        <f>'[72]VENTAS TOTALES'!$G89</f>
        <v>953500</v>
      </c>
      <c r="N77" s="253">
        <f>'[72]VENTAS TOTALES'!$H89</f>
        <v>4379000</v>
      </c>
      <c r="O77" s="252">
        <f>'[73]VENTAS TOTALES'!$F89</f>
        <v>672</v>
      </c>
      <c r="P77" s="253">
        <f>'[73]VENTAS TOTALES'!$G89</f>
        <v>336900</v>
      </c>
      <c r="Q77" s="253">
        <f>'[73]VENTAS TOTALES'!$H89</f>
        <v>1479300</v>
      </c>
      <c r="R77" s="252">
        <f>'[74]VENTAS TOTALES'!$F89</f>
        <v>138</v>
      </c>
      <c r="S77" s="253">
        <f>'[74]VENTAS TOTALES'!$G89</f>
        <v>21000</v>
      </c>
      <c r="T77" s="253">
        <f>'[74]VENTAS TOTALES'!$H89</f>
        <v>255600</v>
      </c>
      <c r="U77" s="252">
        <f>'[75]VENTAS TOTALES'!$F89</f>
        <v>1825</v>
      </c>
      <c r="V77" s="253">
        <f>'[75]VENTAS TOTALES'!$G89</f>
        <v>1164800</v>
      </c>
      <c r="W77" s="253">
        <f>'[75]VENTAS TOTALES'!$H89</f>
        <v>4267300</v>
      </c>
      <c r="X77" s="252">
        <f>'[76]VENTAS TOTALES'!$F89</f>
        <v>1519</v>
      </c>
      <c r="Y77" s="253">
        <f>'[76]VENTAS TOTALES'!$G89</f>
        <v>701100</v>
      </c>
      <c r="Z77" s="253">
        <f>'[76]VENTAS TOTALES'!$H89</f>
        <v>3283400</v>
      </c>
      <c r="AA77" s="252">
        <f>'[77]VENTAS TOTALES'!$F89</f>
        <v>1752</v>
      </c>
      <c r="AB77" s="253">
        <f>'[77]VENTAS TOTALES'!$G89</f>
        <v>611200</v>
      </c>
      <c r="AC77" s="253">
        <f>'[77]VENTAS TOTALES'!$H89</f>
        <v>3589600</v>
      </c>
      <c r="AD77" s="252">
        <f>'[78]VENTAS TOTALES'!$F89</f>
        <v>1686</v>
      </c>
      <c r="AE77" s="253">
        <f>'[78]VENTAS TOTALES'!$G89</f>
        <v>674700</v>
      </c>
      <c r="AF77" s="253">
        <f>'[78]VENTAS TOTALES'!$H89</f>
        <v>3540900</v>
      </c>
      <c r="AG77" s="252">
        <f>'[79]VENTAS TOTALES'!$F89</f>
        <v>1523</v>
      </c>
      <c r="AH77" s="253">
        <f>'[79]VENTAS TOTALES'!$G89</f>
        <v>577800</v>
      </c>
      <c r="AI77" s="253">
        <f>'[79]VENTAS TOTALES'!$H89</f>
        <v>3166900</v>
      </c>
      <c r="AJ77" s="252">
        <f>'[80]VENTAS TOTALES'!$F89</f>
        <v>714</v>
      </c>
      <c r="AK77" s="253">
        <f>'[80]VENTAS TOTALES'!$G89</f>
        <v>238100</v>
      </c>
      <c r="AL77" s="253">
        <f>'[80]VENTAS TOTALES'!$H89</f>
        <v>1451900</v>
      </c>
      <c r="AM77" s="252">
        <f>'[81]VENTAS TOTALES'!$F89</f>
        <v>122</v>
      </c>
      <c r="AN77" s="253">
        <f>'[81]VENTAS TOTALES'!$G89</f>
        <v>39600</v>
      </c>
      <c r="AO77" s="253">
        <f>'[81]VENTAS TOTALES'!$H89</f>
        <v>247000</v>
      </c>
      <c r="AP77" s="252">
        <f>'[82]VENTAS TOTALES'!$F89</f>
        <v>1686</v>
      </c>
      <c r="AQ77" s="253">
        <f>'[82]VENTAS TOTALES'!$G89</f>
        <v>864000</v>
      </c>
      <c r="AR77" s="253">
        <f>'[82]VENTAS TOTALES'!$H89</f>
        <v>3730200</v>
      </c>
      <c r="AS77" s="252">
        <f>'[83]VENTAS TOTALES'!$F89</f>
        <v>1726</v>
      </c>
      <c r="AT77" s="253">
        <f>'[83]VENTAS TOTALES'!$G89</f>
        <v>1195200</v>
      </c>
      <c r="AU77" s="253">
        <f>'[83]VENTAS TOTALES'!$H89</f>
        <v>4129400</v>
      </c>
      <c r="AV77" s="252">
        <f>'[84]VENTAS TOTALES'!$F89</f>
        <v>1840</v>
      </c>
      <c r="AW77" s="253">
        <f>'[84]VENTAS TOTALES'!$G89</f>
        <v>1223600</v>
      </c>
      <c r="AX77" s="253">
        <f>'[84]VENTAS TOTALES'!$H89</f>
        <v>4351600</v>
      </c>
      <c r="AY77" s="252">
        <f>'[85]VENTAS TOTALES'!$F89</f>
        <v>1696</v>
      </c>
      <c r="AZ77" s="253">
        <f>'[85]VENTAS TOTALES'!$G89</f>
        <v>1432300</v>
      </c>
      <c r="BA77" s="253">
        <f>'[85]VENTAS TOTALES'!$H89</f>
        <v>4315500</v>
      </c>
      <c r="BB77" s="252">
        <f>'[86]VENTAS TOTALES'!$F89</f>
        <v>1413</v>
      </c>
      <c r="BC77" s="253">
        <f>'[86]VENTAS TOTALES'!$G89</f>
        <v>982650</v>
      </c>
      <c r="BD77" s="253">
        <f>'[86]VENTAS TOTALES'!$H89</f>
        <v>3384750</v>
      </c>
      <c r="BE77" s="252">
        <f>'[87]VENTAS TOTALES'!$F89</f>
        <v>727</v>
      </c>
      <c r="BF77" s="253">
        <f>'[87]VENTAS TOTALES'!$G89</f>
        <v>323200</v>
      </c>
      <c r="BG77" s="253">
        <f>'[87]VENTAS TOTALES'!$H89</f>
        <v>1559100</v>
      </c>
      <c r="BH77" s="252">
        <f>'[88]VENTAS TOTALES'!$F89</f>
        <v>117</v>
      </c>
      <c r="BI77" s="253">
        <f>'[88]VENTAS TOTALES'!$G89</f>
        <v>53600</v>
      </c>
      <c r="BJ77" s="253">
        <f>'[88]VENTAS TOTALES'!$H89</f>
        <v>252500</v>
      </c>
      <c r="BK77" s="252">
        <f>'[89]VENTAS TOTALES'!$F89</f>
        <v>1830</v>
      </c>
      <c r="BL77" s="253">
        <f>'[89]VENTAS TOTALES'!$G89</f>
        <v>1048000</v>
      </c>
      <c r="BM77" s="253">
        <f>'[89]VENTAS TOTALES'!$H89</f>
        <v>4159000</v>
      </c>
      <c r="BN77" s="252">
        <f>'[90]VENTAS TOTALES'!$F89</f>
        <v>1527</v>
      </c>
      <c r="BO77" s="253">
        <f>'[90]VENTAS TOTALES'!$G89</f>
        <v>740600</v>
      </c>
      <c r="BP77" s="253">
        <f>'[90]VENTAS TOTALES'!$H89</f>
        <v>3336500</v>
      </c>
      <c r="BQ77" s="252">
        <f>'[91]VENTAS TOTALES'!$F89</f>
        <v>1653</v>
      </c>
      <c r="BR77" s="253">
        <f>'[91]VENTAS TOTALES'!$G89</f>
        <v>595700</v>
      </c>
      <c r="BS77" s="253">
        <f>'[91]VENTAS TOTALES'!$H89</f>
        <v>3405800</v>
      </c>
      <c r="BT77" s="252">
        <f>'[92]VENTAS TOTALES'!$F89</f>
        <v>1480</v>
      </c>
      <c r="BU77" s="253">
        <f>'[92]VENTAS TOTALES'!$G89</f>
        <v>764700</v>
      </c>
      <c r="BV77" s="253">
        <f>'[92]VENTAS TOTALES'!$H89</f>
        <v>3280700</v>
      </c>
      <c r="BW77" s="252">
        <f>'[93]VENTAS TOTALES'!$F89</f>
        <v>1632</v>
      </c>
      <c r="BX77" s="253">
        <f>'[93]VENTAS TOTALES'!$G89</f>
        <v>770200</v>
      </c>
      <c r="BY77" s="253">
        <f>'[93]VENTAS TOTALES'!$H89</f>
        <v>3544600</v>
      </c>
      <c r="BZ77" s="252">
        <f>'[94]VENTAS TOTALES'!$F89</f>
        <v>743</v>
      </c>
      <c r="CA77" s="253">
        <f>'[94]VENTAS TOTALES'!$G89</f>
        <v>337500</v>
      </c>
      <c r="CB77" s="253">
        <f>'[94]VENTAS TOTALES'!$H89</f>
        <v>1600600</v>
      </c>
      <c r="CC77" s="252">
        <f>'[95]VENTAS TOTALES'!$F89</f>
        <v>112</v>
      </c>
      <c r="CD77" s="253">
        <f>'[95]VENTAS TOTALES'!$G89</f>
        <v>96000</v>
      </c>
      <c r="CE77" s="253">
        <f>'[95]VENTAS TOTALES'!$H89</f>
        <v>286400</v>
      </c>
      <c r="CF77" s="252">
        <f>'[96]VENTAS TOTALES'!$F89</f>
        <v>1975</v>
      </c>
      <c r="CG77" s="253">
        <f>'[96]VENTAS TOTALES'!$G89</f>
        <v>1927000</v>
      </c>
      <c r="CH77" s="253">
        <f>'[96]VENTAS TOTALES'!$H89</f>
        <v>5284500</v>
      </c>
      <c r="CI77" s="252">
        <f>'[97]VENTAS TOTALES'!$F89</f>
        <v>2106</v>
      </c>
      <c r="CJ77" s="253">
        <f>'[97]VENTAS TOTALES'!$G89</f>
        <v>1636800</v>
      </c>
      <c r="CK77" s="253">
        <f>'[97]VENTAS TOTALES'!$H89</f>
        <v>5217000</v>
      </c>
      <c r="CL77" s="252">
        <f>'[98]VENTAS TOTALES'!$F89</f>
        <v>2359</v>
      </c>
      <c r="CM77" s="253">
        <f>'[98]VENTAS TOTALES'!$G89</f>
        <v>1356000</v>
      </c>
      <c r="CN77" s="253">
        <f>'[98]VENTAS TOTALES'!$H89</f>
        <v>5366300</v>
      </c>
      <c r="CO77" s="252">
        <f>'[99]VENTAS TOTALES'!$F89</f>
        <v>1684</v>
      </c>
      <c r="CP77" s="253">
        <f>'[99]VENTAS TOTALES'!$G89</f>
        <v>1107550</v>
      </c>
      <c r="CQ77" s="253">
        <f>'[99]VENTAS TOTALES'!$H89</f>
        <v>3970350</v>
      </c>
      <c r="CR77" s="252">
        <f>'[100]VENTAS TOTALES'!$F89</f>
        <v>1787</v>
      </c>
      <c r="CS77" s="253">
        <f>'[100]VENTAS TOTALES'!$G89</f>
        <v>698100</v>
      </c>
      <c r="CT77" s="253">
        <f>'[100]VENTAS TOTALES'!$H89</f>
        <v>3736000</v>
      </c>
      <c r="CU77" s="252">
        <f>'[101]VENTAS TOTALES'!$F89</f>
        <v>864</v>
      </c>
      <c r="CV77" s="253">
        <f>'[101]VENTAS TOTALES'!$G89</f>
        <v>359400</v>
      </c>
      <c r="CW77" s="253">
        <f>'[101]VENTAS TOTALES'!$H89</f>
        <v>1828200</v>
      </c>
      <c r="CX77" s="252">
        <f>'[102]VENTAS TOTALES'!$F89</f>
        <v>134</v>
      </c>
      <c r="CY77" s="253">
        <f>'[102]VENTAS TOTALES'!$G89</f>
        <v>10300</v>
      </c>
      <c r="CZ77" s="253">
        <f>'[102]VENTAS TOTALES'!$H89</f>
        <v>238100</v>
      </c>
    </row>
    <row r="78" spans="1:104" ht="12.75" customHeight="1" x14ac:dyDescent="0.2">
      <c r="A78" s="443"/>
      <c r="B78" s="45" t="s">
        <v>147</v>
      </c>
      <c r="C78" s="252">
        <f>'[69]VENTAS TOTALES'!$F90</f>
        <v>2879</v>
      </c>
      <c r="D78" s="253">
        <f>'[69]VENTAS TOTALES'!$G90</f>
        <v>1896700</v>
      </c>
      <c r="E78" s="253">
        <f>'[69]VENTAS TOTALES'!$H90</f>
        <v>6791000</v>
      </c>
      <c r="F78" s="252">
        <f>'[70]VENTAS TOTALES'!$F90</f>
        <v>2497</v>
      </c>
      <c r="G78" s="253">
        <f>'[70]VENTAS TOTALES'!$G90</f>
        <v>1611500</v>
      </c>
      <c r="H78" s="253">
        <f>'[70]VENTAS TOTALES'!$H90</f>
        <v>5856400</v>
      </c>
      <c r="I78" s="252">
        <f>'[71]VENTAS TOTALES'!$F90</f>
        <v>2427</v>
      </c>
      <c r="J78" s="253">
        <f>'[71]VENTAS TOTALES'!$G90</f>
        <v>1071700</v>
      </c>
      <c r="K78" s="253">
        <f>'[71]VENTAS TOTALES'!$H90</f>
        <v>5197600</v>
      </c>
      <c r="L78" s="252">
        <f>'[72]VENTAS TOTALES'!$F90</f>
        <v>2280</v>
      </c>
      <c r="M78" s="253">
        <f>'[72]VENTAS TOTALES'!$G90</f>
        <v>916500</v>
      </c>
      <c r="N78" s="253">
        <f>'[72]VENTAS TOTALES'!$H90</f>
        <v>4792500</v>
      </c>
      <c r="O78" s="252">
        <f>'[73]VENTAS TOTALES'!$F90</f>
        <v>1013</v>
      </c>
      <c r="P78" s="253">
        <f>'[73]VENTAS TOTALES'!$G90</f>
        <v>323500</v>
      </c>
      <c r="Q78" s="253">
        <f>'[73]VENTAS TOTALES'!$H90</f>
        <v>2045600</v>
      </c>
      <c r="R78" s="252">
        <f>'[74]VENTAS TOTALES'!$F90</f>
        <v>318</v>
      </c>
      <c r="S78" s="253">
        <f>'[74]VENTAS TOTALES'!$G90</f>
        <v>81500</v>
      </c>
      <c r="T78" s="253">
        <f>'[74]VENTAS TOTALES'!$H90</f>
        <v>622100</v>
      </c>
      <c r="U78" s="252">
        <f>'[75]VENTAS TOTALES'!$F90</f>
        <v>2739</v>
      </c>
      <c r="V78" s="253">
        <f>'[75]VENTAS TOTALES'!$G90</f>
        <v>1516300</v>
      </c>
      <c r="W78" s="253">
        <f>'[75]VENTAS TOTALES'!$H90</f>
        <v>6172600</v>
      </c>
      <c r="X78" s="252">
        <f>'[76]VENTAS TOTALES'!$F90</f>
        <v>2518</v>
      </c>
      <c r="Y78" s="253">
        <f>'[76]VENTAS TOTALES'!$G90</f>
        <v>1261700</v>
      </c>
      <c r="Z78" s="253">
        <f>'[76]VENTAS TOTALES'!$H90</f>
        <v>5542300</v>
      </c>
      <c r="AA78" s="252">
        <f>'[77]VENTAS TOTALES'!$F90</f>
        <v>2304</v>
      </c>
      <c r="AB78" s="253">
        <f>'[77]VENTAS TOTALES'!$G90</f>
        <v>1022700</v>
      </c>
      <c r="AC78" s="253">
        <f>'[77]VENTAS TOTALES'!$H90</f>
        <v>4939500</v>
      </c>
      <c r="AD78" s="252">
        <f>'[78]VENTAS TOTALES'!$F90</f>
        <v>2447</v>
      </c>
      <c r="AE78" s="253">
        <f>'[78]VENTAS TOTALES'!$G90</f>
        <v>1311800</v>
      </c>
      <c r="AF78" s="253">
        <f>'[78]VENTAS TOTALES'!$H90</f>
        <v>5471700</v>
      </c>
      <c r="AG78" s="252">
        <f>'[79]VENTAS TOTALES'!$F90</f>
        <v>2135</v>
      </c>
      <c r="AH78" s="253">
        <f>'[79]VENTAS TOTALES'!$G90</f>
        <v>821600</v>
      </c>
      <c r="AI78" s="253">
        <f>'[79]VENTAS TOTALES'!$H90</f>
        <v>4451100</v>
      </c>
      <c r="AJ78" s="252">
        <f>'[80]VENTAS TOTALES'!$F90</f>
        <v>1077</v>
      </c>
      <c r="AK78" s="253">
        <f>'[80]VENTAS TOTALES'!$G90</f>
        <v>393600</v>
      </c>
      <c r="AL78" s="253">
        <f>'[80]VENTAS TOTALES'!$H90</f>
        <v>2224500</v>
      </c>
      <c r="AM78" s="252">
        <f>'[81]VENTAS TOTALES'!$F90</f>
        <v>300</v>
      </c>
      <c r="AN78" s="253">
        <f>'[81]VENTAS TOTALES'!$G90</f>
        <v>58400</v>
      </c>
      <c r="AO78" s="253">
        <f>'[81]VENTAS TOTALES'!$H90</f>
        <v>568400</v>
      </c>
      <c r="AP78" s="252">
        <f>'[82]VENTAS TOTALES'!$F90</f>
        <v>2490</v>
      </c>
      <c r="AQ78" s="253">
        <f>'[82]VENTAS TOTALES'!$G90</f>
        <v>1350000</v>
      </c>
      <c r="AR78" s="253">
        <f>'[82]VENTAS TOTALES'!$H90</f>
        <v>5583000</v>
      </c>
      <c r="AS78" s="252">
        <f>'[83]VENTAS TOTALES'!$F90</f>
        <v>2202</v>
      </c>
      <c r="AT78" s="253">
        <f>'[83]VENTAS TOTALES'!$G90</f>
        <v>1958000</v>
      </c>
      <c r="AU78" s="253">
        <f>'[83]VENTAS TOTALES'!$H90</f>
        <v>5701400</v>
      </c>
      <c r="AV78" s="252">
        <f>'[84]VENTAS TOTALES'!$F90</f>
        <v>2584</v>
      </c>
      <c r="AW78" s="253">
        <f>'[84]VENTAS TOTALES'!$G90</f>
        <v>1565000</v>
      </c>
      <c r="AX78" s="253">
        <f>'[84]VENTAS TOTALES'!$H90</f>
        <v>5957800</v>
      </c>
      <c r="AY78" s="252">
        <f>'[85]VENTAS TOTALES'!$F90</f>
        <v>2579</v>
      </c>
      <c r="AZ78" s="253">
        <f>'[85]VENTAS TOTALES'!$G90</f>
        <v>1688200</v>
      </c>
      <c r="BA78" s="253">
        <f>'[85]VENTAS TOTALES'!$H90</f>
        <v>6072500</v>
      </c>
      <c r="BB78" s="252">
        <f>'[86]VENTAS TOTALES'!$F90</f>
        <v>2318</v>
      </c>
      <c r="BC78" s="253">
        <f>'[86]VENTAS TOTALES'!$G90</f>
        <v>973600</v>
      </c>
      <c r="BD78" s="253">
        <f>'[86]VENTAS TOTALES'!$H90</f>
        <v>4914200</v>
      </c>
      <c r="BE78" s="252">
        <f>'[87]VENTAS TOTALES'!$F90</f>
        <v>1039</v>
      </c>
      <c r="BF78" s="253">
        <f>'[87]VENTAS TOTALES'!$G90</f>
        <v>255700</v>
      </c>
      <c r="BG78" s="253">
        <f>'[87]VENTAS TOTALES'!$H90</f>
        <v>2022000</v>
      </c>
      <c r="BH78" s="252">
        <f>'[88]VENTAS TOTALES'!$F90</f>
        <v>309</v>
      </c>
      <c r="BI78" s="253">
        <f>'[88]VENTAS TOTALES'!$G90</f>
        <v>66800</v>
      </c>
      <c r="BJ78" s="253">
        <f>'[88]VENTAS TOTALES'!$H90</f>
        <v>592100</v>
      </c>
      <c r="BK78" s="252">
        <f>'[89]VENTAS TOTALES'!$F90</f>
        <v>2678</v>
      </c>
      <c r="BL78" s="253">
        <f>'[89]VENTAS TOTALES'!$G90</f>
        <v>1315600</v>
      </c>
      <c r="BM78" s="253">
        <f>'[89]VENTAS TOTALES'!$H90</f>
        <v>5868200</v>
      </c>
      <c r="BN78" s="252">
        <f>'[90]VENTAS TOTALES'!$F90</f>
        <v>2550</v>
      </c>
      <c r="BO78" s="253">
        <f>'[90]VENTAS TOTALES'!$G90</f>
        <v>1183500</v>
      </c>
      <c r="BP78" s="253">
        <f>'[90]VENTAS TOTALES'!$H90</f>
        <v>5518500</v>
      </c>
      <c r="BQ78" s="252">
        <f>'[91]VENTAS TOTALES'!$F90</f>
        <v>2442</v>
      </c>
      <c r="BR78" s="253">
        <f>'[91]VENTAS TOTALES'!$G90</f>
        <v>901000</v>
      </c>
      <c r="BS78" s="253">
        <f>'[91]VENTAS TOTALES'!$H90</f>
        <v>5052400</v>
      </c>
      <c r="BT78" s="252">
        <f>'[92]VENTAS TOTALES'!$F90</f>
        <v>2425</v>
      </c>
      <c r="BU78" s="253">
        <f>'[92]VENTAS TOTALES'!$G90</f>
        <v>939600</v>
      </c>
      <c r="BV78" s="253">
        <f>'[92]VENTAS TOTALES'!$H90</f>
        <v>5062100</v>
      </c>
      <c r="BW78" s="252">
        <f>'[93]VENTAS TOTALES'!$F90</f>
        <v>2101</v>
      </c>
      <c r="BX78" s="253">
        <f>'[93]VENTAS TOTALES'!$G90</f>
        <v>775200</v>
      </c>
      <c r="BY78" s="253">
        <f>'[93]VENTAS TOTALES'!$H90</f>
        <v>4346900</v>
      </c>
      <c r="BZ78" s="252">
        <f>'[94]VENTAS TOTALES'!$F90</f>
        <v>1008</v>
      </c>
      <c r="CA78" s="253">
        <f>'[94]VENTAS TOTALES'!$G90</f>
        <v>347400</v>
      </c>
      <c r="CB78" s="253">
        <f>'[94]VENTAS TOTALES'!$H90</f>
        <v>2061000</v>
      </c>
      <c r="CC78" s="252">
        <f>'[95]VENTAS TOTALES'!$F90</f>
        <v>334</v>
      </c>
      <c r="CD78" s="253">
        <f>'[95]VENTAS TOTALES'!$G90</f>
        <v>62600</v>
      </c>
      <c r="CE78" s="253">
        <f>'[95]VENTAS TOTALES'!$H90</f>
        <v>630400</v>
      </c>
      <c r="CF78" s="252">
        <f>'[96]VENTAS TOTALES'!$F90</f>
        <v>3362</v>
      </c>
      <c r="CG78" s="253">
        <f>'[96]VENTAS TOTALES'!$G90</f>
        <v>1844100</v>
      </c>
      <c r="CH78" s="253">
        <f>'[96]VENTAS TOTALES'!$H90</f>
        <v>7559500</v>
      </c>
      <c r="CI78" s="252">
        <f>'[97]VENTAS TOTALES'!$F90</f>
        <v>3120</v>
      </c>
      <c r="CJ78" s="253">
        <f>'[97]VENTAS TOTALES'!$G90</f>
        <v>1818900</v>
      </c>
      <c r="CK78" s="253">
        <f>'[97]VENTAS TOTALES'!$H90</f>
        <v>7122900</v>
      </c>
      <c r="CL78" s="252">
        <f>'[98]VENTAS TOTALES'!$F90</f>
        <v>2957</v>
      </c>
      <c r="CM78" s="253">
        <f>'[98]VENTAS TOTALES'!$G90</f>
        <v>1846300</v>
      </c>
      <c r="CN78" s="253">
        <f>'[98]VENTAS TOTALES'!$H90</f>
        <v>6873200</v>
      </c>
      <c r="CO78" s="252">
        <f>'[99]VENTAS TOTALES'!$F90</f>
        <v>2585</v>
      </c>
      <c r="CP78" s="253">
        <f>'[99]VENTAS TOTALES'!$G90</f>
        <v>1314500</v>
      </c>
      <c r="CQ78" s="253">
        <f>'[99]VENTAS TOTALES'!$H90</f>
        <v>5709000</v>
      </c>
      <c r="CR78" s="252">
        <f>'[100]VENTAS TOTALES'!$F90</f>
        <v>2192</v>
      </c>
      <c r="CS78" s="253">
        <f>'[100]VENTAS TOTALES'!$G90</f>
        <v>857300</v>
      </c>
      <c r="CT78" s="253">
        <f>'[100]VENTAS TOTALES'!$H90</f>
        <v>4583700</v>
      </c>
      <c r="CU78" s="252">
        <f>'[101]VENTAS TOTALES'!$F90</f>
        <v>1146</v>
      </c>
      <c r="CV78" s="253">
        <f>'[101]VENTAS TOTALES'!$G90</f>
        <v>382600</v>
      </c>
      <c r="CW78" s="253">
        <f>'[101]VENTAS TOTALES'!$H90</f>
        <v>2330800</v>
      </c>
      <c r="CX78" s="252">
        <f>'[102]VENTAS TOTALES'!$F90</f>
        <v>320</v>
      </c>
      <c r="CY78" s="253">
        <f>'[102]VENTAS TOTALES'!$G90</f>
        <v>28700</v>
      </c>
      <c r="CZ78" s="253">
        <f>'[102]VENTAS TOTALES'!$H90</f>
        <v>572700</v>
      </c>
    </row>
    <row r="79" spans="1:104" x14ac:dyDescent="0.2">
      <c r="A79" s="443"/>
      <c r="B79" s="45" t="s">
        <v>149</v>
      </c>
      <c r="C79" s="252">
        <f>'[69]VENTAS TOTALES'!$F91</f>
        <v>5082</v>
      </c>
      <c r="D79" s="253">
        <f>'[69]VENTAS TOTALES'!$G91</f>
        <v>2859400</v>
      </c>
      <c r="E79" s="253">
        <f>'[69]VENTAS TOTALES'!$H91</f>
        <v>11498800</v>
      </c>
      <c r="F79" s="252">
        <f>'[70]VENTAS TOTALES'!$F91</f>
        <v>4603</v>
      </c>
      <c r="G79" s="253">
        <f>'[70]VENTAS TOTALES'!$G91</f>
        <v>2575550</v>
      </c>
      <c r="H79" s="253">
        <f>'[70]VENTAS TOTALES'!$H91</f>
        <v>10400650</v>
      </c>
      <c r="I79" s="252">
        <f>'[71]VENTAS TOTALES'!$F91</f>
        <v>4362</v>
      </c>
      <c r="J79" s="253">
        <f>'[71]VENTAS TOTALES'!$G91</f>
        <v>2040000</v>
      </c>
      <c r="K79" s="253">
        <f>'[71]VENTAS TOTALES'!$H91</f>
        <v>9455400</v>
      </c>
      <c r="L79" s="252">
        <f>'[72]VENTAS TOTALES'!$F91</f>
        <v>2344</v>
      </c>
      <c r="M79" s="253">
        <f>'[72]VENTAS TOTALES'!$G91</f>
        <v>1208900</v>
      </c>
      <c r="N79" s="253">
        <f>'[72]VENTAS TOTALES'!$H91</f>
        <v>5193700</v>
      </c>
      <c r="O79" s="252">
        <f>'[73]VENTAS TOTALES'!$F91</f>
        <v>2980</v>
      </c>
      <c r="P79" s="253">
        <f>'[73]VENTAS TOTALES'!$G91</f>
        <v>991600</v>
      </c>
      <c r="Q79" s="253">
        <f>'[73]VENTAS TOTALES'!$H91</f>
        <v>6057600</v>
      </c>
      <c r="R79" s="252">
        <f>'[74]VENTAS TOTALES'!$F91</f>
        <v>1016</v>
      </c>
      <c r="S79" s="253">
        <f>'[74]VENTAS TOTALES'!$G91</f>
        <v>449400</v>
      </c>
      <c r="T79" s="253">
        <f>'[74]VENTAS TOTALES'!$H91</f>
        <v>2176600</v>
      </c>
      <c r="U79" s="252">
        <f>'[75]VENTAS TOTALES'!$F91</f>
        <v>4600</v>
      </c>
      <c r="V79" s="253">
        <f>'[75]VENTAS TOTALES'!$G91</f>
        <v>2068250</v>
      </c>
      <c r="W79" s="253">
        <f>'[75]VENTAS TOTALES'!$H91</f>
        <v>9888250</v>
      </c>
      <c r="X79" s="252">
        <f>'[76]VENTAS TOTALES'!$F91</f>
        <v>4241</v>
      </c>
      <c r="Y79" s="253">
        <f>'[76]VENTAS TOTALES'!$G91</f>
        <v>1720900</v>
      </c>
      <c r="Z79" s="253">
        <f>'[76]VENTAS TOTALES'!$H91</f>
        <v>8930600</v>
      </c>
      <c r="AA79" s="252">
        <f>'[77]VENTAS TOTALES'!$F91</f>
        <v>3935</v>
      </c>
      <c r="AB79" s="253">
        <f>'[77]VENTAS TOTALES'!$G91</f>
        <v>1585700</v>
      </c>
      <c r="AC79" s="253">
        <f>'[77]VENTAS TOTALES'!$H91</f>
        <v>8275200</v>
      </c>
      <c r="AD79" s="252">
        <f>'[78]VENTAS TOTALES'!$F91</f>
        <v>4161</v>
      </c>
      <c r="AE79" s="253">
        <f>'[78]VENTAS TOTALES'!$G91</f>
        <v>1674300</v>
      </c>
      <c r="AF79" s="253">
        <f>'[78]VENTAS TOTALES'!$H91</f>
        <v>8748000</v>
      </c>
      <c r="AG79" s="252">
        <f>'[79]VENTAS TOTALES'!$F91</f>
        <v>4031</v>
      </c>
      <c r="AH79" s="253">
        <f>'[79]VENTAS TOTALES'!$G91</f>
        <v>1382200</v>
      </c>
      <c r="AI79" s="253">
        <f>'[79]VENTAS TOTALES'!$H91</f>
        <v>8234900</v>
      </c>
      <c r="AJ79" s="252">
        <f>'[80]VENTAS TOTALES'!$F91</f>
        <v>3006</v>
      </c>
      <c r="AK79" s="253">
        <f>'[80]VENTAS TOTALES'!$G91</f>
        <v>1073000</v>
      </c>
      <c r="AL79" s="253">
        <f>'[80]VENTAS TOTALES'!$H91</f>
        <v>6183200</v>
      </c>
      <c r="AM79" s="252">
        <f>'[81]VENTAS TOTALES'!$F91</f>
        <v>1103</v>
      </c>
      <c r="AN79" s="253">
        <f>'[81]VENTAS TOTALES'!$G91</f>
        <v>251000</v>
      </c>
      <c r="AO79" s="253">
        <f>'[81]VENTAS TOTALES'!$H91</f>
        <v>2126100</v>
      </c>
      <c r="AP79" s="252">
        <f>'[82]VENTAS TOTALES'!$F91</f>
        <v>4494</v>
      </c>
      <c r="AQ79" s="253">
        <f>'[82]VENTAS TOTALES'!$G91</f>
        <v>2147800</v>
      </c>
      <c r="AR79" s="253">
        <f>'[82]VENTAS TOTALES'!$H91</f>
        <v>9787600</v>
      </c>
      <c r="AS79" s="252">
        <f>'[83]VENTAS TOTALES'!$F91</f>
        <v>4071</v>
      </c>
      <c r="AT79" s="253">
        <f>'[83]VENTAS TOTALES'!$G91</f>
        <v>3342550</v>
      </c>
      <c r="AU79" s="253">
        <f>'[83]VENTAS TOTALES'!$H91</f>
        <v>10263250</v>
      </c>
      <c r="AV79" s="252">
        <f>'[84]VENTAS TOTALES'!$F91</f>
        <v>4220</v>
      </c>
      <c r="AW79" s="253">
        <f>'[84]VENTAS TOTALES'!$G91</f>
        <v>2862700</v>
      </c>
      <c r="AX79" s="253">
        <f>'[84]VENTAS TOTALES'!$H91</f>
        <v>10036700</v>
      </c>
      <c r="AY79" s="252">
        <f>'[85]VENTAS TOTALES'!$F91</f>
        <v>4117</v>
      </c>
      <c r="AZ79" s="253">
        <f>'[85]VENTAS TOTALES'!$G91</f>
        <v>2174300</v>
      </c>
      <c r="BA79" s="253">
        <f>'[85]VENTAS TOTALES'!$H91</f>
        <v>9173200</v>
      </c>
      <c r="BB79" s="252">
        <f>'[86]VENTAS TOTALES'!$F91</f>
        <v>4149</v>
      </c>
      <c r="BC79" s="253">
        <f>'[86]VENTAS TOTALES'!$G91</f>
        <v>1410100</v>
      </c>
      <c r="BD79" s="253">
        <f>'[86]VENTAS TOTALES'!$H91</f>
        <v>8463400</v>
      </c>
      <c r="BE79" s="252">
        <f>'[87]VENTAS TOTALES'!$F91</f>
        <v>3010</v>
      </c>
      <c r="BF79" s="253">
        <f>'[87]VENTAS TOTALES'!$G91</f>
        <v>1298500</v>
      </c>
      <c r="BG79" s="253">
        <f>'[87]VENTAS TOTALES'!$H91</f>
        <v>6415500</v>
      </c>
      <c r="BH79" s="252">
        <f>'[88]VENTAS TOTALES'!$F91</f>
        <v>1053</v>
      </c>
      <c r="BI79" s="253">
        <f>'[88]VENTAS TOTALES'!$G91</f>
        <v>237200</v>
      </c>
      <c r="BJ79" s="253">
        <f>'[88]VENTAS TOTALES'!$H91</f>
        <v>2027300</v>
      </c>
      <c r="BK79" s="252">
        <f>'[89]VENTAS TOTALES'!$F91</f>
        <v>4644</v>
      </c>
      <c r="BL79" s="253">
        <f>'[89]VENTAS TOTALES'!$G91</f>
        <v>2099900</v>
      </c>
      <c r="BM79" s="253">
        <f>'[89]VENTAS TOTALES'!$H91</f>
        <v>9994700</v>
      </c>
      <c r="BN79" s="252">
        <f>'[90]VENTAS TOTALES'!$F91</f>
        <v>4208</v>
      </c>
      <c r="BO79" s="253">
        <f>'[90]VENTAS TOTALES'!$G91</f>
        <v>1933300</v>
      </c>
      <c r="BP79" s="253">
        <f>'[90]VENTAS TOTALES'!$H91</f>
        <v>9086900</v>
      </c>
      <c r="BQ79" s="252">
        <f>'[91]VENTAS TOTALES'!$F91</f>
        <v>4167</v>
      </c>
      <c r="BR79" s="253">
        <f>'[91]VENTAS TOTALES'!$G91</f>
        <v>1414400</v>
      </c>
      <c r="BS79" s="253">
        <f>'[91]VENTAS TOTALES'!$H91</f>
        <v>8498300</v>
      </c>
      <c r="BT79" s="252">
        <f>'[92]VENTAS TOTALES'!$F91</f>
        <v>4007</v>
      </c>
      <c r="BU79" s="253">
        <f>'[92]VENTAS TOTALES'!$G91</f>
        <v>1107800</v>
      </c>
      <c r="BV79" s="253">
        <f>'[92]VENTAS TOTALES'!$H91</f>
        <v>7919700</v>
      </c>
      <c r="BW79" s="252">
        <f>'[93]VENTAS TOTALES'!$F91</f>
        <v>4406</v>
      </c>
      <c r="BX79" s="253">
        <f>'[93]VENTAS TOTALES'!$G91</f>
        <v>1574400</v>
      </c>
      <c r="BY79" s="253">
        <f>'[93]VENTAS TOTALES'!$H91</f>
        <v>9064600</v>
      </c>
      <c r="BZ79" s="252">
        <f>'[94]VENTAS TOTALES'!$F91</f>
        <v>2835</v>
      </c>
      <c r="CA79" s="253">
        <f>'[94]VENTAS TOTALES'!$G91</f>
        <v>1197600</v>
      </c>
      <c r="CB79" s="253">
        <f>'[94]VENTAS TOTALES'!$H91</f>
        <v>6017100</v>
      </c>
      <c r="CC79" s="252">
        <f>'[95]VENTAS TOTALES'!$F91</f>
        <v>1102</v>
      </c>
      <c r="CD79" s="253">
        <f>'[95]VENTAS TOTALES'!$G91</f>
        <v>244400</v>
      </c>
      <c r="CE79" s="253">
        <f>'[95]VENTAS TOTALES'!$H91</f>
        <v>2117800</v>
      </c>
      <c r="CF79" s="252">
        <f>'[96]VENTAS TOTALES'!$F91</f>
        <v>5585</v>
      </c>
      <c r="CG79" s="253">
        <f>'[96]VENTAS TOTALES'!$G91</f>
        <v>3637550</v>
      </c>
      <c r="CH79" s="253">
        <f>'[96]VENTAS TOTALES'!$H91</f>
        <v>13132050</v>
      </c>
      <c r="CI79" s="252">
        <f>'[97]VENTAS TOTALES'!$F91</f>
        <v>5375</v>
      </c>
      <c r="CJ79" s="253">
        <f>'[97]VENTAS TOTALES'!$G91</f>
        <v>3853900</v>
      </c>
      <c r="CK79" s="253">
        <f>'[97]VENTAS TOTALES'!$H91</f>
        <v>12991400</v>
      </c>
      <c r="CL79" s="252">
        <f>'[98]VENTAS TOTALES'!$F91</f>
        <v>5240</v>
      </c>
      <c r="CM79" s="253">
        <f>'[98]VENTAS TOTALES'!$G91</f>
        <v>2489150</v>
      </c>
      <c r="CN79" s="253">
        <f>'[98]VENTAS TOTALES'!$H91</f>
        <v>11397150</v>
      </c>
      <c r="CO79" s="252">
        <f>'[99]VENTAS TOTALES'!$F91</f>
        <v>4819</v>
      </c>
      <c r="CP79" s="253">
        <f>'[99]VENTAS TOTALES'!$G91</f>
        <v>1674200</v>
      </c>
      <c r="CQ79" s="253">
        <f>'[99]VENTAS TOTALES'!$H91</f>
        <v>9866500</v>
      </c>
      <c r="CR79" s="252">
        <f>'[100]VENTAS TOTALES'!$F91</f>
        <v>4667</v>
      </c>
      <c r="CS79" s="253">
        <f>'[100]VENTAS TOTALES'!$G91</f>
        <v>1460200</v>
      </c>
      <c r="CT79" s="253">
        <f>'[100]VENTAS TOTALES'!$H91</f>
        <v>9394100</v>
      </c>
      <c r="CU79" s="252">
        <f>'[101]VENTAS TOTALES'!$F91</f>
        <v>3564</v>
      </c>
      <c r="CV79" s="253">
        <f>'[101]VENTAS TOTALES'!$G91</f>
        <v>1343600</v>
      </c>
      <c r="CW79" s="253">
        <f>'[101]VENTAS TOTALES'!$H91</f>
        <v>7402400</v>
      </c>
      <c r="CX79" s="252">
        <f>'[102]VENTAS TOTALES'!$F91</f>
        <v>1252</v>
      </c>
      <c r="CY79" s="253">
        <f>'[102]VENTAS TOTALES'!$G91</f>
        <v>334300</v>
      </c>
      <c r="CZ79" s="253">
        <f>'[102]VENTAS TOTALES'!$H91</f>
        <v>2462700</v>
      </c>
    </row>
    <row r="80" spans="1:104" x14ac:dyDescent="0.2">
      <c r="A80" s="443"/>
      <c r="B80" s="45" t="s">
        <v>148</v>
      </c>
      <c r="C80" s="252">
        <f>'[69]VENTAS TOTALES'!$F92</f>
        <v>2450</v>
      </c>
      <c r="D80" s="253">
        <f>'[69]VENTAS TOTALES'!$G92</f>
        <v>1839600</v>
      </c>
      <c r="E80" s="253">
        <f>'[69]VENTAS TOTALES'!$H92</f>
        <v>6004600</v>
      </c>
      <c r="F80" s="252">
        <f>'[70]VENTAS TOTALES'!$F92</f>
        <v>2388</v>
      </c>
      <c r="G80" s="253">
        <f>'[70]VENTAS TOTALES'!$G92</f>
        <v>1465000</v>
      </c>
      <c r="H80" s="253">
        <f>'[70]VENTAS TOTALES'!$H92</f>
        <v>5524600</v>
      </c>
      <c r="I80" s="252">
        <f>'[71]VENTAS TOTALES'!$F92</f>
        <v>1966</v>
      </c>
      <c r="J80" s="253">
        <f>'[71]VENTAS TOTALES'!$G92</f>
        <v>888700</v>
      </c>
      <c r="K80" s="253">
        <f>'[71]VENTAS TOTALES'!$H92</f>
        <v>4230900</v>
      </c>
      <c r="L80" s="252">
        <f>'[72]VENTAS TOTALES'!$F92</f>
        <v>1463</v>
      </c>
      <c r="M80" s="253">
        <f>'[72]VENTAS TOTALES'!$G92</f>
        <v>428300</v>
      </c>
      <c r="N80" s="253">
        <f>'[72]VENTAS TOTALES'!$H92</f>
        <v>2915400</v>
      </c>
      <c r="O80" s="252">
        <f>'[73]VENTAS TOTALES'!$F92</f>
        <v>1116</v>
      </c>
      <c r="P80" s="253">
        <f>'[73]VENTAS TOTALES'!$G92</f>
        <v>423300</v>
      </c>
      <c r="Q80" s="253">
        <f>'[73]VENTAS TOTALES'!$H92</f>
        <v>2320500</v>
      </c>
      <c r="R80" s="252">
        <f>'[74]VENTAS TOTALES'!$F92</f>
        <v>240</v>
      </c>
      <c r="S80" s="253">
        <f>'[74]VENTAS TOTALES'!$G92</f>
        <v>63700</v>
      </c>
      <c r="T80" s="253">
        <f>'[74]VENTAS TOTALES'!$H92</f>
        <v>471700</v>
      </c>
      <c r="U80" s="252">
        <f>'[75]VENTAS TOTALES'!$F92</f>
        <v>2461</v>
      </c>
      <c r="V80" s="253">
        <f>'[75]VENTAS TOTALES'!$G92</f>
        <v>1532400</v>
      </c>
      <c r="W80" s="253">
        <f>'[75]VENTAS TOTALES'!$H92</f>
        <v>5716100</v>
      </c>
      <c r="X80" s="252">
        <f>'[76]VENTAS TOTALES'!$F92</f>
        <v>1867</v>
      </c>
      <c r="Y80" s="253">
        <f>'[76]VENTAS TOTALES'!$G92</f>
        <v>868100</v>
      </c>
      <c r="Z80" s="253">
        <f>'[76]VENTAS TOTALES'!$H92</f>
        <v>4042000</v>
      </c>
      <c r="AA80" s="252">
        <f>'[77]VENTAS TOTALES'!$F92</f>
        <v>1978</v>
      </c>
      <c r="AB80" s="253">
        <f>'[77]VENTAS TOTALES'!$G92</f>
        <v>850650</v>
      </c>
      <c r="AC80" s="253">
        <f>'[77]VENTAS TOTALES'!$H92</f>
        <v>4213250</v>
      </c>
      <c r="AD80" s="252">
        <f>'[78]VENTAS TOTALES'!$F92</f>
        <v>1904</v>
      </c>
      <c r="AE80" s="253">
        <f>'[78]VENTAS TOTALES'!$G92</f>
        <v>1002100</v>
      </c>
      <c r="AF80" s="253">
        <f>'[78]VENTAS TOTALES'!$H92</f>
        <v>4238900</v>
      </c>
      <c r="AG80" s="252">
        <f>'[79]VENTAS TOTALES'!$F92</f>
        <v>1888</v>
      </c>
      <c r="AH80" s="253">
        <f>'[79]VENTAS TOTALES'!$G92</f>
        <v>924600</v>
      </c>
      <c r="AI80" s="253">
        <f>'[79]VENTAS TOTALES'!$H92</f>
        <v>4134200</v>
      </c>
      <c r="AJ80" s="252">
        <f>'[80]VENTAS TOTALES'!$F92</f>
        <v>1075</v>
      </c>
      <c r="AK80" s="253">
        <f>'[80]VENTAS TOTALES'!$G92</f>
        <v>414900</v>
      </c>
      <c r="AL80" s="253">
        <f>'[80]VENTAS TOTALES'!$H92</f>
        <v>2242400</v>
      </c>
      <c r="AM80" s="252">
        <f>'[81]VENTAS TOTALES'!$F92</f>
        <v>210</v>
      </c>
      <c r="AN80" s="253">
        <f>'[81]VENTAS TOTALES'!$G92</f>
        <v>37200</v>
      </c>
      <c r="AO80" s="253">
        <f>'[81]VENTAS TOTALES'!$H92</f>
        <v>394200</v>
      </c>
      <c r="AP80" s="252">
        <f>'[82]VENTAS TOTALES'!$F92</f>
        <v>2433</v>
      </c>
      <c r="AQ80" s="253">
        <f>'[82]VENTAS TOTALES'!$G92</f>
        <v>1259750</v>
      </c>
      <c r="AR80" s="253">
        <f>'[82]VENTAS TOTALES'!$H92</f>
        <v>5395850</v>
      </c>
      <c r="AS80" s="252">
        <f>'[83]VENTAS TOTALES'!$F92</f>
        <v>2454</v>
      </c>
      <c r="AT80" s="253">
        <f>'[83]VENTAS TOTALES'!$G92</f>
        <v>1350200</v>
      </c>
      <c r="AU80" s="253">
        <f>'[83]VENTAS TOTALES'!$H92</f>
        <v>5522000</v>
      </c>
      <c r="AV80" s="252">
        <f>'[84]VENTAS TOTALES'!$F92</f>
        <v>2392</v>
      </c>
      <c r="AW80" s="253">
        <f>'[84]VENTAS TOTALES'!$G92</f>
        <v>1840400</v>
      </c>
      <c r="AX80" s="253">
        <f>'[84]VENTAS TOTALES'!$H92</f>
        <v>5906800</v>
      </c>
      <c r="AY80" s="252">
        <f>'[85]VENTAS TOTALES'!$F92</f>
        <v>2051</v>
      </c>
      <c r="AZ80" s="253">
        <f>'[85]VENTAS TOTALES'!$G92</f>
        <v>1181800</v>
      </c>
      <c r="BA80" s="253">
        <f>'[85]VENTAS TOTALES'!$H92</f>
        <v>4668500</v>
      </c>
      <c r="BB80" s="252">
        <f>'[86]VENTAS TOTALES'!$F92</f>
        <v>1936</v>
      </c>
      <c r="BC80" s="253">
        <f>'[86]VENTAS TOTALES'!$G92</f>
        <v>984500</v>
      </c>
      <c r="BD80" s="253">
        <f>'[86]VENTAS TOTALES'!$H92</f>
        <v>4275700</v>
      </c>
      <c r="BE80" s="252">
        <f>'[87]VENTAS TOTALES'!$F92</f>
        <v>1013</v>
      </c>
      <c r="BF80" s="253">
        <f>'[87]VENTAS TOTALES'!$G92</f>
        <v>539200</v>
      </c>
      <c r="BG80" s="253">
        <f>'[87]VENTAS TOTALES'!$H92</f>
        <v>2261300</v>
      </c>
      <c r="BH80" s="252">
        <f>'[88]VENTAS TOTALES'!$F92</f>
        <v>299</v>
      </c>
      <c r="BI80" s="253">
        <f>'[88]VENTAS TOTALES'!$G92</f>
        <v>119700</v>
      </c>
      <c r="BJ80" s="253">
        <f>'[88]VENTAS TOTALES'!$H92</f>
        <v>628000</v>
      </c>
      <c r="BK80" s="252">
        <f>'[89]VENTAS TOTALES'!$F92</f>
        <v>2563</v>
      </c>
      <c r="BL80" s="253">
        <f>'[89]VENTAS TOTALES'!$G92</f>
        <v>1462300</v>
      </c>
      <c r="BM80" s="253">
        <f>'[89]VENTAS TOTALES'!$H92</f>
        <v>5819400</v>
      </c>
      <c r="BN80" s="252">
        <f>'[90]VENTAS TOTALES'!$F92</f>
        <v>2181</v>
      </c>
      <c r="BO80" s="253">
        <f>'[90]VENTAS TOTALES'!$G92</f>
        <v>960800</v>
      </c>
      <c r="BP80" s="253">
        <f>'[90]VENTAS TOTALES'!$H92</f>
        <v>4668500</v>
      </c>
      <c r="BQ80" s="252">
        <f>'[91]VENTAS TOTALES'!$F92</f>
        <v>1860</v>
      </c>
      <c r="BR80" s="253">
        <f>'[91]VENTAS TOTALES'!$G92</f>
        <v>820650</v>
      </c>
      <c r="BS80" s="253">
        <f>'[91]VENTAS TOTALES'!$H92</f>
        <v>3982650</v>
      </c>
      <c r="BT80" s="252">
        <f>'[92]VENTAS TOTALES'!$F92</f>
        <v>1952</v>
      </c>
      <c r="BU80" s="253">
        <f>'[92]VENTAS TOTALES'!$G92</f>
        <v>923600</v>
      </c>
      <c r="BV80" s="253">
        <f>'[92]VENTAS TOTALES'!$H92</f>
        <v>4242000</v>
      </c>
      <c r="BW80" s="252">
        <f>'[93]VENTAS TOTALES'!$F92</f>
        <v>1975</v>
      </c>
      <c r="BX80" s="253">
        <f>'[93]VENTAS TOTALES'!$G92</f>
        <v>702900</v>
      </c>
      <c r="BY80" s="253">
        <f>'[93]VENTAS TOTALES'!$H92</f>
        <v>4060400</v>
      </c>
      <c r="BZ80" s="252">
        <f>'[94]VENTAS TOTALES'!$F92</f>
        <v>1140</v>
      </c>
      <c r="CA80" s="253">
        <f>'[94]VENTAS TOTALES'!$G92</f>
        <v>344400</v>
      </c>
      <c r="CB80" s="253">
        <f>'[94]VENTAS TOTALES'!$H92</f>
        <v>2282400</v>
      </c>
      <c r="CC80" s="252">
        <f>'[95]VENTAS TOTALES'!$F92</f>
        <v>305</v>
      </c>
      <c r="CD80" s="253">
        <f>'[95]VENTAS TOTALES'!$G92</f>
        <v>114700</v>
      </c>
      <c r="CE80" s="253">
        <f>'[95]VENTAS TOTALES'!$H92</f>
        <v>633200</v>
      </c>
      <c r="CF80" s="252">
        <f>'[96]VENTAS TOTALES'!$F92</f>
        <v>2888</v>
      </c>
      <c r="CG80" s="253">
        <f>'[96]VENTAS TOTALES'!$G92</f>
        <v>1742100</v>
      </c>
      <c r="CH80" s="253">
        <f>'[96]VENTAS TOTALES'!$H92</f>
        <v>6651700</v>
      </c>
      <c r="CI80" s="252">
        <f>'[97]VENTAS TOTALES'!$F92</f>
        <v>2544</v>
      </c>
      <c r="CJ80" s="253">
        <f>'[97]VENTAS TOTALES'!$G92</f>
        <v>1884100</v>
      </c>
      <c r="CK80" s="253">
        <f>'[97]VENTAS TOTALES'!$H92</f>
        <v>6208900</v>
      </c>
      <c r="CL80" s="252">
        <f>'[98]VENTAS TOTALES'!$F92</f>
        <v>2254</v>
      </c>
      <c r="CM80" s="253">
        <f>'[98]VENTAS TOTALES'!$G92</f>
        <v>1536500</v>
      </c>
      <c r="CN80" s="253">
        <f>'[98]VENTAS TOTALES'!$H92</f>
        <v>5368300</v>
      </c>
      <c r="CO80" s="252">
        <f>'[99]VENTAS TOTALES'!$F92</f>
        <v>2309</v>
      </c>
      <c r="CP80" s="253">
        <f>'[99]VENTAS TOTALES'!$G92</f>
        <v>1266100</v>
      </c>
      <c r="CQ80" s="253">
        <f>'[99]VENTAS TOTALES'!$H92</f>
        <v>5191400</v>
      </c>
      <c r="CR80" s="252">
        <f>'[100]VENTAS TOTALES'!$F92</f>
        <v>2047</v>
      </c>
      <c r="CS80" s="253">
        <f>'[100]VENTAS TOTALES'!$G92</f>
        <v>791400</v>
      </c>
      <c r="CT80" s="253">
        <f>'[100]VENTAS TOTALES'!$H92</f>
        <v>4271300</v>
      </c>
      <c r="CU80" s="252">
        <f>'[101]VENTAS TOTALES'!$F92</f>
        <v>1247</v>
      </c>
      <c r="CV80" s="253">
        <f>'[101]VENTAS TOTALES'!$G92</f>
        <v>563300</v>
      </c>
      <c r="CW80" s="253">
        <f>'[101]VENTAS TOTALES'!$H92</f>
        <v>2683200</v>
      </c>
      <c r="CX80" s="252">
        <f>'[102]VENTAS TOTALES'!$F92</f>
        <v>231</v>
      </c>
      <c r="CY80" s="253">
        <f>'[102]VENTAS TOTALES'!$G92</f>
        <v>71000</v>
      </c>
      <c r="CZ80" s="253">
        <f>'[102]VENTAS TOTALES'!$H92</f>
        <v>463700</v>
      </c>
    </row>
    <row r="81" spans="1:104" x14ac:dyDescent="0.2">
      <c r="A81" s="443"/>
      <c r="B81" s="45" t="s">
        <v>150</v>
      </c>
      <c r="C81" s="252">
        <f>'[69]VENTAS TOTALES'!$F93</f>
        <v>2894</v>
      </c>
      <c r="D81" s="253">
        <f>'[69]VENTAS TOTALES'!$G93</f>
        <v>2444200</v>
      </c>
      <c r="E81" s="253">
        <f>'[69]VENTAS TOTALES'!$H93</f>
        <v>7364000</v>
      </c>
      <c r="F81" s="252">
        <f>'[70]VENTAS TOTALES'!$F93</f>
        <v>2754</v>
      </c>
      <c r="G81" s="253">
        <f>'[70]VENTAS TOTALES'!$G93</f>
        <v>2007200</v>
      </c>
      <c r="H81" s="253">
        <f>'[70]VENTAS TOTALES'!$H93</f>
        <v>6689000</v>
      </c>
      <c r="I81" s="252">
        <f>'[71]VENTAS TOTALES'!$F93</f>
        <v>2255</v>
      </c>
      <c r="J81" s="253">
        <f>'[71]VENTAS TOTALES'!$G93</f>
        <v>1295700</v>
      </c>
      <c r="K81" s="253">
        <f>'[71]VENTAS TOTALES'!$H93</f>
        <v>5129200</v>
      </c>
      <c r="L81" s="252">
        <f>'[72]VENTAS TOTALES'!$F93</f>
        <v>2527</v>
      </c>
      <c r="M81" s="253">
        <f>'[72]VENTAS TOTALES'!$G93</f>
        <v>1130800</v>
      </c>
      <c r="N81" s="253">
        <f>'[72]VENTAS TOTALES'!$H93</f>
        <v>5426700</v>
      </c>
      <c r="O81" s="252">
        <f>'[73]VENTAS TOTALES'!$F93</f>
        <v>1144</v>
      </c>
      <c r="P81" s="253">
        <f>'[73]VENTAS TOTALES'!$G93</f>
        <v>443600</v>
      </c>
      <c r="Q81" s="253">
        <f>'[73]VENTAS TOTALES'!$H93</f>
        <v>2388400</v>
      </c>
      <c r="R81" s="252">
        <f>'[74]VENTAS TOTALES'!$F93</f>
        <v>270</v>
      </c>
      <c r="S81" s="253">
        <f>'[74]VENTAS TOTALES'!$G93</f>
        <v>100500</v>
      </c>
      <c r="T81" s="253">
        <f>'[74]VENTAS TOTALES'!$H93</f>
        <v>559500</v>
      </c>
      <c r="U81" s="252">
        <f>'[75]VENTAS TOTALES'!$F93</f>
        <v>2832</v>
      </c>
      <c r="V81" s="253">
        <f>'[75]VENTAS TOTALES'!$G93</f>
        <v>1648800</v>
      </c>
      <c r="W81" s="253">
        <f>'[75]VENTAS TOTALES'!$H93</f>
        <v>6463200</v>
      </c>
      <c r="X81" s="252">
        <f>'[76]VENTAS TOTALES'!$F93</f>
        <v>2339</v>
      </c>
      <c r="Y81" s="253">
        <f>'[76]VENTAS TOTALES'!$G93</f>
        <v>880200</v>
      </c>
      <c r="Z81" s="253">
        <f>'[76]VENTAS TOTALES'!$H93</f>
        <v>4856500</v>
      </c>
      <c r="AA81" s="252">
        <f>'[77]VENTAS TOTALES'!$F93</f>
        <v>2305</v>
      </c>
      <c r="AB81" s="253">
        <f>'[77]VENTAS TOTALES'!$G93</f>
        <v>972800</v>
      </c>
      <c r="AC81" s="253">
        <f>'[77]VENTAS TOTALES'!$H93</f>
        <v>4891300</v>
      </c>
      <c r="AD81" s="252">
        <f>'[78]VENTAS TOTALES'!$F93</f>
        <v>2248</v>
      </c>
      <c r="AE81" s="253">
        <f>'[78]VENTAS TOTALES'!$G93</f>
        <v>843200</v>
      </c>
      <c r="AF81" s="253">
        <f>'[78]VENTAS TOTALES'!$H93</f>
        <v>4664800</v>
      </c>
      <c r="AG81" s="252">
        <f>'[79]VENTAS TOTALES'!$F93</f>
        <v>2114</v>
      </c>
      <c r="AH81" s="253">
        <f>'[79]VENTAS TOTALES'!$G93</f>
        <v>784200</v>
      </c>
      <c r="AI81" s="253">
        <f>'[79]VENTAS TOTALES'!$H93</f>
        <v>4378000</v>
      </c>
      <c r="AJ81" s="252">
        <f>'[80]VENTAS TOTALES'!$F93</f>
        <v>1148</v>
      </c>
      <c r="AK81" s="253">
        <f>'[80]VENTAS TOTALES'!$G93</f>
        <v>381400</v>
      </c>
      <c r="AL81" s="253">
        <f>'[80]VENTAS TOTALES'!$H93</f>
        <v>2333000</v>
      </c>
      <c r="AM81" s="252">
        <f>'[81]VENTAS TOTALES'!$F93</f>
        <v>245</v>
      </c>
      <c r="AN81" s="253">
        <f>'[81]VENTAS TOTALES'!$G93</f>
        <v>58200</v>
      </c>
      <c r="AO81" s="253">
        <f>'[81]VENTAS TOTALES'!$H93</f>
        <v>474700</v>
      </c>
      <c r="AP81" s="252">
        <f>'[82]VENTAS TOTALES'!$F93</f>
        <v>2653</v>
      </c>
      <c r="AQ81" s="253">
        <f>'[82]VENTAS TOTALES'!$G93</f>
        <v>1160900</v>
      </c>
      <c r="AR81" s="253">
        <f>'[82]VENTAS TOTALES'!$H93</f>
        <v>5671000</v>
      </c>
      <c r="AS81" s="252">
        <f>'[83]VENTAS TOTALES'!$F93</f>
        <v>2252</v>
      </c>
      <c r="AT81" s="253">
        <f>'[83]VENTAS TOTALES'!$G93</f>
        <v>1708400</v>
      </c>
      <c r="AU81" s="253">
        <f>'[83]VENTAS TOTALES'!$H93</f>
        <v>5536800</v>
      </c>
      <c r="AV81" s="252">
        <f>'[84]VENTAS TOTALES'!$F93</f>
        <v>2841</v>
      </c>
      <c r="AW81" s="253">
        <f>'[84]VENTAS TOTALES'!$G93</f>
        <v>2108700</v>
      </c>
      <c r="AX81" s="253">
        <f>'[84]VENTAS TOTALES'!$H93</f>
        <v>6938400</v>
      </c>
      <c r="AY81" s="252">
        <f>'[85]VENTAS TOTALES'!$F93</f>
        <v>2436</v>
      </c>
      <c r="AZ81" s="253">
        <f>'[85]VENTAS TOTALES'!$G93</f>
        <v>1518000</v>
      </c>
      <c r="BA81" s="253">
        <f>'[85]VENTAS TOTALES'!$H93</f>
        <v>5659200</v>
      </c>
      <c r="BB81" s="252">
        <f>'[86]VENTAS TOTALES'!$F93</f>
        <v>2464</v>
      </c>
      <c r="BC81" s="253">
        <f>'[86]VENTAS TOTALES'!$G93</f>
        <v>939600</v>
      </c>
      <c r="BD81" s="253">
        <f>'[86]VENTAS TOTALES'!$H93</f>
        <v>5128400</v>
      </c>
      <c r="BE81" s="252">
        <f>'[87]VENTAS TOTALES'!$F93</f>
        <v>1219</v>
      </c>
      <c r="BF81" s="253">
        <f>'[87]VENTAS TOTALES'!$G93</f>
        <v>637300</v>
      </c>
      <c r="BG81" s="253">
        <f>'[87]VENTAS TOTALES'!$H93</f>
        <v>2709600</v>
      </c>
      <c r="BH81" s="252">
        <f>'[88]VENTAS TOTALES'!$F93</f>
        <v>310</v>
      </c>
      <c r="BI81" s="253">
        <f>'[88]VENTAS TOTALES'!$G93</f>
        <v>145200</v>
      </c>
      <c r="BJ81" s="253">
        <f>'[88]VENTAS TOTALES'!$H93</f>
        <v>672200</v>
      </c>
      <c r="BK81" s="252">
        <f>'[89]VENTAS TOTALES'!$F93</f>
        <v>2662</v>
      </c>
      <c r="BL81" s="253">
        <f>'[89]VENTAS TOTALES'!$G93</f>
        <v>1763200</v>
      </c>
      <c r="BM81" s="253">
        <f>'[89]VENTAS TOTALES'!$H93</f>
        <v>6288600</v>
      </c>
      <c r="BN81" s="252">
        <f>'[90]VENTAS TOTALES'!$F93</f>
        <v>2089</v>
      </c>
      <c r="BO81" s="253">
        <f>'[90]VENTAS TOTALES'!$G93</f>
        <v>1055000</v>
      </c>
      <c r="BP81" s="253">
        <f>'[90]VENTAS TOTALES'!$H93</f>
        <v>4606300</v>
      </c>
      <c r="BQ81" s="252">
        <f>'[91]VENTAS TOTALES'!$F93</f>
        <v>2530</v>
      </c>
      <c r="BR81" s="253">
        <f>'[91]VENTAS TOTALES'!$G93</f>
        <v>831800</v>
      </c>
      <c r="BS81" s="253">
        <f>'[91]VENTAS TOTALES'!$H93</f>
        <v>5132800</v>
      </c>
      <c r="BT81" s="252">
        <f>'[92]VENTAS TOTALES'!$F93</f>
        <v>2289</v>
      </c>
      <c r="BU81" s="253">
        <f>'[92]VENTAS TOTALES'!$G93</f>
        <v>907800</v>
      </c>
      <c r="BV81" s="253">
        <f>'[92]VENTAS TOTALES'!$H93</f>
        <v>4799100</v>
      </c>
      <c r="BW81" s="252">
        <f>'[93]VENTAS TOTALES'!$F93</f>
        <v>2309</v>
      </c>
      <c r="BX81" s="253">
        <f>'[93]VENTAS TOTALES'!$G93</f>
        <v>924700</v>
      </c>
      <c r="BY81" s="253">
        <f>'[93]VENTAS TOTALES'!$H93</f>
        <v>4850000</v>
      </c>
      <c r="BZ81" s="252">
        <f>'[94]VENTAS TOTALES'!$F93</f>
        <v>1241</v>
      </c>
      <c r="CA81" s="253">
        <f>'[94]VENTAS TOTALES'!$G93</f>
        <v>283900</v>
      </c>
      <c r="CB81" s="253">
        <f>'[94]VENTAS TOTALES'!$H93</f>
        <v>2393600</v>
      </c>
      <c r="CC81" s="252">
        <f>'[95]VENTAS TOTALES'!$F93</f>
        <v>378</v>
      </c>
      <c r="CD81" s="253">
        <f>'[95]VENTAS TOTALES'!$G93</f>
        <v>123600</v>
      </c>
      <c r="CE81" s="253">
        <f>'[95]VENTAS TOTALES'!$H93</f>
        <v>766200</v>
      </c>
      <c r="CF81" s="252">
        <f>'[96]VENTAS TOTALES'!$F93</f>
        <v>2884</v>
      </c>
      <c r="CG81" s="253">
        <f>'[96]VENTAS TOTALES'!$G93</f>
        <v>2074200</v>
      </c>
      <c r="CH81" s="253">
        <f>'[96]VENTAS TOTALES'!$H93</f>
        <v>6977000</v>
      </c>
      <c r="CI81" s="252">
        <f>'[97]VENTAS TOTALES'!$F93</f>
        <v>3224</v>
      </c>
      <c r="CJ81" s="253">
        <f>'[97]VENTAS TOTALES'!$G93</f>
        <v>2562900</v>
      </c>
      <c r="CK81" s="253">
        <f>'[97]VENTAS TOTALES'!$H93</f>
        <v>8043700</v>
      </c>
      <c r="CL81" s="252">
        <f>'[98]VENTAS TOTALES'!$F93</f>
        <v>3408</v>
      </c>
      <c r="CM81" s="253">
        <f>'[98]VENTAS TOTALES'!$G93</f>
        <v>1538700</v>
      </c>
      <c r="CN81" s="253">
        <f>'[98]VENTAS TOTALES'!$H93</f>
        <v>7332300</v>
      </c>
      <c r="CO81" s="252">
        <f>'[99]VENTAS TOTALES'!$F93</f>
        <v>2671</v>
      </c>
      <c r="CP81" s="253">
        <f>'[99]VENTAS TOTALES'!$G93</f>
        <v>1537500</v>
      </c>
      <c r="CQ81" s="253">
        <f>'[99]VENTAS TOTALES'!$H93</f>
        <v>6078200</v>
      </c>
      <c r="CR81" s="252">
        <f>'[100]VENTAS TOTALES'!$F93</f>
        <v>2267</v>
      </c>
      <c r="CS81" s="253">
        <f>'[100]VENTAS TOTALES'!$G93</f>
        <v>1070500</v>
      </c>
      <c r="CT81" s="253">
        <f>'[100]VENTAS TOTALES'!$H93</f>
        <v>4924400</v>
      </c>
      <c r="CU81" s="252">
        <f>'[101]VENTAS TOTALES'!$F93</f>
        <v>1399</v>
      </c>
      <c r="CV81" s="253">
        <f>'[101]VENTAS TOTALES'!$G93</f>
        <v>543350</v>
      </c>
      <c r="CW81" s="253">
        <f>'[101]VENTAS TOTALES'!$H93</f>
        <v>2921650</v>
      </c>
      <c r="CX81" s="252">
        <f>'[102]VENTAS TOTALES'!$F93</f>
        <v>327</v>
      </c>
      <c r="CY81" s="253">
        <f>'[102]VENTAS TOTALES'!$G93</f>
        <v>156000</v>
      </c>
      <c r="CZ81" s="253">
        <f>'[102]VENTAS TOTALES'!$H93</f>
        <v>711900</v>
      </c>
    </row>
    <row r="82" spans="1:104" x14ac:dyDescent="0.2">
      <c r="A82" s="443"/>
      <c r="B82" s="45" t="s">
        <v>151</v>
      </c>
      <c r="C82" s="252">
        <f>'[69]VENTAS TOTALES'!$F94</f>
        <v>591</v>
      </c>
      <c r="D82" s="253">
        <f>'[69]VENTAS TOTALES'!$G94</f>
        <v>349200</v>
      </c>
      <c r="E82" s="253">
        <f>'[69]VENTAS TOTALES'!$H94</f>
        <v>1353900</v>
      </c>
      <c r="F82" s="252">
        <f>'[70]VENTAS TOTALES'!$F94</f>
        <v>522</v>
      </c>
      <c r="G82" s="253">
        <f>'[70]VENTAS TOTALES'!$G94</f>
        <v>307150</v>
      </c>
      <c r="H82" s="253">
        <f>'[70]VENTAS TOTALES'!$H94</f>
        <v>1194550</v>
      </c>
      <c r="I82" s="252">
        <f>'[71]VENTAS TOTALES'!$F94</f>
        <v>492</v>
      </c>
      <c r="J82" s="253">
        <f>'[71]VENTAS TOTALES'!$G94</f>
        <v>239700</v>
      </c>
      <c r="K82" s="253">
        <f>'[71]VENTAS TOTALES'!$H94</f>
        <v>1076100</v>
      </c>
      <c r="L82" s="252">
        <f>'[72]VENTAS TOTALES'!$F94</f>
        <v>1035</v>
      </c>
      <c r="M82" s="253">
        <f>'[72]VENTAS TOTALES'!$G94</f>
        <v>336700</v>
      </c>
      <c r="N82" s="253">
        <f>'[72]VENTAS TOTALES'!$H94</f>
        <v>2096200</v>
      </c>
      <c r="O82" s="252">
        <f>'[73]VENTAS TOTALES'!$F94</f>
        <v>198</v>
      </c>
      <c r="P82" s="253">
        <f>'[73]VENTAS TOTALES'!$G94</f>
        <v>70700</v>
      </c>
      <c r="Q82" s="253">
        <f>'[73]VENTAS TOTALES'!$H94</f>
        <v>407300</v>
      </c>
      <c r="R82" s="252">
        <f>'[74]VENTAS TOTALES'!$F94</f>
        <v>50</v>
      </c>
      <c r="S82" s="253">
        <f>'[74]VENTAS TOTALES'!$G94</f>
        <v>20400</v>
      </c>
      <c r="T82" s="253">
        <f>'[74]VENTAS TOTALES'!$H94</f>
        <v>105400</v>
      </c>
      <c r="U82" s="252">
        <f>'[75]VENTAS TOTALES'!$F94</f>
        <v>520</v>
      </c>
      <c r="V82" s="253">
        <f>'[75]VENTAS TOTALES'!$G94</f>
        <v>264100</v>
      </c>
      <c r="W82" s="253">
        <f>'[75]VENTAS TOTALES'!$H94</f>
        <v>1148100</v>
      </c>
      <c r="X82" s="252">
        <f>'[76]VENTAS TOTALES'!$F94</f>
        <v>522</v>
      </c>
      <c r="Y82" s="253">
        <f>'[76]VENTAS TOTALES'!$G94</f>
        <v>123400</v>
      </c>
      <c r="Z82" s="253">
        <f>'[76]VENTAS TOTALES'!$H94</f>
        <v>1010800</v>
      </c>
      <c r="AA82" s="252">
        <f>'[77]VENTAS TOTALES'!$F94</f>
        <v>547</v>
      </c>
      <c r="AB82" s="253">
        <f>'[77]VENTAS TOTALES'!$G94</f>
        <v>248700</v>
      </c>
      <c r="AC82" s="253">
        <f>'[77]VENTAS TOTALES'!$H94</f>
        <v>1178600</v>
      </c>
      <c r="AD82" s="252">
        <f>'[78]VENTAS TOTALES'!$F94</f>
        <v>612</v>
      </c>
      <c r="AE82" s="253">
        <f>'[78]VENTAS TOTALES'!$G94</f>
        <v>172200</v>
      </c>
      <c r="AF82" s="253">
        <f>'[78]VENTAS TOTALES'!$H94</f>
        <v>1212600</v>
      </c>
      <c r="AG82" s="252">
        <f>'[79]VENTAS TOTALES'!$F94</f>
        <v>488</v>
      </c>
      <c r="AH82" s="253">
        <f>'[79]VENTAS TOTALES'!$G94</f>
        <v>133900</v>
      </c>
      <c r="AI82" s="253">
        <f>'[79]VENTAS TOTALES'!$H94</f>
        <v>963500</v>
      </c>
      <c r="AJ82" s="252">
        <f>'[80]VENTAS TOTALES'!$F94</f>
        <v>229</v>
      </c>
      <c r="AK82" s="253">
        <f>'[80]VENTAS TOTALES'!$G94</f>
        <v>36000</v>
      </c>
      <c r="AL82" s="253">
        <f>'[80]VENTAS TOTALES'!$H94</f>
        <v>425300</v>
      </c>
      <c r="AM82" s="252">
        <f>'[81]VENTAS TOTALES'!$F94</f>
        <v>29</v>
      </c>
      <c r="AN82" s="253">
        <f>'[81]VENTAS TOTALES'!$G94</f>
        <v>0</v>
      </c>
      <c r="AO82" s="253">
        <f>'[81]VENTAS TOTALES'!$H94</f>
        <v>49300</v>
      </c>
      <c r="AP82" s="252">
        <f>'[82]VENTAS TOTALES'!$F94</f>
        <v>561</v>
      </c>
      <c r="AQ82" s="253">
        <f>'[82]VENTAS TOTALES'!$G94</f>
        <v>282400</v>
      </c>
      <c r="AR82" s="253">
        <f>'[82]VENTAS TOTALES'!$H94</f>
        <v>1236100</v>
      </c>
      <c r="AS82" s="252">
        <f>'[83]VENTAS TOTALES'!$F94</f>
        <v>408</v>
      </c>
      <c r="AT82" s="253">
        <f>'[83]VENTAS TOTALES'!$G94</f>
        <v>383900</v>
      </c>
      <c r="AU82" s="253">
        <f>'[83]VENTAS TOTALES'!$H94</f>
        <v>1077500</v>
      </c>
      <c r="AV82" s="252">
        <f>'[84]VENTAS TOTALES'!$F94</f>
        <v>649</v>
      </c>
      <c r="AW82" s="253">
        <f>'[84]VENTAS TOTALES'!$G94</f>
        <v>304500</v>
      </c>
      <c r="AX82" s="253">
        <f>'[84]VENTAS TOTALES'!$H94</f>
        <v>1407800</v>
      </c>
      <c r="AY82" s="252">
        <f>'[85]VENTAS TOTALES'!$F94</f>
        <v>462</v>
      </c>
      <c r="AZ82" s="253">
        <f>'[85]VENTAS TOTALES'!$G94</f>
        <v>169000</v>
      </c>
      <c r="BA82" s="253">
        <f>'[85]VENTAS TOTALES'!$H94</f>
        <v>954400</v>
      </c>
      <c r="BB82" s="252">
        <f>'[86]VENTAS TOTALES'!$F94</f>
        <v>458</v>
      </c>
      <c r="BC82" s="253">
        <f>'[86]VENTAS TOTALES'!$G94</f>
        <v>214500</v>
      </c>
      <c r="BD82" s="253">
        <f>'[86]VENTAS TOTALES'!$H94</f>
        <v>993100</v>
      </c>
      <c r="BE82" s="252">
        <f>'[87]VENTAS TOTALES'!$F94</f>
        <v>177</v>
      </c>
      <c r="BF82" s="253">
        <f>'[87]VENTAS TOTALES'!$G94</f>
        <v>96900</v>
      </c>
      <c r="BG82" s="253">
        <f>'[87]VENTAS TOTALES'!$H94</f>
        <v>397800</v>
      </c>
      <c r="BH82" s="252">
        <f>'[88]VENTAS TOTALES'!$F94</f>
        <v>24</v>
      </c>
      <c r="BI82" s="253">
        <f>'[88]VENTAS TOTALES'!$G94</f>
        <v>0</v>
      </c>
      <c r="BJ82" s="253">
        <f>'[88]VENTAS TOTALES'!$H94</f>
        <v>40800</v>
      </c>
      <c r="BK82" s="252">
        <f>'[89]VENTAS TOTALES'!$F94</f>
        <v>564</v>
      </c>
      <c r="BL82" s="253">
        <f>'[89]VENTAS TOTALES'!$G94</f>
        <v>192600</v>
      </c>
      <c r="BM82" s="253">
        <f>'[89]VENTAS TOTALES'!$H94</f>
        <v>1151400</v>
      </c>
      <c r="BN82" s="252">
        <f>'[90]VENTAS TOTALES'!$F94</f>
        <v>698</v>
      </c>
      <c r="BO82" s="253">
        <f>'[90]VENTAS TOTALES'!$G94</f>
        <v>147500</v>
      </c>
      <c r="BP82" s="253">
        <f>'[90]VENTAS TOTALES'!$H94</f>
        <v>1334100</v>
      </c>
      <c r="BQ82" s="252">
        <f>'[91]VENTAS TOTALES'!$F94</f>
        <v>498</v>
      </c>
      <c r="BR82" s="253">
        <f>'[91]VENTAS TOTALES'!$G94</f>
        <v>179800</v>
      </c>
      <c r="BS82" s="253">
        <f>'[91]VENTAS TOTALES'!$H94</f>
        <v>1026400</v>
      </c>
      <c r="BT82" s="252">
        <f>'[92]VENTAS TOTALES'!$F94</f>
        <v>526</v>
      </c>
      <c r="BU82" s="253">
        <f>'[92]VENTAS TOTALES'!$G94</f>
        <v>135900</v>
      </c>
      <c r="BV82" s="253">
        <f>'[92]VENTAS TOTALES'!$H94</f>
        <v>1030100</v>
      </c>
      <c r="BW82" s="252">
        <f>'[93]VENTAS TOTALES'!$F94</f>
        <v>501</v>
      </c>
      <c r="BX82" s="253">
        <f>'[93]VENTAS TOTALES'!$G94</f>
        <v>176000</v>
      </c>
      <c r="BY82" s="253">
        <f>'[93]VENTAS TOTALES'!$H94</f>
        <v>1027700</v>
      </c>
      <c r="BZ82" s="252">
        <f>'[94]VENTAS TOTALES'!$F94</f>
        <v>180</v>
      </c>
      <c r="CA82" s="253">
        <f>'[94]VENTAS TOTALES'!$G94</f>
        <v>46000</v>
      </c>
      <c r="CB82" s="253">
        <f>'[94]VENTAS TOTALES'!$H94</f>
        <v>352000</v>
      </c>
      <c r="CC82" s="252">
        <f>'[95]VENTAS TOTALES'!$F94</f>
        <v>43</v>
      </c>
      <c r="CD82" s="253">
        <f>'[95]VENTAS TOTALES'!$G94</f>
        <v>30000</v>
      </c>
      <c r="CE82" s="253">
        <f>'[95]VENTAS TOTALES'!$H94</f>
        <v>103100</v>
      </c>
      <c r="CF82" s="252">
        <f>'[96]VENTAS TOTALES'!$F94</f>
        <v>633</v>
      </c>
      <c r="CG82" s="253">
        <f>'[96]VENTAS TOTALES'!$G94</f>
        <v>347000</v>
      </c>
      <c r="CH82" s="253">
        <f>'[96]VENTAS TOTALES'!$H94</f>
        <v>1423100</v>
      </c>
      <c r="CI82" s="252">
        <f>'[97]VENTAS TOTALES'!$F94</f>
        <v>682</v>
      </c>
      <c r="CJ82" s="253">
        <f>'[97]VENTAS TOTALES'!$G94</f>
        <v>447400</v>
      </c>
      <c r="CK82" s="253">
        <f>'[97]VENTAS TOTALES'!$H94</f>
        <v>1606800</v>
      </c>
      <c r="CL82" s="252">
        <f>'[98]VENTAS TOTALES'!$F94</f>
        <v>679</v>
      </c>
      <c r="CM82" s="253">
        <f>'[98]VENTAS TOTALES'!$G94</f>
        <v>352900</v>
      </c>
      <c r="CN82" s="253">
        <f>'[98]VENTAS TOTALES'!$H94</f>
        <v>1507200</v>
      </c>
      <c r="CO82" s="252">
        <f>'[99]VENTAS TOTALES'!$F94</f>
        <v>499</v>
      </c>
      <c r="CP82" s="253">
        <f>'[99]VENTAS TOTALES'!$G94</f>
        <v>197100</v>
      </c>
      <c r="CQ82" s="253">
        <f>'[99]VENTAS TOTALES'!$H94</f>
        <v>1045400</v>
      </c>
      <c r="CR82" s="252">
        <f>'[100]VENTAS TOTALES'!$F94</f>
        <v>671</v>
      </c>
      <c r="CS82" s="253">
        <f>'[100]VENTAS TOTALES'!$G94</f>
        <v>103050</v>
      </c>
      <c r="CT82" s="253">
        <f>'[100]VENTAS TOTALES'!$H94</f>
        <v>1243750</v>
      </c>
      <c r="CU82" s="252">
        <f>'[101]VENTAS TOTALES'!$F94</f>
        <v>277</v>
      </c>
      <c r="CV82" s="253">
        <f>'[101]VENTAS TOTALES'!$G94</f>
        <v>136100</v>
      </c>
      <c r="CW82" s="253">
        <f>'[101]VENTAS TOTALES'!$H94</f>
        <v>607000</v>
      </c>
      <c r="CX82" s="252">
        <f>'[102]VENTAS TOTALES'!$F94</f>
        <v>42</v>
      </c>
      <c r="CY82" s="253">
        <f>'[102]VENTAS TOTALES'!$G94</f>
        <v>13400</v>
      </c>
      <c r="CZ82" s="253">
        <f>'[102]VENTAS TOTALES'!$H94</f>
        <v>84800</v>
      </c>
    </row>
    <row r="83" spans="1:104" ht="13.5" thickBot="1" x14ac:dyDescent="0.25">
      <c r="A83" s="443"/>
      <c r="B83" s="49" t="s">
        <v>155</v>
      </c>
      <c r="C83" s="269">
        <f>'[69]VENTAS TOTALES'!$F95</f>
        <v>2945</v>
      </c>
      <c r="D83" s="270">
        <f>'[69]VENTAS TOTALES'!$G95</f>
        <v>2019700</v>
      </c>
      <c r="E83" s="270">
        <f>'[69]VENTAS TOTALES'!$H95</f>
        <v>7026200</v>
      </c>
      <c r="F83" s="269">
        <f>'[70]VENTAS TOTALES'!$F95</f>
        <v>2801</v>
      </c>
      <c r="G83" s="270">
        <f>'[70]VENTAS TOTALES'!$G95</f>
        <v>1539400</v>
      </c>
      <c r="H83" s="270">
        <f>'[70]VENTAS TOTALES'!$H95</f>
        <v>6301100</v>
      </c>
      <c r="I83" s="269">
        <f>'[71]VENTAS TOTALES'!$F95</f>
        <v>2761</v>
      </c>
      <c r="J83" s="270">
        <f>'[71]VENTAS TOTALES'!$G95</f>
        <v>1081100</v>
      </c>
      <c r="K83" s="270">
        <f>'[71]VENTAS TOTALES'!$H95</f>
        <v>5774800</v>
      </c>
      <c r="L83" s="269">
        <f>'[72]VENTAS TOTALES'!$F95</f>
        <v>2324</v>
      </c>
      <c r="M83" s="270">
        <f>'[72]VENTAS TOTALES'!$G95</f>
        <v>938200</v>
      </c>
      <c r="N83" s="270">
        <f>'[72]VENTAS TOTALES'!$H95</f>
        <v>4889000</v>
      </c>
      <c r="O83" s="269">
        <f>'[73]VENTAS TOTALES'!$F95</f>
        <v>1369</v>
      </c>
      <c r="P83" s="270">
        <f>'[73]VENTAS TOTALES'!$G95</f>
        <v>445600</v>
      </c>
      <c r="Q83" s="270">
        <f>'[73]VENTAS TOTALES'!$H95</f>
        <v>2772900</v>
      </c>
      <c r="R83" s="269">
        <f>'[74]VENTAS TOTALES'!$F95</f>
        <v>557</v>
      </c>
      <c r="S83" s="270">
        <f>'[74]VENTAS TOTALES'!$G95</f>
        <v>109700</v>
      </c>
      <c r="T83" s="270">
        <f>'[74]VENTAS TOTALES'!$H95</f>
        <v>1056600</v>
      </c>
      <c r="U83" s="269">
        <f>'[75]VENTAS TOTALES'!$F95</f>
        <v>2818</v>
      </c>
      <c r="V83" s="270">
        <f>'[75]VENTAS TOTALES'!$G95</f>
        <v>1231300</v>
      </c>
      <c r="W83" s="270">
        <f>'[75]VENTAS TOTALES'!$H95</f>
        <v>6021900</v>
      </c>
      <c r="X83" s="269">
        <f>'[76]VENTAS TOTALES'!$F95</f>
        <v>2642</v>
      </c>
      <c r="Y83" s="270">
        <f>'[76]VENTAS TOTALES'!$G95</f>
        <v>1000700</v>
      </c>
      <c r="Z83" s="270">
        <f>'[76]VENTAS TOTALES'!$H95</f>
        <v>5492100</v>
      </c>
      <c r="AA83" s="269">
        <f>'[77]VENTAS TOTALES'!$F95</f>
        <v>2612</v>
      </c>
      <c r="AB83" s="270">
        <f>'[77]VENTAS TOTALES'!$G95</f>
        <v>855700</v>
      </c>
      <c r="AC83" s="270">
        <f>'[77]VENTAS TOTALES'!$H95</f>
        <v>5296100</v>
      </c>
      <c r="AD83" s="269">
        <f>'[78]VENTAS TOTALES'!$F95</f>
        <v>2654</v>
      </c>
      <c r="AE83" s="270">
        <f>'[78]VENTAS TOTALES'!$G95</f>
        <v>947300</v>
      </c>
      <c r="AF83" s="270">
        <f>'[78]VENTAS TOTALES'!$H95</f>
        <v>5459100</v>
      </c>
      <c r="AG83" s="269">
        <f>'[79]VENTAS TOTALES'!$F95</f>
        <v>2393</v>
      </c>
      <c r="AH83" s="270">
        <f>'[79]VENTAS TOTALES'!$G95</f>
        <v>819700</v>
      </c>
      <c r="AI83" s="270">
        <f>'[79]VENTAS TOTALES'!$H95</f>
        <v>4887800</v>
      </c>
      <c r="AJ83" s="269">
        <f>'[80]VENTAS TOTALES'!$F95</f>
        <v>1350</v>
      </c>
      <c r="AK83" s="270">
        <f>'[80]VENTAS TOTALES'!$G95</f>
        <v>459100</v>
      </c>
      <c r="AL83" s="270">
        <f>'[80]VENTAS TOTALES'!$H95</f>
        <v>2754100</v>
      </c>
      <c r="AM83" s="269">
        <f>'[81]VENTAS TOTALES'!$F95</f>
        <v>575</v>
      </c>
      <c r="AN83" s="270">
        <f>'[81]VENTAS TOTALES'!$G95</f>
        <v>138600</v>
      </c>
      <c r="AO83" s="270">
        <f>'[81]VENTAS TOTALES'!$H95</f>
        <v>1116100</v>
      </c>
      <c r="AP83" s="269">
        <f>'[82]VENTAS TOTALES'!$F95</f>
        <v>2953</v>
      </c>
      <c r="AQ83" s="270">
        <f>'[82]VENTAS TOTALES'!$G95</f>
        <v>1171200</v>
      </c>
      <c r="AR83" s="270">
        <f>'[82]VENTAS TOTALES'!$H95</f>
        <v>6191300</v>
      </c>
      <c r="AS83" s="269">
        <f>'[83]VENTAS TOTALES'!$F95</f>
        <v>2639</v>
      </c>
      <c r="AT83" s="270">
        <f>'[83]VENTAS TOTALES'!$G95</f>
        <v>1277200</v>
      </c>
      <c r="AU83" s="270">
        <f>'[83]VENTAS TOTALES'!$H95</f>
        <v>5763500</v>
      </c>
      <c r="AV83" s="269">
        <f>'[84]VENTAS TOTALES'!$F95</f>
        <v>2838</v>
      </c>
      <c r="AW83" s="270">
        <f>'[84]VENTAS TOTALES'!$G95</f>
        <v>1762100</v>
      </c>
      <c r="AX83" s="270">
        <f>'[84]VENTAS TOTALES'!$H95</f>
        <v>6586700</v>
      </c>
      <c r="AY83" s="269">
        <f>'[85]VENTAS TOTALES'!$F95</f>
        <v>2685</v>
      </c>
      <c r="AZ83" s="270">
        <f>'[85]VENTAS TOTALES'!$G95</f>
        <v>1291050</v>
      </c>
      <c r="BA83" s="270">
        <f>'[85]VENTAS TOTALES'!$H95</f>
        <v>5855550</v>
      </c>
      <c r="BB83" s="269">
        <f>'[86]VENTAS TOTALES'!$F95</f>
        <v>2515</v>
      </c>
      <c r="BC83" s="270">
        <f>'[86]VENTAS TOTALES'!$G95</f>
        <v>1021700</v>
      </c>
      <c r="BD83" s="270">
        <f>'[86]VENTAS TOTALES'!$H95</f>
        <v>5297200</v>
      </c>
      <c r="BE83" s="269">
        <f>'[87]VENTAS TOTALES'!$F95</f>
        <v>1322</v>
      </c>
      <c r="BF83" s="270">
        <f>'[87]VENTAS TOTALES'!$G95</f>
        <v>381000</v>
      </c>
      <c r="BG83" s="270">
        <f>'[87]VENTAS TOTALES'!$H95</f>
        <v>2628400</v>
      </c>
      <c r="BH83" s="269">
        <f>'[88]VENTAS TOTALES'!$F95</f>
        <v>696</v>
      </c>
      <c r="BI83" s="270">
        <f>'[88]VENTAS TOTALES'!$G95</f>
        <v>128400</v>
      </c>
      <c r="BJ83" s="270">
        <f>'[88]VENTAS TOTALES'!$H95</f>
        <v>1311600</v>
      </c>
      <c r="BK83" s="269">
        <f>'[89]VENTAS TOTALES'!$F95</f>
        <v>3055</v>
      </c>
      <c r="BL83" s="270">
        <f>'[89]VENTAS TOTALES'!$G95</f>
        <v>1393500</v>
      </c>
      <c r="BM83" s="270">
        <f>'[89]VENTAS TOTALES'!$H95</f>
        <v>6587000</v>
      </c>
      <c r="BN83" s="269">
        <f>'[90]VENTAS TOTALES'!$F95</f>
        <v>2681</v>
      </c>
      <c r="BO83" s="270">
        <f>'[90]VENTAS TOTALES'!$G95</f>
        <v>881400</v>
      </c>
      <c r="BP83" s="270">
        <f>'[90]VENTAS TOTALES'!$H95</f>
        <v>5439100</v>
      </c>
      <c r="BQ83" s="269">
        <f>'[91]VENTAS TOTALES'!$F95</f>
        <v>2554</v>
      </c>
      <c r="BR83" s="270">
        <f>'[91]VENTAS TOTALES'!$G95</f>
        <v>977200</v>
      </c>
      <c r="BS83" s="270">
        <f>'[91]VENTAS TOTALES'!$H95</f>
        <v>5319000</v>
      </c>
      <c r="BT83" s="269">
        <f>'[92]VENTAS TOTALES'!$F95</f>
        <v>2715</v>
      </c>
      <c r="BU83" s="270">
        <f>'[92]VENTAS TOTALES'!$G95</f>
        <v>845000</v>
      </c>
      <c r="BV83" s="270">
        <f>'[92]VENTAS TOTALES'!$H95</f>
        <v>5460500</v>
      </c>
      <c r="BW83" s="269">
        <f>'[93]VENTAS TOTALES'!$F95</f>
        <v>2727</v>
      </c>
      <c r="BX83" s="270">
        <f>'[93]VENTAS TOTALES'!$G95</f>
        <v>1090800</v>
      </c>
      <c r="BY83" s="270">
        <f>'[93]VENTAS TOTALES'!$H95</f>
        <v>5726700</v>
      </c>
      <c r="BZ83" s="269">
        <f>'[94]VENTAS TOTALES'!$F95</f>
        <v>1547</v>
      </c>
      <c r="CA83" s="270">
        <f>'[94]VENTAS TOTALES'!$G95</f>
        <v>743500</v>
      </c>
      <c r="CB83" s="270">
        <f>'[94]VENTAS TOTALES'!$H95</f>
        <v>3373400</v>
      </c>
      <c r="CC83" s="269">
        <f>'[95]VENTAS TOTALES'!$F95</f>
        <v>724</v>
      </c>
      <c r="CD83" s="270">
        <f>'[95]VENTAS TOTALES'!$G95</f>
        <v>89300</v>
      </c>
      <c r="CE83" s="270">
        <f>'[95]VENTAS TOTALES'!$H95</f>
        <v>1320100</v>
      </c>
      <c r="CF83" s="269">
        <f>'[96]VENTAS TOTALES'!$F95</f>
        <v>3154</v>
      </c>
      <c r="CG83" s="270">
        <f>'[96]VENTAS TOTALES'!$G95</f>
        <v>2401000</v>
      </c>
      <c r="CH83" s="270">
        <f>'[96]VENTAS TOTALES'!$H95</f>
        <v>7762800</v>
      </c>
      <c r="CI83" s="269">
        <f>'[97]VENTAS TOTALES'!$F95</f>
        <v>3288</v>
      </c>
      <c r="CJ83" s="270">
        <f>'[97]VENTAS TOTALES'!$G95</f>
        <v>2315100</v>
      </c>
      <c r="CK83" s="270">
        <f>'[97]VENTAS TOTALES'!$H95</f>
        <v>7904700</v>
      </c>
      <c r="CL83" s="269">
        <f>'[98]VENTAS TOTALES'!$F95</f>
        <v>3205</v>
      </c>
      <c r="CM83" s="270">
        <f>'[98]VENTAS TOTALES'!$G95</f>
        <v>1672400</v>
      </c>
      <c r="CN83" s="270">
        <f>'[98]VENTAS TOTALES'!$H95</f>
        <v>7120900</v>
      </c>
      <c r="CO83" s="269">
        <f>'[99]VENTAS TOTALES'!$F95</f>
        <v>3069</v>
      </c>
      <c r="CP83" s="270">
        <f>'[99]VENTAS TOTALES'!$G95</f>
        <v>1086200</v>
      </c>
      <c r="CQ83" s="270">
        <f>'[99]VENTAS TOTALES'!$H95</f>
        <v>6303500</v>
      </c>
      <c r="CR83" s="269">
        <f>'[100]VENTAS TOTALES'!$F95</f>
        <v>2536</v>
      </c>
      <c r="CS83" s="270">
        <f>'[100]VENTAS TOTALES'!$G95</f>
        <v>693300</v>
      </c>
      <c r="CT83" s="270">
        <f>'[100]VENTAS TOTALES'!$H95</f>
        <v>5004500</v>
      </c>
      <c r="CU83" s="269">
        <f>'[101]VENTAS TOTALES'!$F95</f>
        <v>1442</v>
      </c>
      <c r="CV83" s="270">
        <f>'[101]VENTAS TOTALES'!$G95</f>
        <v>436200</v>
      </c>
      <c r="CW83" s="270">
        <f>'[101]VENTAS TOTALES'!$H95</f>
        <v>2887600</v>
      </c>
      <c r="CX83" s="269">
        <f>'[102]VENTAS TOTALES'!$F95</f>
        <v>575</v>
      </c>
      <c r="CY83" s="270">
        <f>'[102]VENTAS TOTALES'!$G95</f>
        <v>143800</v>
      </c>
      <c r="CZ83" s="270">
        <f>'[102]VENTAS TOTALES'!$H95</f>
        <v>1121300</v>
      </c>
    </row>
    <row r="84" spans="1:104" x14ac:dyDescent="0.2">
      <c r="A84" s="443"/>
      <c r="B84" s="50" t="s">
        <v>35</v>
      </c>
      <c r="C84" s="267">
        <f>'[69]VENTAS TOTALES'!$F96</f>
        <v>3226</v>
      </c>
      <c r="D84" s="268">
        <f>'[69]VENTAS TOTALES'!$G96</f>
        <v>845500</v>
      </c>
      <c r="E84" s="268">
        <f>'[69]VENTAS TOTALES'!$H96</f>
        <v>6329700</v>
      </c>
      <c r="F84" s="267">
        <f>'[70]VENTAS TOTALES'!$F96</f>
        <v>3150</v>
      </c>
      <c r="G84" s="268">
        <f>'[70]VENTAS TOTALES'!$G96</f>
        <v>568400</v>
      </c>
      <c r="H84" s="268">
        <f>'[70]VENTAS TOTALES'!$H96</f>
        <v>5923400</v>
      </c>
      <c r="I84" s="267">
        <f>'[71]VENTAS TOTALES'!$F96</f>
        <v>2762</v>
      </c>
      <c r="J84" s="268">
        <f>'[71]VENTAS TOTALES'!$G96</f>
        <v>481150</v>
      </c>
      <c r="K84" s="268">
        <f>'[71]VENTAS TOTALES'!$H96</f>
        <v>5176550</v>
      </c>
      <c r="L84" s="267">
        <f>'[72]VENTAS TOTALES'!$F96</f>
        <v>2785</v>
      </c>
      <c r="M84" s="268">
        <f>'[72]VENTAS TOTALES'!$G96</f>
        <v>438600</v>
      </c>
      <c r="N84" s="268">
        <f>'[72]VENTAS TOTALES'!$H96</f>
        <v>5173100</v>
      </c>
      <c r="O84" s="267">
        <f>'[73]VENTAS TOTALES'!$F96</f>
        <v>2231</v>
      </c>
      <c r="P84" s="268">
        <f>'[73]VENTAS TOTALES'!$G96</f>
        <v>495500</v>
      </c>
      <c r="Q84" s="268">
        <f>'[73]VENTAS TOTALES'!$H96</f>
        <v>4288200</v>
      </c>
      <c r="R84" s="267">
        <f>'[74]VENTAS TOTALES'!$F96</f>
        <v>1484</v>
      </c>
      <c r="S84" s="268">
        <f>'[74]VENTAS TOTALES'!$G96</f>
        <v>354700</v>
      </c>
      <c r="T84" s="268">
        <f>'[74]VENTAS TOTALES'!$H96</f>
        <v>2877500</v>
      </c>
      <c r="U84" s="267">
        <f>'[75]VENTAS TOTALES'!$F96</f>
        <v>3325</v>
      </c>
      <c r="V84" s="268">
        <f>'[75]VENTAS TOTALES'!$G96</f>
        <v>828400</v>
      </c>
      <c r="W84" s="268">
        <f>'[75]VENTAS TOTALES'!$H96</f>
        <v>6480900</v>
      </c>
      <c r="X84" s="267">
        <f>'[76]VENTAS TOTALES'!$F96</f>
        <v>2879</v>
      </c>
      <c r="Y84" s="268">
        <f>'[76]VENTAS TOTALES'!$G96</f>
        <v>571500</v>
      </c>
      <c r="Z84" s="268">
        <f>'[76]VENTAS TOTALES'!$H96</f>
        <v>5465800</v>
      </c>
      <c r="AA84" s="267">
        <f>'[77]VENTAS TOTALES'!$F96</f>
        <v>2736</v>
      </c>
      <c r="AB84" s="268">
        <f>'[77]VENTAS TOTALES'!$G96</f>
        <v>391800</v>
      </c>
      <c r="AC84" s="268">
        <f>'[77]VENTAS TOTALES'!$H96</f>
        <v>5043000</v>
      </c>
      <c r="AD84" s="267">
        <f>'[78]VENTAS TOTALES'!$F96</f>
        <v>2728</v>
      </c>
      <c r="AE84" s="268">
        <f>'[78]VENTAS TOTALES'!$G96</f>
        <v>410800</v>
      </c>
      <c r="AF84" s="268">
        <f>'[78]VENTAS TOTALES'!$H96</f>
        <v>5048400</v>
      </c>
      <c r="AG84" s="267">
        <f>'[79]VENTAS TOTALES'!$F96</f>
        <v>2867</v>
      </c>
      <c r="AH84" s="268">
        <f>'[79]VENTAS TOTALES'!$G96</f>
        <v>383300</v>
      </c>
      <c r="AI84" s="268">
        <f>'[79]VENTAS TOTALES'!$H96</f>
        <v>5257200</v>
      </c>
      <c r="AJ84" s="267">
        <f>'[80]VENTAS TOTALES'!$F96</f>
        <v>2331</v>
      </c>
      <c r="AK84" s="268">
        <f>'[80]VENTAS TOTALES'!$G96</f>
        <v>261800</v>
      </c>
      <c r="AL84" s="268">
        <f>'[80]VENTAS TOTALES'!$H96</f>
        <v>4224500</v>
      </c>
      <c r="AM84" s="267">
        <f>'[81]VENTAS TOTALES'!$F96</f>
        <v>1454</v>
      </c>
      <c r="AN84" s="268">
        <f>'[81]VENTAS TOTALES'!$G96</f>
        <v>207500</v>
      </c>
      <c r="AO84" s="268">
        <f>'[81]VENTAS TOTALES'!$H96</f>
        <v>2679300</v>
      </c>
      <c r="AP84" s="267">
        <f>'[82]VENTAS TOTALES'!$F96</f>
        <v>3240</v>
      </c>
      <c r="AQ84" s="268">
        <f>'[82]VENTAS TOTALES'!$G96</f>
        <v>794700</v>
      </c>
      <c r="AR84" s="268">
        <f>'[82]VENTAS TOTALES'!$H96</f>
        <v>6302700</v>
      </c>
      <c r="AS84" s="267">
        <f>'[83]VENTAS TOTALES'!$F96</f>
        <v>2934</v>
      </c>
      <c r="AT84" s="268">
        <f>'[83]VENTAS TOTALES'!$G96</f>
        <v>566800</v>
      </c>
      <c r="AU84" s="268">
        <f>'[83]VENTAS TOTALES'!$H96</f>
        <v>5554600</v>
      </c>
      <c r="AV84" s="267">
        <f>'[84]VENTAS TOTALES'!$F96</f>
        <v>3091</v>
      </c>
      <c r="AW84" s="268">
        <f>'[84]VENTAS TOTALES'!$G96</f>
        <v>779900</v>
      </c>
      <c r="AX84" s="268">
        <f>'[84]VENTAS TOTALES'!$H96</f>
        <v>6034600</v>
      </c>
      <c r="AY84" s="267">
        <f>'[85]VENTAS TOTALES'!$F96</f>
        <v>2915</v>
      </c>
      <c r="AZ84" s="268">
        <f>'[85]VENTAS TOTALES'!$G96</f>
        <v>692050</v>
      </c>
      <c r="BA84" s="268">
        <f>'[85]VENTAS TOTALES'!$H96</f>
        <v>5647550</v>
      </c>
      <c r="BB84" s="267">
        <f>'[86]VENTAS TOTALES'!$F96</f>
        <v>2799</v>
      </c>
      <c r="BC84" s="268">
        <f>'[86]VENTAS TOTALES'!$G96</f>
        <v>387500</v>
      </c>
      <c r="BD84" s="268">
        <f>'[86]VENTAS TOTALES'!$H96</f>
        <v>5145800</v>
      </c>
      <c r="BE84" s="267">
        <f>'[87]VENTAS TOTALES'!$F96</f>
        <v>2500</v>
      </c>
      <c r="BF84" s="268">
        <f>'[87]VENTAS TOTALES'!$G96</f>
        <v>296950</v>
      </c>
      <c r="BG84" s="268">
        <f>'[87]VENTAS TOTALES'!$H96</f>
        <v>4546950</v>
      </c>
      <c r="BH84" s="267">
        <f>'[88]VENTAS TOTALES'!$F96</f>
        <v>1518</v>
      </c>
      <c r="BI84" s="268">
        <f>'[88]VENTAS TOTALES'!$G96</f>
        <v>198500</v>
      </c>
      <c r="BJ84" s="268">
        <f>'[88]VENTAS TOTALES'!$H96</f>
        <v>2779100</v>
      </c>
      <c r="BK84" s="267">
        <f>'[89]VENTAS TOTALES'!$F96</f>
        <v>3413</v>
      </c>
      <c r="BL84" s="268">
        <f>'[89]VENTAS TOTALES'!$G96</f>
        <v>885000</v>
      </c>
      <c r="BM84" s="268">
        <f>'[89]VENTAS TOTALES'!$H96</f>
        <v>6687100</v>
      </c>
      <c r="BN84" s="267">
        <f>'[90]VENTAS TOTALES'!$F96</f>
        <v>2744</v>
      </c>
      <c r="BO84" s="268">
        <f>'[90]VENTAS TOTALES'!$G96</f>
        <v>373500</v>
      </c>
      <c r="BP84" s="268">
        <f>'[90]VENTAS TOTALES'!$H96</f>
        <v>5038300</v>
      </c>
      <c r="BQ84" s="267">
        <f>'[91]VENTAS TOTALES'!$F96</f>
        <v>3090</v>
      </c>
      <c r="BR84" s="268">
        <f>'[91]VENTAS TOTALES'!$G96</f>
        <v>359400</v>
      </c>
      <c r="BS84" s="268">
        <f>'[91]VENTAS TOTALES'!$H96</f>
        <v>5612400</v>
      </c>
      <c r="BT84" s="267">
        <f>'[92]VENTAS TOTALES'!$F96</f>
        <v>2891</v>
      </c>
      <c r="BU84" s="268">
        <f>'[92]VENTAS TOTALES'!$G96</f>
        <v>325500</v>
      </c>
      <c r="BV84" s="268">
        <f>'[92]VENTAS TOTALES'!$H96</f>
        <v>5240200</v>
      </c>
      <c r="BW84" s="267">
        <f>'[93]VENTAS TOTALES'!$F96</f>
        <v>2600</v>
      </c>
      <c r="BX84" s="268">
        <f>'[93]VENTAS TOTALES'!$G96</f>
        <v>425000</v>
      </c>
      <c r="BY84" s="268">
        <f>'[93]VENTAS TOTALES'!$H96</f>
        <v>4845000</v>
      </c>
      <c r="BZ84" s="267">
        <f>'[94]VENTAS TOTALES'!$F96</f>
        <v>2532</v>
      </c>
      <c r="CA84" s="268">
        <f>'[94]VENTAS TOTALES'!$G96</f>
        <v>435900</v>
      </c>
      <c r="CB84" s="268">
        <f>'[94]VENTAS TOTALES'!$H96</f>
        <v>4740300</v>
      </c>
      <c r="CC84" s="267">
        <f>'[95]VENTAS TOTALES'!$F96</f>
        <v>1652</v>
      </c>
      <c r="CD84" s="268">
        <f>'[95]VENTAS TOTALES'!$G96</f>
        <v>219400</v>
      </c>
      <c r="CE84" s="268">
        <f>'[95]VENTAS TOTALES'!$H96</f>
        <v>3027800</v>
      </c>
      <c r="CF84" s="267">
        <f>'[96]VENTAS TOTALES'!$F96</f>
        <v>3645</v>
      </c>
      <c r="CG84" s="268">
        <f>'[96]VENTAS TOTALES'!$G96</f>
        <v>720000</v>
      </c>
      <c r="CH84" s="268">
        <f>'[96]VENTAS TOTALES'!$H96</f>
        <v>6916500</v>
      </c>
      <c r="CI84" s="267">
        <f>'[97]VENTAS TOTALES'!$F96</f>
        <v>3643</v>
      </c>
      <c r="CJ84" s="268">
        <f>'[97]VENTAS TOTALES'!$G96</f>
        <v>907700</v>
      </c>
      <c r="CK84" s="268">
        <f>'[97]VENTAS TOTALES'!$H96</f>
        <v>7100800</v>
      </c>
      <c r="CL84" s="267">
        <f>'[98]VENTAS TOTALES'!$F96</f>
        <v>3440</v>
      </c>
      <c r="CM84" s="268">
        <f>'[98]VENTAS TOTALES'!$G96</f>
        <v>847100</v>
      </c>
      <c r="CN84" s="268">
        <f>'[98]VENTAS TOTALES'!$H96</f>
        <v>6695100</v>
      </c>
      <c r="CO84" s="267">
        <f>'[99]VENTAS TOTALES'!$F96</f>
        <v>3039</v>
      </c>
      <c r="CP84" s="268">
        <f>'[99]VENTAS TOTALES'!$G96</f>
        <v>534900</v>
      </c>
      <c r="CQ84" s="268">
        <f>'[99]VENTAS TOTALES'!$H96</f>
        <v>5701200</v>
      </c>
      <c r="CR84" s="267">
        <f>'[100]VENTAS TOTALES'!$F96</f>
        <v>2920</v>
      </c>
      <c r="CS84" s="268">
        <f>'[100]VENTAS TOTALES'!$G96</f>
        <v>659200</v>
      </c>
      <c r="CT84" s="268">
        <f>'[100]VENTAS TOTALES'!$H96</f>
        <v>5623200</v>
      </c>
      <c r="CU84" s="267">
        <f>'[101]VENTAS TOTALES'!$F96</f>
        <v>2386</v>
      </c>
      <c r="CV84" s="268">
        <f>'[101]VENTAS TOTALES'!$G96</f>
        <v>461100</v>
      </c>
      <c r="CW84" s="268">
        <f>'[101]VENTAS TOTALES'!$H96</f>
        <v>4517300</v>
      </c>
      <c r="CX84" s="267">
        <f>'[102]VENTAS TOTALES'!$F96</f>
        <v>1437</v>
      </c>
      <c r="CY84" s="268">
        <f>'[102]VENTAS TOTALES'!$G96</f>
        <v>197100</v>
      </c>
      <c r="CZ84" s="268">
        <f>'[102]VENTAS TOTALES'!$H96</f>
        <v>2640000</v>
      </c>
    </row>
    <row r="85" spans="1:104" x14ac:dyDescent="0.2">
      <c r="A85" s="443"/>
      <c r="B85" s="43" t="s">
        <v>496</v>
      </c>
      <c r="C85" s="252">
        <f>'[69]VENTAS TOTALES'!$F97</f>
        <v>6909</v>
      </c>
      <c r="D85" s="253">
        <f>'[69]VENTAS TOTALES'!$G97</f>
        <v>1795900</v>
      </c>
      <c r="E85" s="253">
        <f>'[69]VENTAS TOTALES'!$H97</f>
        <v>13541200</v>
      </c>
      <c r="F85" s="252">
        <f>'[70]VENTAS TOTALES'!$F97</f>
        <v>6361</v>
      </c>
      <c r="G85" s="253">
        <f>'[70]VENTAS TOTALES'!$G97</f>
        <v>1508300</v>
      </c>
      <c r="H85" s="253">
        <f>'[70]VENTAS TOTALES'!$H97</f>
        <v>12322000</v>
      </c>
      <c r="I85" s="252">
        <f>'[71]VENTAS TOTALES'!$F97</f>
        <v>5806</v>
      </c>
      <c r="J85" s="253">
        <f>'[71]VENTAS TOTALES'!$G97</f>
        <v>1137600</v>
      </c>
      <c r="K85" s="253">
        <f>'[71]VENTAS TOTALES'!$H97</f>
        <v>11007800</v>
      </c>
      <c r="L85" s="252">
        <f>'[72]VENTAS TOTALES'!$F97</f>
        <v>5795</v>
      </c>
      <c r="M85" s="253">
        <f>'[72]VENTAS TOTALES'!$G97</f>
        <v>911900</v>
      </c>
      <c r="N85" s="253">
        <f>'[72]VENTAS TOTALES'!$H97</f>
        <v>10763400</v>
      </c>
      <c r="O85" s="252">
        <f>'[73]VENTAS TOTALES'!$F97</f>
        <v>3945</v>
      </c>
      <c r="P85" s="253">
        <f>'[73]VENTAS TOTALES'!$G97</f>
        <v>669300</v>
      </c>
      <c r="Q85" s="253">
        <f>'[73]VENTAS TOTALES'!$H97</f>
        <v>7375800</v>
      </c>
      <c r="R85" s="252">
        <f>'[74]VENTAS TOTALES'!$F97</f>
        <v>2007</v>
      </c>
      <c r="S85" s="253">
        <f>'[74]VENTAS TOTALES'!$G97</f>
        <v>234000</v>
      </c>
      <c r="T85" s="253">
        <f>'[74]VENTAS TOTALES'!$H97</f>
        <v>3645900</v>
      </c>
      <c r="U85" s="252">
        <f>'[75]VENTAS TOTALES'!$F97</f>
        <v>7079</v>
      </c>
      <c r="V85" s="253">
        <f>'[75]VENTAS TOTALES'!$G97</f>
        <v>1529900</v>
      </c>
      <c r="W85" s="253">
        <f>'[75]VENTAS TOTALES'!$H97</f>
        <v>13564200</v>
      </c>
      <c r="X85" s="252">
        <f>'[76]VENTAS TOTALES'!$F97</f>
        <v>6549</v>
      </c>
      <c r="Y85" s="253">
        <f>'[76]VENTAS TOTALES'!$G97</f>
        <v>1683300</v>
      </c>
      <c r="Z85" s="253">
        <f>'[76]VENTAS TOTALES'!$H97</f>
        <v>12816600</v>
      </c>
      <c r="AA85" s="252">
        <f>'[77]VENTAS TOTALES'!$F97</f>
        <v>6042</v>
      </c>
      <c r="AB85" s="253">
        <f>'[77]VENTAS TOTALES'!$G97</f>
        <v>1153400</v>
      </c>
      <c r="AC85" s="253">
        <f>'[77]VENTAS TOTALES'!$H97</f>
        <v>11424800</v>
      </c>
      <c r="AD85" s="252">
        <f>'[78]VENTAS TOTALES'!$F97</f>
        <v>6088</v>
      </c>
      <c r="AE85" s="253">
        <f>'[78]VENTAS TOTALES'!$G97</f>
        <v>1040400</v>
      </c>
      <c r="AF85" s="253">
        <f>'[78]VENTAS TOTALES'!$H97</f>
        <v>11390000</v>
      </c>
      <c r="AG85" s="252">
        <f>'[79]VENTAS TOTALES'!$F97</f>
        <v>5551</v>
      </c>
      <c r="AH85" s="253">
        <f>'[79]VENTAS TOTALES'!$G97</f>
        <v>916300</v>
      </c>
      <c r="AI85" s="253">
        <f>'[79]VENTAS TOTALES'!$H97</f>
        <v>10353000</v>
      </c>
      <c r="AJ85" s="252">
        <f>'[80]VENTAS TOTALES'!$F97</f>
        <v>3806</v>
      </c>
      <c r="AK85" s="253">
        <f>'[80]VENTAS TOTALES'!$G97</f>
        <v>499500</v>
      </c>
      <c r="AL85" s="253">
        <f>'[80]VENTAS TOTALES'!$H97</f>
        <v>6969700</v>
      </c>
      <c r="AM85" s="252">
        <f>'[81]VENTAS TOTALES'!$F97</f>
        <v>1941</v>
      </c>
      <c r="AN85" s="253">
        <f>'[81]VENTAS TOTALES'!$G97</f>
        <v>328800</v>
      </c>
      <c r="AO85" s="253">
        <f>'[81]VENTAS TOTALES'!$H97</f>
        <v>3628500</v>
      </c>
      <c r="AP85" s="252">
        <f>'[82]VENTAS TOTALES'!$F97</f>
        <v>7209</v>
      </c>
      <c r="AQ85" s="253">
        <f>'[82]VENTAS TOTALES'!$G97</f>
        <v>1622500</v>
      </c>
      <c r="AR85" s="253">
        <f>'[82]VENTAS TOTALES'!$H97</f>
        <v>13877800</v>
      </c>
      <c r="AS85" s="252">
        <f>'[83]VENTAS TOTALES'!$F97</f>
        <v>6169</v>
      </c>
      <c r="AT85" s="253">
        <f>'[83]VENTAS TOTALES'!$G97</f>
        <v>1609600</v>
      </c>
      <c r="AU85" s="253">
        <f>'[83]VENTAS TOTALES'!$H97</f>
        <v>12096900</v>
      </c>
      <c r="AV85" s="252">
        <f>'[84]VENTAS TOTALES'!$F97</f>
        <v>6366</v>
      </c>
      <c r="AW85" s="253">
        <f>'[84]VENTAS TOTALES'!$G97</f>
        <v>1326900</v>
      </c>
      <c r="AX85" s="253">
        <f>'[84]VENTAS TOTALES'!$H97</f>
        <v>12149100</v>
      </c>
      <c r="AY85" s="252">
        <f>'[85]VENTAS TOTALES'!$F97</f>
        <v>5949</v>
      </c>
      <c r="AZ85" s="253">
        <f>'[85]VENTAS TOTALES'!$G97</f>
        <v>1295300</v>
      </c>
      <c r="BA85" s="253">
        <f>'[85]VENTAS TOTALES'!$H97</f>
        <v>11408600</v>
      </c>
      <c r="BB85" s="252">
        <f>'[86]VENTAS TOTALES'!$F97</f>
        <v>6041</v>
      </c>
      <c r="BC85" s="253">
        <f>'[86]VENTAS TOTALES'!$G97</f>
        <v>936900</v>
      </c>
      <c r="BD85" s="253">
        <f>'[86]VENTAS TOTALES'!$H97</f>
        <v>11206600</v>
      </c>
      <c r="BE85" s="252">
        <f>'[87]VENTAS TOTALES'!$F97</f>
        <v>4229</v>
      </c>
      <c r="BF85" s="253">
        <f>'[87]VENTAS TOTALES'!$G97</f>
        <v>745000</v>
      </c>
      <c r="BG85" s="253">
        <f>'[87]VENTAS TOTALES'!$H97</f>
        <v>7934300</v>
      </c>
      <c r="BH85" s="252">
        <f>'[88]VENTAS TOTALES'!$F97</f>
        <v>1941</v>
      </c>
      <c r="BI85" s="253">
        <f>'[88]VENTAS TOTALES'!$G97</f>
        <v>354600</v>
      </c>
      <c r="BJ85" s="253">
        <f>'[88]VENTAS TOTALES'!$H97</f>
        <v>3654300</v>
      </c>
      <c r="BK85" s="252">
        <f>'[89]VENTAS TOTALES'!$F97</f>
        <v>7041</v>
      </c>
      <c r="BL85" s="253">
        <f>'[89]VENTAS TOTALES'!$G97</f>
        <v>1389000</v>
      </c>
      <c r="BM85" s="253">
        <f>'[89]VENTAS TOTALES'!$H97</f>
        <v>13358700</v>
      </c>
      <c r="BN85" s="252">
        <f>'[90]VENTAS TOTALES'!$F97</f>
        <v>6183</v>
      </c>
      <c r="BO85" s="253">
        <f>'[90]VENTAS TOTALES'!$G97</f>
        <v>1210000</v>
      </c>
      <c r="BP85" s="253">
        <f>'[90]VENTAS TOTALES'!$H97</f>
        <v>11721100</v>
      </c>
      <c r="BQ85" s="252">
        <f>'[91]VENTAS TOTALES'!$F97</f>
        <v>6226</v>
      </c>
      <c r="BR85" s="253">
        <f>'[91]VENTAS TOTALES'!$G97</f>
        <v>1181400</v>
      </c>
      <c r="BS85" s="253">
        <f>'[91]VENTAS TOTALES'!$H97</f>
        <v>11765600</v>
      </c>
      <c r="BT85" s="252">
        <f>'[92]VENTAS TOTALES'!$F97</f>
        <v>6026</v>
      </c>
      <c r="BU85" s="253">
        <f>'[92]VENTAS TOTALES'!$G97</f>
        <v>1004100</v>
      </c>
      <c r="BV85" s="253">
        <f>'[92]VENTAS TOTALES'!$H97</f>
        <v>11248300</v>
      </c>
      <c r="BW85" s="252">
        <f>'[93]VENTAS TOTALES'!$F97</f>
        <v>5951</v>
      </c>
      <c r="BX85" s="253">
        <f>'[93]VENTAS TOTALES'!$G97</f>
        <v>865501</v>
      </c>
      <c r="BY85" s="253">
        <f>'[93]VENTAS TOTALES'!$H97</f>
        <v>10982201</v>
      </c>
      <c r="BZ85" s="252">
        <f>'[94]VENTAS TOTALES'!$F97</f>
        <v>3983</v>
      </c>
      <c r="CA85" s="253">
        <f>'[94]VENTAS TOTALES'!$G97</f>
        <v>668800</v>
      </c>
      <c r="CB85" s="253">
        <f>'[94]VENTAS TOTALES'!$H97</f>
        <v>7439900</v>
      </c>
      <c r="CC85" s="252">
        <f>'[95]VENTAS TOTALES'!$F97</f>
        <v>2004</v>
      </c>
      <c r="CD85" s="253">
        <f>'[95]VENTAS TOTALES'!$G97</f>
        <v>336100</v>
      </c>
      <c r="CE85" s="253">
        <f>'[95]VENTAS TOTALES'!$H97</f>
        <v>3742900</v>
      </c>
      <c r="CF85" s="252">
        <f>'[96]VENTAS TOTALES'!$F97</f>
        <v>7644</v>
      </c>
      <c r="CG85" s="253">
        <f>'[96]VENTAS TOTALES'!$G97</f>
        <v>2445700</v>
      </c>
      <c r="CH85" s="253">
        <f>'[96]VENTAS TOTALES'!$H97</f>
        <v>15440500</v>
      </c>
      <c r="CI85" s="252">
        <f>'[97]VENTAS TOTALES'!$F97</f>
        <v>7055</v>
      </c>
      <c r="CJ85" s="253">
        <f>'[97]VENTAS TOTALES'!$G97</f>
        <v>1758600</v>
      </c>
      <c r="CK85" s="253">
        <f>'[97]VENTAS TOTALES'!$H97</f>
        <v>13752100</v>
      </c>
      <c r="CL85" s="252">
        <f>'[98]VENTAS TOTALES'!$F97</f>
        <v>6580</v>
      </c>
      <c r="CM85" s="253">
        <f>'[98]VENTAS TOTALES'!$G97</f>
        <v>2329200</v>
      </c>
      <c r="CN85" s="253">
        <f>'[98]VENTAS TOTALES'!$H97</f>
        <v>13515200</v>
      </c>
      <c r="CO85" s="252">
        <f>'[99]VENTAS TOTALES'!$F97</f>
        <v>6797</v>
      </c>
      <c r="CP85" s="253">
        <f>'[99]VENTAS TOTALES'!$G97</f>
        <v>1287200</v>
      </c>
      <c r="CQ85" s="253">
        <f>'[99]VENTAS TOTALES'!$H97</f>
        <v>12842100</v>
      </c>
      <c r="CR85" s="252">
        <f>'[100]VENTAS TOTALES'!$F97</f>
        <v>6011</v>
      </c>
      <c r="CS85" s="253">
        <f>'[100]VENTAS TOTALES'!$G97</f>
        <v>989200</v>
      </c>
      <c r="CT85" s="253">
        <f>'[100]VENTAS TOTALES'!$H97</f>
        <v>11207900</v>
      </c>
      <c r="CU85" s="252">
        <f>'[101]VENTAS TOTALES'!$F97</f>
        <v>4094</v>
      </c>
      <c r="CV85" s="253">
        <f>'[101]VENTAS TOTALES'!$G97</f>
        <v>712500</v>
      </c>
      <c r="CW85" s="253">
        <f>'[101]VENTAS TOTALES'!$H97</f>
        <v>7672300</v>
      </c>
      <c r="CX85" s="252">
        <f>'[102]VENTAS TOTALES'!$F97</f>
        <v>2022</v>
      </c>
      <c r="CY85" s="253">
        <f>'[102]VENTAS TOTALES'!$G97</f>
        <v>213300</v>
      </c>
      <c r="CZ85" s="253">
        <f>'[102]VENTAS TOTALES'!$H97</f>
        <v>3650700</v>
      </c>
    </row>
    <row r="86" spans="1:104" x14ac:dyDescent="0.2">
      <c r="A86" s="443"/>
      <c r="B86" s="43" t="s">
        <v>497</v>
      </c>
      <c r="C86" s="252">
        <f>'[69]VENTAS TOTALES'!$F98</f>
        <v>3309</v>
      </c>
      <c r="D86" s="253">
        <f>'[69]VENTAS TOTALES'!$G98</f>
        <v>1425000</v>
      </c>
      <c r="E86" s="253">
        <f>'[69]VENTAS TOTALES'!$H98</f>
        <v>7050300</v>
      </c>
      <c r="F86" s="252">
        <f>'[70]VENTAS TOTALES'!$F98</f>
        <v>3076</v>
      </c>
      <c r="G86" s="253">
        <f>'[70]VENTAS TOTALES'!$G98</f>
        <v>859200</v>
      </c>
      <c r="H86" s="253">
        <f>'[70]VENTAS TOTALES'!$H98</f>
        <v>6088400</v>
      </c>
      <c r="I86" s="252">
        <f>'[71]VENTAS TOTALES'!$F98</f>
        <v>2842</v>
      </c>
      <c r="J86" s="253">
        <f>'[71]VENTAS TOTALES'!$G98</f>
        <v>755700</v>
      </c>
      <c r="K86" s="253">
        <f>'[71]VENTAS TOTALES'!$H98</f>
        <v>5587100</v>
      </c>
      <c r="L86" s="252">
        <f>'[72]VENTAS TOTALES'!$F98</f>
        <v>2799</v>
      </c>
      <c r="M86" s="253">
        <f>'[72]VENTAS TOTALES'!$G98</f>
        <v>744700</v>
      </c>
      <c r="N86" s="253">
        <f>'[72]VENTAS TOTALES'!$H98</f>
        <v>5503000</v>
      </c>
      <c r="O86" s="252">
        <f>'[73]VENTAS TOTALES'!$F98</f>
        <v>2212</v>
      </c>
      <c r="P86" s="253">
        <f>'[73]VENTAS TOTALES'!$G98</f>
        <v>370000</v>
      </c>
      <c r="Q86" s="253">
        <f>'[73]VENTAS TOTALES'!$H98</f>
        <v>4130400</v>
      </c>
      <c r="R86" s="252">
        <f>'[74]VENTAS TOTALES'!$F98</f>
        <v>1210</v>
      </c>
      <c r="S86" s="253">
        <f>'[74]VENTAS TOTALES'!$G98</f>
        <v>169100</v>
      </c>
      <c r="T86" s="253">
        <f>'[74]VENTAS TOTALES'!$H98</f>
        <v>2226100</v>
      </c>
      <c r="U86" s="252">
        <f>'[75]VENTAS TOTALES'!$F98</f>
        <v>3551</v>
      </c>
      <c r="V86" s="253">
        <f>'[75]VENTAS TOTALES'!$G98</f>
        <v>984400</v>
      </c>
      <c r="W86" s="253">
        <f>'[75]VENTAS TOTALES'!$H98</f>
        <v>7021100</v>
      </c>
      <c r="X86" s="252">
        <f>'[76]VENTAS TOTALES'!$F98</f>
        <v>3131</v>
      </c>
      <c r="Y86" s="253">
        <f>'[76]VENTAS TOTALES'!$G98</f>
        <v>967400</v>
      </c>
      <c r="Z86" s="253">
        <f>'[76]VENTAS TOTALES'!$H98</f>
        <v>6290100</v>
      </c>
      <c r="AA86" s="252">
        <f>'[77]VENTAS TOTALES'!$F98</f>
        <v>2959</v>
      </c>
      <c r="AB86" s="253">
        <f>'[77]VENTAS TOTALES'!$G98</f>
        <v>721700</v>
      </c>
      <c r="AC86" s="253">
        <f>'[77]VENTAS TOTALES'!$H98</f>
        <v>5752000</v>
      </c>
      <c r="AD86" s="252">
        <f>'[78]VENTAS TOTALES'!$F98</f>
        <v>2913</v>
      </c>
      <c r="AE86" s="253">
        <f>'[78]VENTAS TOTALES'!$G98</f>
        <v>749800</v>
      </c>
      <c r="AF86" s="253">
        <f>'[78]VENTAS TOTALES'!$H98</f>
        <v>5701900</v>
      </c>
      <c r="AG86" s="252">
        <f>'[79]VENTAS TOTALES'!$F98</f>
        <v>2964</v>
      </c>
      <c r="AH86" s="253">
        <f>'[79]VENTAS TOTALES'!$G98</f>
        <v>439700</v>
      </c>
      <c r="AI86" s="253">
        <f>'[79]VENTAS TOTALES'!$H98</f>
        <v>5478500</v>
      </c>
      <c r="AJ86" s="252">
        <f>'[80]VENTAS TOTALES'!$F98</f>
        <v>2318</v>
      </c>
      <c r="AK86" s="253">
        <f>'[80]VENTAS TOTALES'!$G98</f>
        <v>496300</v>
      </c>
      <c r="AL86" s="253">
        <f>'[80]VENTAS TOTALES'!$H98</f>
        <v>4436900</v>
      </c>
      <c r="AM86" s="252">
        <f>'[81]VENTAS TOTALES'!$F98</f>
        <v>1232</v>
      </c>
      <c r="AN86" s="253">
        <f>'[81]VENTAS TOTALES'!$G98</f>
        <v>165000</v>
      </c>
      <c r="AO86" s="253">
        <f>'[81]VENTAS TOTALES'!$H98</f>
        <v>2259400</v>
      </c>
      <c r="AP86" s="252">
        <f>'[82]VENTAS TOTALES'!$F98</f>
        <v>3822</v>
      </c>
      <c r="AQ86" s="253">
        <f>'[82]VENTAS TOTALES'!$G98</f>
        <v>1086800</v>
      </c>
      <c r="AR86" s="253">
        <f>'[82]VENTAS TOTALES'!$H98</f>
        <v>7584200</v>
      </c>
      <c r="AS86" s="252">
        <f>'[83]VENTAS TOTALES'!$F98</f>
        <v>3247</v>
      </c>
      <c r="AT86" s="253">
        <f>'[83]VENTAS TOTALES'!$G98</f>
        <v>947100</v>
      </c>
      <c r="AU86" s="253">
        <f>'[83]VENTAS TOTALES'!$H98</f>
        <v>6467000</v>
      </c>
      <c r="AV86" s="252">
        <f>'[84]VENTAS TOTALES'!$F98</f>
        <v>3252</v>
      </c>
      <c r="AW86" s="253">
        <f>'[84]VENTAS TOTALES'!$G98</f>
        <v>1058300</v>
      </c>
      <c r="AX86" s="253">
        <f>'[84]VENTAS TOTALES'!$H98</f>
        <v>6586700</v>
      </c>
      <c r="AY86" s="252">
        <f>'[85]VENTAS TOTALES'!$F98</f>
        <v>3245</v>
      </c>
      <c r="AZ86" s="253">
        <f>'[85]VENTAS TOTALES'!$G98</f>
        <v>907400</v>
      </c>
      <c r="BA86" s="253">
        <f>'[85]VENTAS TOTALES'!$H98</f>
        <v>6423900</v>
      </c>
      <c r="BB86" s="252">
        <f>'[86]VENTAS TOTALES'!$F98</f>
        <v>3178</v>
      </c>
      <c r="BC86" s="253">
        <f>'[86]VENTAS TOTALES'!$G98</f>
        <v>759800</v>
      </c>
      <c r="BD86" s="253">
        <f>'[86]VENTAS TOTALES'!$H98</f>
        <v>6162400</v>
      </c>
      <c r="BE86" s="252">
        <f>'[87]VENTAS TOTALES'!$F98</f>
        <v>2208</v>
      </c>
      <c r="BF86" s="253">
        <f>'[87]VENTAS TOTALES'!$G98</f>
        <v>368900</v>
      </c>
      <c r="BG86" s="253">
        <f>'[87]VENTAS TOTALES'!$H98</f>
        <v>4122500</v>
      </c>
      <c r="BH86" s="252">
        <f>'[88]VENTAS TOTALES'!$F98</f>
        <v>1111</v>
      </c>
      <c r="BI86" s="253">
        <f>'[88]VENTAS TOTALES'!$G98</f>
        <v>139100</v>
      </c>
      <c r="BJ86" s="253">
        <f>'[88]VENTAS TOTALES'!$H98</f>
        <v>2027800</v>
      </c>
      <c r="BK86" s="252">
        <f>'[89]VENTAS TOTALES'!$F98</f>
        <v>3945</v>
      </c>
      <c r="BL86" s="253">
        <f>'[89]VENTAS TOTALES'!$G98</f>
        <v>1308900</v>
      </c>
      <c r="BM86" s="253">
        <f>'[89]VENTAS TOTALES'!$H98</f>
        <v>8015400</v>
      </c>
      <c r="BN86" s="252">
        <f>'[90]VENTAS TOTALES'!$F98</f>
        <v>3563</v>
      </c>
      <c r="BO86" s="253">
        <f>'[90]VENTAS TOTALES'!$G98</f>
        <v>883100</v>
      </c>
      <c r="BP86" s="253">
        <f>'[90]VENTAS TOTALES'!$H98</f>
        <v>6940200</v>
      </c>
      <c r="BQ86" s="252">
        <f>'[91]VENTAS TOTALES'!$F98</f>
        <v>3360</v>
      </c>
      <c r="BR86" s="253">
        <f>'[91]VENTAS TOTALES'!$G98</f>
        <v>654000</v>
      </c>
      <c r="BS86" s="253">
        <f>'[91]VENTAS TOTALES'!$H98</f>
        <v>6366000</v>
      </c>
      <c r="BT86" s="252">
        <f>'[92]VENTAS TOTALES'!$F98</f>
        <v>2957</v>
      </c>
      <c r="BU86" s="253">
        <f>'[92]VENTAS TOTALES'!$G98</f>
        <v>765000</v>
      </c>
      <c r="BV86" s="253">
        <f>'[92]VENTAS TOTALES'!$H98</f>
        <v>5791900</v>
      </c>
      <c r="BW86" s="252">
        <f>'[93]VENTAS TOTALES'!$F98</f>
        <v>3178</v>
      </c>
      <c r="BX86" s="253">
        <f>'[93]VENTAS TOTALES'!$G98</f>
        <v>596900</v>
      </c>
      <c r="BY86" s="253">
        <f>'[93]VENTAS TOTALES'!$H98</f>
        <v>5999500</v>
      </c>
      <c r="BZ86" s="252">
        <f>'[94]VENTAS TOTALES'!$F98</f>
        <v>2437</v>
      </c>
      <c r="CA86" s="253">
        <f>'[94]VENTAS TOTALES'!$G98</f>
        <v>652600</v>
      </c>
      <c r="CB86" s="253">
        <f>'[94]VENTAS TOTALES'!$H98</f>
        <v>4795500</v>
      </c>
      <c r="CC86" s="252">
        <f>'[95]VENTAS TOTALES'!$F98</f>
        <v>1271</v>
      </c>
      <c r="CD86" s="253">
        <f>'[95]VENTAS TOTALES'!$G98</f>
        <v>308400</v>
      </c>
      <c r="CE86" s="253">
        <f>'[95]VENTAS TOTALES'!$H98</f>
        <v>2469100</v>
      </c>
      <c r="CF86" s="252">
        <f>'[96]VENTAS TOTALES'!$F98</f>
        <v>4237</v>
      </c>
      <c r="CG86" s="253">
        <f>'[96]VENTAS TOTALES'!$G98</f>
        <v>1309200</v>
      </c>
      <c r="CH86" s="253">
        <f>'[96]VENTAS TOTALES'!$H98</f>
        <v>8512100</v>
      </c>
      <c r="CI86" s="252">
        <f>'[97]VENTAS TOTALES'!$F98</f>
        <v>3741</v>
      </c>
      <c r="CJ86" s="253">
        <f>'[97]VENTAS TOTALES'!$G98</f>
        <v>1449700</v>
      </c>
      <c r="CK86" s="253">
        <f>'[97]VENTAS TOTALES'!$H98</f>
        <v>7809400</v>
      </c>
      <c r="CL86" s="252">
        <f>'[98]VENTAS TOTALES'!$F98</f>
        <v>3667</v>
      </c>
      <c r="CM86" s="253">
        <f>'[98]VENTAS TOTALES'!$G98</f>
        <v>1233000</v>
      </c>
      <c r="CN86" s="253">
        <f>'[98]VENTAS TOTALES'!$H98</f>
        <v>7466900</v>
      </c>
      <c r="CO86" s="252">
        <f>'[99]VENTAS TOTALES'!$F98</f>
        <v>3549</v>
      </c>
      <c r="CP86" s="253">
        <f>'[99]VENTAS TOTALES'!$G98</f>
        <v>1084400</v>
      </c>
      <c r="CQ86" s="253">
        <f>'[99]VENTAS TOTALES'!$H98</f>
        <v>7117700</v>
      </c>
      <c r="CR86" s="252">
        <f>'[100]VENTAS TOTALES'!$F98</f>
        <v>3418</v>
      </c>
      <c r="CS86" s="253">
        <f>'[100]VENTAS TOTALES'!$G98</f>
        <v>799800</v>
      </c>
      <c r="CT86" s="253">
        <f>'[100]VENTAS TOTALES'!$H98</f>
        <v>6610400</v>
      </c>
      <c r="CU86" s="252">
        <f>'[101]VENTAS TOTALES'!$F98</f>
        <v>2623</v>
      </c>
      <c r="CV86" s="253">
        <f>'[101]VENTAS TOTALES'!$G98</f>
        <v>481500</v>
      </c>
      <c r="CW86" s="253">
        <f>'[101]VENTAS TOTALES'!$H98</f>
        <v>4940600</v>
      </c>
      <c r="CX86" s="252">
        <f>'[102]VENTAS TOTALES'!$F98</f>
        <v>1241</v>
      </c>
      <c r="CY86" s="253">
        <f>'[102]VENTAS TOTALES'!$G98</f>
        <v>130000</v>
      </c>
      <c r="CZ86" s="253">
        <f>'[102]VENTAS TOTALES'!$H98</f>
        <v>2239700</v>
      </c>
    </row>
    <row r="87" spans="1:104" x14ac:dyDescent="0.2">
      <c r="A87" s="443"/>
      <c r="B87" s="43" t="s">
        <v>36</v>
      </c>
      <c r="C87" s="252">
        <f>'[69]VENTAS TOTALES'!$F99</f>
        <v>7407</v>
      </c>
      <c r="D87" s="253">
        <f>'[69]VENTAS TOTALES'!$G99</f>
        <v>2758000</v>
      </c>
      <c r="E87" s="253">
        <f>'[69]VENTAS TOTALES'!$H99</f>
        <v>15349900</v>
      </c>
      <c r="F87" s="252">
        <f>'[70]VENTAS TOTALES'!$F99</f>
        <v>6835</v>
      </c>
      <c r="G87" s="253">
        <f>'[70]VENTAS TOTALES'!$G99</f>
        <v>2179200</v>
      </c>
      <c r="H87" s="253">
        <f>'[70]VENTAS TOTALES'!$H99</f>
        <v>13798700</v>
      </c>
      <c r="I87" s="252">
        <f>'[71]VENTAS TOTALES'!$F99</f>
        <v>6041</v>
      </c>
      <c r="J87" s="253">
        <f>'[71]VENTAS TOTALES'!$G99</f>
        <v>1486200</v>
      </c>
      <c r="K87" s="253">
        <f>'[71]VENTAS TOTALES'!$H99</f>
        <v>11755900</v>
      </c>
      <c r="L87" s="252">
        <f>'[72]VENTAS TOTALES'!$F99</f>
        <v>6173</v>
      </c>
      <c r="M87" s="253">
        <f>'[72]VENTAS TOTALES'!$G99</f>
        <v>1179850</v>
      </c>
      <c r="N87" s="253">
        <f>'[72]VENTAS TOTALES'!$H99</f>
        <v>11673950</v>
      </c>
      <c r="O87" s="252">
        <f>'[73]VENTAS TOTALES'!$F99</f>
        <v>4787</v>
      </c>
      <c r="P87" s="253">
        <f>'[73]VENTAS TOTALES'!$G99</f>
        <v>975400</v>
      </c>
      <c r="Q87" s="253">
        <f>'[73]VENTAS TOTALES'!$H99</f>
        <v>9113300</v>
      </c>
      <c r="R87" s="252">
        <f>'[74]VENTAS TOTALES'!$F99</f>
        <v>2676</v>
      </c>
      <c r="S87" s="253">
        <f>'[74]VENTAS TOTALES'!$G99</f>
        <v>393000</v>
      </c>
      <c r="T87" s="253">
        <f>'[74]VENTAS TOTALES'!$H99</f>
        <v>4942200</v>
      </c>
      <c r="U87" s="252">
        <f>'[75]VENTAS TOTALES'!$F99</f>
        <v>7313</v>
      </c>
      <c r="V87" s="253">
        <f>'[75]VENTAS TOTALES'!$G99</f>
        <v>3005800</v>
      </c>
      <c r="W87" s="253">
        <f>'[75]VENTAS TOTALES'!$H99</f>
        <v>15437900</v>
      </c>
      <c r="X87" s="252">
        <f>'[76]VENTAS TOTALES'!$F99</f>
        <v>6922</v>
      </c>
      <c r="Y87" s="253">
        <f>'[76]VENTAS TOTALES'!$G99</f>
        <v>1447800</v>
      </c>
      <c r="Z87" s="253">
        <f>'[76]VENTAS TOTALES'!$H99</f>
        <v>13215200</v>
      </c>
      <c r="AA87" s="252">
        <f>'[77]VENTAS TOTALES'!$F99</f>
        <v>6266</v>
      </c>
      <c r="AB87" s="253">
        <f>'[77]VENTAS TOTALES'!$G99</f>
        <v>1429700</v>
      </c>
      <c r="AC87" s="253">
        <f>'[77]VENTAS TOTALES'!$H99</f>
        <v>12081900</v>
      </c>
      <c r="AD87" s="252">
        <f>'[78]VENTAS TOTALES'!$F99</f>
        <v>6398</v>
      </c>
      <c r="AE87" s="253">
        <f>'[78]VENTAS TOTALES'!$G99</f>
        <v>1686800</v>
      </c>
      <c r="AF87" s="253">
        <f>'[78]VENTAS TOTALES'!$H99</f>
        <v>12563400</v>
      </c>
      <c r="AG87" s="252">
        <f>'[79]VENTAS TOTALES'!$F99</f>
        <v>6234</v>
      </c>
      <c r="AH87" s="253">
        <f>'[79]VENTAS TOTALES'!$G99</f>
        <v>1275900</v>
      </c>
      <c r="AI87" s="253">
        <f>'[79]VENTAS TOTALES'!$H99</f>
        <v>11873700</v>
      </c>
      <c r="AJ87" s="252">
        <f>'[80]VENTAS TOTALES'!$F99</f>
        <v>4844</v>
      </c>
      <c r="AK87" s="253">
        <f>'[80]VENTAS TOTALES'!$G99</f>
        <v>997200</v>
      </c>
      <c r="AL87" s="253">
        <f>'[80]VENTAS TOTALES'!$H99</f>
        <v>9232000</v>
      </c>
      <c r="AM87" s="252">
        <f>'[81]VENTAS TOTALES'!$F99</f>
        <v>2429</v>
      </c>
      <c r="AN87" s="253">
        <f>'[81]VENTAS TOTALES'!$G99</f>
        <v>524300</v>
      </c>
      <c r="AO87" s="253">
        <f>'[81]VENTAS TOTALES'!$H99</f>
        <v>4653600</v>
      </c>
      <c r="AP87" s="252">
        <f>'[82]VENTAS TOTALES'!$F99</f>
        <v>8093</v>
      </c>
      <c r="AQ87" s="253">
        <f>'[82]VENTAS TOTALES'!$G99</f>
        <v>2546300</v>
      </c>
      <c r="AR87" s="253">
        <f>'[82]VENTAS TOTALES'!$H99</f>
        <v>16304400</v>
      </c>
      <c r="AS87" s="252">
        <f>'[83]VENTAS TOTALES'!$F99</f>
        <v>6792</v>
      </c>
      <c r="AT87" s="253">
        <f>'[83]VENTAS TOTALES'!$G99</f>
        <v>2310300</v>
      </c>
      <c r="AU87" s="253">
        <f>'[83]VENTAS TOTALES'!$H99</f>
        <v>13856700</v>
      </c>
      <c r="AV87" s="252">
        <f>'[84]VENTAS TOTALES'!$F99</f>
        <v>6943</v>
      </c>
      <c r="AW87" s="253">
        <f>'[84]VENTAS TOTALES'!$G99</f>
        <v>2085000</v>
      </c>
      <c r="AX87" s="253">
        <f>'[84]VENTAS TOTALES'!$H99</f>
        <v>13888100</v>
      </c>
      <c r="AY87" s="252">
        <f>'[85]VENTAS TOTALES'!$F99</f>
        <v>6611</v>
      </c>
      <c r="AZ87" s="253">
        <f>'[85]VENTAS TOTALES'!$G99</f>
        <v>1756200</v>
      </c>
      <c r="BA87" s="253">
        <f>'[85]VENTAS TOTALES'!$H99</f>
        <v>12994900</v>
      </c>
      <c r="BB87" s="252">
        <f>'[86]VENTAS TOTALES'!$F99</f>
        <v>6368</v>
      </c>
      <c r="BC87" s="253">
        <f>'[86]VENTAS TOTALES'!$G99</f>
        <v>1639700</v>
      </c>
      <c r="BD87" s="253">
        <f>'[86]VENTAS TOTALES'!$H99</f>
        <v>12465300</v>
      </c>
      <c r="BE87" s="252">
        <f>'[87]VENTAS TOTALES'!$F99</f>
        <v>5038</v>
      </c>
      <c r="BF87" s="253">
        <f>'[87]VENTAS TOTALES'!$G99</f>
        <v>1210400</v>
      </c>
      <c r="BG87" s="253">
        <f>'[87]VENTAS TOTALES'!$H99</f>
        <v>9775000</v>
      </c>
      <c r="BH87" s="252">
        <f>'[88]VENTAS TOTALES'!$F99</f>
        <v>2765</v>
      </c>
      <c r="BI87" s="253">
        <f>'[88]VENTAS TOTALES'!$G99</f>
        <v>383200</v>
      </c>
      <c r="BJ87" s="253">
        <f>'[88]VENTAS TOTALES'!$H99</f>
        <v>5083700</v>
      </c>
      <c r="BK87" s="252">
        <f>'[89]VENTAS TOTALES'!$F99</f>
        <v>7908</v>
      </c>
      <c r="BL87" s="253">
        <f>'[89]VENTAS TOTALES'!$G99</f>
        <v>2738800</v>
      </c>
      <c r="BM87" s="253">
        <f>'[89]VENTAS TOTALES'!$H99</f>
        <v>16182400</v>
      </c>
      <c r="BN87" s="252">
        <f>'[90]VENTAS TOTALES'!$F99</f>
        <v>6692</v>
      </c>
      <c r="BO87" s="253">
        <f>'[90]VENTAS TOTALES'!$G99</f>
        <v>1691100</v>
      </c>
      <c r="BP87" s="253">
        <f>'[90]VENTAS TOTALES'!$H99</f>
        <v>13067500</v>
      </c>
      <c r="BQ87" s="252">
        <f>'[91]VENTAS TOTALES'!$F99</f>
        <v>6486</v>
      </c>
      <c r="BR87" s="253">
        <f>'[91]VENTAS TOTALES'!$G99</f>
        <v>1572200</v>
      </c>
      <c r="BS87" s="253">
        <f>'[91]VENTAS TOTALES'!$H99</f>
        <v>12598400</v>
      </c>
      <c r="BT87" s="252">
        <f>'[92]VENTAS TOTALES'!$F99</f>
        <v>6237</v>
      </c>
      <c r="BU87" s="253">
        <f>'[92]VENTAS TOTALES'!$G99</f>
        <v>1283500</v>
      </c>
      <c r="BV87" s="253">
        <f>'[92]VENTAS TOTALES'!$H99</f>
        <v>11886400</v>
      </c>
      <c r="BW87" s="252">
        <f>'[93]VENTAS TOTALES'!$F99</f>
        <v>6130</v>
      </c>
      <c r="BX87" s="253">
        <f>'[93]VENTAS TOTALES'!$G99</f>
        <v>1344700</v>
      </c>
      <c r="BY87" s="253">
        <f>'[93]VENTAS TOTALES'!$H99</f>
        <v>11765700</v>
      </c>
      <c r="BZ87" s="252">
        <f>'[94]VENTAS TOTALES'!$F99</f>
        <v>5157</v>
      </c>
      <c r="CA87" s="253">
        <f>'[94]VENTAS TOTALES'!$G99</f>
        <v>1153800</v>
      </c>
      <c r="CB87" s="253">
        <f>'[94]VENTAS TOTALES'!$H99</f>
        <v>9920700</v>
      </c>
      <c r="CC87" s="252">
        <f>'[95]VENTAS TOTALES'!$F99</f>
        <v>2323</v>
      </c>
      <c r="CD87" s="253">
        <f>'[95]VENTAS TOTALES'!$G99</f>
        <v>768900</v>
      </c>
      <c r="CE87" s="253">
        <f>'[95]VENTAS TOTALES'!$H99</f>
        <v>4718000</v>
      </c>
      <c r="CF87" s="252">
        <f>'[96]VENTAS TOTALES'!$F99</f>
        <v>8328</v>
      </c>
      <c r="CG87" s="253">
        <f>'[96]VENTAS TOTALES'!$G99</f>
        <v>3083900</v>
      </c>
      <c r="CH87" s="253">
        <f>'[96]VENTAS TOTALES'!$H99</f>
        <v>17241500</v>
      </c>
      <c r="CI87" s="252">
        <f>'[97]VENTAS TOTALES'!$F99</f>
        <v>7345</v>
      </c>
      <c r="CJ87" s="253">
        <f>'[97]VENTAS TOTALES'!$G99</f>
        <v>2852550</v>
      </c>
      <c r="CK87" s="253">
        <f>'[97]VENTAS TOTALES'!$H99</f>
        <v>15339050</v>
      </c>
      <c r="CL87" s="252">
        <f>'[98]VENTAS TOTALES'!$F99</f>
        <v>7263</v>
      </c>
      <c r="CM87" s="253">
        <f>'[98]VENTAS TOTALES'!$G99</f>
        <v>2196600</v>
      </c>
      <c r="CN87" s="253">
        <f>'[98]VENTAS TOTALES'!$H99</f>
        <v>14543700</v>
      </c>
      <c r="CO87" s="252">
        <f>'[99]VENTAS TOTALES'!$F99</f>
        <v>7241</v>
      </c>
      <c r="CP87" s="253">
        <f>'[99]VENTAS TOTALES'!$G99</f>
        <v>2168900</v>
      </c>
      <c r="CQ87" s="253">
        <f>'[99]VENTAS TOTALES'!$H99</f>
        <v>14478600</v>
      </c>
      <c r="CR87" s="252">
        <f>'[100]VENTAS TOTALES'!$F99</f>
        <v>6607</v>
      </c>
      <c r="CS87" s="253">
        <f>'[100]VENTAS TOTALES'!$G99</f>
        <v>1230900</v>
      </c>
      <c r="CT87" s="253">
        <f>'[100]VENTAS TOTALES'!$H99</f>
        <v>12462800</v>
      </c>
      <c r="CU87" s="252">
        <f>'[101]VENTAS TOTALES'!$F99</f>
        <v>5155</v>
      </c>
      <c r="CV87" s="253">
        <f>'[101]VENTAS TOTALES'!$G99</f>
        <v>1093000</v>
      </c>
      <c r="CW87" s="253">
        <f>'[101]VENTAS TOTALES'!$H99</f>
        <v>9856500</v>
      </c>
      <c r="CX87" s="252">
        <f>'[102]VENTAS TOTALES'!$F99</f>
        <v>2504</v>
      </c>
      <c r="CY87" s="253">
        <f>'[102]VENTAS TOTALES'!$G99</f>
        <v>489700</v>
      </c>
      <c r="CZ87" s="253">
        <f>'[102]VENTAS TOTALES'!$H99</f>
        <v>4746500</v>
      </c>
    </row>
    <row r="88" spans="1:104" x14ac:dyDescent="0.2">
      <c r="A88" s="443"/>
      <c r="B88" s="43" t="s">
        <v>37</v>
      </c>
      <c r="C88" s="252">
        <f>'[69]VENTAS TOTALES'!$F100</f>
        <v>8431</v>
      </c>
      <c r="D88" s="253">
        <f>'[69]VENTAS TOTALES'!$G100</f>
        <v>2529200</v>
      </c>
      <c r="E88" s="253">
        <f>'[69]VENTAS TOTALES'!$H100</f>
        <v>16861900</v>
      </c>
      <c r="F88" s="252">
        <f>'[70]VENTAS TOTALES'!$F100</f>
        <v>7751</v>
      </c>
      <c r="G88" s="253">
        <f>'[70]VENTAS TOTALES'!$G100</f>
        <v>2597200</v>
      </c>
      <c r="H88" s="253">
        <f>'[70]VENTAS TOTALES'!$H100</f>
        <v>15773900</v>
      </c>
      <c r="I88" s="252">
        <f>'[71]VENTAS TOTALES'!$F100</f>
        <v>7156</v>
      </c>
      <c r="J88" s="253">
        <f>'[71]VENTAS TOTALES'!$G100</f>
        <v>1591300</v>
      </c>
      <c r="K88" s="253">
        <f>'[71]VENTAS TOTALES'!$H100</f>
        <v>13756500</v>
      </c>
      <c r="L88" s="252">
        <f>'[72]VENTAS TOTALES'!$F100</f>
        <v>7031</v>
      </c>
      <c r="M88" s="253">
        <f>'[72]VENTAS TOTALES'!$G100</f>
        <v>1411300</v>
      </c>
      <c r="N88" s="253">
        <f>'[72]VENTAS TOTALES'!$H100</f>
        <v>13364000</v>
      </c>
      <c r="O88" s="252">
        <f>'[73]VENTAS TOTALES'!$F100</f>
        <v>6022</v>
      </c>
      <c r="P88" s="253">
        <f>'[73]VENTAS TOTALES'!$G100</f>
        <v>1609300</v>
      </c>
      <c r="Q88" s="253">
        <f>'[73]VENTAS TOTALES'!$H100</f>
        <v>11846700</v>
      </c>
      <c r="R88" s="252">
        <f>'[74]VENTAS TOTALES'!$F100</f>
        <v>2938</v>
      </c>
      <c r="S88" s="253">
        <f>'[74]VENTAS TOTALES'!$G100</f>
        <v>628400</v>
      </c>
      <c r="T88" s="253">
        <f>'[74]VENTAS TOTALES'!$H100</f>
        <v>5623000</v>
      </c>
      <c r="U88" s="252">
        <f>'[75]VENTAS TOTALES'!$F100</f>
        <v>8432</v>
      </c>
      <c r="V88" s="253">
        <f>'[75]VENTAS TOTALES'!$G100</f>
        <v>2433300</v>
      </c>
      <c r="W88" s="253">
        <f>'[75]VENTAS TOTALES'!$H100</f>
        <v>16767700</v>
      </c>
      <c r="X88" s="252">
        <f>'[76]VENTAS TOTALES'!$F100</f>
        <v>7336</v>
      </c>
      <c r="Y88" s="253">
        <f>'[76]VENTAS TOTALES'!$G100</f>
        <v>1603300</v>
      </c>
      <c r="Z88" s="253">
        <f>'[76]VENTAS TOTALES'!$H100</f>
        <v>14074500</v>
      </c>
      <c r="AA88" s="252">
        <f>'[77]VENTAS TOTALES'!$F100</f>
        <v>6944</v>
      </c>
      <c r="AB88" s="253">
        <f>'[77]VENTAS TOTALES'!$G100</f>
        <v>1508200</v>
      </c>
      <c r="AC88" s="253">
        <f>'[77]VENTAS TOTALES'!$H100</f>
        <v>13313000</v>
      </c>
      <c r="AD88" s="252">
        <f>'[78]VENTAS TOTALES'!$F100</f>
        <v>6800</v>
      </c>
      <c r="AE88" s="253">
        <f>'[78]VENTAS TOTALES'!$G100</f>
        <v>1395200</v>
      </c>
      <c r="AF88" s="253">
        <f>'[78]VENTAS TOTALES'!$H100</f>
        <v>12955200</v>
      </c>
      <c r="AG88" s="252">
        <f>'[79]VENTAS TOTALES'!$F100</f>
        <v>6820</v>
      </c>
      <c r="AH88" s="253">
        <f>'[79]VENTAS TOTALES'!$G100</f>
        <v>1446700</v>
      </c>
      <c r="AI88" s="253">
        <f>'[79]VENTAS TOTALES'!$H100</f>
        <v>13040700</v>
      </c>
      <c r="AJ88" s="252">
        <f>'[80]VENTAS TOTALES'!$F100</f>
        <v>6182</v>
      </c>
      <c r="AK88" s="253">
        <f>'[80]VENTAS TOTALES'!$G100</f>
        <v>1285700</v>
      </c>
      <c r="AL88" s="253">
        <f>'[80]VENTAS TOTALES'!$H100</f>
        <v>11795100</v>
      </c>
      <c r="AM88" s="252">
        <f>'[81]VENTAS TOTALES'!$F100</f>
        <v>2638</v>
      </c>
      <c r="AN88" s="253">
        <f>'[81]VENTAS TOTALES'!$G100</f>
        <v>538100</v>
      </c>
      <c r="AO88" s="253">
        <f>'[81]VENTAS TOTALES'!$H100</f>
        <v>5022700</v>
      </c>
      <c r="AP88" s="252">
        <f>'[82]VENTAS TOTALES'!$F100</f>
        <v>7870</v>
      </c>
      <c r="AQ88" s="253">
        <f>'[82]VENTAS TOTALES'!$G100</f>
        <v>2186000</v>
      </c>
      <c r="AR88" s="253">
        <f>'[82]VENTAS TOTALES'!$H100</f>
        <v>15565000</v>
      </c>
      <c r="AS88" s="252">
        <f>'[83]VENTAS TOTALES'!$F100</f>
        <v>7794</v>
      </c>
      <c r="AT88" s="253">
        <f>'[83]VENTAS TOTALES'!$G100</f>
        <v>2562000</v>
      </c>
      <c r="AU88" s="253">
        <f>'[83]VENTAS TOTALES'!$H100</f>
        <v>15811800</v>
      </c>
      <c r="AV88" s="252">
        <f>'[84]VENTAS TOTALES'!$F100</f>
        <v>7459</v>
      </c>
      <c r="AW88" s="253">
        <f>'[84]VENTAS TOTALES'!$G100</f>
        <v>2485400</v>
      </c>
      <c r="AX88" s="253">
        <f>'[84]VENTAS TOTALES'!$H100</f>
        <v>15165700</v>
      </c>
      <c r="AY88" s="252">
        <f>'[85]VENTAS TOTALES'!$F100</f>
        <v>7291</v>
      </c>
      <c r="AZ88" s="253">
        <f>'[85]VENTAS TOTALES'!$G100</f>
        <v>1757200</v>
      </c>
      <c r="BA88" s="253">
        <f>'[85]VENTAS TOTALES'!$H100</f>
        <v>14151900</v>
      </c>
      <c r="BB88" s="252">
        <f>'[86]VENTAS TOTALES'!$F100</f>
        <v>7053</v>
      </c>
      <c r="BC88" s="253">
        <f>'[86]VENTAS TOTALES'!$G100</f>
        <v>1308600</v>
      </c>
      <c r="BD88" s="253">
        <f>'[86]VENTAS TOTALES'!$H100</f>
        <v>13298700</v>
      </c>
      <c r="BE88" s="252">
        <f>'[87]VENTAS TOTALES'!$F100</f>
        <v>6330</v>
      </c>
      <c r="BF88" s="253">
        <f>'[87]VENTAS TOTALES'!$G100</f>
        <v>1338700</v>
      </c>
      <c r="BG88" s="253">
        <f>'[87]VENTAS TOTALES'!$H100</f>
        <v>12099700</v>
      </c>
      <c r="BH88" s="252">
        <f>'[88]VENTAS TOTALES'!$F100</f>
        <v>2704</v>
      </c>
      <c r="BI88" s="253">
        <f>'[88]VENTAS TOTALES'!$G100</f>
        <v>590300</v>
      </c>
      <c r="BJ88" s="253">
        <f>'[88]VENTAS TOTALES'!$H100</f>
        <v>5187100</v>
      </c>
      <c r="BK88" s="252">
        <f>'[89]VENTAS TOTALES'!$F100</f>
        <v>8593</v>
      </c>
      <c r="BL88" s="253">
        <f>'[89]VENTAS TOTALES'!$G100</f>
        <v>2128900</v>
      </c>
      <c r="BM88" s="253">
        <f>'[89]VENTAS TOTALES'!$H100</f>
        <v>16737000</v>
      </c>
      <c r="BN88" s="252">
        <f>'[90]VENTAS TOTALES'!$F100</f>
        <v>7195</v>
      </c>
      <c r="BO88" s="253">
        <f>'[90]VENTAS TOTALES'!$G100</f>
        <v>1758300</v>
      </c>
      <c r="BP88" s="253">
        <f>'[90]VENTAS TOTALES'!$H100</f>
        <v>13989800</v>
      </c>
      <c r="BQ88" s="252">
        <f>'[91]VENTAS TOTALES'!$F100</f>
        <v>6878</v>
      </c>
      <c r="BR88" s="253">
        <f>'[91]VENTAS TOTALES'!$G100</f>
        <v>1559100</v>
      </c>
      <c r="BS88" s="253">
        <f>'[91]VENTAS TOTALES'!$H100</f>
        <v>13251700</v>
      </c>
      <c r="BT88" s="252">
        <f>'[92]VENTAS TOTALES'!$F100</f>
        <v>6593</v>
      </c>
      <c r="BU88" s="253">
        <f>'[92]VENTAS TOTALES'!$G100</f>
        <v>1363100</v>
      </c>
      <c r="BV88" s="253">
        <f>'[92]VENTAS TOTALES'!$H100</f>
        <v>12571200</v>
      </c>
      <c r="BW88" s="252">
        <f>'[93]VENTAS TOTALES'!$F100</f>
        <v>7161</v>
      </c>
      <c r="BX88" s="253">
        <f>'[93]VENTAS TOTALES'!$G100</f>
        <v>1595400</v>
      </c>
      <c r="BY88" s="253">
        <f>'[93]VENTAS TOTALES'!$H100</f>
        <v>13769100</v>
      </c>
      <c r="BZ88" s="252">
        <f>'[94]VENTAS TOTALES'!$F100</f>
        <v>6329</v>
      </c>
      <c r="CA88" s="253">
        <f>'[94]VENTAS TOTALES'!$G100</f>
        <v>1507900</v>
      </c>
      <c r="CB88" s="253">
        <f>'[94]VENTAS TOTALES'!$H100</f>
        <v>12267200</v>
      </c>
      <c r="CC88" s="252">
        <f>'[95]VENTAS TOTALES'!$F100</f>
        <v>2937</v>
      </c>
      <c r="CD88" s="253">
        <f>'[95]VENTAS TOTALES'!$G100</f>
        <v>576500</v>
      </c>
      <c r="CE88" s="253">
        <f>'[95]VENTAS TOTALES'!$H100</f>
        <v>5569400</v>
      </c>
      <c r="CF88" s="252">
        <f>'[96]VENTAS TOTALES'!$F100</f>
        <v>9271</v>
      </c>
      <c r="CG88" s="253">
        <f>'[96]VENTAS TOTALES'!$G100</f>
        <v>3689150</v>
      </c>
      <c r="CH88" s="253">
        <f>'[96]VENTAS TOTALES'!$H100</f>
        <v>19449850</v>
      </c>
      <c r="CI88" s="252">
        <f>'[97]VENTAS TOTALES'!$F100</f>
        <v>8327</v>
      </c>
      <c r="CJ88" s="253">
        <f>'[97]VENTAS TOTALES'!$G100</f>
        <v>2557000</v>
      </c>
      <c r="CK88" s="253">
        <f>'[97]VENTAS TOTALES'!$H100</f>
        <v>16712900</v>
      </c>
      <c r="CL88" s="252">
        <f>'[98]VENTAS TOTALES'!$F100</f>
        <v>8057</v>
      </c>
      <c r="CM88" s="253">
        <f>'[98]VENTAS TOTALES'!$G100</f>
        <v>2532000</v>
      </c>
      <c r="CN88" s="253">
        <f>'[98]VENTAS TOTALES'!$H100</f>
        <v>16228900</v>
      </c>
      <c r="CO88" s="252">
        <f>'[99]VENTAS TOTALES'!$F100</f>
        <v>7964</v>
      </c>
      <c r="CP88" s="253">
        <f>'[99]VENTAS TOTALES'!$G100</f>
        <v>2199600</v>
      </c>
      <c r="CQ88" s="253">
        <f>'[99]VENTAS TOTALES'!$H100</f>
        <v>15738400</v>
      </c>
      <c r="CR88" s="252">
        <f>'[100]VENTAS TOTALES'!$F100</f>
        <v>7417</v>
      </c>
      <c r="CS88" s="253">
        <f>'[100]VENTAS TOTALES'!$G100</f>
        <v>1504800</v>
      </c>
      <c r="CT88" s="253">
        <f>'[100]VENTAS TOTALES'!$H100</f>
        <v>14113700</v>
      </c>
      <c r="CU88" s="252">
        <f>'[101]VENTAS TOTALES'!$F100</f>
        <v>6758</v>
      </c>
      <c r="CV88" s="253">
        <f>'[101]VENTAS TOTALES'!$G100</f>
        <v>1720800</v>
      </c>
      <c r="CW88" s="253">
        <f>'[101]VENTAS TOTALES'!$H100</f>
        <v>13209400</v>
      </c>
      <c r="CX88" s="252">
        <f>'[102]VENTAS TOTALES'!$F100</f>
        <v>2842</v>
      </c>
      <c r="CY88" s="253">
        <f>'[102]VENTAS TOTALES'!$G100</f>
        <v>591500</v>
      </c>
      <c r="CZ88" s="253">
        <f>'[102]VENTAS TOTALES'!$H100</f>
        <v>5422900</v>
      </c>
    </row>
    <row r="89" spans="1:104" x14ac:dyDescent="0.2">
      <c r="A89" s="443"/>
      <c r="B89" s="43" t="s">
        <v>135</v>
      </c>
      <c r="C89" s="252">
        <f>'[69]VENTAS TOTALES'!$F101</f>
        <v>2321</v>
      </c>
      <c r="D89" s="253">
        <f>'[69]VENTAS TOTALES'!$G101</f>
        <v>642900</v>
      </c>
      <c r="E89" s="253">
        <f>'[69]VENTAS TOTALES'!$H101</f>
        <v>4588600</v>
      </c>
      <c r="F89" s="252">
        <f>'[70]VENTAS TOTALES'!$F101</f>
        <v>2316</v>
      </c>
      <c r="G89" s="253">
        <f>'[70]VENTAS TOTALES'!$G101</f>
        <v>644100</v>
      </c>
      <c r="H89" s="253">
        <f>'[70]VENTAS TOTALES'!$H101</f>
        <v>4581300</v>
      </c>
      <c r="I89" s="252">
        <f>'[71]VENTAS TOTALES'!$F101</f>
        <v>2226</v>
      </c>
      <c r="J89" s="253">
        <f>'[71]VENTAS TOTALES'!$G101</f>
        <v>462900</v>
      </c>
      <c r="K89" s="253">
        <f>'[71]VENTAS TOTALES'!$H101</f>
        <v>4247100</v>
      </c>
      <c r="L89" s="252">
        <f>'[72]VENTAS TOTALES'!$F101</f>
        <v>2251</v>
      </c>
      <c r="M89" s="253">
        <f>'[72]VENTAS TOTALES'!$G101</f>
        <v>527300</v>
      </c>
      <c r="N89" s="253">
        <f>'[72]VENTAS TOTALES'!$H101</f>
        <v>4354000</v>
      </c>
      <c r="O89" s="252">
        <f>'[73]VENTAS TOTALES'!$F101</f>
        <v>1903</v>
      </c>
      <c r="P89" s="253">
        <f>'[73]VENTAS TOTALES'!$G101</f>
        <v>535400</v>
      </c>
      <c r="Q89" s="253">
        <f>'[73]VENTAS TOTALES'!$H101</f>
        <v>3770500</v>
      </c>
      <c r="R89" s="252">
        <f>'[74]VENTAS TOTALES'!$F101</f>
        <v>1089</v>
      </c>
      <c r="S89" s="253">
        <f>'[74]VENTAS TOTALES'!$G101</f>
        <v>153800</v>
      </c>
      <c r="T89" s="253">
        <f>'[74]VENTAS TOTALES'!$H101</f>
        <v>2005100</v>
      </c>
      <c r="U89" s="252">
        <f>'[75]VENTAS TOTALES'!$F101</f>
        <v>2698</v>
      </c>
      <c r="V89" s="253">
        <f>'[75]VENTAS TOTALES'!$G101</f>
        <v>875800</v>
      </c>
      <c r="W89" s="253">
        <f>'[75]VENTAS TOTALES'!$H101</f>
        <v>5462400</v>
      </c>
      <c r="X89" s="252">
        <f>'[76]VENTAS TOTALES'!$F101</f>
        <v>2423</v>
      </c>
      <c r="Y89" s="253">
        <f>'[76]VENTAS TOTALES'!$G101</f>
        <v>763200</v>
      </c>
      <c r="Z89" s="253">
        <f>'[76]VENTAS TOTALES'!$H101</f>
        <v>4882300</v>
      </c>
      <c r="AA89" s="252">
        <f>'[77]VENTAS TOTALES'!$F101</f>
        <v>2362</v>
      </c>
      <c r="AB89" s="253">
        <f>'[77]VENTAS TOTALES'!$G101</f>
        <v>605000</v>
      </c>
      <c r="AC89" s="253">
        <f>'[77]VENTAS TOTALES'!$H101</f>
        <v>4620400</v>
      </c>
      <c r="AD89" s="252">
        <f>'[78]VENTAS TOTALES'!$F101</f>
        <v>2192</v>
      </c>
      <c r="AE89" s="253">
        <f>'[78]VENTAS TOTALES'!$G101</f>
        <v>618800</v>
      </c>
      <c r="AF89" s="253">
        <f>'[78]VENTAS TOTALES'!$H101</f>
        <v>4345200</v>
      </c>
      <c r="AG89" s="252">
        <f>'[79]VENTAS TOTALES'!$F101</f>
        <v>2349</v>
      </c>
      <c r="AH89" s="253">
        <f>'[79]VENTAS TOTALES'!$G101</f>
        <v>426000</v>
      </c>
      <c r="AI89" s="253">
        <f>'[79]VENTAS TOTALES'!$H101</f>
        <v>4419300</v>
      </c>
      <c r="AJ89" s="252">
        <f>'[80]VENTAS TOTALES'!$F101</f>
        <v>1900</v>
      </c>
      <c r="AK89" s="253">
        <f>'[80]VENTAS TOTALES'!$G101</f>
        <v>413100</v>
      </c>
      <c r="AL89" s="253">
        <f>'[80]VENTAS TOTALES'!$H101</f>
        <v>3643100</v>
      </c>
      <c r="AM89" s="252">
        <f>'[81]VENTAS TOTALES'!$F101</f>
        <v>956</v>
      </c>
      <c r="AN89" s="253">
        <f>'[81]VENTAS TOTALES'!$G101</f>
        <v>218000</v>
      </c>
      <c r="AO89" s="253">
        <f>'[81]VENTAS TOTALES'!$H101</f>
        <v>1843200</v>
      </c>
      <c r="AP89" s="252">
        <f>'[82]VENTAS TOTALES'!$F101</f>
        <v>2660</v>
      </c>
      <c r="AQ89" s="253">
        <f>'[82]VENTAS TOTALES'!$G101</f>
        <v>721600</v>
      </c>
      <c r="AR89" s="253">
        <f>'[82]VENTAS TOTALES'!$H101</f>
        <v>5243600</v>
      </c>
      <c r="AS89" s="252">
        <f>'[83]VENTAS TOTALES'!$F101</f>
        <v>2508</v>
      </c>
      <c r="AT89" s="253">
        <f>'[83]VENTAS TOTALES'!$G101</f>
        <v>902000</v>
      </c>
      <c r="AU89" s="253">
        <f>'[83]VENTAS TOTALES'!$H101</f>
        <v>5165600</v>
      </c>
      <c r="AV89" s="252">
        <f>'[84]VENTAS TOTALES'!$F101</f>
        <v>2576</v>
      </c>
      <c r="AW89" s="253">
        <f>'[84]VENTAS TOTALES'!$G101</f>
        <v>806300</v>
      </c>
      <c r="AX89" s="253">
        <f>'[84]VENTAS TOTALES'!$H101</f>
        <v>5185500</v>
      </c>
      <c r="AY89" s="252">
        <f>'[85]VENTAS TOTALES'!$F101</f>
        <v>2394</v>
      </c>
      <c r="AZ89" s="253">
        <f>'[85]VENTAS TOTALES'!$G101</f>
        <v>551400</v>
      </c>
      <c r="BA89" s="253">
        <f>'[85]VENTAS TOTALES'!$H101</f>
        <v>4621200</v>
      </c>
      <c r="BB89" s="252">
        <f>'[86]VENTAS TOTALES'!$F101</f>
        <v>1809</v>
      </c>
      <c r="BC89" s="253">
        <f>'[86]VENTAS TOTALES'!$G101</f>
        <v>320100</v>
      </c>
      <c r="BD89" s="253">
        <f>'[86]VENTAS TOTALES'!$H101</f>
        <v>3395400</v>
      </c>
      <c r="BE89" s="252">
        <f>'[87]VENTAS TOTALES'!$F101</f>
        <v>2271</v>
      </c>
      <c r="BF89" s="253">
        <f>'[87]VENTAS TOTALES'!$G101</f>
        <v>450700</v>
      </c>
      <c r="BG89" s="253">
        <f>'[87]VENTAS TOTALES'!$H101</f>
        <v>4311400</v>
      </c>
      <c r="BH89" s="252">
        <f>'[88]VENTAS TOTALES'!$F101</f>
        <v>1032</v>
      </c>
      <c r="BI89" s="253">
        <f>'[88]VENTAS TOTALES'!$G101</f>
        <v>182600</v>
      </c>
      <c r="BJ89" s="253">
        <f>'[88]VENTAS TOTALES'!$H101</f>
        <v>1937000</v>
      </c>
      <c r="BK89" s="252">
        <f>'[89]VENTAS TOTALES'!$F101</f>
        <v>2920</v>
      </c>
      <c r="BL89" s="253">
        <f>'[89]VENTAS TOTALES'!$G101</f>
        <v>763400</v>
      </c>
      <c r="BM89" s="253">
        <f>'[89]VENTAS TOTALES'!$H101</f>
        <v>5727400</v>
      </c>
      <c r="BN89" s="252">
        <f>'[90]VENTAS TOTALES'!$F101</f>
        <v>2382</v>
      </c>
      <c r="BO89" s="253">
        <f>'[90]VENTAS TOTALES'!$G101</f>
        <v>635400</v>
      </c>
      <c r="BP89" s="253">
        <f>'[90]VENTAS TOTALES'!$H101</f>
        <v>4684800</v>
      </c>
      <c r="BQ89" s="252">
        <f>'[91]VENTAS TOTALES'!$F101</f>
        <v>2269</v>
      </c>
      <c r="BR89" s="253">
        <f>'[91]VENTAS TOTALES'!$G101</f>
        <v>606500</v>
      </c>
      <c r="BS89" s="253">
        <f>'[91]VENTAS TOTALES'!$H101</f>
        <v>4463800</v>
      </c>
      <c r="BT89" s="252">
        <f>'[92]VENTAS TOTALES'!$F101</f>
        <v>2155</v>
      </c>
      <c r="BU89" s="253">
        <f>'[92]VENTAS TOTALES'!$G101</f>
        <v>563600</v>
      </c>
      <c r="BV89" s="253">
        <f>'[92]VENTAS TOTALES'!$H101</f>
        <v>4227100</v>
      </c>
      <c r="BW89" s="252">
        <f>'[93]VENTAS TOTALES'!$F101</f>
        <v>2296</v>
      </c>
      <c r="BX89" s="253">
        <f>'[93]VENTAS TOTALES'!$G101</f>
        <v>588400</v>
      </c>
      <c r="BY89" s="253">
        <f>'[93]VENTAS TOTALES'!$H101</f>
        <v>4491600</v>
      </c>
      <c r="BZ89" s="252">
        <f>'[94]VENTAS TOTALES'!$F101</f>
        <v>2151</v>
      </c>
      <c r="CA89" s="253">
        <f>'[94]VENTAS TOTALES'!$G101</f>
        <v>603400</v>
      </c>
      <c r="CB89" s="253">
        <f>'[94]VENTAS TOTALES'!$H101</f>
        <v>4260100</v>
      </c>
      <c r="CC89" s="252">
        <f>'[95]VENTAS TOTALES'!$F101</f>
        <v>996</v>
      </c>
      <c r="CD89" s="253">
        <f>'[95]VENTAS TOTALES'!$G101</f>
        <v>193400</v>
      </c>
      <c r="CE89" s="253">
        <f>'[95]VENTAS TOTALES'!$H101</f>
        <v>1886600</v>
      </c>
      <c r="CF89" s="252">
        <f>'[96]VENTAS TOTALES'!$F101</f>
        <v>3100</v>
      </c>
      <c r="CG89" s="253">
        <f>'[96]VENTAS TOTALES'!$G101</f>
        <v>1339600</v>
      </c>
      <c r="CH89" s="253">
        <f>'[96]VENTAS TOTALES'!$H101</f>
        <v>6609600</v>
      </c>
      <c r="CI89" s="252">
        <f>'[97]VENTAS TOTALES'!$F101</f>
        <v>2936</v>
      </c>
      <c r="CJ89" s="253">
        <f>'[97]VENTAS TOTALES'!$G101</f>
        <v>1072500</v>
      </c>
      <c r="CK89" s="253">
        <f>'[97]VENTAS TOTALES'!$H101</f>
        <v>6063700</v>
      </c>
      <c r="CL89" s="252">
        <f>'[98]VENTAS TOTALES'!$F101</f>
        <v>2634</v>
      </c>
      <c r="CM89" s="253">
        <f>'[98]VENTAS TOTALES'!$G101</f>
        <v>846800</v>
      </c>
      <c r="CN89" s="253">
        <f>'[98]VENTAS TOTALES'!$H101</f>
        <v>5324600</v>
      </c>
      <c r="CO89" s="252">
        <f>'[99]VENTAS TOTALES'!$F101</f>
        <v>2580</v>
      </c>
      <c r="CP89" s="253">
        <f>'[99]VENTAS TOTALES'!$G101</f>
        <v>542500</v>
      </c>
      <c r="CQ89" s="253">
        <f>'[99]VENTAS TOTALES'!$H101</f>
        <v>4928500</v>
      </c>
      <c r="CR89" s="252">
        <f>'[100]VENTAS TOTALES'!$F101</f>
        <v>2523</v>
      </c>
      <c r="CS89" s="253">
        <f>'[100]VENTAS TOTALES'!$G101</f>
        <v>489800</v>
      </c>
      <c r="CT89" s="253">
        <f>'[100]VENTAS TOTALES'!$H101</f>
        <v>4778900</v>
      </c>
      <c r="CU89" s="252">
        <f>'[101]VENTAS TOTALES'!$F101</f>
        <v>2164</v>
      </c>
      <c r="CV89" s="253">
        <f>'[101]VENTAS TOTALES'!$G101</f>
        <v>619400</v>
      </c>
      <c r="CW89" s="253">
        <f>'[101]VENTAS TOTALES'!$H101</f>
        <v>4298200</v>
      </c>
      <c r="CX89" s="252">
        <f>'[102]VENTAS TOTALES'!$F101</f>
        <v>1032</v>
      </c>
      <c r="CY89" s="253">
        <f>'[102]VENTAS TOTALES'!$G101</f>
        <v>157300</v>
      </c>
      <c r="CZ89" s="253">
        <f>'[102]VENTAS TOTALES'!$H101</f>
        <v>1911700</v>
      </c>
    </row>
    <row r="90" spans="1:104" x14ac:dyDescent="0.2">
      <c r="A90" s="443"/>
      <c r="B90" s="43" t="s">
        <v>136</v>
      </c>
      <c r="C90" s="252">
        <f>'[69]VENTAS TOTALES'!$F102</f>
        <v>12949</v>
      </c>
      <c r="D90" s="253">
        <f>'[69]VENTAS TOTALES'!$G102</f>
        <v>2780100</v>
      </c>
      <c r="E90" s="253">
        <f>'[69]VENTAS TOTALES'!$H102</f>
        <v>24793400</v>
      </c>
      <c r="F90" s="252">
        <f>'[70]VENTAS TOTALES'!$F102</f>
        <v>12704</v>
      </c>
      <c r="G90" s="253">
        <f>'[70]VENTAS TOTALES'!$G102</f>
        <v>2560500</v>
      </c>
      <c r="H90" s="253">
        <f>'[70]VENTAS TOTALES'!$H102</f>
        <v>24157300</v>
      </c>
      <c r="I90" s="252">
        <f>'[71]VENTAS TOTALES'!$F102</f>
        <v>11455</v>
      </c>
      <c r="J90" s="253">
        <f>'[71]VENTAS TOTALES'!$G102</f>
        <v>1400000</v>
      </c>
      <c r="K90" s="253">
        <f>'[71]VENTAS TOTALES'!$H102</f>
        <v>20873500</v>
      </c>
      <c r="L90" s="252">
        <f>'[72]VENTAS TOTALES'!$F102</f>
        <v>12576</v>
      </c>
      <c r="M90" s="253">
        <f>'[72]VENTAS TOTALES'!$G102</f>
        <v>1747800</v>
      </c>
      <c r="N90" s="253">
        <f>'[72]VENTAS TOTALES'!$H102</f>
        <v>23127000</v>
      </c>
      <c r="O90" s="252">
        <f>'[73]VENTAS TOTALES'!$F102</f>
        <v>11141</v>
      </c>
      <c r="P90" s="253">
        <f>'[73]VENTAS TOTALES'!$G102</f>
        <v>1652500</v>
      </c>
      <c r="Q90" s="253">
        <f>'[73]VENTAS TOTALES'!$H102</f>
        <v>20592200</v>
      </c>
      <c r="R90" s="252">
        <f>'[74]VENTAS TOTALES'!$F102</f>
        <v>6278</v>
      </c>
      <c r="S90" s="253">
        <f>'[74]VENTAS TOTALES'!$G102</f>
        <v>887000</v>
      </c>
      <c r="T90" s="253">
        <f>'[74]VENTAS TOTALES'!$H102</f>
        <v>11559600</v>
      </c>
      <c r="U90" s="252">
        <f>'[75]VENTAS TOTALES'!$F102</f>
        <v>13791</v>
      </c>
      <c r="V90" s="253">
        <f>'[75]VENTAS TOTALES'!$G102</f>
        <v>2615650</v>
      </c>
      <c r="W90" s="253">
        <f>'[75]VENTAS TOTALES'!$H102</f>
        <v>26060350</v>
      </c>
      <c r="X90" s="252">
        <f>'[76]VENTAS TOTALES'!$F102</f>
        <v>12848</v>
      </c>
      <c r="Y90" s="253">
        <f>'[76]VENTAS TOTALES'!$G102</f>
        <v>1833400</v>
      </c>
      <c r="Z90" s="253">
        <f>'[76]VENTAS TOTALES'!$H102</f>
        <v>23675000</v>
      </c>
      <c r="AA90" s="252">
        <f>'[77]VENTAS TOTALES'!$F102</f>
        <v>12482</v>
      </c>
      <c r="AB90" s="253">
        <f>'[77]VENTAS TOTALES'!$G102</f>
        <v>1778350</v>
      </c>
      <c r="AC90" s="253">
        <f>'[77]VENTAS TOTALES'!$H102</f>
        <v>22997750</v>
      </c>
      <c r="AD90" s="252">
        <f>'[78]VENTAS TOTALES'!$F102</f>
        <v>12194</v>
      </c>
      <c r="AE90" s="253">
        <f>'[78]VENTAS TOTALES'!$G102</f>
        <v>2122400</v>
      </c>
      <c r="AF90" s="253">
        <f>'[78]VENTAS TOTALES'!$H102</f>
        <v>22852200</v>
      </c>
      <c r="AG90" s="252">
        <f>'[79]VENTAS TOTALES'!$F102</f>
        <v>12700</v>
      </c>
      <c r="AH90" s="253">
        <f>'[79]VENTAS TOTALES'!$G102</f>
        <v>1609600</v>
      </c>
      <c r="AI90" s="253">
        <f>'[79]VENTAS TOTALES'!$H102</f>
        <v>23199600</v>
      </c>
      <c r="AJ90" s="252">
        <f>'[80]VENTAS TOTALES'!$F102</f>
        <v>11018</v>
      </c>
      <c r="AK90" s="253">
        <f>'[80]VENTAS TOTALES'!$G102</f>
        <v>1390150</v>
      </c>
      <c r="AL90" s="253">
        <f>'[80]VENTAS TOTALES'!$H102</f>
        <v>20120750</v>
      </c>
      <c r="AM90" s="252">
        <f>'[81]VENTAS TOTALES'!$F102</f>
        <v>6152</v>
      </c>
      <c r="AN90" s="253">
        <f>'[81]VENTAS TOTALES'!$G102</f>
        <v>769800</v>
      </c>
      <c r="AO90" s="253">
        <f>'[81]VENTAS TOTALES'!$H102</f>
        <v>11228200</v>
      </c>
      <c r="AP90" s="252">
        <f>'[82]VENTAS TOTALES'!$F102</f>
        <v>14740</v>
      </c>
      <c r="AQ90" s="253">
        <f>'[82]VENTAS TOTALES'!$G102</f>
        <v>2527650</v>
      </c>
      <c r="AR90" s="253">
        <f>'[82]VENTAS TOTALES'!$H102</f>
        <v>27585650</v>
      </c>
      <c r="AS90" s="252">
        <f>'[83]VENTAS TOTALES'!$F102</f>
        <v>13757</v>
      </c>
      <c r="AT90" s="253">
        <f>'[83]VENTAS TOTALES'!$G102</f>
        <v>2566100</v>
      </c>
      <c r="AU90" s="253">
        <f>'[83]VENTAS TOTALES'!$H102</f>
        <v>25953000</v>
      </c>
      <c r="AV90" s="252">
        <f>'[84]VENTAS TOTALES'!$F102</f>
        <v>13848</v>
      </c>
      <c r="AW90" s="253">
        <f>'[84]VENTAS TOTALES'!$G102</f>
        <v>2061900</v>
      </c>
      <c r="AX90" s="253">
        <f>'[84]VENTAS TOTALES'!$H102</f>
        <v>25603500</v>
      </c>
      <c r="AY90" s="252">
        <f>'[85]VENTAS TOTALES'!$F102</f>
        <v>13175</v>
      </c>
      <c r="AZ90" s="253">
        <f>'[85]VENTAS TOTALES'!$G102</f>
        <v>2049950</v>
      </c>
      <c r="BA90" s="253">
        <f>'[85]VENTAS TOTALES'!$H102</f>
        <v>24447450</v>
      </c>
      <c r="BB90" s="252">
        <f>'[86]VENTAS TOTALES'!$F102</f>
        <v>13369</v>
      </c>
      <c r="BC90" s="253">
        <f>'[86]VENTAS TOTALES'!$G102</f>
        <v>1581500</v>
      </c>
      <c r="BD90" s="253">
        <f>'[86]VENTAS TOTALES'!$H102</f>
        <v>24308800</v>
      </c>
      <c r="BE90" s="252">
        <f>'[87]VENTAS TOTALES'!$F102</f>
        <v>11393</v>
      </c>
      <c r="BF90" s="253">
        <f>'[87]VENTAS TOTALES'!$G102</f>
        <v>1284600</v>
      </c>
      <c r="BG90" s="253">
        <f>'[87]VENTAS TOTALES'!$H102</f>
        <v>20652700</v>
      </c>
      <c r="BH90" s="252">
        <f>'[88]VENTAS TOTALES'!$F102</f>
        <v>6484</v>
      </c>
      <c r="BI90" s="253">
        <f>'[88]VENTAS TOTALES'!$G102</f>
        <v>922200</v>
      </c>
      <c r="BJ90" s="253">
        <f>'[88]VENTAS TOTALES'!$H102</f>
        <v>11945000</v>
      </c>
      <c r="BK90" s="252">
        <f>'[89]VENTAS TOTALES'!$F102</f>
        <v>14743</v>
      </c>
      <c r="BL90" s="253">
        <f>'[89]VENTAS TOTALES'!$G102</f>
        <v>2414600</v>
      </c>
      <c r="BM90" s="253">
        <f>'[89]VENTAS TOTALES'!$H102</f>
        <v>27477700</v>
      </c>
      <c r="BN90" s="252">
        <f>'[90]VENTAS TOTALES'!$F102</f>
        <v>13087</v>
      </c>
      <c r="BO90" s="253">
        <f>'[90]VENTAS TOTALES'!$G102</f>
        <v>1859300</v>
      </c>
      <c r="BP90" s="253">
        <f>'[90]VENTAS TOTALES'!$H102</f>
        <v>24107200</v>
      </c>
      <c r="BQ90" s="252">
        <f>'[91]VENTAS TOTALES'!$F102</f>
        <v>12711</v>
      </c>
      <c r="BR90" s="253">
        <f>'[91]VENTAS TOTALES'!$G102</f>
        <v>1690200</v>
      </c>
      <c r="BS90" s="253">
        <f>'[91]VENTAS TOTALES'!$H102</f>
        <v>23298900</v>
      </c>
      <c r="BT90" s="252">
        <f>'[92]VENTAS TOTALES'!$F102</f>
        <v>12719</v>
      </c>
      <c r="BU90" s="253">
        <f>'[92]VENTAS TOTALES'!$G102</f>
        <v>1676200</v>
      </c>
      <c r="BV90" s="253">
        <f>'[92]VENTAS TOTALES'!$H102</f>
        <v>23298500</v>
      </c>
      <c r="BW90" s="252">
        <f>'[93]VENTAS TOTALES'!$F102</f>
        <v>13568</v>
      </c>
      <c r="BX90" s="253">
        <f>'[93]VENTAS TOTALES'!$G102</f>
        <v>1966550</v>
      </c>
      <c r="BY90" s="253">
        <f>'[93]VENTAS TOTALES'!$H102</f>
        <v>25032150</v>
      </c>
      <c r="BZ90" s="252">
        <f>'[94]VENTAS TOTALES'!$F102</f>
        <v>12052</v>
      </c>
      <c r="CA90" s="253">
        <f>'[94]VENTAS TOTALES'!$G102</f>
        <v>1667900</v>
      </c>
      <c r="CB90" s="253">
        <f>'[94]VENTAS TOTALES'!$H102</f>
        <v>22156300</v>
      </c>
      <c r="CC90" s="252">
        <f>'[95]VENTAS TOTALES'!$F102</f>
        <v>6617</v>
      </c>
      <c r="CD90" s="253">
        <f>'[95]VENTAS TOTALES'!$G102</f>
        <v>776400</v>
      </c>
      <c r="CE90" s="253">
        <f>'[95]VENTAS TOTALES'!$H102</f>
        <v>12025300</v>
      </c>
      <c r="CF90" s="252">
        <f>'[96]VENTAS TOTALES'!$F102</f>
        <v>15812</v>
      </c>
      <c r="CG90" s="253">
        <f>'[96]VENTAS TOTALES'!$G102</f>
        <v>2910700</v>
      </c>
      <c r="CH90" s="253">
        <f>'[96]VENTAS TOTALES'!$H102</f>
        <v>29791100</v>
      </c>
      <c r="CI90" s="252">
        <f>'[97]VENTAS TOTALES'!$F102</f>
        <v>14899</v>
      </c>
      <c r="CJ90" s="253">
        <f>'[97]VENTAS TOTALES'!$G102</f>
        <v>3094400</v>
      </c>
      <c r="CK90" s="253">
        <f>'[97]VENTAS TOTALES'!$H102</f>
        <v>28422700</v>
      </c>
      <c r="CL90" s="252">
        <f>'[98]VENTAS TOTALES'!$F102</f>
        <v>15117</v>
      </c>
      <c r="CM90" s="253">
        <f>'[98]VENTAS TOTALES'!$G102</f>
        <v>2638150</v>
      </c>
      <c r="CN90" s="253">
        <f>'[98]VENTAS TOTALES'!$H102</f>
        <v>28337050</v>
      </c>
      <c r="CO90" s="252">
        <f>'[99]VENTAS TOTALES'!$F102</f>
        <v>13920</v>
      </c>
      <c r="CP90" s="253">
        <f>'[99]VENTAS TOTALES'!$G102</f>
        <v>1933700</v>
      </c>
      <c r="CQ90" s="253">
        <f>'[99]VENTAS TOTALES'!$H102</f>
        <v>25597700</v>
      </c>
      <c r="CR90" s="252">
        <f>'[100]VENTAS TOTALES'!$F102</f>
        <v>13818</v>
      </c>
      <c r="CS90" s="253">
        <f>'[100]VENTAS TOTALES'!$G102</f>
        <v>1964300</v>
      </c>
      <c r="CT90" s="253">
        <f>'[100]VENTAS TOTALES'!$H102</f>
        <v>25454900</v>
      </c>
      <c r="CU90" s="252">
        <f>'[101]VENTAS TOTALES'!$F102</f>
        <v>12182</v>
      </c>
      <c r="CV90" s="253">
        <f>'[101]VENTAS TOTALES'!$G102</f>
        <v>1552400</v>
      </c>
      <c r="CW90" s="253">
        <f>'[101]VENTAS TOTALES'!$H102</f>
        <v>22261800</v>
      </c>
      <c r="CX90" s="252">
        <f>'[102]VENTAS TOTALES'!$F102</f>
        <v>6648</v>
      </c>
      <c r="CY90" s="253">
        <f>'[102]VENTAS TOTALES'!$G102</f>
        <v>717200</v>
      </c>
      <c r="CZ90" s="253">
        <f>'[102]VENTAS TOTALES'!$H102</f>
        <v>12018800</v>
      </c>
    </row>
    <row r="91" spans="1:104" x14ac:dyDescent="0.2">
      <c r="A91" s="443"/>
      <c r="B91" s="43" t="s">
        <v>38</v>
      </c>
      <c r="C91" s="252">
        <f>'[69]VENTAS TOTALES'!$F103</f>
        <v>12265</v>
      </c>
      <c r="D91" s="253">
        <f>'[69]VENTAS TOTALES'!$G103</f>
        <v>4019100</v>
      </c>
      <c r="E91" s="253">
        <f>'[69]VENTAS TOTALES'!$H103</f>
        <v>24869600</v>
      </c>
      <c r="F91" s="252">
        <f>'[70]VENTAS TOTALES'!$F103</f>
        <v>12010</v>
      </c>
      <c r="G91" s="253">
        <f>'[70]VENTAS TOTALES'!$G103</f>
        <v>3381700</v>
      </c>
      <c r="H91" s="253">
        <f>'[70]VENTAS TOTALES'!$H103</f>
        <v>23798700</v>
      </c>
      <c r="I91" s="252">
        <f>'[71]VENTAS TOTALES'!$F103</f>
        <v>10175</v>
      </c>
      <c r="J91" s="253">
        <f>'[71]VENTAS TOTALES'!$G103</f>
        <v>2027700</v>
      </c>
      <c r="K91" s="253">
        <f>'[71]VENTAS TOTALES'!$H103</f>
        <v>19325200</v>
      </c>
      <c r="L91" s="252">
        <f>'[72]VENTAS TOTALES'!$F103</f>
        <v>10078</v>
      </c>
      <c r="M91" s="253">
        <f>'[72]VENTAS TOTALES'!$G103</f>
        <v>1890850</v>
      </c>
      <c r="N91" s="253">
        <f>'[72]VENTAS TOTALES'!$H103</f>
        <v>19023450</v>
      </c>
      <c r="O91" s="252">
        <f>'[73]VENTAS TOTALES'!$F103</f>
        <v>8115</v>
      </c>
      <c r="P91" s="253">
        <f>'[73]VENTAS TOTALES'!$G103</f>
        <v>1301300</v>
      </c>
      <c r="Q91" s="253">
        <f>'[73]VENTAS TOTALES'!$H103</f>
        <v>15096800</v>
      </c>
      <c r="R91" s="252">
        <f>'[74]VENTAS TOTALES'!$F103</f>
        <v>5021</v>
      </c>
      <c r="S91" s="253">
        <f>'[74]VENTAS TOTALES'!$G103</f>
        <v>1019900</v>
      </c>
      <c r="T91" s="253">
        <f>'[74]VENTAS TOTALES'!$H103</f>
        <v>9555600</v>
      </c>
      <c r="U91" s="252">
        <f>'[75]VENTAS TOTALES'!$F103</f>
        <v>13318</v>
      </c>
      <c r="V91" s="253">
        <f>'[75]VENTAS TOTALES'!$G103</f>
        <v>2764550</v>
      </c>
      <c r="W91" s="253">
        <f>'[75]VENTAS TOTALES'!$H103</f>
        <v>25405150</v>
      </c>
      <c r="X91" s="252">
        <f>'[76]VENTAS TOTALES'!$F103</f>
        <v>10968</v>
      </c>
      <c r="Y91" s="253">
        <f>'[76]VENTAS TOTALES'!$G103</f>
        <v>2274850</v>
      </c>
      <c r="Z91" s="253">
        <f>'[76]VENTAS TOTALES'!$H103</f>
        <v>20920450</v>
      </c>
      <c r="AA91" s="252">
        <f>'[77]VENTAS TOTALES'!$F103</f>
        <v>10919</v>
      </c>
      <c r="AB91" s="253">
        <f>'[77]VENTAS TOTALES'!$G103</f>
        <v>1940700</v>
      </c>
      <c r="AC91" s="253">
        <f>'[77]VENTAS TOTALES'!$H103</f>
        <v>20503000</v>
      </c>
      <c r="AD91" s="252">
        <f>'[78]VENTAS TOTALES'!$F103</f>
        <v>10254</v>
      </c>
      <c r="AE91" s="253">
        <f>'[78]VENTAS TOTALES'!$G103</f>
        <v>2085250</v>
      </c>
      <c r="AF91" s="253">
        <f>'[78]VENTAS TOTALES'!$H103</f>
        <v>19517050</v>
      </c>
      <c r="AG91" s="252">
        <f>'[79]VENTAS TOTALES'!$F103</f>
        <v>10263</v>
      </c>
      <c r="AH91" s="253">
        <f>'[79]VENTAS TOTALES'!$G103</f>
        <v>1864000</v>
      </c>
      <c r="AI91" s="253">
        <f>'[79]VENTAS TOTALES'!$H103</f>
        <v>19311100</v>
      </c>
      <c r="AJ91" s="252">
        <f>'[80]VENTAS TOTALES'!$F103</f>
        <v>8406</v>
      </c>
      <c r="AK91" s="253">
        <f>'[80]VENTAS TOTALES'!$G103</f>
        <v>1381100</v>
      </c>
      <c r="AL91" s="253">
        <f>'[80]VENTAS TOTALES'!$H103</f>
        <v>15671300</v>
      </c>
      <c r="AM91" s="252">
        <f>'[81]VENTAS TOTALES'!$F103</f>
        <v>4605</v>
      </c>
      <c r="AN91" s="253">
        <f>'[81]VENTAS TOTALES'!$G103</f>
        <v>825600</v>
      </c>
      <c r="AO91" s="253">
        <f>'[81]VENTAS TOTALES'!$H103</f>
        <v>8654100</v>
      </c>
      <c r="AP91" s="252">
        <f>'[82]VENTAS TOTALES'!$F103</f>
        <v>12689</v>
      </c>
      <c r="AQ91" s="253">
        <f>'[82]VENTAS TOTALES'!$G103</f>
        <v>2932100</v>
      </c>
      <c r="AR91" s="253">
        <f>'[82]VENTAS TOTALES'!$H103</f>
        <v>24503400</v>
      </c>
      <c r="AS91" s="252">
        <f>'[83]VENTAS TOTALES'!$F103</f>
        <v>11290</v>
      </c>
      <c r="AT91" s="253">
        <f>'[83]VENTAS TOTALES'!$G103</f>
        <v>2674400</v>
      </c>
      <c r="AU91" s="253">
        <f>'[83]VENTAS TOTALES'!$H103</f>
        <v>21867400</v>
      </c>
      <c r="AV91" s="252">
        <f>'[84]VENTAS TOTALES'!$F103</f>
        <v>11929</v>
      </c>
      <c r="AW91" s="253">
        <f>'[84]VENTAS TOTALES'!$G103</f>
        <v>2782800</v>
      </c>
      <c r="AX91" s="253">
        <f>'[84]VENTAS TOTALES'!$H103</f>
        <v>23062100</v>
      </c>
      <c r="AY91" s="252">
        <f>'[85]VENTAS TOTALES'!$F103</f>
        <v>11252</v>
      </c>
      <c r="AZ91" s="253">
        <f>'[85]VENTAS TOTALES'!$G103</f>
        <v>2745500</v>
      </c>
      <c r="BA91" s="253">
        <f>'[85]VENTAS TOTALES'!$H103</f>
        <v>21873900</v>
      </c>
      <c r="BB91" s="252">
        <f>'[86]VENTAS TOTALES'!$F103</f>
        <v>10405</v>
      </c>
      <c r="BC91" s="253">
        <f>'[86]VENTAS TOTALES'!$G103</f>
        <v>1686300</v>
      </c>
      <c r="BD91" s="253">
        <f>'[86]VENTAS TOTALES'!$H103</f>
        <v>19374800</v>
      </c>
      <c r="BE91" s="252">
        <f>'[87]VENTAS TOTALES'!$F103</f>
        <v>8510</v>
      </c>
      <c r="BF91" s="253">
        <f>'[87]VENTAS TOTALES'!$G103</f>
        <v>1593700</v>
      </c>
      <c r="BG91" s="253">
        <f>'[87]VENTAS TOTALES'!$H103</f>
        <v>16060700</v>
      </c>
      <c r="BH91" s="252">
        <f>'[88]VENTAS TOTALES'!$F103</f>
        <v>4949</v>
      </c>
      <c r="BI91" s="253">
        <f>'[88]VENTAS TOTALES'!$G103</f>
        <v>974300</v>
      </c>
      <c r="BJ91" s="253">
        <f>'[88]VENTAS TOTALES'!$H103</f>
        <v>9387600</v>
      </c>
      <c r="BK91" s="252">
        <f>'[89]VENTAS TOTALES'!$F103</f>
        <v>13725</v>
      </c>
      <c r="BL91" s="253">
        <f>'[89]VENTAS TOTALES'!$G103</f>
        <v>2848600</v>
      </c>
      <c r="BM91" s="253">
        <f>'[89]VENTAS TOTALES'!$H103</f>
        <v>26181100</v>
      </c>
      <c r="BN91" s="252">
        <f>'[90]VENTAS TOTALES'!$F103</f>
        <v>10853</v>
      </c>
      <c r="BO91" s="253">
        <f>'[90]VENTAS TOTALES'!$G103</f>
        <v>2380850</v>
      </c>
      <c r="BP91" s="253">
        <f>'[90]VENTAS TOTALES'!$H103</f>
        <v>20830950</v>
      </c>
      <c r="BQ91" s="252">
        <f>'[91]VENTAS TOTALES'!$F103</f>
        <v>11226</v>
      </c>
      <c r="BR91" s="253">
        <f>'[91]VENTAS TOTALES'!$G103</f>
        <v>1831500</v>
      </c>
      <c r="BS91" s="253">
        <f>'[91]VENTAS TOTALES'!$H103</f>
        <v>20915700</v>
      </c>
      <c r="BT91" s="252">
        <f>'[92]VENTAS TOTALES'!$F103</f>
        <v>10716</v>
      </c>
      <c r="BU91" s="253">
        <f>'[92]VENTAS TOTALES'!$G103</f>
        <v>1877650</v>
      </c>
      <c r="BV91" s="253">
        <f>'[92]VENTAS TOTALES'!$H103</f>
        <v>20094850</v>
      </c>
      <c r="BW91" s="252">
        <f>'[93]VENTAS TOTALES'!$F103</f>
        <v>10599</v>
      </c>
      <c r="BX91" s="253">
        <f>'[93]VENTAS TOTALES'!$G103</f>
        <v>1947800</v>
      </c>
      <c r="BY91" s="253">
        <f>'[93]VENTAS TOTALES'!$H103</f>
        <v>19966100</v>
      </c>
      <c r="BZ91" s="252">
        <f>'[94]VENTAS TOTALES'!$F103</f>
        <v>8444</v>
      </c>
      <c r="CA91" s="253">
        <f>'[94]VENTAS TOTALES'!$G103</f>
        <v>1771500</v>
      </c>
      <c r="CB91" s="253">
        <f>'[94]VENTAS TOTALES'!$H103</f>
        <v>16126300</v>
      </c>
      <c r="CC91" s="252">
        <f>'[95]VENTAS TOTALES'!$F103</f>
        <v>4776</v>
      </c>
      <c r="CD91" s="253">
        <f>'[95]VENTAS TOTALES'!$G103</f>
        <v>1054700</v>
      </c>
      <c r="CE91" s="253">
        <f>'[95]VENTAS TOTALES'!$H103</f>
        <v>9173900</v>
      </c>
      <c r="CF91" s="252">
        <f>'[96]VENTAS TOTALES'!$F103</f>
        <v>13788</v>
      </c>
      <c r="CG91" s="253">
        <f>'[96]VENTAS TOTALES'!$G103</f>
        <v>4151600</v>
      </c>
      <c r="CH91" s="253">
        <f>'[96]VENTAS TOTALES'!$H103</f>
        <v>27591200</v>
      </c>
      <c r="CI91" s="252">
        <f>'[97]VENTAS TOTALES'!$F103</f>
        <v>12898</v>
      </c>
      <c r="CJ91" s="253">
        <f>'[97]VENTAS TOTALES'!$G103</f>
        <v>4467800</v>
      </c>
      <c r="CK91" s="253">
        <f>'[97]VENTAS TOTALES'!$H103</f>
        <v>26394400</v>
      </c>
      <c r="CL91" s="252">
        <f>'[98]VENTAS TOTALES'!$F103</f>
        <v>12763</v>
      </c>
      <c r="CM91" s="253">
        <f>'[98]VENTAS TOTALES'!$G103</f>
        <v>3895200</v>
      </c>
      <c r="CN91" s="253">
        <f>'[98]VENTAS TOTALES'!$H103</f>
        <v>25592300</v>
      </c>
      <c r="CO91" s="252">
        <f>'[99]VENTAS TOTALES'!$F103</f>
        <v>11457</v>
      </c>
      <c r="CP91" s="253">
        <f>'[99]VENTAS TOTALES'!$G103</f>
        <v>2511350</v>
      </c>
      <c r="CQ91" s="253">
        <f>'[99]VENTAS TOTALES'!$H103</f>
        <v>21988250</v>
      </c>
      <c r="CR91" s="252">
        <f>'[100]VENTAS TOTALES'!$F103</f>
        <v>10973</v>
      </c>
      <c r="CS91" s="253">
        <f>'[100]VENTAS TOTALES'!$G103</f>
        <v>1733300</v>
      </c>
      <c r="CT91" s="253">
        <f>'[100]VENTAS TOTALES'!$H103</f>
        <v>20387400</v>
      </c>
      <c r="CU91" s="252">
        <f>'[101]VENTAS TOTALES'!$F103</f>
        <v>8828</v>
      </c>
      <c r="CV91" s="253">
        <f>'[101]VENTAS TOTALES'!$G103</f>
        <v>1805300</v>
      </c>
      <c r="CW91" s="253">
        <f>'[101]VENTAS TOTALES'!$H103</f>
        <v>16812900</v>
      </c>
      <c r="CX91" s="252">
        <f>'[102]VENTAS TOTALES'!$F103</f>
        <v>5014</v>
      </c>
      <c r="CY91" s="253">
        <f>'[102]VENTAS TOTALES'!$G103</f>
        <v>1169400</v>
      </c>
      <c r="CZ91" s="253">
        <f>'[102]VENTAS TOTALES'!$H103</f>
        <v>9693200</v>
      </c>
    </row>
    <row r="92" spans="1:104" x14ac:dyDescent="0.2">
      <c r="A92" s="443"/>
      <c r="B92" s="43" t="s">
        <v>39</v>
      </c>
      <c r="C92" s="252">
        <f>'[69]VENTAS TOTALES'!$F104</f>
        <v>5472</v>
      </c>
      <c r="D92" s="253">
        <f>'[69]VENTAS TOTALES'!$G104</f>
        <v>2887200</v>
      </c>
      <c r="E92" s="253">
        <f>'[69]VENTAS TOTALES'!$H104</f>
        <v>12189600</v>
      </c>
      <c r="F92" s="252">
        <f>'[70]VENTAS TOTALES'!$F104</f>
        <v>5404</v>
      </c>
      <c r="G92" s="253">
        <f>'[70]VENTAS TOTALES'!$G104</f>
        <v>1946500</v>
      </c>
      <c r="H92" s="253">
        <f>'[70]VENTAS TOTALES'!$H104</f>
        <v>11133300</v>
      </c>
      <c r="I92" s="252">
        <f>'[71]VENTAS TOTALES'!$F104</f>
        <v>4805</v>
      </c>
      <c r="J92" s="253">
        <f>'[71]VENTAS TOTALES'!$G104</f>
        <v>1700100</v>
      </c>
      <c r="K92" s="253">
        <f>'[71]VENTAS TOTALES'!$H104</f>
        <v>9868600</v>
      </c>
      <c r="L92" s="252">
        <f>'[72]VENTAS TOTALES'!$F104</f>
        <v>4833</v>
      </c>
      <c r="M92" s="253">
        <f>'[72]VENTAS TOTALES'!$G104</f>
        <v>1400650</v>
      </c>
      <c r="N92" s="253">
        <f>'[72]VENTAS TOTALES'!$H104</f>
        <v>9616750</v>
      </c>
      <c r="O92" s="252">
        <f>'[73]VENTAS TOTALES'!$F104</f>
        <v>4252</v>
      </c>
      <c r="P92" s="253">
        <f>'[73]VENTAS TOTALES'!$G104</f>
        <v>1075900</v>
      </c>
      <c r="Q92" s="253">
        <f>'[73]VENTAS TOTALES'!$H104</f>
        <v>8304300</v>
      </c>
      <c r="R92" s="252">
        <f>'[74]VENTAS TOTALES'!$F104</f>
        <v>2689</v>
      </c>
      <c r="S92" s="253">
        <f>'[74]VENTAS TOTALES'!$G104</f>
        <v>966300</v>
      </c>
      <c r="T92" s="253">
        <f>'[74]VENTAS TOTALES'!$H104</f>
        <v>5537600</v>
      </c>
      <c r="U92" s="252">
        <f>'[75]VENTAS TOTALES'!$F104</f>
        <v>5703</v>
      </c>
      <c r="V92" s="253">
        <f>'[75]VENTAS TOTALES'!$G104</f>
        <v>2295950</v>
      </c>
      <c r="W92" s="253">
        <f>'[75]VENTAS TOTALES'!$H104</f>
        <v>11991050</v>
      </c>
      <c r="X92" s="252">
        <f>'[76]VENTAS TOTALES'!$F104</f>
        <v>5220</v>
      </c>
      <c r="Y92" s="253">
        <f>'[76]VENTAS TOTALES'!$G104</f>
        <v>1501750</v>
      </c>
      <c r="Z92" s="253">
        <f>'[76]VENTAS TOTALES'!$H104</f>
        <v>10375750</v>
      </c>
      <c r="AA92" s="252">
        <f>'[77]VENTAS TOTALES'!$F104</f>
        <v>4969</v>
      </c>
      <c r="AB92" s="253">
        <f>'[77]VENTAS TOTALES'!$G104</f>
        <v>1329400</v>
      </c>
      <c r="AC92" s="253">
        <f>'[77]VENTAS TOTALES'!$H104</f>
        <v>9776700</v>
      </c>
      <c r="AD92" s="252">
        <f>'[78]VENTAS TOTALES'!$F104</f>
        <v>5022</v>
      </c>
      <c r="AE92" s="253">
        <f>'[78]VENTAS TOTALES'!$G104</f>
        <v>1389100</v>
      </c>
      <c r="AF92" s="253">
        <f>'[78]VENTAS TOTALES'!$H104</f>
        <v>9926500</v>
      </c>
      <c r="AG92" s="252">
        <f>'[79]VENTAS TOTALES'!$F104</f>
        <v>4790</v>
      </c>
      <c r="AH92" s="253">
        <f>'[79]VENTAS TOTALES'!$G104</f>
        <v>1198200</v>
      </c>
      <c r="AI92" s="253">
        <f>'[79]VENTAS TOTALES'!$H104</f>
        <v>9341200</v>
      </c>
      <c r="AJ92" s="252">
        <f>'[80]VENTAS TOTALES'!$F104</f>
        <v>4136</v>
      </c>
      <c r="AK92" s="253">
        <f>'[80]VENTAS TOTALES'!$G104</f>
        <v>902300</v>
      </c>
      <c r="AL92" s="253">
        <f>'[80]VENTAS TOTALES'!$H104</f>
        <v>7933500</v>
      </c>
      <c r="AM92" s="252">
        <f>'[81]VENTAS TOTALES'!$F104</f>
        <v>2633</v>
      </c>
      <c r="AN92" s="253">
        <f>'[81]VENTAS TOTALES'!$G104</f>
        <v>655200</v>
      </c>
      <c r="AO92" s="253">
        <f>'[81]VENTAS TOTALES'!$H104</f>
        <v>5131300</v>
      </c>
      <c r="AP92" s="252">
        <f>'[82]VENTAS TOTALES'!$F104</f>
        <v>5835</v>
      </c>
      <c r="AQ92" s="253">
        <f>'[82]VENTAS TOTALES'!$G104</f>
        <v>2193750</v>
      </c>
      <c r="AR92" s="253">
        <f>'[82]VENTAS TOTALES'!$H104</f>
        <v>12113250</v>
      </c>
      <c r="AS92" s="252">
        <f>'[83]VENTAS TOTALES'!$F104</f>
        <v>5250</v>
      </c>
      <c r="AT92" s="253">
        <f>'[83]VENTAS TOTALES'!$G104</f>
        <v>2081350</v>
      </c>
      <c r="AU92" s="253">
        <f>'[83]VENTAS TOTALES'!$H104</f>
        <v>11006350</v>
      </c>
      <c r="AV92" s="252">
        <f>'[84]VENTAS TOTALES'!$F104</f>
        <v>5298</v>
      </c>
      <c r="AW92" s="253">
        <f>'[84]VENTAS TOTALES'!$G104</f>
        <v>2450600</v>
      </c>
      <c r="AX92" s="253">
        <f>'[84]VENTAS TOTALES'!$H104</f>
        <v>11457200</v>
      </c>
      <c r="AY92" s="252">
        <f>'[85]VENTAS TOTALES'!$F104</f>
        <v>5536</v>
      </c>
      <c r="AZ92" s="253">
        <f>'[85]VENTAS TOTALES'!$G104</f>
        <v>1734100</v>
      </c>
      <c r="BA92" s="253">
        <f>'[85]VENTAS TOTALES'!$H104</f>
        <v>11145300</v>
      </c>
      <c r="BB92" s="252">
        <f>'[86]VENTAS TOTALES'!$F104</f>
        <v>5274</v>
      </c>
      <c r="BC92" s="253">
        <f>'[86]VENTAS TOTALES'!$G104</f>
        <v>1356350</v>
      </c>
      <c r="BD92" s="253">
        <f>'[86]VENTAS TOTALES'!$H104</f>
        <v>10322150</v>
      </c>
      <c r="BE92" s="252">
        <f>'[87]VENTAS TOTALES'!$F104</f>
        <v>4304</v>
      </c>
      <c r="BF92" s="253">
        <f>'[87]VENTAS TOTALES'!$G104</f>
        <v>814400</v>
      </c>
      <c r="BG92" s="253">
        <f>'[87]VENTAS TOTALES'!$H104</f>
        <v>8131200</v>
      </c>
      <c r="BH92" s="252">
        <f>'[88]VENTAS TOTALES'!$F104</f>
        <v>2901</v>
      </c>
      <c r="BI92" s="253">
        <f>'[88]VENTAS TOTALES'!$G104</f>
        <v>589400</v>
      </c>
      <c r="BJ92" s="253">
        <f>'[88]VENTAS TOTALES'!$H104</f>
        <v>5521100</v>
      </c>
      <c r="BK92" s="252">
        <f>'[89]VENTAS TOTALES'!$F104</f>
        <v>6037</v>
      </c>
      <c r="BL92" s="253">
        <f>'[89]VENTAS TOTALES'!$G104</f>
        <v>2003300</v>
      </c>
      <c r="BM92" s="253">
        <f>'[89]VENTAS TOTALES'!$H104</f>
        <v>12266200</v>
      </c>
      <c r="BN92" s="252">
        <f>'[90]VENTAS TOTALES'!$F104</f>
        <v>5260</v>
      </c>
      <c r="BO92" s="253">
        <f>'[90]VENTAS TOTALES'!$G104</f>
        <v>1567000</v>
      </c>
      <c r="BP92" s="253">
        <f>'[90]VENTAS TOTALES'!$H104</f>
        <v>10509000</v>
      </c>
      <c r="BQ92" s="252">
        <f>'[91]VENTAS TOTALES'!$F104</f>
        <v>4856</v>
      </c>
      <c r="BR92" s="253">
        <f>'[91]VENTAS TOTALES'!$G104</f>
        <v>1226800</v>
      </c>
      <c r="BS92" s="253">
        <f>'[91]VENTAS TOTALES'!$H104</f>
        <v>9482000</v>
      </c>
      <c r="BT92" s="252">
        <f>'[92]VENTAS TOTALES'!$F104</f>
        <v>4882</v>
      </c>
      <c r="BU92" s="253">
        <f>'[92]VENTAS TOTALES'!$G104</f>
        <v>1134600</v>
      </c>
      <c r="BV92" s="253">
        <f>'[92]VENTAS TOTALES'!$H104</f>
        <v>9434000</v>
      </c>
      <c r="BW92" s="252">
        <f>'[93]VENTAS TOTALES'!$F104</f>
        <v>5063</v>
      </c>
      <c r="BX92" s="253">
        <f>'[93]VENTAS TOTALES'!$G104</f>
        <v>1248750</v>
      </c>
      <c r="BY92" s="253">
        <f>'[93]VENTAS TOTALES'!$H104</f>
        <v>9855850</v>
      </c>
      <c r="BZ92" s="252">
        <f>'[94]VENTAS TOTALES'!$F104</f>
        <v>4269</v>
      </c>
      <c r="CA92" s="253">
        <f>'[94]VENTAS TOTALES'!$G104</f>
        <v>998900</v>
      </c>
      <c r="CB92" s="253">
        <f>'[94]VENTAS TOTALES'!$H104</f>
        <v>8256200</v>
      </c>
      <c r="CC92" s="252">
        <f>'[95]VENTAS TOTALES'!$F104</f>
        <v>2611</v>
      </c>
      <c r="CD92" s="253">
        <f>'[95]VENTAS TOTALES'!$G104</f>
        <v>684900</v>
      </c>
      <c r="CE92" s="253">
        <f>'[95]VENTAS TOTALES'!$H104</f>
        <v>5123600</v>
      </c>
      <c r="CF92" s="252">
        <f>'[96]VENTAS TOTALES'!$F104</f>
        <v>6658</v>
      </c>
      <c r="CG92" s="253">
        <f>'[96]VENTAS TOTALES'!$G104</f>
        <v>3347300</v>
      </c>
      <c r="CH92" s="253">
        <f>'[96]VENTAS TOTALES'!$H104</f>
        <v>14665900</v>
      </c>
      <c r="CI92" s="252">
        <f>'[97]VENTAS TOTALES'!$F104</f>
        <v>5969</v>
      </c>
      <c r="CJ92" s="253">
        <f>'[97]VENTAS TOTALES'!$G104</f>
        <v>2786300</v>
      </c>
      <c r="CK92" s="253">
        <f>'[97]VENTAS TOTALES'!$H104</f>
        <v>12933600</v>
      </c>
      <c r="CL92" s="252">
        <f>'[98]VENTAS TOTALES'!$F104</f>
        <v>5919</v>
      </c>
      <c r="CM92" s="253">
        <f>'[98]VENTAS TOTALES'!$G104</f>
        <v>2354900</v>
      </c>
      <c r="CN92" s="253">
        <f>'[98]VENTAS TOTALES'!$H104</f>
        <v>12417200</v>
      </c>
      <c r="CO92" s="252">
        <f>'[99]VENTAS TOTALES'!$F104</f>
        <v>5419</v>
      </c>
      <c r="CP92" s="253">
        <f>'[99]VENTAS TOTALES'!$G104</f>
        <v>1579900</v>
      </c>
      <c r="CQ92" s="253">
        <f>'[99]VENTAS TOTALES'!$H104</f>
        <v>10792200</v>
      </c>
      <c r="CR92" s="252">
        <f>'[100]VENTAS TOTALES'!$F104</f>
        <v>5045</v>
      </c>
      <c r="CS92" s="253">
        <f>'[100]VENTAS TOTALES'!$G104</f>
        <v>1295800</v>
      </c>
      <c r="CT92" s="253">
        <f>'[100]VENTAS TOTALES'!$H104</f>
        <v>9872300</v>
      </c>
      <c r="CU92" s="252">
        <f>'[101]VENTAS TOTALES'!$F104</f>
        <v>4495</v>
      </c>
      <c r="CV92" s="253">
        <f>'[101]VENTAS TOTALES'!$G104</f>
        <v>979200</v>
      </c>
      <c r="CW92" s="253">
        <f>'[101]VENTAS TOTALES'!$H104</f>
        <v>8620700</v>
      </c>
      <c r="CX92" s="252">
        <f>'[102]VENTAS TOTALES'!$F104</f>
        <v>3001</v>
      </c>
      <c r="CY92" s="253">
        <f>'[102]VENTAS TOTALES'!$G104</f>
        <v>516800</v>
      </c>
      <c r="CZ92" s="253">
        <f>'[102]VENTAS TOTALES'!$H104</f>
        <v>5618500</v>
      </c>
    </row>
    <row r="93" spans="1:104" ht="12" customHeight="1" x14ac:dyDescent="0.2">
      <c r="A93" s="443"/>
      <c r="B93" s="43" t="s">
        <v>125</v>
      </c>
      <c r="C93" s="252">
        <f>'[69]VENTAS TOTALES'!$F105</f>
        <v>3890</v>
      </c>
      <c r="D93" s="253">
        <f>'[69]VENTAS TOTALES'!$G105</f>
        <v>2050200</v>
      </c>
      <c r="E93" s="253">
        <f>'[69]VENTAS TOTALES'!$H105</f>
        <v>8663200</v>
      </c>
      <c r="F93" s="252">
        <f>'[70]VENTAS TOTALES'!$F105</f>
        <v>3603</v>
      </c>
      <c r="G93" s="253">
        <f>'[70]VENTAS TOTALES'!$G105</f>
        <v>1338600</v>
      </c>
      <c r="H93" s="253">
        <f>'[70]VENTAS TOTALES'!$H105</f>
        <v>7463700</v>
      </c>
      <c r="I93" s="252">
        <f>'[71]VENTAS TOTALES'!$F105</f>
        <v>2991</v>
      </c>
      <c r="J93" s="253">
        <f>'[71]VENTAS TOTALES'!$G105</f>
        <v>924300</v>
      </c>
      <c r="K93" s="253">
        <f>'[71]VENTAS TOTALES'!$H105</f>
        <v>6009000</v>
      </c>
      <c r="L93" s="252">
        <f>'[72]VENTAS TOTALES'!$F105</f>
        <v>2904</v>
      </c>
      <c r="M93" s="253">
        <f>'[72]VENTAS TOTALES'!$G105</f>
        <v>840500</v>
      </c>
      <c r="N93" s="253">
        <f>'[72]VENTAS TOTALES'!$H105</f>
        <v>5777300</v>
      </c>
      <c r="O93" s="252">
        <f>'[73]VENTAS TOTALES'!$F105</f>
        <v>2127</v>
      </c>
      <c r="P93" s="253">
        <f>'[73]VENTAS TOTALES'!$G105</f>
        <v>993900</v>
      </c>
      <c r="Q93" s="253">
        <f>'[73]VENTAS TOTALES'!$H105</f>
        <v>4609800</v>
      </c>
      <c r="R93" s="252">
        <f>'[74]VENTAS TOTALES'!$F105</f>
        <v>1201</v>
      </c>
      <c r="S93" s="253">
        <f>'[74]VENTAS TOTALES'!$G105</f>
        <v>264900</v>
      </c>
      <c r="T93" s="253">
        <f>'[74]VENTAS TOTALES'!$H105</f>
        <v>2306600</v>
      </c>
      <c r="U93" s="252">
        <f>'[75]VENTAS TOTALES'!$F105</f>
        <v>3947</v>
      </c>
      <c r="V93" s="253">
        <f>'[75]VENTAS TOTALES'!$G105</f>
        <v>1706000</v>
      </c>
      <c r="W93" s="253">
        <f>'[75]VENTAS TOTALES'!$H105</f>
        <v>8415900</v>
      </c>
      <c r="X93" s="252">
        <f>'[76]VENTAS TOTALES'!$F105</f>
        <v>3508</v>
      </c>
      <c r="Y93" s="253">
        <f>'[76]VENTAS TOTALES'!$G105</f>
        <v>1115100</v>
      </c>
      <c r="Z93" s="253">
        <f>'[76]VENTAS TOTALES'!$H105</f>
        <v>7078700</v>
      </c>
      <c r="AA93" s="252">
        <f>'[77]VENTAS TOTALES'!$F105</f>
        <v>2961</v>
      </c>
      <c r="AB93" s="253">
        <f>'[77]VENTAS TOTALES'!$G105</f>
        <v>980000</v>
      </c>
      <c r="AC93" s="253">
        <f>'[77]VENTAS TOTALES'!$H105</f>
        <v>6013700</v>
      </c>
      <c r="AD93" s="252">
        <f>'[78]VENTAS TOTALES'!$F105</f>
        <v>3097</v>
      </c>
      <c r="AE93" s="253">
        <f>'[78]VENTAS TOTALES'!$G105</f>
        <v>977500</v>
      </c>
      <c r="AF93" s="253">
        <f>'[78]VENTAS TOTALES'!$H105</f>
        <v>6242400</v>
      </c>
      <c r="AG93" s="252">
        <f>'[79]VENTAS TOTALES'!$F105</f>
        <v>2848</v>
      </c>
      <c r="AH93" s="253">
        <f>'[79]VENTAS TOTALES'!$G105</f>
        <v>964000</v>
      </c>
      <c r="AI93" s="253">
        <f>'[79]VENTAS TOTALES'!$H105</f>
        <v>5805600</v>
      </c>
      <c r="AJ93" s="252">
        <f>'[80]VENTAS TOTALES'!$F105</f>
        <v>2234</v>
      </c>
      <c r="AK93" s="253">
        <f>'[80]VENTAS TOTALES'!$G105</f>
        <v>843600</v>
      </c>
      <c r="AL93" s="253">
        <f>'[80]VENTAS TOTALES'!$H105</f>
        <v>4641400</v>
      </c>
      <c r="AM93" s="252">
        <f>'[81]VENTAS TOTALES'!$F105</f>
        <v>1098</v>
      </c>
      <c r="AN93" s="253">
        <f>'[81]VENTAS TOTALES'!$G105</f>
        <v>251100</v>
      </c>
      <c r="AO93" s="253">
        <f>'[81]VENTAS TOTALES'!$H105</f>
        <v>2117700</v>
      </c>
      <c r="AP93" s="252">
        <f>'[82]VENTAS TOTALES'!$F105</f>
        <v>4164</v>
      </c>
      <c r="AQ93" s="253">
        <f>'[82]VENTAS TOTALES'!$G105</f>
        <v>1780600</v>
      </c>
      <c r="AR93" s="253">
        <f>'[82]VENTAS TOTALES'!$H105</f>
        <v>8859400</v>
      </c>
      <c r="AS93" s="252">
        <f>'[83]VENTAS TOTALES'!$F105</f>
        <v>3362</v>
      </c>
      <c r="AT93" s="253">
        <f>'[83]VENTAS TOTALES'!$G105</f>
        <v>2045300</v>
      </c>
      <c r="AU93" s="253">
        <f>'[83]VENTAS TOTALES'!$H105</f>
        <v>7760700</v>
      </c>
      <c r="AV93" s="252">
        <f>'[84]VENTAS TOTALES'!$F105</f>
        <v>3712</v>
      </c>
      <c r="AW93" s="253">
        <f>'[84]VENTAS TOTALES'!$G105</f>
        <v>2039100</v>
      </c>
      <c r="AX93" s="253">
        <f>'[84]VENTAS TOTALES'!$H105</f>
        <v>8349500</v>
      </c>
      <c r="AY93" s="252">
        <f>'[85]VENTAS TOTALES'!$F105</f>
        <v>3379</v>
      </c>
      <c r="AZ93" s="253">
        <f>'[85]VENTAS TOTALES'!$G105</f>
        <v>1414500</v>
      </c>
      <c r="BA93" s="253">
        <f>'[85]VENTAS TOTALES'!$H105</f>
        <v>7158800</v>
      </c>
      <c r="BB93" s="252">
        <f>'[86]VENTAS TOTALES'!$F105</f>
        <v>3006</v>
      </c>
      <c r="BC93" s="253">
        <f>'[86]VENTAS TOTALES'!$G105</f>
        <v>955200</v>
      </c>
      <c r="BD93" s="253">
        <f>'[86]VENTAS TOTALES'!$H105</f>
        <v>6065400</v>
      </c>
      <c r="BE93" s="252">
        <f>'[87]VENTAS TOTALES'!$F105</f>
        <v>2369</v>
      </c>
      <c r="BF93" s="253">
        <f>'[87]VENTAS TOTALES'!$G105</f>
        <v>839300</v>
      </c>
      <c r="BG93" s="253">
        <f>'[87]VENTAS TOTALES'!$H105</f>
        <v>4866600</v>
      </c>
      <c r="BH93" s="252">
        <f>'[88]VENTAS TOTALES'!$F105</f>
        <v>1176</v>
      </c>
      <c r="BI93" s="253">
        <f>'[88]VENTAS TOTALES'!$G105</f>
        <v>347000</v>
      </c>
      <c r="BJ93" s="253">
        <f>'[88]VENTAS TOTALES'!$H105</f>
        <v>2346200</v>
      </c>
      <c r="BK93" s="252">
        <f>'[89]VENTAS TOTALES'!$F105</f>
        <v>3921</v>
      </c>
      <c r="BL93" s="253">
        <f>'[89]VENTAS TOTALES'!$G105</f>
        <v>1827500</v>
      </c>
      <c r="BM93" s="253">
        <f>'[89]VENTAS TOTALES'!$H105</f>
        <v>8493200</v>
      </c>
      <c r="BN93" s="252">
        <f>'[90]VENTAS TOTALES'!$F105</f>
        <v>3498</v>
      </c>
      <c r="BO93" s="253">
        <f>'[90]VENTAS TOTALES'!$G105</f>
        <v>1172000</v>
      </c>
      <c r="BP93" s="253">
        <f>'[90]VENTAS TOTALES'!$H105</f>
        <v>7118600</v>
      </c>
      <c r="BQ93" s="252">
        <f>'[91]VENTAS TOTALES'!$F105</f>
        <v>3321</v>
      </c>
      <c r="BR93" s="253">
        <f>'[91]VENTAS TOTALES'!$G105</f>
        <v>822000</v>
      </c>
      <c r="BS93" s="253">
        <f>'[91]VENTAS TOTALES'!$H105</f>
        <v>6467700</v>
      </c>
      <c r="BT93" s="252">
        <f>'[92]VENTAS TOTALES'!$F105</f>
        <v>3284</v>
      </c>
      <c r="BU93" s="253">
        <f>'[92]VENTAS TOTALES'!$G105</f>
        <v>903000</v>
      </c>
      <c r="BV93" s="253">
        <f>'[92]VENTAS TOTALES'!$H105</f>
        <v>6485800</v>
      </c>
      <c r="BW93" s="252">
        <f>'[93]VENTAS TOTALES'!$F105</f>
        <v>3121</v>
      </c>
      <c r="BX93" s="253">
        <f>'[93]VENTAS TOTALES'!$G105</f>
        <v>776600</v>
      </c>
      <c r="BY93" s="253">
        <f>'[93]VENTAS TOTALES'!$H105</f>
        <v>6082300</v>
      </c>
      <c r="BZ93" s="252">
        <f>'[94]VENTAS TOTALES'!$F105</f>
        <v>2401</v>
      </c>
      <c r="CA93" s="253">
        <f>'[94]VENTAS TOTALES'!$G105</f>
        <v>758900</v>
      </c>
      <c r="CB93" s="253">
        <f>'[94]VENTAS TOTALES'!$H105</f>
        <v>4840600</v>
      </c>
      <c r="CC93" s="252">
        <f>'[95]VENTAS TOTALES'!$F105</f>
        <v>1161</v>
      </c>
      <c r="CD93" s="253">
        <f>'[95]VENTAS TOTALES'!$G105</f>
        <v>587400</v>
      </c>
      <c r="CE93" s="253">
        <f>'[95]VENTAS TOTALES'!$H105</f>
        <v>2561100</v>
      </c>
      <c r="CF93" s="252">
        <f>'[96]VENTAS TOTALES'!$F105</f>
        <v>4101</v>
      </c>
      <c r="CG93" s="253">
        <f>'[96]VENTAS TOTALES'!$G105</f>
        <v>2494000</v>
      </c>
      <c r="CH93" s="253">
        <f>'[96]VENTAS TOTALES'!$H105</f>
        <v>9465700</v>
      </c>
      <c r="CI93" s="252">
        <f>'[97]VENTAS TOTALES'!$F105</f>
        <v>4613</v>
      </c>
      <c r="CJ93" s="253">
        <f>'[97]VENTAS TOTALES'!$G105</f>
        <v>2868800</v>
      </c>
      <c r="CK93" s="253">
        <f>'[97]VENTAS TOTALES'!$H105</f>
        <v>10710900</v>
      </c>
      <c r="CL93" s="252">
        <f>'[98]VENTAS TOTALES'!$F105</f>
        <v>3977</v>
      </c>
      <c r="CM93" s="253">
        <f>'[98]VENTAS TOTALES'!$G105</f>
        <v>2180700</v>
      </c>
      <c r="CN93" s="253">
        <f>'[98]VENTAS TOTALES'!$H105</f>
        <v>8941600</v>
      </c>
      <c r="CO93" s="252">
        <f>'[99]VENTAS TOTALES'!$F105</f>
        <v>3540</v>
      </c>
      <c r="CP93" s="253">
        <f>'[99]VENTAS TOTALES'!$G105</f>
        <v>1102200</v>
      </c>
      <c r="CQ93" s="253">
        <f>'[99]VENTAS TOTALES'!$H105</f>
        <v>7120200</v>
      </c>
      <c r="CR93" s="252">
        <f>'[100]VENTAS TOTALES'!$F105</f>
        <v>3227</v>
      </c>
      <c r="CS93" s="253">
        <f>'[100]VENTAS TOTALES'!$G105</f>
        <v>1325900</v>
      </c>
      <c r="CT93" s="253">
        <f>'[100]VENTAS TOTALES'!$H105</f>
        <v>6811800</v>
      </c>
      <c r="CU93" s="252">
        <f>'[101]VENTAS TOTALES'!$F105</f>
        <v>2565</v>
      </c>
      <c r="CV93" s="253">
        <f>'[101]VENTAS TOTALES'!$G105</f>
        <v>761000</v>
      </c>
      <c r="CW93" s="253">
        <f>'[101]VENTAS TOTALES'!$H105</f>
        <v>5121500</v>
      </c>
      <c r="CX93" s="252">
        <f>'[102]VENTAS TOTALES'!$F105</f>
        <v>1116</v>
      </c>
      <c r="CY93" s="253">
        <f>'[102]VENTAS TOTALES'!$G105</f>
        <v>430600</v>
      </c>
      <c r="CZ93" s="253">
        <f>'[102]VENTAS TOTALES'!$H105</f>
        <v>2327800</v>
      </c>
    </row>
    <row r="94" spans="1:104" ht="12" customHeight="1" x14ac:dyDescent="0.2">
      <c r="A94" s="443"/>
      <c r="B94" s="51" t="s">
        <v>124</v>
      </c>
      <c r="C94" s="252">
        <f>'[69]VENTAS TOTALES'!$F106</f>
        <v>3371</v>
      </c>
      <c r="D94" s="253">
        <f>'[69]VENTAS TOTALES'!$G106</f>
        <v>1387900</v>
      </c>
      <c r="E94" s="253">
        <f>'[69]VENTAS TOTALES'!$H106</f>
        <v>7118600</v>
      </c>
      <c r="F94" s="252">
        <f>'[70]VENTAS TOTALES'!$F106</f>
        <v>3401</v>
      </c>
      <c r="G94" s="253">
        <f>'[70]VENTAS TOTALES'!$G106</f>
        <v>1264700</v>
      </c>
      <c r="H94" s="253">
        <f>'[70]VENTAS TOTALES'!$H106</f>
        <v>7046400</v>
      </c>
      <c r="I94" s="252">
        <f>'[71]VENTAS TOTALES'!$F106</f>
        <v>2874</v>
      </c>
      <c r="J94" s="253">
        <f>'[71]VENTAS TOTALES'!$G106</f>
        <v>1015700</v>
      </c>
      <c r="K94" s="253">
        <f>'[71]VENTAS TOTALES'!$H106</f>
        <v>5901500</v>
      </c>
      <c r="L94" s="252">
        <f>'[72]VENTAS TOTALES'!$F106</f>
        <v>2754</v>
      </c>
      <c r="M94" s="253">
        <f>'[72]VENTAS TOTALES'!$G106</f>
        <v>648500</v>
      </c>
      <c r="N94" s="253">
        <f>'[72]VENTAS TOTALES'!$H106</f>
        <v>5330300</v>
      </c>
      <c r="O94" s="252">
        <f>'[73]VENTAS TOTALES'!$F106</f>
        <v>1877</v>
      </c>
      <c r="P94" s="253">
        <f>'[73]VENTAS TOTALES'!$G106</f>
        <v>694600</v>
      </c>
      <c r="Q94" s="253">
        <f>'[73]VENTAS TOTALES'!$H106</f>
        <v>3885500</v>
      </c>
      <c r="R94" s="252">
        <f>'[74]VENTAS TOTALES'!$F106</f>
        <v>1057</v>
      </c>
      <c r="S94" s="253">
        <f>'[74]VENTAS TOTALES'!$G106</f>
        <v>408200</v>
      </c>
      <c r="T94" s="253">
        <f>'[74]VENTAS TOTALES'!$H106</f>
        <v>2205100</v>
      </c>
      <c r="U94" s="252">
        <f>'[75]VENTAS TOTALES'!$F106</f>
        <v>3895</v>
      </c>
      <c r="V94" s="253">
        <f>'[75]VENTAS TOTALES'!$G106</f>
        <v>1411400</v>
      </c>
      <c r="W94" s="253">
        <f>'[75]VENTAS TOTALES'!$H106</f>
        <v>8032900</v>
      </c>
      <c r="X94" s="252">
        <f>'[76]VENTAS TOTALES'!$F106</f>
        <v>3169</v>
      </c>
      <c r="Y94" s="253">
        <f>'[76]VENTAS TOTALES'!$G106</f>
        <v>1239900</v>
      </c>
      <c r="Z94" s="253">
        <f>'[76]VENTAS TOTALES'!$H106</f>
        <v>6627200</v>
      </c>
      <c r="AA94" s="252">
        <f>'[77]VENTAS TOTALES'!$F106</f>
        <v>2987</v>
      </c>
      <c r="AB94" s="253">
        <f>'[77]VENTAS TOTALES'!$G106</f>
        <v>898900</v>
      </c>
      <c r="AC94" s="253">
        <f>'[77]VENTAS TOTALES'!$H106</f>
        <v>5976800</v>
      </c>
      <c r="AD94" s="252">
        <f>'[78]VENTAS TOTALES'!$F106</f>
        <v>2853</v>
      </c>
      <c r="AE94" s="253">
        <f>'[78]VENTAS TOTALES'!$G106</f>
        <v>828300</v>
      </c>
      <c r="AF94" s="253">
        <f>'[78]VENTAS TOTALES'!$H106</f>
        <v>5678400</v>
      </c>
      <c r="AG94" s="252">
        <f>'[79]VENTAS TOTALES'!$F106</f>
        <v>2607</v>
      </c>
      <c r="AH94" s="253">
        <f>'[79]VENTAS TOTALES'!$G106</f>
        <v>850000</v>
      </c>
      <c r="AI94" s="253">
        <f>'[79]VENTAS TOTALES'!$H106</f>
        <v>5281900</v>
      </c>
      <c r="AJ94" s="252">
        <f>'[80]VENTAS TOTALES'!$F106</f>
        <v>1984</v>
      </c>
      <c r="AK94" s="253">
        <f>'[80]VENTAS TOTALES'!$G106</f>
        <v>684700</v>
      </c>
      <c r="AL94" s="253">
        <f>'[80]VENTAS TOTALES'!$H106</f>
        <v>4057500</v>
      </c>
      <c r="AM94" s="252">
        <f>'[81]VENTAS TOTALES'!$F106</f>
        <v>1016</v>
      </c>
      <c r="AN94" s="253">
        <f>'[81]VENTAS TOTALES'!$G106</f>
        <v>291000</v>
      </c>
      <c r="AO94" s="253">
        <f>'[81]VENTAS TOTALES'!$H106</f>
        <v>2018200</v>
      </c>
      <c r="AP94" s="252">
        <f>'[82]VENTAS TOTALES'!$F106</f>
        <v>3681</v>
      </c>
      <c r="AQ94" s="253">
        <f>'[82]VENTAS TOTALES'!$G106</f>
        <v>1762200</v>
      </c>
      <c r="AR94" s="253">
        <f>'[82]VENTAS TOTALES'!$H106</f>
        <v>8019900</v>
      </c>
      <c r="AS94" s="252">
        <f>'[83]VENTAS TOTALES'!$F106</f>
        <v>3196</v>
      </c>
      <c r="AT94" s="253">
        <f>'[83]VENTAS TOTALES'!$G106</f>
        <v>1189700</v>
      </c>
      <c r="AU94" s="253">
        <f>'[83]VENTAS TOTALES'!$H106</f>
        <v>6622900</v>
      </c>
      <c r="AV94" s="252">
        <f>'[84]VENTAS TOTALES'!$F106</f>
        <v>3334</v>
      </c>
      <c r="AW94" s="253">
        <f>'[84]VENTAS TOTALES'!$G106</f>
        <v>1737400</v>
      </c>
      <c r="AX94" s="253">
        <f>'[84]VENTAS TOTALES'!$H106</f>
        <v>7405200</v>
      </c>
      <c r="AY94" s="252">
        <f>'[85]VENTAS TOTALES'!$F106</f>
        <v>2873</v>
      </c>
      <c r="AZ94" s="253">
        <f>'[85]VENTAS TOTALES'!$G106</f>
        <v>1166700</v>
      </c>
      <c r="BA94" s="253">
        <f>'[85]VENTAS TOTALES'!$H106</f>
        <v>6050800</v>
      </c>
      <c r="BB94" s="252">
        <f>'[86]VENTAS TOTALES'!$F106</f>
        <v>2640</v>
      </c>
      <c r="BC94" s="253">
        <f>'[86]VENTAS TOTALES'!$G106</f>
        <v>1072400</v>
      </c>
      <c r="BD94" s="253">
        <f>'[86]VENTAS TOTALES'!$H106</f>
        <v>5560400</v>
      </c>
      <c r="BE94" s="252">
        <f>'[87]VENTAS TOTALES'!$F106</f>
        <v>2106</v>
      </c>
      <c r="BF94" s="253">
        <f>'[87]VENTAS TOTALES'!$G106</f>
        <v>666200</v>
      </c>
      <c r="BG94" s="253">
        <f>'[87]VENTAS TOTALES'!$H106</f>
        <v>4246400</v>
      </c>
      <c r="BH94" s="252">
        <f>'[88]VENTAS TOTALES'!$F106</f>
        <v>1125</v>
      </c>
      <c r="BI94" s="253">
        <f>'[88]VENTAS TOTALES'!$G106</f>
        <v>219800</v>
      </c>
      <c r="BJ94" s="253">
        <f>'[88]VENTAS TOTALES'!$H106</f>
        <v>2132300</v>
      </c>
      <c r="BK94" s="252">
        <f>'[89]VENTAS TOTALES'!$F106</f>
        <v>3919</v>
      </c>
      <c r="BL94" s="253">
        <f>'[89]VENTAS TOTALES'!$G106</f>
        <v>1571900</v>
      </c>
      <c r="BM94" s="253">
        <f>'[89]VENTAS TOTALES'!$H106</f>
        <v>8234200</v>
      </c>
      <c r="BN94" s="252">
        <f>'[90]VENTAS TOTALES'!$F106</f>
        <v>3233</v>
      </c>
      <c r="BO94" s="253">
        <f>'[90]VENTAS TOTALES'!$G106</f>
        <v>1029600</v>
      </c>
      <c r="BP94" s="253">
        <f>'[90]VENTAS TOTALES'!$H106</f>
        <v>6525700</v>
      </c>
      <c r="BQ94" s="252">
        <f>'[91]VENTAS TOTALES'!$F106</f>
        <v>2907</v>
      </c>
      <c r="BR94" s="253">
        <f>'[91]VENTAS TOTALES'!$G106</f>
        <v>905500</v>
      </c>
      <c r="BS94" s="253">
        <f>'[91]VENTAS TOTALES'!$H106</f>
        <v>5847400</v>
      </c>
      <c r="BT94" s="252">
        <f>'[92]VENTAS TOTALES'!$F106</f>
        <v>2924</v>
      </c>
      <c r="BU94" s="253">
        <f>'[92]VENTAS TOTALES'!$G106</f>
        <v>799100</v>
      </c>
      <c r="BV94" s="253">
        <f>'[92]VENTAS TOTALES'!$H106</f>
        <v>5769900</v>
      </c>
      <c r="BW94" s="252">
        <f>'[93]VENTAS TOTALES'!$F106</f>
        <v>2778</v>
      </c>
      <c r="BX94" s="253">
        <f>'[93]VENTAS TOTALES'!$G106</f>
        <v>867400</v>
      </c>
      <c r="BY94" s="253">
        <f>'[93]VENTAS TOTALES'!$H106</f>
        <v>5590000</v>
      </c>
      <c r="BZ94" s="252">
        <f>'[94]VENTAS TOTALES'!$F106</f>
        <v>2070</v>
      </c>
      <c r="CA94" s="253">
        <f>'[94]VENTAS TOTALES'!$G106</f>
        <v>621400</v>
      </c>
      <c r="CB94" s="253">
        <f>'[94]VENTAS TOTALES'!$H106</f>
        <v>4140400</v>
      </c>
      <c r="CC94" s="252">
        <f>'[95]VENTAS TOTALES'!$F106</f>
        <v>1075</v>
      </c>
      <c r="CD94" s="253">
        <f>'[95]VENTAS TOTALES'!$G106</f>
        <v>318100</v>
      </c>
      <c r="CE94" s="253">
        <f>'[95]VENTAS TOTALES'!$H106</f>
        <v>2145600</v>
      </c>
      <c r="CF94" s="252">
        <f>'[96]VENTAS TOTALES'!$F106</f>
        <v>3981</v>
      </c>
      <c r="CG94" s="253">
        <f>'[96]VENTAS TOTALES'!$G106</f>
        <v>2028900</v>
      </c>
      <c r="CH94" s="253">
        <f>'[96]VENTAS TOTALES'!$H106</f>
        <v>8796600</v>
      </c>
      <c r="CI94" s="252">
        <f>'[97]VENTAS TOTALES'!$F106</f>
        <v>3692</v>
      </c>
      <c r="CJ94" s="253">
        <f>'[97]VENTAS TOTALES'!$G106</f>
        <v>1922100</v>
      </c>
      <c r="CK94" s="253">
        <f>'[97]VENTAS TOTALES'!$H106</f>
        <v>8198500</v>
      </c>
      <c r="CL94" s="252">
        <f>'[98]VENTAS TOTALES'!$F106</f>
        <v>3356</v>
      </c>
      <c r="CM94" s="253">
        <f>'[98]VENTAS TOTALES'!$G106</f>
        <v>1770100</v>
      </c>
      <c r="CN94" s="253">
        <f>'[98]VENTAS TOTALES'!$H106</f>
        <v>7475300</v>
      </c>
      <c r="CO94" s="252">
        <f>'[99]VENTAS TOTALES'!$F106</f>
        <v>3217</v>
      </c>
      <c r="CP94" s="253">
        <f>'[99]VENTAS TOTALES'!$G106</f>
        <v>1324300</v>
      </c>
      <c r="CQ94" s="253">
        <f>'[99]VENTAS TOTALES'!$H106</f>
        <v>6793200</v>
      </c>
      <c r="CR94" s="252">
        <f>'[100]VENTAS TOTALES'!$F106</f>
        <v>2920</v>
      </c>
      <c r="CS94" s="253">
        <f>'[100]VENTAS TOTALES'!$G106</f>
        <v>1109700</v>
      </c>
      <c r="CT94" s="253">
        <f>'[100]VENTAS TOTALES'!$H106</f>
        <v>6073700</v>
      </c>
      <c r="CU94" s="252">
        <f>'[101]VENTAS TOTALES'!$F106</f>
        <v>2252</v>
      </c>
      <c r="CV94" s="253">
        <f>'[101]VENTAS TOTALES'!$G106</f>
        <v>752300</v>
      </c>
      <c r="CW94" s="253">
        <f>'[101]VENTAS TOTALES'!$H106</f>
        <v>4580700</v>
      </c>
      <c r="CX94" s="252">
        <f>'[102]VENTAS TOTALES'!$F106</f>
        <v>967</v>
      </c>
      <c r="CY94" s="253">
        <f>'[102]VENTAS TOTALES'!$G106</f>
        <v>253900</v>
      </c>
      <c r="CZ94" s="253">
        <f>'[102]VENTAS TOTALES'!$H106</f>
        <v>1897800</v>
      </c>
    </row>
    <row r="95" spans="1:104" x14ac:dyDescent="0.2">
      <c r="A95" s="443"/>
      <c r="B95" s="51" t="s">
        <v>295</v>
      </c>
      <c r="C95" s="252">
        <f>'[69]VENTAS TOTALES'!$F107</f>
        <v>5524</v>
      </c>
      <c r="D95" s="253">
        <f>'[69]VENTAS TOTALES'!$G107</f>
        <v>1993100</v>
      </c>
      <c r="E95" s="253">
        <f>'[69]VENTAS TOTALES'!$H107</f>
        <v>11383900</v>
      </c>
      <c r="F95" s="252">
        <f>'[70]VENTAS TOTALES'!$F107</f>
        <v>5132</v>
      </c>
      <c r="G95" s="253">
        <f>'[70]VENTAS TOTALES'!$G107</f>
        <v>1605400</v>
      </c>
      <c r="H95" s="253">
        <f>'[70]VENTAS TOTALES'!$H107</f>
        <v>10329800</v>
      </c>
      <c r="I95" s="252">
        <f>'[71]VENTAS TOTALES'!$F107</f>
        <v>4694</v>
      </c>
      <c r="J95" s="253">
        <f>'[71]VENTAS TOTALES'!$G107</f>
        <v>1040900</v>
      </c>
      <c r="K95" s="253">
        <f>'[71]VENTAS TOTALES'!$H107</f>
        <v>9020700</v>
      </c>
      <c r="L95" s="252">
        <f>'[72]VENTAS TOTALES'!$F107</f>
        <v>4599</v>
      </c>
      <c r="M95" s="253">
        <f>'[72]VENTAS TOTALES'!$G107</f>
        <v>947200</v>
      </c>
      <c r="N95" s="253">
        <f>'[72]VENTAS TOTALES'!$H107</f>
        <v>8765500</v>
      </c>
      <c r="O95" s="252">
        <f>'[73]VENTAS TOTALES'!$F107</f>
        <v>4193</v>
      </c>
      <c r="P95" s="253">
        <f>'[73]VENTAS TOTALES'!$G107</f>
        <v>834650</v>
      </c>
      <c r="Q95" s="253">
        <f>'[73]VENTAS TOTALES'!$H107</f>
        <v>7962750</v>
      </c>
      <c r="R95" s="252">
        <f>'[74]VENTAS TOTALES'!$F107</f>
        <v>2443</v>
      </c>
      <c r="S95" s="253">
        <f>'[74]VENTAS TOTALES'!$G107</f>
        <v>407500</v>
      </c>
      <c r="T95" s="253">
        <f>'[74]VENTAS TOTALES'!$H107</f>
        <v>4560600</v>
      </c>
      <c r="U95" s="252">
        <f>'[75]VENTAS TOTALES'!$F107</f>
        <v>6081</v>
      </c>
      <c r="V95" s="253">
        <f>'[75]VENTAS TOTALES'!$G107</f>
        <v>1966200</v>
      </c>
      <c r="W95" s="253">
        <f>'[75]VENTAS TOTALES'!$H107</f>
        <v>12303900</v>
      </c>
      <c r="X95" s="252">
        <f>'[76]VENTAS TOTALES'!$F107</f>
        <v>4783</v>
      </c>
      <c r="Y95" s="253">
        <f>'[76]VENTAS TOTALES'!$G107</f>
        <v>935800</v>
      </c>
      <c r="Z95" s="253">
        <f>'[76]VENTAS TOTALES'!$H107</f>
        <v>9066900</v>
      </c>
      <c r="AA95" s="252">
        <f>'[77]VENTAS TOTALES'!$F107</f>
        <v>4741</v>
      </c>
      <c r="AB95" s="253">
        <f>'[77]VENTAS TOTALES'!$G107</f>
        <v>1022500</v>
      </c>
      <c r="AC95" s="253">
        <f>'[77]VENTAS TOTALES'!$H107</f>
        <v>9082200</v>
      </c>
      <c r="AD95" s="252">
        <f>'[78]VENTAS TOTALES'!$F107</f>
        <v>4733</v>
      </c>
      <c r="AE95" s="253">
        <f>'[78]VENTAS TOTALES'!$G107</f>
        <v>796200</v>
      </c>
      <c r="AF95" s="253">
        <f>'[78]VENTAS TOTALES'!$H107</f>
        <v>8842300</v>
      </c>
      <c r="AG95" s="252">
        <f>'[79]VENTAS TOTALES'!$F107</f>
        <v>4554</v>
      </c>
      <c r="AH95" s="253">
        <f>'[79]VENTAS TOTALES'!$G107</f>
        <v>586900</v>
      </c>
      <c r="AI95" s="253">
        <f>'[79]VENTAS TOTALES'!$H107</f>
        <v>8328700</v>
      </c>
      <c r="AJ95" s="252">
        <f>'[80]VENTAS TOTALES'!$F107</f>
        <v>3869</v>
      </c>
      <c r="AK95" s="253">
        <f>'[80]VENTAS TOTALES'!$G107</f>
        <v>800100</v>
      </c>
      <c r="AL95" s="253">
        <f>'[80]VENTAS TOTALES'!$H107</f>
        <v>7377400</v>
      </c>
      <c r="AM95" s="252">
        <f>'[81]VENTAS TOTALES'!$F107</f>
        <v>2266</v>
      </c>
      <c r="AN95" s="253">
        <f>'[81]VENTAS TOTALES'!$G107</f>
        <v>293500</v>
      </c>
      <c r="AO95" s="253">
        <f>'[81]VENTAS TOTALES'!$H107</f>
        <v>4145700</v>
      </c>
      <c r="AP95" s="252">
        <f>'[82]VENTAS TOTALES'!$F107</f>
        <v>5813</v>
      </c>
      <c r="AQ95" s="253">
        <f>'[82]VENTAS TOTALES'!$G107</f>
        <v>1442000</v>
      </c>
      <c r="AR95" s="253">
        <f>'[82]VENTAS TOTALES'!$H107</f>
        <v>11324100</v>
      </c>
      <c r="AS95" s="252">
        <f>'[83]VENTAS TOTALES'!$F107</f>
        <v>5063</v>
      </c>
      <c r="AT95" s="253">
        <f>'[83]VENTAS TOTALES'!$G107</f>
        <v>1139900</v>
      </c>
      <c r="AU95" s="253">
        <f>'[83]VENTAS TOTALES'!$H107</f>
        <v>9747000</v>
      </c>
      <c r="AV95" s="252">
        <f>'[84]VENTAS TOTALES'!$F107</f>
        <v>5290</v>
      </c>
      <c r="AW95" s="253">
        <f>'[84]VENTAS TOTALES'!$G107</f>
        <v>1412800</v>
      </c>
      <c r="AX95" s="253">
        <f>'[84]VENTAS TOTALES'!$H107</f>
        <v>10405800</v>
      </c>
      <c r="AY95" s="252">
        <f>'[85]VENTAS TOTALES'!$F107</f>
        <v>4960</v>
      </c>
      <c r="AZ95" s="253">
        <f>'[85]VENTAS TOTALES'!$G107</f>
        <v>1237400</v>
      </c>
      <c r="BA95" s="253">
        <f>'[85]VENTAS TOTALES'!$H107</f>
        <v>9669400</v>
      </c>
      <c r="BB95" s="252">
        <f>'[86]VENTAS TOTALES'!$F107</f>
        <v>4449</v>
      </c>
      <c r="BC95" s="253">
        <f>'[86]VENTAS TOTALES'!$G107</f>
        <v>910800</v>
      </c>
      <c r="BD95" s="253">
        <f>'[86]VENTAS TOTALES'!$H107</f>
        <v>8474100</v>
      </c>
      <c r="BE95" s="252">
        <f>'[87]VENTAS TOTALES'!$F107</f>
        <v>4026</v>
      </c>
      <c r="BF95" s="253">
        <f>'[87]VENTAS TOTALES'!$G107</f>
        <v>822800</v>
      </c>
      <c r="BG95" s="253">
        <f>'[87]VENTAS TOTALES'!$H107</f>
        <v>7667000</v>
      </c>
      <c r="BH95" s="252">
        <f>'[88]VENTAS TOTALES'!$F107</f>
        <v>2418</v>
      </c>
      <c r="BI95" s="253">
        <f>'[88]VENTAS TOTALES'!$G107</f>
        <v>398200</v>
      </c>
      <c r="BJ95" s="253">
        <f>'[88]VENTAS TOTALES'!$H107</f>
        <v>4508800</v>
      </c>
      <c r="BK95" s="252">
        <f>'[89]VENTAS TOTALES'!$F107</f>
        <v>6391</v>
      </c>
      <c r="BL95" s="253">
        <f>'[89]VENTAS TOTALES'!$G107</f>
        <v>1716100</v>
      </c>
      <c r="BM95" s="253">
        <f>'[89]VENTAS TOTALES'!$H107</f>
        <v>12580800</v>
      </c>
      <c r="BN95" s="252">
        <f>'[90]VENTAS TOTALES'!$F107</f>
        <v>4775</v>
      </c>
      <c r="BO95" s="253">
        <f>'[90]VENTAS TOTALES'!$G107</f>
        <v>1003200</v>
      </c>
      <c r="BP95" s="253">
        <f>'[90]VENTAS TOTALES'!$H107</f>
        <v>9120700</v>
      </c>
      <c r="BQ95" s="252">
        <f>'[91]VENTAS TOTALES'!$F107</f>
        <v>4729</v>
      </c>
      <c r="BR95" s="253">
        <f>'[91]VENTAS TOTALES'!$G107</f>
        <v>961500</v>
      </c>
      <c r="BS95" s="253">
        <f>'[91]VENTAS TOTALES'!$H107</f>
        <v>9000800</v>
      </c>
      <c r="BT95" s="252">
        <f>'[92]VENTAS TOTALES'!$F107</f>
        <v>4687</v>
      </c>
      <c r="BU95" s="253">
        <f>'[92]VENTAS TOTALES'!$G107</f>
        <v>665900</v>
      </c>
      <c r="BV95" s="253">
        <f>'[92]VENTAS TOTALES'!$H107</f>
        <v>8633800</v>
      </c>
      <c r="BW95" s="252">
        <f>'[93]VENTAS TOTALES'!$F107</f>
        <v>4542</v>
      </c>
      <c r="BX95" s="253">
        <f>'[93]VENTAS TOTALES'!$G107</f>
        <v>900200</v>
      </c>
      <c r="BY95" s="253">
        <f>'[93]VENTAS TOTALES'!$H107</f>
        <v>8621600</v>
      </c>
      <c r="BZ95" s="252">
        <f>'[94]VENTAS TOTALES'!$F107</f>
        <v>4013</v>
      </c>
      <c r="CA95" s="253">
        <f>'[94]VENTAS TOTALES'!$G107</f>
        <v>829500</v>
      </c>
      <c r="CB95" s="253">
        <f>'[94]VENTAS TOTALES'!$H107</f>
        <v>7651600</v>
      </c>
      <c r="CC95" s="252">
        <f>'[95]VENTAS TOTALES'!$F107</f>
        <v>2284</v>
      </c>
      <c r="CD95" s="253">
        <f>'[95]VENTAS TOTALES'!$G107</f>
        <v>292300</v>
      </c>
      <c r="CE95" s="253">
        <f>'[95]VENTAS TOTALES'!$H107</f>
        <v>4175100</v>
      </c>
      <c r="CF95" s="252">
        <f>'[96]VENTAS TOTALES'!$F107</f>
        <v>6279</v>
      </c>
      <c r="CG95" s="253">
        <f>'[96]VENTAS TOTALES'!$G107</f>
        <v>2100100</v>
      </c>
      <c r="CH95" s="253">
        <f>'[96]VENTAS TOTALES'!$H107</f>
        <v>12774400</v>
      </c>
      <c r="CI95" s="252">
        <f>'[97]VENTAS TOTALES'!$F107</f>
        <v>5693</v>
      </c>
      <c r="CJ95" s="253">
        <f>'[97]VENTAS TOTALES'!$G107</f>
        <v>1861000</v>
      </c>
      <c r="CK95" s="253">
        <f>'[97]VENTAS TOTALES'!$H107</f>
        <v>11539100</v>
      </c>
      <c r="CL95" s="252">
        <f>'[98]VENTAS TOTALES'!$F107</f>
        <v>5478</v>
      </c>
      <c r="CM95" s="253">
        <f>'[98]VENTAS TOTALES'!$G107</f>
        <v>1413200</v>
      </c>
      <c r="CN95" s="253">
        <f>'[98]VENTAS TOTALES'!$H107</f>
        <v>10725800</v>
      </c>
      <c r="CO95" s="252">
        <f>'[99]VENTAS TOTALES'!$F107</f>
        <v>5093</v>
      </c>
      <c r="CP95" s="253">
        <f>'[99]VENTAS TOTALES'!$G107</f>
        <v>1314500</v>
      </c>
      <c r="CQ95" s="253">
        <f>'[99]VENTAS TOTALES'!$H107</f>
        <v>9972600</v>
      </c>
      <c r="CR95" s="252">
        <f>'[100]VENTAS TOTALES'!$F107</f>
        <v>4886</v>
      </c>
      <c r="CS95" s="253">
        <f>'[100]VENTAS TOTALES'!$G107</f>
        <v>1052700</v>
      </c>
      <c r="CT95" s="253">
        <f>'[100]VENTAS TOTALES'!$H107</f>
        <v>9358900</v>
      </c>
      <c r="CU95" s="252">
        <f>'[101]VENTAS TOTALES'!$F107</f>
        <v>4129</v>
      </c>
      <c r="CV95" s="253">
        <f>'[101]VENTAS TOTALES'!$G107</f>
        <v>908000</v>
      </c>
      <c r="CW95" s="253">
        <f>'[101]VENTAS TOTALES'!$H107</f>
        <v>7927300</v>
      </c>
      <c r="CX95" s="252">
        <f>'[102]VENTAS TOTALES'!$F107</f>
        <v>2372</v>
      </c>
      <c r="CY95" s="253">
        <f>'[102]VENTAS TOTALES'!$G107</f>
        <v>363300</v>
      </c>
      <c r="CZ95" s="253">
        <f>'[102]VENTAS TOTALES'!$H107</f>
        <v>4395700</v>
      </c>
    </row>
    <row r="96" spans="1:104" x14ac:dyDescent="0.2">
      <c r="A96" s="443"/>
      <c r="B96" s="51" t="s">
        <v>296</v>
      </c>
      <c r="C96" s="252">
        <f>'[69]VENTAS TOTALES'!$F108</f>
        <v>5052</v>
      </c>
      <c r="D96" s="253">
        <f>'[69]VENTAS TOTALES'!$G108</f>
        <v>2053200</v>
      </c>
      <c r="E96" s="253">
        <f>'[69]VENTAS TOTALES'!$H108</f>
        <v>10641600</v>
      </c>
      <c r="F96" s="252">
        <f>'[70]VENTAS TOTALES'!$F108</f>
        <v>5088</v>
      </c>
      <c r="G96" s="253">
        <f>'[70]VENTAS TOTALES'!$G108</f>
        <v>1438300</v>
      </c>
      <c r="H96" s="253">
        <f>'[70]VENTAS TOTALES'!$H108</f>
        <v>10087900</v>
      </c>
      <c r="I96" s="252">
        <f>'[71]VENTAS TOTALES'!$F108</f>
        <v>4460</v>
      </c>
      <c r="J96" s="253">
        <f>'[71]VENTAS TOTALES'!$G108</f>
        <v>1305950</v>
      </c>
      <c r="K96" s="253">
        <f>'[71]VENTAS TOTALES'!$H108</f>
        <v>8887950</v>
      </c>
      <c r="L96" s="252">
        <f>'[72]VENTAS TOTALES'!$F108</f>
        <v>4441</v>
      </c>
      <c r="M96" s="253">
        <f>'[72]VENTAS TOTALES'!$G108</f>
        <v>868500</v>
      </c>
      <c r="N96" s="253">
        <f>'[72]VENTAS TOTALES'!$H108</f>
        <v>8418200</v>
      </c>
      <c r="O96" s="252">
        <f>'[73]VENTAS TOTALES'!$F108</f>
        <v>3881</v>
      </c>
      <c r="P96" s="253">
        <f>'[73]VENTAS TOTALES'!$G108</f>
        <v>801000</v>
      </c>
      <c r="Q96" s="253">
        <f>'[73]VENTAS TOTALES'!$H108</f>
        <v>7398700</v>
      </c>
      <c r="R96" s="252">
        <f>'[74]VENTAS TOTALES'!$F108</f>
        <v>2608</v>
      </c>
      <c r="S96" s="253">
        <f>'[74]VENTAS TOTALES'!$G108</f>
        <v>491700</v>
      </c>
      <c r="T96" s="253">
        <f>'[74]VENTAS TOTALES'!$H108</f>
        <v>4925300</v>
      </c>
      <c r="U96" s="252">
        <f>'[75]VENTAS TOTALES'!$F108</f>
        <v>5698</v>
      </c>
      <c r="V96" s="253">
        <f>'[75]VENTAS TOTALES'!$G108</f>
        <v>1488400</v>
      </c>
      <c r="W96" s="253">
        <f>'[75]VENTAS TOTALES'!$H108</f>
        <v>11175000</v>
      </c>
      <c r="X96" s="252">
        <f>'[76]VENTAS TOTALES'!$F108</f>
        <v>4651</v>
      </c>
      <c r="Y96" s="253">
        <f>'[76]VENTAS TOTALES'!$G108</f>
        <v>1127700</v>
      </c>
      <c r="Z96" s="253">
        <f>'[76]VENTAS TOTALES'!$H108</f>
        <v>9034400</v>
      </c>
      <c r="AA96" s="252">
        <f>'[77]VENTAS TOTALES'!$F108</f>
        <v>4242</v>
      </c>
      <c r="AB96" s="253">
        <f>'[77]VENTAS TOTALES'!$G108</f>
        <v>842000</v>
      </c>
      <c r="AC96" s="253">
        <f>'[77]VENTAS TOTALES'!$H108</f>
        <v>8053400</v>
      </c>
      <c r="AD96" s="252">
        <f>'[78]VENTAS TOTALES'!$F108</f>
        <v>4393</v>
      </c>
      <c r="AE96" s="253">
        <f>'[78]VENTAS TOTALES'!$G108</f>
        <v>1059700</v>
      </c>
      <c r="AF96" s="253">
        <f>'[78]VENTAS TOTALES'!$H108</f>
        <v>8527800</v>
      </c>
      <c r="AG96" s="252">
        <f>'[79]VENTAS TOTALES'!$F108</f>
        <v>4371</v>
      </c>
      <c r="AH96" s="253">
        <f>'[79]VENTAS TOTALES'!$G108</f>
        <v>851700</v>
      </c>
      <c r="AI96" s="253">
        <f>'[79]VENTAS TOTALES'!$H108</f>
        <v>8282400</v>
      </c>
      <c r="AJ96" s="252">
        <f>'[80]VENTAS TOTALES'!$F108</f>
        <v>3702</v>
      </c>
      <c r="AK96" s="253">
        <f>'[80]VENTAS TOTALES'!$G108</f>
        <v>818600</v>
      </c>
      <c r="AL96" s="253">
        <f>'[80]VENTAS TOTALES'!$H108</f>
        <v>7112000</v>
      </c>
      <c r="AM96" s="252">
        <f>'[81]VENTAS TOTALES'!$F108</f>
        <v>2303</v>
      </c>
      <c r="AN96" s="253">
        <f>'[81]VENTAS TOTALES'!$G108</f>
        <v>542800</v>
      </c>
      <c r="AO96" s="253">
        <f>'[81]VENTAS TOTALES'!$H108</f>
        <v>4457900</v>
      </c>
      <c r="AP96" s="252">
        <f>'[82]VENTAS TOTALES'!$F108</f>
        <v>6062</v>
      </c>
      <c r="AQ96" s="253">
        <f>'[82]VENTAS TOTALES'!$G108</f>
        <v>1668400</v>
      </c>
      <c r="AR96" s="253">
        <f>'[82]VENTAS TOTALES'!$H108</f>
        <v>11973800</v>
      </c>
      <c r="AS96" s="252">
        <f>'[83]VENTAS TOTALES'!$F108</f>
        <v>5195</v>
      </c>
      <c r="AT96" s="253">
        <f>'[83]VENTAS TOTALES'!$G108</f>
        <v>1457200</v>
      </c>
      <c r="AU96" s="253">
        <f>'[83]VENTAS TOTALES'!$H108</f>
        <v>10288700</v>
      </c>
      <c r="AV96" s="252">
        <f>'[84]VENTAS TOTALES'!$F108</f>
        <v>5355</v>
      </c>
      <c r="AW96" s="253">
        <f>'[84]VENTAS TOTALES'!$G108</f>
        <v>1787900</v>
      </c>
      <c r="AX96" s="253">
        <f>'[84]VENTAS TOTALES'!$H108</f>
        <v>10891400</v>
      </c>
      <c r="AY96" s="252">
        <f>'[85]VENTAS TOTALES'!$F108</f>
        <v>5095</v>
      </c>
      <c r="AZ96" s="253">
        <f>'[85]VENTAS TOTALES'!$G108</f>
        <v>1259300</v>
      </c>
      <c r="BA96" s="253">
        <f>'[85]VENTAS TOTALES'!$H108</f>
        <v>9920800</v>
      </c>
      <c r="BB96" s="252">
        <f>'[86]VENTAS TOTALES'!$F108</f>
        <v>4165</v>
      </c>
      <c r="BC96" s="253">
        <f>'[86]VENTAS TOTALES'!$G108</f>
        <v>842700</v>
      </c>
      <c r="BD96" s="253">
        <f>'[86]VENTAS TOTALES'!$H108</f>
        <v>7923200</v>
      </c>
      <c r="BE96" s="252">
        <f>'[87]VENTAS TOTALES'!$F108</f>
        <v>3818</v>
      </c>
      <c r="BF96" s="253">
        <f>'[87]VENTAS TOTALES'!$G108</f>
        <v>806700</v>
      </c>
      <c r="BG96" s="253">
        <f>'[87]VENTAS TOTALES'!$H108</f>
        <v>7297300</v>
      </c>
      <c r="BH96" s="252">
        <f>'[88]VENTAS TOTALES'!$F108</f>
        <v>2562</v>
      </c>
      <c r="BI96" s="253">
        <f>'[88]VENTAS TOTALES'!$G108</f>
        <v>369600</v>
      </c>
      <c r="BJ96" s="253">
        <f>'[88]VENTAS TOTALES'!$H108</f>
        <v>4725000</v>
      </c>
      <c r="BK96" s="252">
        <f>'[89]VENTAS TOTALES'!$F108</f>
        <v>6034</v>
      </c>
      <c r="BL96" s="253">
        <f>'[89]VENTAS TOTALES'!$G108</f>
        <v>1625200</v>
      </c>
      <c r="BM96" s="253">
        <f>'[89]VENTAS TOTALES'!$H108</f>
        <v>11883000</v>
      </c>
      <c r="BN96" s="252">
        <f>'[90]VENTAS TOTALES'!$F108</f>
        <v>4853</v>
      </c>
      <c r="BO96" s="253">
        <f>'[90]VENTAS TOTALES'!$G108</f>
        <v>1046100</v>
      </c>
      <c r="BP96" s="253">
        <f>'[90]VENTAS TOTALES'!$H108</f>
        <v>9296200</v>
      </c>
      <c r="BQ96" s="252">
        <f>'[91]VENTAS TOTALES'!$F108</f>
        <v>4620</v>
      </c>
      <c r="BR96" s="253">
        <f>'[91]VENTAS TOTALES'!$G108</f>
        <v>964500</v>
      </c>
      <c r="BS96" s="253">
        <f>'[91]VENTAS TOTALES'!$H108</f>
        <v>8818500</v>
      </c>
      <c r="BT96" s="252">
        <f>'[92]VENTAS TOTALES'!$F108</f>
        <v>4301</v>
      </c>
      <c r="BU96" s="253">
        <f>'[92]VENTAS TOTALES'!$G108</f>
        <v>766900</v>
      </c>
      <c r="BV96" s="253">
        <f>'[92]VENTAS TOTALES'!$H108</f>
        <v>8078600</v>
      </c>
      <c r="BW96" s="252">
        <f>'[93]VENTAS TOTALES'!$F108</f>
        <v>4493</v>
      </c>
      <c r="BX96" s="253">
        <f>'[93]VENTAS TOTALES'!$G108</f>
        <v>783700</v>
      </c>
      <c r="BY96" s="253">
        <f>'[93]VENTAS TOTALES'!$H108</f>
        <v>8421800</v>
      </c>
      <c r="BZ96" s="252">
        <f>'[94]VENTAS TOTALES'!$F108</f>
        <v>3816</v>
      </c>
      <c r="CA96" s="253">
        <f>'[94]VENTAS TOTALES'!$G108</f>
        <v>755700</v>
      </c>
      <c r="CB96" s="253">
        <f>'[94]VENTAS TOTALES'!$H108</f>
        <v>7242900</v>
      </c>
      <c r="CC96" s="252">
        <f>'[95]VENTAS TOTALES'!$F108</f>
        <v>2489</v>
      </c>
      <c r="CD96" s="253">
        <f>'[95]VENTAS TOTALES'!$G108</f>
        <v>578000</v>
      </c>
      <c r="CE96" s="253">
        <f>'[95]VENTAS TOTALES'!$H108</f>
        <v>4809300</v>
      </c>
      <c r="CF96" s="252">
        <f>'[96]VENTAS TOTALES'!$F108</f>
        <v>6420</v>
      </c>
      <c r="CG96" s="253">
        <f>'[96]VENTAS TOTALES'!$G108</f>
        <v>2521200</v>
      </c>
      <c r="CH96" s="253">
        <f>'[96]VENTAS TOTALES'!$H108</f>
        <v>13435200</v>
      </c>
      <c r="CI96" s="252">
        <f>'[97]VENTAS TOTALES'!$F108</f>
        <v>5622</v>
      </c>
      <c r="CJ96" s="253">
        <f>'[97]VENTAS TOTALES'!$G108</f>
        <v>2422600</v>
      </c>
      <c r="CK96" s="253">
        <f>'[97]VENTAS TOTALES'!$H108</f>
        <v>11980000</v>
      </c>
      <c r="CL96" s="252">
        <f>'[98]VENTAS TOTALES'!$F108</f>
        <v>5649</v>
      </c>
      <c r="CM96" s="253">
        <f>'[98]VENTAS TOTALES'!$G108</f>
        <v>1745600</v>
      </c>
      <c r="CN96" s="253">
        <f>'[98]VENTAS TOTALES'!$H108</f>
        <v>11348900</v>
      </c>
      <c r="CO96" s="252">
        <f>'[99]VENTAS TOTALES'!$F108</f>
        <v>4990</v>
      </c>
      <c r="CP96" s="253">
        <f>'[99]VENTAS TOTALES'!$G108</f>
        <v>1099400</v>
      </c>
      <c r="CQ96" s="253">
        <f>'[99]VENTAS TOTALES'!$H108</f>
        <v>9582400</v>
      </c>
      <c r="CR96" s="252">
        <f>'[100]VENTAS TOTALES'!$F108</f>
        <v>4523</v>
      </c>
      <c r="CS96" s="253">
        <f>'[100]VENTAS TOTALES'!$G108</f>
        <v>965300</v>
      </c>
      <c r="CT96" s="253">
        <f>'[100]VENTAS TOTALES'!$H108</f>
        <v>8654400</v>
      </c>
      <c r="CU96" s="252">
        <f>'[101]VENTAS TOTALES'!$F108</f>
        <v>4079</v>
      </c>
      <c r="CV96" s="253">
        <f>'[101]VENTAS TOTALES'!$G108</f>
        <v>732500</v>
      </c>
      <c r="CW96" s="253">
        <f>'[101]VENTAS TOTALES'!$H108</f>
        <v>7666800</v>
      </c>
      <c r="CX96" s="252">
        <f>'[102]VENTAS TOTALES'!$F108</f>
        <v>2629</v>
      </c>
      <c r="CY96" s="253">
        <f>'[102]VENTAS TOTALES'!$G108</f>
        <v>637900</v>
      </c>
      <c r="CZ96" s="253">
        <f>'[102]VENTAS TOTALES'!$H108</f>
        <v>5107200</v>
      </c>
    </row>
    <row r="97" spans="1:104" x14ac:dyDescent="0.2">
      <c r="A97" s="443"/>
      <c r="B97" s="43" t="s">
        <v>41</v>
      </c>
      <c r="C97" s="252">
        <f>'[69]VENTAS TOTALES'!$F109</f>
        <v>3423</v>
      </c>
      <c r="D97" s="253">
        <f>'[69]VENTAS TOTALES'!$G109</f>
        <v>2010400</v>
      </c>
      <c r="E97" s="253">
        <f>'[69]VENTAS TOTALES'!$H109</f>
        <v>7829500</v>
      </c>
      <c r="F97" s="252">
        <f>'[70]VENTAS TOTALES'!$F109</f>
        <v>3305</v>
      </c>
      <c r="G97" s="253">
        <f>'[70]VENTAS TOTALES'!$G109</f>
        <v>1400050</v>
      </c>
      <c r="H97" s="253">
        <f>'[70]VENTAS TOTALES'!$H109</f>
        <v>7018550</v>
      </c>
      <c r="I97" s="252">
        <f>'[71]VENTAS TOTALES'!$F109</f>
        <v>3046</v>
      </c>
      <c r="J97" s="253">
        <f>'[71]VENTAS TOTALES'!$G109</f>
        <v>947200</v>
      </c>
      <c r="K97" s="253">
        <f>'[71]VENTAS TOTALES'!$H109</f>
        <v>6125400</v>
      </c>
      <c r="L97" s="252">
        <f>'[72]VENTAS TOTALES'!$F109</f>
        <v>2918</v>
      </c>
      <c r="M97" s="253">
        <f>'[72]VENTAS TOTALES'!$G109</f>
        <v>940300</v>
      </c>
      <c r="N97" s="253">
        <f>'[72]VENTAS TOTALES'!$H109</f>
        <v>5900900</v>
      </c>
      <c r="O97" s="252">
        <f>'[73]VENTAS TOTALES'!$F109</f>
        <v>2354</v>
      </c>
      <c r="P97" s="253">
        <f>'[73]VENTAS TOTALES'!$G109</f>
        <v>739900</v>
      </c>
      <c r="Q97" s="253">
        <f>'[73]VENTAS TOTALES'!$H109</f>
        <v>4741700</v>
      </c>
      <c r="R97" s="252">
        <f>'[74]VENTAS TOTALES'!$F109</f>
        <v>1266</v>
      </c>
      <c r="S97" s="253">
        <f>'[74]VENTAS TOTALES'!$G109</f>
        <v>631800</v>
      </c>
      <c r="T97" s="253">
        <f>'[74]VENTAS TOTALES'!$H109</f>
        <v>2784000</v>
      </c>
      <c r="U97" s="252">
        <f>'[75]VENTAS TOTALES'!$F109</f>
        <v>3685</v>
      </c>
      <c r="V97" s="253">
        <f>'[75]VENTAS TOTALES'!$G109</f>
        <v>1704000</v>
      </c>
      <c r="W97" s="253">
        <f>'[75]VENTAS TOTALES'!$H109</f>
        <v>7968500</v>
      </c>
      <c r="X97" s="252">
        <f>'[76]VENTAS TOTALES'!$F109</f>
        <v>3229</v>
      </c>
      <c r="Y97" s="253">
        <f>'[76]VENTAS TOTALES'!$G109</f>
        <v>926250</v>
      </c>
      <c r="Z97" s="253">
        <f>'[76]VENTAS TOTALES'!$H109</f>
        <v>6415550</v>
      </c>
      <c r="AA97" s="252">
        <f>'[77]VENTAS TOTALES'!$F109</f>
        <v>3027</v>
      </c>
      <c r="AB97" s="253">
        <f>'[77]VENTAS TOTALES'!$G109</f>
        <v>749450</v>
      </c>
      <c r="AC97" s="253">
        <f>'[77]VENTAS TOTALES'!$H109</f>
        <v>5895350</v>
      </c>
      <c r="AD97" s="252">
        <f>'[78]VENTAS TOTALES'!$F109</f>
        <v>2953</v>
      </c>
      <c r="AE97" s="253">
        <f>'[78]VENTAS TOTALES'!$G109</f>
        <v>724000</v>
      </c>
      <c r="AF97" s="253">
        <f>'[78]VENTAS TOTALES'!$H109</f>
        <v>5744100</v>
      </c>
      <c r="AG97" s="252">
        <f>'[79]VENTAS TOTALES'!$F109</f>
        <v>2866</v>
      </c>
      <c r="AH97" s="253">
        <f>'[79]VENTAS TOTALES'!$G109</f>
        <v>797700</v>
      </c>
      <c r="AI97" s="253">
        <f>'[79]VENTAS TOTALES'!$H109</f>
        <v>5669900</v>
      </c>
      <c r="AJ97" s="252">
        <f>'[80]VENTAS TOTALES'!$F109</f>
        <v>2295</v>
      </c>
      <c r="AK97" s="253">
        <f>'[80]VENTAS TOTALES'!$G109</f>
        <v>617400</v>
      </c>
      <c r="AL97" s="253">
        <f>'[80]VENTAS TOTALES'!$H109</f>
        <v>4518900</v>
      </c>
      <c r="AM97" s="252">
        <f>'[81]VENTAS TOTALES'!$F109</f>
        <v>1280</v>
      </c>
      <c r="AN97" s="253">
        <f>'[81]VENTAS TOTALES'!$G109</f>
        <v>397800</v>
      </c>
      <c r="AO97" s="253">
        <f>'[81]VENTAS TOTALES'!$H109</f>
        <v>2573800</v>
      </c>
      <c r="AP97" s="252">
        <f>'[82]VENTAS TOTALES'!$F109</f>
        <v>3728</v>
      </c>
      <c r="AQ97" s="253">
        <f>'[82]VENTAS TOTALES'!$G109</f>
        <v>1560700</v>
      </c>
      <c r="AR97" s="253">
        <f>'[82]VENTAS TOTALES'!$H109</f>
        <v>7898300</v>
      </c>
      <c r="AS97" s="252">
        <f>'[83]VENTAS TOTALES'!$F109</f>
        <v>3413</v>
      </c>
      <c r="AT97" s="253">
        <f>'[83]VENTAS TOTALES'!$G109</f>
        <v>1105950</v>
      </c>
      <c r="AU97" s="253">
        <f>'[83]VENTAS TOTALES'!$H109</f>
        <v>6908050</v>
      </c>
      <c r="AV97" s="252">
        <f>'[84]VENTAS TOTALES'!$F109</f>
        <v>3353</v>
      </c>
      <c r="AW97" s="253">
        <f>'[84]VENTAS TOTALES'!$G109</f>
        <v>1871100</v>
      </c>
      <c r="AX97" s="253">
        <f>'[84]VENTAS TOTALES'!$H109</f>
        <v>7571200</v>
      </c>
      <c r="AY97" s="252">
        <f>'[85]VENTAS TOTALES'!$F109</f>
        <v>3029</v>
      </c>
      <c r="AZ97" s="253">
        <f>'[85]VENTAS TOTALES'!$G109</f>
        <v>978200</v>
      </c>
      <c r="BA97" s="253">
        <f>'[85]VENTAS TOTALES'!$H109</f>
        <v>6127500</v>
      </c>
      <c r="BB97" s="252">
        <f>'[86]VENTAS TOTALES'!$F109</f>
        <v>3270</v>
      </c>
      <c r="BC97" s="253">
        <f>'[86]VENTAS TOTALES'!$G109</f>
        <v>833650</v>
      </c>
      <c r="BD97" s="253">
        <f>'[86]VENTAS TOTALES'!$H109</f>
        <v>6392650</v>
      </c>
      <c r="BE97" s="252">
        <f>'[87]VENTAS TOTALES'!$F109</f>
        <v>2556</v>
      </c>
      <c r="BF97" s="253">
        <f>'[87]VENTAS TOTALES'!$G109</f>
        <v>561900</v>
      </c>
      <c r="BG97" s="253">
        <f>'[87]VENTAS TOTALES'!$H109</f>
        <v>4907100</v>
      </c>
      <c r="BH97" s="252">
        <f>'[88]VENTAS TOTALES'!$F109</f>
        <v>1507</v>
      </c>
      <c r="BI97" s="253">
        <f>'[88]VENTAS TOTALES'!$G109</f>
        <v>368750</v>
      </c>
      <c r="BJ97" s="253">
        <f>'[88]VENTAS TOTALES'!$H109</f>
        <v>2930650</v>
      </c>
      <c r="BK97" s="252">
        <f>'[89]VENTAS TOTALES'!$F109</f>
        <v>3755</v>
      </c>
      <c r="BL97" s="253">
        <f>'[89]VENTAS TOTALES'!$G109</f>
        <v>1620800</v>
      </c>
      <c r="BM97" s="253">
        <f>'[89]VENTAS TOTALES'!$H109</f>
        <v>8004300</v>
      </c>
      <c r="BN97" s="252">
        <f>'[90]VENTAS TOTALES'!$F109</f>
        <v>3265</v>
      </c>
      <c r="BO97" s="253">
        <f>'[90]VENTAS TOTALES'!$G109</f>
        <v>845900</v>
      </c>
      <c r="BP97" s="253">
        <f>'[90]VENTAS TOTALES'!$H109</f>
        <v>6396400</v>
      </c>
      <c r="BQ97" s="252">
        <f>'[91]VENTAS TOTALES'!$F109</f>
        <v>3026</v>
      </c>
      <c r="BR97" s="253">
        <f>'[91]VENTAS TOTALES'!$G109</f>
        <v>911900</v>
      </c>
      <c r="BS97" s="253">
        <f>'[91]VENTAS TOTALES'!$H109</f>
        <v>6056100</v>
      </c>
      <c r="BT97" s="252">
        <f>'[92]VENTAS TOTALES'!$F109</f>
        <v>2975</v>
      </c>
      <c r="BU97" s="253">
        <f>'[92]VENTAS TOTALES'!$G109</f>
        <v>726600</v>
      </c>
      <c r="BV97" s="253">
        <f>'[92]VENTAS TOTALES'!$H109</f>
        <v>5784100</v>
      </c>
      <c r="BW97" s="252">
        <f>'[93]VENTAS TOTALES'!$F109</f>
        <v>2869</v>
      </c>
      <c r="BX97" s="253">
        <f>'[93]VENTAS TOTALES'!$G109</f>
        <v>692200</v>
      </c>
      <c r="BY97" s="253">
        <f>'[93]VENTAS TOTALES'!$H109</f>
        <v>5569500</v>
      </c>
      <c r="BZ97" s="252">
        <f>'[94]VENTAS TOTALES'!$F109</f>
        <v>2338</v>
      </c>
      <c r="CA97" s="253">
        <f>'[94]VENTAS TOTALES'!$G109</f>
        <v>607100</v>
      </c>
      <c r="CB97" s="253">
        <f>'[94]VENTAS TOTALES'!$H109</f>
        <v>4581700</v>
      </c>
      <c r="CC97" s="252">
        <f>'[95]VENTAS TOTALES'!$F109</f>
        <v>1452</v>
      </c>
      <c r="CD97" s="253">
        <f>'[95]VENTAS TOTALES'!$G109</f>
        <v>342000</v>
      </c>
      <c r="CE97" s="253">
        <f>'[95]VENTAS TOTALES'!$H109</f>
        <v>2810400</v>
      </c>
      <c r="CF97" s="252">
        <f>'[96]VENTAS TOTALES'!$F109</f>
        <v>3884</v>
      </c>
      <c r="CG97" s="253">
        <f>'[96]VENTAS TOTALES'!$G109</f>
        <v>2146300</v>
      </c>
      <c r="CH97" s="253">
        <f>'[96]VENTAS TOTALES'!$H109</f>
        <v>8749100</v>
      </c>
      <c r="CI97" s="252">
        <f>'[97]VENTAS TOTALES'!$F109</f>
        <v>3623</v>
      </c>
      <c r="CJ97" s="253">
        <f>'[97]VENTAS TOTALES'!$G109</f>
        <v>2383900</v>
      </c>
      <c r="CK97" s="253">
        <f>'[97]VENTAS TOTALES'!$H109</f>
        <v>8543000</v>
      </c>
      <c r="CL97" s="252">
        <f>'[98]VENTAS TOTALES'!$F109</f>
        <v>3529</v>
      </c>
      <c r="CM97" s="253">
        <f>'[98]VENTAS TOTALES'!$G109</f>
        <v>1351600</v>
      </c>
      <c r="CN97" s="253">
        <f>'[98]VENTAS TOTALES'!$H109</f>
        <v>7350900</v>
      </c>
      <c r="CO97" s="252">
        <f>'[99]VENTAS TOTALES'!$F109</f>
        <v>3229</v>
      </c>
      <c r="CP97" s="253">
        <f>'[99]VENTAS TOTALES'!$G109</f>
        <v>1081900</v>
      </c>
      <c r="CQ97" s="253">
        <f>'[99]VENTAS TOTALES'!$H109</f>
        <v>6571200</v>
      </c>
      <c r="CR97" s="252">
        <f>'[100]VENTAS TOTALES'!$F109</f>
        <v>3143</v>
      </c>
      <c r="CS97" s="253">
        <f>'[100]VENTAS TOTALES'!$G109</f>
        <v>645200</v>
      </c>
      <c r="CT97" s="253">
        <f>'[100]VENTAS TOTALES'!$H109</f>
        <v>5988300</v>
      </c>
      <c r="CU97" s="252">
        <f>'[101]VENTAS TOTALES'!$F109</f>
        <v>2405</v>
      </c>
      <c r="CV97" s="253">
        <f>'[101]VENTAS TOTALES'!$G109</f>
        <v>833200</v>
      </c>
      <c r="CW97" s="253">
        <f>'[101]VENTAS TOTALES'!$H109</f>
        <v>4921700</v>
      </c>
      <c r="CX97" s="252">
        <f>'[102]VENTAS TOTALES'!$F109</f>
        <v>1390</v>
      </c>
      <c r="CY97" s="253">
        <f>'[102]VENTAS TOTALES'!$G109</f>
        <v>381400</v>
      </c>
      <c r="CZ97" s="253">
        <f>'[102]VENTAS TOTALES'!$H109</f>
        <v>2744400</v>
      </c>
    </row>
    <row r="98" spans="1:104" s="12" customFormat="1" x14ac:dyDescent="0.2">
      <c r="A98" s="443"/>
      <c r="B98" s="43" t="s">
        <v>42</v>
      </c>
      <c r="C98" s="252">
        <f>'[69]VENTAS TOTALES'!$F110</f>
        <v>2323</v>
      </c>
      <c r="D98" s="253">
        <f>'[69]VENTAS TOTALES'!$G110</f>
        <v>733100</v>
      </c>
      <c r="E98" s="253">
        <f>'[69]VENTAS TOTALES'!$H110</f>
        <v>4682200</v>
      </c>
      <c r="F98" s="252">
        <f>'[70]VENTAS TOTALES'!$F110</f>
        <v>2179</v>
      </c>
      <c r="G98" s="253">
        <f>'[70]VENTAS TOTALES'!$G110</f>
        <v>509300</v>
      </c>
      <c r="H98" s="253">
        <f>'[70]VENTAS TOTALES'!$H110</f>
        <v>4213600</v>
      </c>
      <c r="I98" s="252">
        <f>'[71]VENTAS TOTALES'!$F110</f>
        <v>1928</v>
      </c>
      <c r="J98" s="253">
        <f>'[71]VENTAS TOTALES'!$G110</f>
        <v>519000</v>
      </c>
      <c r="K98" s="253">
        <f>'[71]VENTAS TOTALES'!$H110</f>
        <v>3796600</v>
      </c>
      <c r="L98" s="252">
        <f>'[72]VENTAS TOTALES'!$F110</f>
        <v>1824</v>
      </c>
      <c r="M98" s="253">
        <f>'[72]VENTAS TOTALES'!$G110</f>
        <v>368400</v>
      </c>
      <c r="N98" s="253">
        <f>'[72]VENTAS TOTALES'!$H110</f>
        <v>3469200</v>
      </c>
      <c r="O98" s="252">
        <f>'[73]VENTAS TOTALES'!$F110</f>
        <v>1441</v>
      </c>
      <c r="P98" s="253">
        <f>'[73]VENTAS TOTALES'!$G110</f>
        <v>196500</v>
      </c>
      <c r="Q98" s="253">
        <f>'[73]VENTAS TOTALES'!$H110</f>
        <v>2646200</v>
      </c>
      <c r="R98" s="252">
        <f>'[74]VENTAS TOTALES'!$F110</f>
        <v>748</v>
      </c>
      <c r="S98" s="253">
        <f>'[74]VENTAS TOTALES'!$G110</f>
        <v>106600</v>
      </c>
      <c r="T98" s="253">
        <f>'[74]VENTAS TOTALES'!$H110</f>
        <v>1378200</v>
      </c>
      <c r="U98" s="252">
        <f>'[75]VENTAS TOTALES'!$F110</f>
        <v>2387</v>
      </c>
      <c r="V98" s="253">
        <f>'[75]VENTAS TOTALES'!$G110</f>
        <v>442900</v>
      </c>
      <c r="W98" s="253">
        <f>'[75]VENTAS TOTALES'!$H110</f>
        <v>4500800</v>
      </c>
      <c r="X98" s="252">
        <f>'[76]VENTAS TOTALES'!$F110</f>
        <v>2068</v>
      </c>
      <c r="Y98" s="253">
        <f>'[76]VENTAS TOTALES'!$G110</f>
        <v>408400</v>
      </c>
      <c r="Z98" s="253">
        <f>'[76]VENTAS TOTALES'!$H110</f>
        <v>3924000</v>
      </c>
      <c r="AA98" s="252">
        <f>'[77]VENTAS TOTALES'!$F110</f>
        <v>1793</v>
      </c>
      <c r="AB98" s="253">
        <f>'[77]VENTAS TOTALES'!$G110</f>
        <v>251800</v>
      </c>
      <c r="AC98" s="253">
        <f>'[77]VENTAS TOTALES'!$H110</f>
        <v>3299900</v>
      </c>
      <c r="AD98" s="252">
        <f>'[78]VENTAS TOTALES'!$F110</f>
        <v>1825</v>
      </c>
      <c r="AE98" s="253">
        <f>'[78]VENTAS TOTALES'!$G110</f>
        <v>470100</v>
      </c>
      <c r="AF98" s="253">
        <f>'[78]VENTAS TOTALES'!$H110</f>
        <v>3572600</v>
      </c>
      <c r="AG98" s="252">
        <f>'[79]VENTAS TOTALES'!$F110</f>
        <v>1797</v>
      </c>
      <c r="AH98" s="253">
        <f>'[79]VENTAS TOTALES'!$G110</f>
        <v>379100</v>
      </c>
      <c r="AI98" s="253">
        <f>'[79]VENTAS TOTALES'!$H110</f>
        <v>3434000</v>
      </c>
      <c r="AJ98" s="252">
        <f>'[80]VENTAS TOTALES'!$F110</f>
        <v>1323</v>
      </c>
      <c r="AK98" s="253">
        <f>'[80]VENTAS TOTALES'!$G110</f>
        <v>173500</v>
      </c>
      <c r="AL98" s="253">
        <f>'[80]VENTAS TOTALES'!$H110</f>
        <v>2422600</v>
      </c>
      <c r="AM98" s="252">
        <f>'[81]VENTAS TOTALES'!$F110</f>
        <v>756</v>
      </c>
      <c r="AN98" s="253">
        <f>'[81]VENTAS TOTALES'!$G110</f>
        <v>107800</v>
      </c>
      <c r="AO98" s="253">
        <f>'[81]VENTAS TOTALES'!$H110</f>
        <v>1393000</v>
      </c>
      <c r="AP98" s="252">
        <f>'[82]VENTAS TOTALES'!$F110</f>
        <v>2377</v>
      </c>
      <c r="AQ98" s="253">
        <f>'[82]VENTAS TOTALES'!$G110</f>
        <v>564700</v>
      </c>
      <c r="AR98" s="253">
        <f>'[82]VENTAS TOTALES'!$H110</f>
        <v>4605600</v>
      </c>
      <c r="AS98" s="252">
        <f>'[83]VENTAS TOTALES'!$F110</f>
        <v>2101</v>
      </c>
      <c r="AT98" s="253">
        <f>'[83]VENTAS TOTALES'!$G110</f>
        <v>537200</v>
      </c>
      <c r="AU98" s="253">
        <f>'[83]VENTAS TOTALES'!$H110</f>
        <v>4108900</v>
      </c>
      <c r="AV98" s="252">
        <f>'[84]VENTAS TOTALES'!$F110</f>
        <v>2428</v>
      </c>
      <c r="AW98" s="253">
        <f>'[84]VENTAS TOTALES'!$G110</f>
        <v>758200</v>
      </c>
      <c r="AX98" s="253">
        <f>'[84]VENTAS TOTALES'!$H110</f>
        <v>4885800</v>
      </c>
      <c r="AY98" s="252">
        <f>'[85]VENTAS TOTALES'!$F110</f>
        <v>1999</v>
      </c>
      <c r="AZ98" s="253">
        <f>'[85]VENTAS TOTALES'!$G110</f>
        <v>578000</v>
      </c>
      <c r="BA98" s="253">
        <f>'[85]VENTAS TOTALES'!$H110</f>
        <v>3976300</v>
      </c>
      <c r="BB98" s="252">
        <f>'[86]VENTAS TOTALES'!$F110</f>
        <v>1937</v>
      </c>
      <c r="BC98" s="253">
        <f>'[86]VENTAS TOTALES'!$G110</f>
        <v>356900</v>
      </c>
      <c r="BD98" s="253">
        <f>'[86]VENTAS TOTALES'!$H110</f>
        <v>3649800</v>
      </c>
      <c r="BE98" s="252">
        <f>'[87]VENTAS TOTALES'!$F110</f>
        <v>1377</v>
      </c>
      <c r="BF98" s="253">
        <f>'[87]VENTAS TOTALES'!$G110</f>
        <v>184600</v>
      </c>
      <c r="BG98" s="253">
        <f>'[87]VENTAS TOTALES'!$H110</f>
        <v>2525500</v>
      </c>
      <c r="BH98" s="252">
        <f>'[88]VENTAS TOTALES'!$F110</f>
        <v>713</v>
      </c>
      <c r="BI98" s="253">
        <f>'[88]VENTAS TOTALES'!$G110</f>
        <v>147400</v>
      </c>
      <c r="BJ98" s="253">
        <f>'[88]VENTAS TOTALES'!$H110</f>
        <v>1359500</v>
      </c>
      <c r="BK98" s="252">
        <f>'[89]VENTAS TOTALES'!$F110</f>
        <v>2505</v>
      </c>
      <c r="BL98" s="253">
        <f>'[89]VENTAS TOTALES'!$G110</f>
        <v>641700</v>
      </c>
      <c r="BM98" s="253">
        <f>'[89]VENTAS TOTALES'!$H110</f>
        <v>4900200</v>
      </c>
      <c r="BN98" s="252">
        <f>'[90]VENTAS TOTALES'!$F110</f>
        <v>1997</v>
      </c>
      <c r="BO98" s="253">
        <f>'[90]VENTAS TOTALES'!$G110</f>
        <v>383000</v>
      </c>
      <c r="BP98" s="253">
        <f>'[90]VENTAS TOTALES'!$H110</f>
        <v>3777900</v>
      </c>
      <c r="BQ98" s="252">
        <f>'[91]VENTAS TOTALES'!$F110</f>
        <v>1962</v>
      </c>
      <c r="BR98" s="253">
        <f>'[91]VENTAS TOTALES'!$G110</f>
        <v>310800</v>
      </c>
      <c r="BS98" s="253">
        <f>'[91]VENTAS TOTALES'!$H110</f>
        <v>3646200</v>
      </c>
      <c r="BT98" s="252">
        <f>'[92]VENTAS TOTALES'!$F110</f>
        <v>1875</v>
      </c>
      <c r="BU98" s="253">
        <f>'[92]VENTAS TOTALES'!$G110</f>
        <v>383900</v>
      </c>
      <c r="BV98" s="253">
        <f>'[92]VENTAS TOTALES'!$H110</f>
        <v>3571400</v>
      </c>
      <c r="BW98" s="252">
        <f>'[93]VENTAS TOTALES'!$F110</f>
        <v>1748</v>
      </c>
      <c r="BX98" s="253">
        <f>'[93]VENTAS TOTALES'!$G110</f>
        <v>316800</v>
      </c>
      <c r="BY98" s="253">
        <f>'[93]VENTAS TOTALES'!$H110</f>
        <v>3288400</v>
      </c>
      <c r="BZ98" s="252">
        <f>'[94]VENTAS TOTALES'!$F110</f>
        <v>1384</v>
      </c>
      <c r="CA98" s="253">
        <f>'[94]VENTAS TOTALES'!$G110</f>
        <v>303600</v>
      </c>
      <c r="CB98" s="253">
        <f>'[94]VENTAS TOTALES'!$H110</f>
        <v>2656400</v>
      </c>
      <c r="CC98" s="252">
        <f>'[95]VENTAS TOTALES'!$F110</f>
        <v>718</v>
      </c>
      <c r="CD98" s="253">
        <f>'[95]VENTAS TOTALES'!$G110</f>
        <v>98000</v>
      </c>
      <c r="CE98" s="253">
        <f>'[95]VENTAS TOTALES'!$H110</f>
        <v>1318600</v>
      </c>
      <c r="CF98" s="252">
        <f>'[96]VENTAS TOTALES'!$F110</f>
        <v>2630</v>
      </c>
      <c r="CG98" s="253">
        <f>'[96]VENTAS TOTALES'!$G110</f>
        <v>769700</v>
      </c>
      <c r="CH98" s="253">
        <f>'[96]VENTAS TOTALES'!$H110</f>
        <v>5240700</v>
      </c>
      <c r="CI98" s="252">
        <f>'[97]VENTAS TOTALES'!$F110</f>
        <v>2433</v>
      </c>
      <c r="CJ98" s="253">
        <f>'[97]VENTAS TOTALES'!$G110</f>
        <v>602800</v>
      </c>
      <c r="CK98" s="253">
        <f>'[97]VENTAS TOTALES'!$H110</f>
        <v>4738900</v>
      </c>
      <c r="CL98" s="252">
        <f>'[98]VENTAS TOTALES'!$F110</f>
        <v>2361</v>
      </c>
      <c r="CM98" s="253">
        <f>'[98]VENTAS TOTALES'!$G110</f>
        <v>634900</v>
      </c>
      <c r="CN98" s="253">
        <f>'[98]VENTAS TOTALES'!$H110</f>
        <v>4648600</v>
      </c>
      <c r="CO98" s="252">
        <f>'[99]VENTAS TOTALES'!$F110</f>
        <v>1970</v>
      </c>
      <c r="CP98" s="253">
        <f>'[99]VENTAS TOTALES'!$G110</f>
        <v>475900</v>
      </c>
      <c r="CQ98" s="253">
        <f>'[99]VENTAS TOTALES'!$H110</f>
        <v>3824900</v>
      </c>
      <c r="CR98" s="252">
        <f>'[100]VENTAS TOTALES'!$F110</f>
        <v>1842</v>
      </c>
      <c r="CS98" s="253">
        <f>'[100]VENTAS TOTALES'!$G110</f>
        <v>287300</v>
      </c>
      <c r="CT98" s="253">
        <f>'[100]VENTAS TOTALES'!$H110</f>
        <v>3418700</v>
      </c>
      <c r="CU98" s="252">
        <f>'[101]VENTAS TOTALES'!$F110</f>
        <v>1350</v>
      </c>
      <c r="CV98" s="253">
        <f>'[101]VENTAS TOTALES'!$G110</f>
        <v>242600</v>
      </c>
      <c r="CW98" s="253">
        <f>'[101]VENTAS TOTALES'!$H110</f>
        <v>2537600</v>
      </c>
      <c r="CX98" s="252">
        <f>'[102]VENTAS TOTALES'!$F110</f>
        <v>707</v>
      </c>
      <c r="CY98" s="253">
        <f>'[102]VENTAS TOTALES'!$G110</f>
        <v>128700</v>
      </c>
      <c r="CZ98" s="253">
        <f>'[102]VENTAS TOTALES'!$H110</f>
        <v>1330600</v>
      </c>
    </row>
    <row r="99" spans="1:104" x14ac:dyDescent="0.2">
      <c r="A99" s="443"/>
      <c r="B99" s="52" t="s">
        <v>107</v>
      </c>
      <c r="C99" s="252">
        <f>'[69]VENTAS TOTALES'!$F111</f>
        <v>6405</v>
      </c>
      <c r="D99" s="253">
        <f>'[69]VENTAS TOTALES'!$G111</f>
        <v>2572900</v>
      </c>
      <c r="E99" s="253">
        <f>'[69]VENTAS TOTALES'!$H111</f>
        <v>13461400</v>
      </c>
      <c r="F99" s="252">
        <f>'[70]VENTAS TOTALES'!$F111</f>
        <v>5928</v>
      </c>
      <c r="G99" s="253">
        <f>'[70]VENTAS TOTALES'!$G111</f>
        <v>1802100</v>
      </c>
      <c r="H99" s="253">
        <f>'[70]VENTAS TOTALES'!$H111</f>
        <v>11879700</v>
      </c>
      <c r="I99" s="252">
        <f>'[71]VENTAS TOTALES'!$F111</f>
        <v>5104</v>
      </c>
      <c r="J99" s="253">
        <f>'[71]VENTAS TOTALES'!$G111</f>
        <v>1079700</v>
      </c>
      <c r="K99" s="253">
        <f>'[71]VENTAS TOTALES'!$H111</f>
        <v>9756500</v>
      </c>
      <c r="L99" s="252">
        <f>'[72]VENTAS TOTALES'!$F111</f>
        <v>4746</v>
      </c>
      <c r="M99" s="253">
        <f>'[72]VENTAS TOTALES'!$G111</f>
        <v>983600</v>
      </c>
      <c r="N99" s="253">
        <f>'[72]VENTAS TOTALES'!$H111</f>
        <v>9051800</v>
      </c>
      <c r="O99" s="252">
        <f>'[73]VENTAS TOTALES'!$F111</f>
        <v>4194</v>
      </c>
      <c r="P99" s="253">
        <f>'[73]VENTAS TOTALES'!$G111</f>
        <v>911900</v>
      </c>
      <c r="Q99" s="253">
        <f>'[73]VENTAS TOTALES'!$H111</f>
        <v>8041700</v>
      </c>
      <c r="R99" s="252">
        <f>'[74]VENTAS TOTALES'!$F111</f>
        <v>2369</v>
      </c>
      <c r="S99" s="253">
        <f>'[74]VENTAS TOTALES'!$G111</f>
        <v>608100</v>
      </c>
      <c r="T99" s="253">
        <f>'[74]VENTAS TOTALES'!$H111</f>
        <v>4635400</v>
      </c>
      <c r="U99" s="252">
        <f>'[75]VENTAS TOTALES'!$F111</f>
        <v>6605</v>
      </c>
      <c r="V99" s="253">
        <f>'[75]VENTAS TOTALES'!$G111</f>
        <v>2016600</v>
      </c>
      <c r="W99" s="253">
        <f>'[75]VENTAS TOTALES'!$H111</f>
        <v>13245100</v>
      </c>
      <c r="X99" s="252">
        <f>'[76]VENTAS TOTALES'!$F111</f>
        <v>5394</v>
      </c>
      <c r="Y99" s="253">
        <f>'[76]VENTAS TOTALES'!$G111</f>
        <v>1673400</v>
      </c>
      <c r="Z99" s="253">
        <f>'[76]VENTAS TOTALES'!$H111</f>
        <v>10843200</v>
      </c>
      <c r="AA99" s="252">
        <f>'[77]VENTAS TOTALES'!$F111</f>
        <v>5240</v>
      </c>
      <c r="AB99" s="253">
        <f>'[77]VENTAS TOTALES'!$G111</f>
        <v>1271600</v>
      </c>
      <c r="AC99" s="253">
        <f>'[77]VENTAS TOTALES'!$H111</f>
        <v>10179600</v>
      </c>
      <c r="AD99" s="252">
        <f>'[78]VENTAS TOTALES'!$F111</f>
        <v>5096</v>
      </c>
      <c r="AE99" s="253">
        <f>'[78]VENTAS TOTALES'!$G111</f>
        <v>1171300</v>
      </c>
      <c r="AF99" s="253">
        <f>'[78]VENTAS TOTALES'!$H111</f>
        <v>9834500</v>
      </c>
      <c r="AG99" s="252">
        <f>'[79]VENTAS TOTALES'!$F111</f>
        <v>4727</v>
      </c>
      <c r="AH99" s="253">
        <f>'[79]VENTAS TOTALES'!$G111</f>
        <v>1196100</v>
      </c>
      <c r="AI99" s="253">
        <f>'[79]VENTAS TOTALES'!$H111</f>
        <v>9232000</v>
      </c>
      <c r="AJ99" s="252">
        <f>'[80]VENTAS TOTALES'!$F111</f>
        <v>3953</v>
      </c>
      <c r="AK99" s="253">
        <f>'[80]VENTAS TOTALES'!$G111</f>
        <v>789400</v>
      </c>
      <c r="AL99" s="253">
        <f>'[80]VENTAS TOTALES'!$H111</f>
        <v>7509500</v>
      </c>
      <c r="AM99" s="252">
        <f>'[81]VENTAS TOTALES'!$F111</f>
        <v>2285</v>
      </c>
      <c r="AN99" s="253">
        <f>'[81]VENTAS TOTALES'!$G111</f>
        <v>493000</v>
      </c>
      <c r="AO99" s="253">
        <f>'[81]VENTAS TOTALES'!$H111</f>
        <v>4377500</v>
      </c>
      <c r="AP99" s="252">
        <f>'[82]VENTAS TOTALES'!$F111</f>
        <v>6420</v>
      </c>
      <c r="AQ99" s="253">
        <f>'[82]VENTAS TOTALES'!$G111</f>
        <v>2081000</v>
      </c>
      <c r="AR99" s="253">
        <f>'[82]VENTAS TOTALES'!$H111</f>
        <v>12995000</v>
      </c>
      <c r="AS99" s="252">
        <f>'[83]VENTAS TOTALES'!$F111</f>
        <v>5897</v>
      </c>
      <c r="AT99" s="253">
        <f>'[83]VENTAS TOTALES'!$G111</f>
        <v>2181800</v>
      </c>
      <c r="AU99" s="253">
        <f>'[83]VENTAS TOTALES'!$H111</f>
        <v>12206700</v>
      </c>
      <c r="AV99" s="252">
        <f>'[84]VENTAS TOTALES'!$F111</f>
        <v>5805</v>
      </c>
      <c r="AW99" s="253">
        <f>'[84]VENTAS TOTALES'!$G111</f>
        <v>2279200</v>
      </c>
      <c r="AX99" s="253">
        <f>'[84]VENTAS TOTALES'!$H111</f>
        <v>12147700</v>
      </c>
      <c r="AY99" s="252">
        <f>'[85]VENTAS TOTALES'!$F111</f>
        <v>5506</v>
      </c>
      <c r="AZ99" s="253">
        <f>'[85]VENTAS TOTALES'!$G111</f>
        <v>1518300</v>
      </c>
      <c r="BA99" s="253">
        <f>'[85]VENTAS TOTALES'!$H111</f>
        <v>10878500</v>
      </c>
      <c r="BB99" s="252">
        <f>'[86]VENTAS TOTALES'!$F111</f>
        <v>4993</v>
      </c>
      <c r="BC99" s="253">
        <f>'[86]VENTAS TOTALES'!$G111</f>
        <v>1152600</v>
      </c>
      <c r="BD99" s="253">
        <f>'[86]VENTAS TOTALES'!$H111</f>
        <v>9640700</v>
      </c>
      <c r="BE99" s="252">
        <f>'[87]VENTAS TOTALES'!$F111</f>
        <v>4140</v>
      </c>
      <c r="BF99" s="253">
        <f>'[87]VENTAS TOTALES'!$G111</f>
        <v>870800</v>
      </c>
      <c r="BG99" s="253">
        <f>'[87]VENTAS TOTALES'!$H111</f>
        <v>7908800</v>
      </c>
      <c r="BH99" s="252">
        <f>'[88]VENTAS TOTALES'!$F111</f>
        <v>2628</v>
      </c>
      <c r="BI99" s="253">
        <f>'[88]VENTAS TOTALES'!$G111</f>
        <v>527300</v>
      </c>
      <c r="BJ99" s="253">
        <f>'[88]VENTAS TOTALES'!$H111</f>
        <v>4994900</v>
      </c>
      <c r="BK99" s="252">
        <f>'[89]VENTAS TOTALES'!$F111</f>
        <v>6756</v>
      </c>
      <c r="BL99" s="253">
        <f>'[89]VENTAS TOTALES'!$G111</f>
        <v>1827000</v>
      </c>
      <c r="BM99" s="253">
        <f>'[89]VENTAS TOTALES'!$H111</f>
        <v>13312200</v>
      </c>
      <c r="BN99" s="252">
        <f>'[90]VENTAS TOTALES'!$F111</f>
        <v>5315</v>
      </c>
      <c r="BO99" s="253">
        <f>'[90]VENTAS TOTALES'!$G111</f>
        <v>1446000</v>
      </c>
      <c r="BP99" s="253">
        <f>'[90]VENTAS TOTALES'!$H111</f>
        <v>10481500</v>
      </c>
      <c r="BQ99" s="252">
        <f>'[91]VENTAS TOTALES'!$F111</f>
        <v>5395</v>
      </c>
      <c r="BR99" s="253">
        <f>'[91]VENTAS TOTALES'!$G111</f>
        <v>1152900</v>
      </c>
      <c r="BS99" s="253">
        <f>'[91]VENTAS TOTALES'!$H111</f>
        <v>10324400</v>
      </c>
      <c r="BT99" s="252">
        <f>'[92]VENTAS TOTALES'!$F111</f>
        <v>5140</v>
      </c>
      <c r="BU99" s="253">
        <f>'[92]VENTAS TOTALES'!$G111</f>
        <v>1344400</v>
      </c>
      <c r="BV99" s="253">
        <f>'[92]VENTAS TOTALES'!$H111</f>
        <v>10082400</v>
      </c>
      <c r="BW99" s="252">
        <f>'[93]VENTAS TOTALES'!$F111</f>
        <v>4803</v>
      </c>
      <c r="BX99" s="253">
        <f>'[93]VENTAS TOTALES'!$G111</f>
        <v>1235600</v>
      </c>
      <c r="BY99" s="253">
        <f>'[93]VENTAS TOTALES'!$H111</f>
        <v>9400700</v>
      </c>
      <c r="BZ99" s="252">
        <f>'[94]VENTAS TOTALES'!$F111</f>
        <v>4289</v>
      </c>
      <c r="CA99" s="253">
        <f>'[94]VENTAS TOTALES'!$G111</f>
        <v>1178800</v>
      </c>
      <c r="CB99" s="253">
        <f>'[94]VENTAS TOTALES'!$H111</f>
        <v>8470100</v>
      </c>
      <c r="CC99" s="252">
        <f>'[95]VENTAS TOTALES'!$F111</f>
        <v>2547</v>
      </c>
      <c r="CD99" s="253">
        <f>'[95]VENTAS TOTALES'!$G111</f>
        <v>654900</v>
      </c>
      <c r="CE99" s="253">
        <f>'[95]VENTAS TOTALES'!$H111</f>
        <v>4984800</v>
      </c>
      <c r="CF99" s="252">
        <f>'[96]VENTAS TOTALES'!$F111</f>
        <v>7142</v>
      </c>
      <c r="CG99" s="253">
        <f>'[96]VENTAS TOTALES'!$G111</f>
        <v>3196550</v>
      </c>
      <c r="CH99" s="253">
        <f>'[96]VENTAS TOTALES'!$H111</f>
        <v>15337950</v>
      </c>
      <c r="CI99" s="252">
        <f>'[97]VENTAS TOTALES'!$F111</f>
        <v>7044</v>
      </c>
      <c r="CJ99" s="253">
        <f>'[97]VENTAS TOTALES'!$G111</f>
        <v>2999000</v>
      </c>
      <c r="CK99" s="253">
        <f>'[97]VENTAS TOTALES'!$H111</f>
        <v>14973800</v>
      </c>
      <c r="CL99" s="252">
        <f>'[98]VENTAS TOTALES'!$F111</f>
        <v>6438</v>
      </c>
      <c r="CM99" s="253">
        <f>'[98]VENTAS TOTALES'!$G111</f>
        <v>1585000</v>
      </c>
      <c r="CN99" s="253">
        <f>'[98]VENTAS TOTALES'!$H111</f>
        <v>12529600</v>
      </c>
      <c r="CO99" s="252">
        <f>'[99]VENTAS TOTALES'!$F111</f>
        <v>5732</v>
      </c>
      <c r="CP99" s="253">
        <f>'[99]VENTAS TOTALES'!$G111</f>
        <v>1681900</v>
      </c>
      <c r="CQ99" s="253">
        <f>'[99]VENTAS TOTALES'!$H111</f>
        <v>11426300</v>
      </c>
      <c r="CR99" s="252">
        <f>'[100]VENTAS TOTALES'!$F111</f>
        <v>5341</v>
      </c>
      <c r="CS99" s="253">
        <f>'[100]VENTAS TOTALES'!$G111</f>
        <v>1227900</v>
      </c>
      <c r="CT99" s="253">
        <f>'[100]VENTAS TOTALES'!$H111</f>
        <v>10307600</v>
      </c>
      <c r="CU99" s="252">
        <f>'[101]VENTAS TOTALES'!$F111</f>
        <v>4463</v>
      </c>
      <c r="CV99" s="253">
        <f>'[101]VENTAS TOTALES'!$G111</f>
        <v>1111300</v>
      </c>
      <c r="CW99" s="253">
        <f>'[101]VENTAS TOTALES'!$H111</f>
        <v>8698400</v>
      </c>
      <c r="CX99" s="252">
        <f>'[102]VENTAS TOTALES'!$F111</f>
        <v>2337</v>
      </c>
      <c r="CY99" s="253">
        <f>'[102]VENTAS TOTALES'!$G111</f>
        <v>532850</v>
      </c>
      <c r="CZ99" s="253">
        <f>'[102]VENTAS TOTALES'!$H111</f>
        <v>4505750</v>
      </c>
    </row>
    <row r="100" spans="1:104" x14ac:dyDescent="0.2">
      <c r="A100" s="443"/>
      <c r="B100" s="43" t="s">
        <v>108</v>
      </c>
      <c r="C100" s="252">
        <f>'[69]VENTAS TOTALES'!$F112</f>
        <v>4464</v>
      </c>
      <c r="D100" s="253">
        <f>'[69]VENTAS TOTALES'!$G112</f>
        <v>1823900</v>
      </c>
      <c r="E100" s="253">
        <f>'[69]VENTAS TOTALES'!$H112</f>
        <v>9412700</v>
      </c>
      <c r="F100" s="252">
        <f>'[70]VENTAS TOTALES'!$F112</f>
        <v>3965</v>
      </c>
      <c r="G100" s="253">
        <f>'[70]VENTAS TOTALES'!$G112</f>
        <v>1429900</v>
      </c>
      <c r="H100" s="253">
        <f>'[70]VENTAS TOTALES'!$H112</f>
        <v>8170400</v>
      </c>
      <c r="I100" s="252">
        <f>'[71]VENTAS TOTALES'!$F112</f>
        <v>2958</v>
      </c>
      <c r="J100" s="253">
        <f>'[71]VENTAS TOTALES'!$G112</f>
        <v>1263800</v>
      </c>
      <c r="K100" s="253">
        <f>'[71]VENTAS TOTALES'!$H112</f>
        <v>6292400</v>
      </c>
      <c r="L100" s="252">
        <f>'[72]VENTAS TOTALES'!$F112</f>
        <v>3372</v>
      </c>
      <c r="M100" s="253">
        <f>'[72]VENTAS TOTALES'!$G112</f>
        <v>947100</v>
      </c>
      <c r="N100" s="253">
        <f>'[72]VENTAS TOTALES'!$H112</f>
        <v>6679500</v>
      </c>
      <c r="O100" s="252">
        <f>'[73]VENTAS TOTALES'!$F112</f>
        <v>2390</v>
      </c>
      <c r="P100" s="253">
        <f>'[73]VENTAS TOTALES'!$G112</f>
        <v>667200</v>
      </c>
      <c r="Q100" s="253">
        <f>'[73]VENTAS TOTALES'!$H112</f>
        <v>4730200</v>
      </c>
      <c r="R100" s="252">
        <f>'[74]VENTAS TOTALES'!$F112</f>
        <v>1424</v>
      </c>
      <c r="S100" s="253">
        <f>'[74]VENTAS TOTALES'!$G112</f>
        <v>227100</v>
      </c>
      <c r="T100" s="253">
        <f>'[74]VENTAS TOTALES'!$H112</f>
        <v>2647900</v>
      </c>
      <c r="U100" s="252">
        <f>'[75]VENTAS TOTALES'!$F112</f>
        <v>4696</v>
      </c>
      <c r="V100" s="253">
        <f>'[75]VENTAS TOTALES'!$G112</f>
        <v>1861400</v>
      </c>
      <c r="W100" s="253">
        <f>'[75]VENTAS TOTALES'!$H112</f>
        <v>9844600</v>
      </c>
      <c r="X100" s="252">
        <f>'[76]VENTAS TOTALES'!$F112</f>
        <v>3605</v>
      </c>
      <c r="Y100" s="253">
        <f>'[76]VENTAS TOTALES'!$G112</f>
        <v>1273500</v>
      </c>
      <c r="Z100" s="253">
        <f>'[76]VENTAS TOTALES'!$H112</f>
        <v>7402000</v>
      </c>
      <c r="AA100" s="252">
        <f>'[77]VENTAS TOTALES'!$F112</f>
        <v>3411</v>
      </c>
      <c r="AB100" s="253">
        <f>'[77]VENTAS TOTALES'!$G112</f>
        <v>1148650</v>
      </c>
      <c r="AC100" s="253">
        <f>'[77]VENTAS TOTALES'!$H112</f>
        <v>6947350</v>
      </c>
      <c r="AD100" s="252">
        <f>'[78]VENTAS TOTALES'!$F112</f>
        <v>3376</v>
      </c>
      <c r="AE100" s="253">
        <f>'[78]VENTAS TOTALES'!$G112</f>
        <v>968300</v>
      </c>
      <c r="AF100" s="253">
        <f>'[78]VENTAS TOTALES'!$H112</f>
        <v>6707500</v>
      </c>
      <c r="AG100" s="252">
        <f>'[79]VENTAS TOTALES'!$F112</f>
        <v>3087</v>
      </c>
      <c r="AH100" s="253">
        <f>'[79]VENTAS TOTALES'!$G112</f>
        <v>925100</v>
      </c>
      <c r="AI100" s="253">
        <f>'[79]VENTAS TOTALES'!$H112</f>
        <v>6173000</v>
      </c>
      <c r="AJ100" s="252">
        <f>'[80]VENTAS TOTALES'!$F112</f>
        <v>2523</v>
      </c>
      <c r="AK100" s="253">
        <f>'[80]VENTAS TOTALES'!$G112</f>
        <v>544200</v>
      </c>
      <c r="AL100" s="253">
        <f>'[80]VENTAS TOTALES'!$H112</f>
        <v>4833300</v>
      </c>
      <c r="AM100" s="252">
        <f>'[81]VENTAS TOTALES'!$F112</f>
        <v>1396</v>
      </c>
      <c r="AN100" s="253">
        <f>'[81]VENTAS TOTALES'!$G112</f>
        <v>272200</v>
      </c>
      <c r="AO100" s="253">
        <f>'[81]VENTAS TOTALES'!$H112</f>
        <v>2645400</v>
      </c>
      <c r="AP100" s="252">
        <f>'[82]VENTAS TOTALES'!$F112</f>
        <v>4896</v>
      </c>
      <c r="AQ100" s="253">
        <f>'[82]VENTAS TOTALES'!$G112</f>
        <v>1809000</v>
      </c>
      <c r="AR100" s="253">
        <f>'[82]VENTAS TOTALES'!$H112</f>
        <v>10132200</v>
      </c>
      <c r="AS100" s="252">
        <f>'[83]VENTAS TOTALES'!$F112</f>
        <v>4031</v>
      </c>
      <c r="AT100" s="253">
        <f>'[83]VENTAS TOTALES'!$G112</f>
        <v>1803100</v>
      </c>
      <c r="AU100" s="253">
        <f>'[83]VENTAS TOTALES'!$H112</f>
        <v>8655800</v>
      </c>
      <c r="AV100" s="252">
        <f>'[84]VENTAS TOTALES'!$F112</f>
        <v>4326</v>
      </c>
      <c r="AW100" s="253">
        <f>'[84]VENTAS TOTALES'!$G112</f>
        <v>2056100</v>
      </c>
      <c r="AX100" s="253">
        <f>'[84]VENTAS TOTALES'!$H112</f>
        <v>9410300</v>
      </c>
      <c r="AY100" s="252">
        <f>'[85]VENTAS TOTALES'!$F112</f>
        <v>3831</v>
      </c>
      <c r="AZ100" s="253">
        <f>'[85]VENTAS TOTALES'!$G112</f>
        <v>1478000</v>
      </c>
      <c r="BA100" s="253">
        <f>'[85]VENTAS TOTALES'!$H112</f>
        <v>7990700</v>
      </c>
      <c r="BB100" s="252">
        <f>'[86]VENTAS TOTALES'!$F112</f>
        <v>3291</v>
      </c>
      <c r="BC100" s="253">
        <f>'[86]VENTAS TOTALES'!$G112</f>
        <v>1022300</v>
      </c>
      <c r="BD100" s="253">
        <f>'[86]VENTAS TOTALES'!$H112</f>
        <v>6617000</v>
      </c>
      <c r="BE100" s="252">
        <f>'[87]VENTAS TOTALES'!$F112</f>
        <v>2567</v>
      </c>
      <c r="BF100" s="253">
        <f>'[87]VENTAS TOTALES'!$G112</f>
        <v>535300</v>
      </c>
      <c r="BG100" s="253">
        <f>'[87]VENTAS TOTALES'!$H112</f>
        <v>4899200</v>
      </c>
      <c r="BH100" s="252">
        <f>'[88]VENTAS TOTALES'!$F112</f>
        <v>1534</v>
      </c>
      <c r="BI100" s="253">
        <f>'[88]VENTAS TOTALES'!$G112</f>
        <v>330500</v>
      </c>
      <c r="BJ100" s="253">
        <f>'[88]VENTAS TOTALES'!$H112</f>
        <v>2938300</v>
      </c>
      <c r="BK100" s="252">
        <f>'[89]VENTAS TOTALES'!$F112</f>
        <v>4701</v>
      </c>
      <c r="BL100" s="253">
        <f>'[89]VENTAS TOTALES'!$G112</f>
        <v>1429500</v>
      </c>
      <c r="BM100" s="253">
        <f>'[89]VENTAS TOTALES'!$H112</f>
        <v>9421200</v>
      </c>
      <c r="BN100" s="252">
        <f>'[90]VENTAS TOTALES'!$F112</f>
        <v>3693</v>
      </c>
      <c r="BO100" s="253">
        <f>'[90]VENTAS TOTALES'!$G112</f>
        <v>1387600</v>
      </c>
      <c r="BP100" s="253">
        <f>'[90]VENTAS TOTALES'!$H112</f>
        <v>7665700</v>
      </c>
      <c r="BQ100" s="252">
        <f>'[91]VENTAS TOTALES'!$F112</f>
        <v>3408</v>
      </c>
      <c r="BR100" s="253">
        <f>'[91]VENTAS TOTALES'!$G112</f>
        <v>1043900</v>
      </c>
      <c r="BS100" s="253">
        <f>'[91]VENTAS TOTALES'!$H112</f>
        <v>6837500</v>
      </c>
      <c r="BT100" s="252">
        <f>'[92]VENTAS TOTALES'!$F112</f>
        <v>3379</v>
      </c>
      <c r="BU100" s="253">
        <f>'[92]VENTAS TOTALES'!$G112</f>
        <v>900200</v>
      </c>
      <c r="BV100" s="253">
        <f>'[92]VENTAS TOTALES'!$H112</f>
        <v>6644500</v>
      </c>
      <c r="BW100" s="252">
        <f>'[93]VENTAS TOTALES'!$F112</f>
        <v>3142</v>
      </c>
      <c r="BX100" s="253">
        <f>'[93]VENTAS TOTALES'!$G112</f>
        <v>1173200</v>
      </c>
      <c r="BY100" s="253">
        <f>'[93]VENTAS TOTALES'!$H112</f>
        <v>6514600</v>
      </c>
      <c r="BZ100" s="252">
        <f>'[94]VENTAS TOTALES'!$F112</f>
        <v>2661</v>
      </c>
      <c r="CA100" s="253">
        <f>'[94]VENTAS TOTALES'!$G112</f>
        <v>640300</v>
      </c>
      <c r="CB100" s="253">
        <f>'[94]VENTAS TOTALES'!$H112</f>
        <v>5164000</v>
      </c>
      <c r="CC100" s="252">
        <f>'[95]VENTAS TOTALES'!$F112</f>
        <v>1662</v>
      </c>
      <c r="CD100" s="253">
        <f>'[95]VENTAS TOTALES'!$G112</f>
        <v>290400</v>
      </c>
      <c r="CE100" s="253">
        <f>'[95]VENTAS TOTALES'!$H112</f>
        <v>3115800</v>
      </c>
      <c r="CF100" s="252">
        <f>'[96]VENTAS TOTALES'!$F112</f>
        <v>5681</v>
      </c>
      <c r="CG100" s="253">
        <f>'[96]VENTAS TOTALES'!$G112</f>
        <v>2454600</v>
      </c>
      <c r="CH100" s="253">
        <f>'[96]VENTAS TOTALES'!$H112</f>
        <v>12112300</v>
      </c>
      <c r="CI100" s="252">
        <f>'[97]VENTAS TOTALES'!$F112</f>
        <v>5215</v>
      </c>
      <c r="CJ100" s="253">
        <f>'[97]VENTAS TOTALES'!$G112</f>
        <v>2223500</v>
      </c>
      <c r="CK100" s="253">
        <f>'[97]VENTAS TOTALES'!$H112</f>
        <v>11089000</v>
      </c>
      <c r="CL100" s="252">
        <f>'[98]VENTAS TOTALES'!$F112</f>
        <v>4578</v>
      </c>
      <c r="CM100" s="253">
        <f>'[98]VENTAS TOTALES'!$G112</f>
        <v>1963300</v>
      </c>
      <c r="CN100" s="253">
        <f>'[98]VENTAS TOTALES'!$H112</f>
        <v>9745900</v>
      </c>
      <c r="CO100" s="252">
        <f>'[99]VENTAS TOTALES'!$F112</f>
        <v>4237</v>
      </c>
      <c r="CP100" s="253">
        <f>'[99]VENTAS TOTALES'!$G112</f>
        <v>1278750</v>
      </c>
      <c r="CQ100" s="253">
        <f>'[99]VENTAS TOTALES'!$H112</f>
        <v>8481650</v>
      </c>
      <c r="CR100" s="252">
        <f>'[100]VENTAS TOTALES'!$F112</f>
        <v>3542</v>
      </c>
      <c r="CS100" s="253">
        <f>'[100]VENTAS TOTALES'!$G112</f>
        <v>908300</v>
      </c>
      <c r="CT100" s="253">
        <f>'[100]VENTAS TOTALES'!$H112</f>
        <v>6929700</v>
      </c>
      <c r="CU100" s="252">
        <f>'[101]VENTAS TOTALES'!$F112</f>
        <v>2799</v>
      </c>
      <c r="CV100" s="253">
        <f>'[101]VENTAS TOTALES'!$G112</f>
        <v>778900</v>
      </c>
      <c r="CW100" s="253">
        <f>'[101]VENTAS TOTALES'!$H112</f>
        <v>5537200</v>
      </c>
      <c r="CX100" s="252">
        <f>'[102]VENTAS TOTALES'!$F112</f>
        <v>1743</v>
      </c>
      <c r="CY100" s="253">
        <f>'[102]VENTAS TOTALES'!$G112</f>
        <v>236500</v>
      </c>
      <c r="CZ100" s="253">
        <f>'[102]VENTAS TOTALES'!$H112</f>
        <v>3199600</v>
      </c>
    </row>
    <row r="101" spans="1:104" x14ac:dyDescent="0.2">
      <c r="A101" s="443"/>
      <c r="B101" s="69" t="s">
        <v>43</v>
      </c>
      <c r="C101" s="252">
        <f>'[69]VENTAS TOTALES'!$F113</f>
        <v>4339</v>
      </c>
      <c r="D101" s="253">
        <f>'[69]VENTAS TOTALES'!$G113</f>
        <v>3881450</v>
      </c>
      <c r="E101" s="253">
        <f>'[69]VENTAS TOTALES'!$H113</f>
        <v>11257750</v>
      </c>
      <c r="F101" s="252">
        <f>'[70]VENTAS TOTALES'!$F113</f>
        <v>4444</v>
      </c>
      <c r="G101" s="253">
        <f>'[70]VENTAS TOTALES'!$G113</f>
        <v>4018000</v>
      </c>
      <c r="H101" s="253">
        <f>'[70]VENTAS TOTALES'!$H113</f>
        <v>11572800</v>
      </c>
      <c r="I101" s="252">
        <f>'[71]VENTAS TOTALES'!$F113</f>
        <v>3491</v>
      </c>
      <c r="J101" s="253">
        <f>'[71]VENTAS TOTALES'!$G113</f>
        <v>2148800</v>
      </c>
      <c r="K101" s="253">
        <f>'[71]VENTAS TOTALES'!$H113</f>
        <v>8083500</v>
      </c>
      <c r="L101" s="252">
        <f>'[72]VENTAS TOTALES'!$F113</f>
        <v>3642</v>
      </c>
      <c r="M101" s="253">
        <f>'[72]VENTAS TOTALES'!$G113</f>
        <v>1922000</v>
      </c>
      <c r="N101" s="253">
        <f>'[72]VENTAS TOTALES'!$H113</f>
        <v>8113400</v>
      </c>
      <c r="O101" s="252">
        <f>'[73]VENTAS TOTALES'!$F113</f>
        <v>3149</v>
      </c>
      <c r="P101" s="253">
        <f>'[73]VENTAS TOTALES'!$G113</f>
        <v>1614950</v>
      </c>
      <c r="Q101" s="253">
        <f>'[73]VENTAS TOTALES'!$H113</f>
        <v>6968250</v>
      </c>
      <c r="R101" s="252">
        <f>'[74]VENTAS TOTALES'!$F113</f>
        <v>2267</v>
      </c>
      <c r="S101" s="253">
        <f>'[74]VENTAS TOTALES'!$G113</f>
        <v>1093050</v>
      </c>
      <c r="T101" s="253">
        <f>'[74]VENTAS TOTALES'!$H113</f>
        <v>4946950</v>
      </c>
      <c r="U101" s="252">
        <f>'[75]VENTAS TOTALES'!$F113</f>
        <v>4436</v>
      </c>
      <c r="V101" s="253">
        <f>'[75]VENTAS TOTALES'!$G113</f>
        <v>3174100</v>
      </c>
      <c r="W101" s="253">
        <f>'[75]VENTAS TOTALES'!$H113</f>
        <v>10715300</v>
      </c>
      <c r="X101" s="252">
        <f>'[76]VENTAS TOTALES'!$F113</f>
        <v>3970</v>
      </c>
      <c r="Y101" s="253">
        <f>'[76]VENTAS TOTALES'!$G113</f>
        <v>2095450</v>
      </c>
      <c r="Z101" s="253">
        <f>'[76]VENTAS TOTALES'!$H113</f>
        <v>8844450</v>
      </c>
      <c r="AA101" s="252">
        <f>'[77]VENTAS TOTALES'!$F113</f>
        <v>3486</v>
      </c>
      <c r="AB101" s="253">
        <f>'[77]VENTAS TOTALES'!$G113</f>
        <v>1593600</v>
      </c>
      <c r="AC101" s="253">
        <f>'[77]VENTAS TOTALES'!$H113</f>
        <v>7519800</v>
      </c>
      <c r="AD101" s="252">
        <f>'[78]VENTAS TOTALES'!$F113</f>
        <v>3584</v>
      </c>
      <c r="AE101" s="253">
        <f>'[78]VENTAS TOTALES'!$G113</f>
        <v>2166000</v>
      </c>
      <c r="AF101" s="253">
        <f>'[78]VENTAS TOTALES'!$H113</f>
        <v>8258800</v>
      </c>
      <c r="AG101" s="252">
        <f>'[79]VENTAS TOTALES'!$F113</f>
        <v>3633</v>
      </c>
      <c r="AH101" s="253">
        <f>'[79]VENTAS TOTALES'!$G113</f>
        <v>1617100</v>
      </c>
      <c r="AI101" s="253">
        <f>'[79]VENTAS TOTALES'!$H113</f>
        <v>7793200</v>
      </c>
      <c r="AJ101" s="252">
        <f>'[80]VENTAS TOTALES'!$F113</f>
        <v>3066</v>
      </c>
      <c r="AK101" s="253">
        <f>'[80]VENTAS TOTALES'!$G113</f>
        <v>1561100</v>
      </c>
      <c r="AL101" s="253">
        <f>'[80]VENTAS TOTALES'!$H113</f>
        <v>6773300</v>
      </c>
      <c r="AM101" s="252">
        <f>'[81]VENTAS TOTALES'!$F113</f>
        <v>1838</v>
      </c>
      <c r="AN101" s="253">
        <f>'[81]VENTAS TOTALES'!$G113</f>
        <v>948900</v>
      </c>
      <c r="AO101" s="253">
        <f>'[81]VENTAS TOTALES'!$H113</f>
        <v>4073500</v>
      </c>
      <c r="AP101" s="252">
        <f>'[82]VENTAS TOTALES'!$F113</f>
        <v>4789</v>
      </c>
      <c r="AQ101" s="253">
        <f>'[82]VENTAS TOTALES'!$G113</f>
        <v>2724300</v>
      </c>
      <c r="AR101" s="253">
        <f>'[82]VENTAS TOTALES'!$H113</f>
        <v>10865600</v>
      </c>
      <c r="AS101" s="252">
        <f>'[83]VENTAS TOTALES'!$F113</f>
        <v>4306</v>
      </c>
      <c r="AT101" s="253">
        <f>'[83]VENTAS TOTALES'!$G113</f>
        <v>3420400</v>
      </c>
      <c r="AU101" s="253">
        <f>'[83]VENTAS TOTALES'!$H113</f>
        <v>10740600</v>
      </c>
      <c r="AV101" s="252">
        <f>'[84]VENTAS TOTALES'!$F113</f>
        <v>4334</v>
      </c>
      <c r="AW101" s="253">
        <f>'[84]VENTAS TOTALES'!$G113</f>
        <v>4131400</v>
      </c>
      <c r="AX101" s="253">
        <f>'[84]VENTAS TOTALES'!$H113</f>
        <v>11499200</v>
      </c>
      <c r="AY101" s="252">
        <f>'[85]VENTAS TOTALES'!$F113</f>
        <v>4301</v>
      </c>
      <c r="AZ101" s="253">
        <f>'[85]VENTAS TOTALES'!$G113</f>
        <v>2369350</v>
      </c>
      <c r="BA101" s="253">
        <f>'[85]VENTAS TOTALES'!$H113</f>
        <v>9681050</v>
      </c>
      <c r="BB101" s="252">
        <f>'[86]VENTAS TOTALES'!$F113</f>
        <v>3667</v>
      </c>
      <c r="BC101" s="253">
        <f>'[86]VENTAS TOTALES'!$G113</f>
        <v>2074150</v>
      </c>
      <c r="BD101" s="253">
        <f>'[86]VENTAS TOTALES'!$H113</f>
        <v>8308050</v>
      </c>
      <c r="BE101" s="252">
        <f>'[87]VENTAS TOTALES'!$F113</f>
        <v>3293</v>
      </c>
      <c r="BF101" s="253">
        <f>'[87]VENTAS TOTALES'!$G113</f>
        <v>1334600</v>
      </c>
      <c r="BG101" s="253">
        <f>'[87]VENTAS TOTALES'!$H113</f>
        <v>6932700</v>
      </c>
      <c r="BH101" s="252">
        <f>'[88]VENTAS TOTALES'!$F113</f>
        <v>2038</v>
      </c>
      <c r="BI101" s="253">
        <f>'[88]VENTAS TOTALES'!$G113</f>
        <v>803200</v>
      </c>
      <c r="BJ101" s="253">
        <f>'[88]VENTAS TOTALES'!$H113</f>
        <v>4267800</v>
      </c>
      <c r="BK101" s="252">
        <f>'[89]VENTAS TOTALES'!$F113</f>
        <v>4926</v>
      </c>
      <c r="BL101" s="253">
        <f>'[89]VENTAS TOTALES'!$G113</f>
        <v>3224000</v>
      </c>
      <c r="BM101" s="253">
        <f>'[89]VENTAS TOTALES'!$H113</f>
        <v>11598200</v>
      </c>
      <c r="BN101" s="252">
        <f>'[90]VENTAS TOTALES'!$F113</f>
        <v>3800</v>
      </c>
      <c r="BO101" s="253">
        <f>'[90]VENTAS TOTALES'!$G113</f>
        <v>1677650</v>
      </c>
      <c r="BP101" s="253">
        <f>'[90]VENTAS TOTALES'!$H113</f>
        <v>8137650</v>
      </c>
      <c r="BQ101" s="252">
        <f>'[91]VENTAS TOTALES'!$F113</f>
        <v>3837</v>
      </c>
      <c r="BR101" s="253">
        <f>'[91]VENTAS TOTALES'!$G113</f>
        <v>1954800</v>
      </c>
      <c r="BS101" s="253">
        <f>'[91]VENTAS TOTALES'!$H113</f>
        <v>8477700</v>
      </c>
      <c r="BT101" s="252">
        <f>'[92]VENTAS TOTALES'!$F113</f>
        <v>3671</v>
      </c>
      <c r="BU101" s="253">
        <f>'[92]VENTAS TOTALES'!$G113</f>
        <v>1652550</v>
      </c>
      <c r="BV101" s="253">
        <f>'[92]VENTAS TOTALES'!$H113</f>
        <v>7893250</v>
      </c>
      <c r="BW101" s="252">
        <f>'[93]VENTAS TOTALES'!$F113</f>
        <v>3791</v>
      </c>
      <c r="BX101" s="253">
        <f>'[93]VENTAS TOTALES'!$G113</f>
        <v>1767400</v>
      </c>
      <c r="BY101" s="253">
        <f>'[93]VENTAS TOTALES'!$H113</f>
        <v>8212100</v>
      </c>
      <c r="BZ101" s="252">
        <f>'[94]VENTAS TOTALES'!$F113</f>
        <v>3405</v>
      </c>
      <c r="CA101" s="253">
        <f>'[94]VENTAS TOTALES'!$G113</f>
        <v>2344600</v>
      </c>
      <c r="CB101" s="253">
        <f>'[94]VENTAS TOTALES'!$H113</f>
        <v>8133100</v>
      </c>
      <c r="CC101" s="252">
        <f>'[95]VENTAS TOTALES'!$F113</f>
        <v>2171</v>
      </c>
      <c r="CD101" s="253">
        <f>'[95]VENTAS TOTALES'!$G113</f>
        <v>1170300</v>
      </c>
      <c r="CE101" s="253">
        <f>'[95]VENTAS TOTALES'!$H113</f>
        <v>4861000</v>
      </c>
      <c r="CF101" s="252">
        <f>'[96]VENTAS TOTALES'!$F113</f>
        <v>5699</v>
      </c>
      <c r="CG101" s="253">
        <f>'[96]VENTAS TOTALES'!$G113</f>
        <v>4710000</v>
      </c>
      <c r="CH101" s="253">
        <f>'[96]VENTAS TOTALES'!$H113</f>
        <v>14398300</v>
      </c>
      <c r="CI101" s="252">
        <f>'[97]VENTAS TOTALES'!$F113</f>
        <v>5487</v>
      </c>
      <c r="CJ101" s="253">
        <f>'[97]VENTAS TOTALES'!$G113</f>
        <v>4276400</v>
      </c>
      <c r="CK101" s="253">
        <f>'[97]VENTAS TOTALES'!$H113</f>
        <v>13604300</v>
      </c>
      <c r="CL101" s="252">
        <f>'[98]VENTAS TOTALES'!$F113</f>
        <v>4762</v>
      </c>
      <c r="CM101" s="253">
        <f>'[98]VENTAS TOTALES'!$G113</f>
        <v>3300100</v>
      </c>
      <c r="CN101" s="253">
        <f>'[98]VENTAS TOTALES'!$H113</f>
        <v>11395500</v>
      </c>
      <c r="CO101" s="252">
        <f>'[99]VENTAS TOTALES'!$F113</f>
        <v>4049</v>
      </c>
      <c r="CP101" s="253">
        <f>'[99]VENTAS TOTALES'!$G113</f>
        <v>2488350</v>
      </c>
      <c r="CQ101" s="253">
        <f>'[99]VENTAS TOTALES'!$H113</f>
        <v>9371650</v>
      </c>
      <c r="CR101" s="252">
        <f>'[100]VENTAS TOTALES'!$F113</f>
        <v>4098</v>
      </c>
      <c r="CS101" s="253">
        <f>'[100]VENTAS TOTALES'!$G113</f>
        <v>1837650</v>
      </c>
      <c r="CT101" s="253">
        <f>'[100]VENTAS TOTALES'!$H113</f>
        <v>8804250</v>
      </c>
      <c r="CU101" s="252">
        <f>'[101]VENTAS TOTALES'!$F113</f>
        <v>3271</v>
      </c>
      <c r="CV101" s="253">
        <f>'[101]VENTAS TOTALES'!$G113</f>
        <v>1468000</v>
      </c>
      <c r="CW101" s="253">
        <f>'[101]VENTAS TOTALES'!$H113</f>
        <v>7028700</v>
      </c>
      <c r="CX101" s="252">
        <f>'[102]VENTAS TOTALES'!$F113</f>
        <v>2113</v>
      </c>
      <c r="CY101" s="253">
        <f>'[102]VENTAS TOTALES'!$G113</f>
        <v>951600</v>
      </c>
      <c r="CZ101" s="253">
        <f>'[102]VENTAS TOTALES'!$H113</f>
        <v>4543700</v>
      </c>
    </row>
    <row r="102" spans="1:104" x14ac:dyDescent="0.2">
      <c r="A102" s="443"/>
      <c r="B102" s="51" t="s">
        <v>114</v>
      </c>
      <c r="C102" s="252">
        <f>'[69]VENTAS TOTALES'!$F114</f>
        <v>464</v>
      </c>
      <c r="D102" s="253">
        <f>'[69]VENTAS TOTALES'!$G114</f>
        <v>238200</v>
      </c>
      <c r="E102" s="253">
        <f>'[69]VENTAS TOTALES'!$H114</f>
        <v>1027000</v>
      </c>
      <c r="F102" s="252">
        <f>'[70]VENTAS TOTALES'!$F114</f>
        <v>400</v>
      </c>
      <c r="G102" s="253">
        <f>'[70]VENTAS TOTALES'!$G114</f>
        <v>203700</v>
      </c>
      <c r="H102" s="253">
        <f>'[70]VENTAS TOTALES'!$H114</f>
        <v>883700</v>
      </c>
      <c r="I102" s="252">
        <f>'[71]VENTAS TOTALES'!$F114</f>
        <v>306</v>
      </c>
      <c r="J102" s="253">
        <f>'[71]VENTAS TOTALES'!$G114</f>
        <v>100800</v>
      </c>
      <c r="K102" s="253">
        <f>'[71]VENTAS TOTALES'!$H114</f>
        <v>621000</v>
      </c>
      <c r="L102" s="252">
        <f>'[72]VENTAS TOTALES'!$F114</f>
        <v>292</v>
      </c>
      <c r="M102" s="253">
        <f>'[72]VENTAS TOTALES'!$G114</f>
        <v>127100</v>
      </c>
      <c r="N102" s="253">
        <f>'[72]VENTAS TOTALES'!$H114</f>
        <v>623500</v>
      </c>
      <c r="O102" s="252">
        <f>'[73]VENTAS TOTALES'!$F114</f>
        <v>173</v>
      </c>
      <c r="P102" s="253">
        <f>'[73]VENTAS TOTALES'!$G114</f>
        <v>67600</v>
      </c>
      <c r="Q102" s="253">
        <f>'[73]VENTAS TOTALES'!$H114</f>
        <v>361700</v>
      </c>
      <c r="R102" s="252">
        <f>'[74]VENTAS TOTALES'!$F114</f>
        <v>143</v>
      </c>
      <c r="S102" s="253">
        <f>'[74]VENTAS TOTALES'!$G114</f>
        <v>86400</v>
      </c>
      <c r="T102" s="253">
        <f>'[74]VENTAS TOTALES'!$H114</f>
        <v>329500</v>
      </c>
      <c r="U102" s="252">
        <f>'[75]VENTAS TOTALES'!$F114</f>
        <v>530</v>
      </c>
      <c r="V102" s="253">
        <f>'[75]VENTAS TOTALES'!$G114</f>
        <v>140300</v>
      </c>
      <c r="W102" s="253">
        <f>'[75]VENTAS TOTALES'!$H114</f>
        <v>1041300</v>
      </c>
      <c r="X102" s="252">
        <f>'[76]VENTAS TOTALES'!$F114</f>
        <v>311</v>
      </c>
      <c r="Y102" s="253">
        <f>'[76]VENTAS TOTALES'!$G114</f>
        <v>110900</v>
      </c>
      <c r="Z102" s="253">
        <f>'[76]VENTAS TOTALES'!$H114</f>
        <v>639600</v>
      </c>
      <c r="AA102" s="252">
        <f>'[77]VENTAS TOTALES'!$F114</f>
        <v>327</v>
      </c>
      <c r="AB102" s="253">
        <f>'[77]VENTAS TOTALES'!$G114</f>
        <v>112300</v>
      </c>
      <c r="AC102" s="253">
        <f>'[77]VENTAS TOTALES'!$H114</f>
        <v>668200</v>
      </c>
      <c r="AD102" s="252">
        <f>'[78]VENTAS TOTALES'!$F114</f>
        <v>298</v>
      </c>
      <c r="AE102" s="253">
        <f>'[78]VENTAS TOTALES'!$G114</f>
        <v>107600</v>
      </c>
      <c r="AF102" s="253">
        <f>'[78]VENTAS TOTALES'!$H114</f>
        <v>614200</v>
      </c>
      <c r="AG102" s="252">
        <f>'[79]VENTAS TOTALES'!$F114</f>
        <v>290</v>
      </c>
      <c r="AH102" s="253">
        <f>'[79]VENTAS TOTALES'!$G114</f>
        <v>122300</v>
      </c>
      <c r="AI102" s="253">
        <f>'[79]VENTAS TOTALES'!$H114</f>
        <v>615300</v>
      </c>
      <c r="AJ102" s="252">
        <f>'[80]VENTAS TOTALES'!$F114</f>
        <v>182</v>
      </c>
      <c r="AK102" s="253">
        <f>'[80]VENTAS TOTALES'!$G114</f>
        <v>54000</v>
      </c>
      <c r="AL102" s="253">
        <f>'[80]VENTAS TOTALES'!$H114</f>
        <v>363400</v>
      </c>
      <c r="AM102" s="252">
        <f>'[81]VENTAS TOTALES'!$F114</f>
        <v>169</v>
      </c>
      <c r="AN102" s="253">
        <f>'[81]VENTAS TOTALES'!$G114</f>
        <v>13000</v>
      </c>
      <c r="AO102" s="253">
        <f>'[81]VENTAS TOTALES'!$H114</f>
        <v>300300</v>
      </c>
      <c r="AP102" s="252">
        <f>'[82]VENTAS TOTALES'!$F114</f>
        <v>349</v>
      </c>
      <c r="AQ102" s="253">
        <f>'[82]VENTAS TOTALES'!$G114</f>
        <v>200900</v>
      </c>
      <c r="AR102" s="253">
        <f>'[82]VENTAS TOTALES'!$H114</f>
        <v>794200</v>
      </c>
      <c r="AS102" s="252">
        <f>'[83]VENTAS TOTALES'!$F114</f>
        <v>379</v>
      </c>
      <c r="AT102" s="253">
        <f>'[83]VENTAS TOTALES'!$G114</f>
        <v>349700</v>
      </c>
      <c r="AU102" s="253">
        <f>'[83]VENTAS TOTALES'!$H114</f>
        <v>994000</v>
      </c>
      <c r="AV102" s="252">
        <f>'[84]VENTAS TOTALES'!$F114</f>
        <v>569</v>
      </c>
      <c r="AW102" s="253">
        <f>'[84]VENTAS TOTALES'!$G114</f>
        <v>186800</v>
      </c>
      <c r="AX102" s="253">
        <f>'[84]VENTAS TOTALES'!$H114</f>
        <v>1154100</v>
      </c>
      <c r="AY102" s="252">
        <f>'[85]VENTAS TOTALES'!$F114</f>
        <v>286</v>
      </c>
      <c r="AZ102" s="253">
        <f>'[85]VENTAS TOTALES'!$G114</f>
        <v>79100</v>
      </c>
      <c r="BA102" s="253">
        <f>'[85]VENTAS TOTALES'!$H114</f>
        <v>565300</v>
      </c>
      <c r="BB102" s="252">
        <f>'[86]VENTAS TOTALES'!$F114</f>
        <v>331</v>
      </c>
      <c r="BC102" s="253">
        <f>'[86]VENTAS TOTALES'!$G114</f>
        <v>42000</v>
      </c>
      <c r="BD102" s="253">
        <f>'[86]VENTAS TOTALES'!$H114</f>
        <v>604700</v>
      </c>
      <c r="BE102" s="252">
        <f>'[87]VENTAS TOTALES'!$F114</f>
        <v>214</v>
      </c>
      <c r="BF102" s="253">
        <f>'[87]VENTAS TOTALES'!$G114</f>
        <v>74000</v>
      </c>
      <c r="BG102" s="253">
        <f>'[87]VENTAS TOTALES'!$H114</f>
        <v>437800</v>
      </c>
      <c r="BH102" s="252">
        <f>'[88]VENTAS TOTALES'!$F114</f>
        <v>216</v>
      </c>
      <c r="BI102" s="253">
        <f>'[88]VENTAS TOTALES'!$G114</f>
        <v>113300</v>
      </c>
      <c r="BJ102" s="253">
        <f>'[88]VENTAS TOTALES'!$H114</f>
        <v>480500</v>
      </c>
      <c r="BK102" s="252">
        <f>'[89]VENTAS TOTALES'!$F114</f>
        <v>368</v>
      </c>
      <c r="BL102" s="253">
        <f>'[89]VENTAS TOTALES'!$G114</f>
        <v>103700</v>
      </c>
      <c r="BM102" s="253">
        <f>'[89]VENTAS TOTALES'!$H114</f>
        <v>729300</v>
      </c>
      <c r="BN102" s="252">
        <f>'[90]VENTAS TOTALES'!$F114</f>
        <v>294</v>
      </c>
      <c r="BO102" s="253">
        <f>'[90]VENTAS TOTALES'!$G114</f>
        <v>123300</v>
      </c>
      <c r="BP102" s="253">
        <f>'[90]VENTAS TOTALES'!$H114</f>
        <v>623100</v>
      </c>
      <c r="BQ102" s="252">
        <f>'[91]VENTAS TOTALES'!$F114</f>
        <v>415</v>
      </c>
      <c r="BR102" s="253">
        <f>'[91]VENTAS TOTALES'!$G114</f>
        <v>45700</v>
      </c>
      <c r="BS102" s="253">
        <f>'[91]VENTAS TOTALES'!$H114</f>
        <v>751200</v>
      </c>
      <c r="BT102" s="252">
        <f>'[92]VENTAS TOTALES'!$F114</f>
        <v>295</v>
      </c>
      <c r="BU102" s="253">
        <f>'[92]VENTAS TOTALES'!$G114</f>
        <v>58000</v>
      </c>
      <c r="BV102" s="253">
        <f>'[92]VENTAS TOTALES'!$H114</f>
        <v>559500</v>
      </c>
      <c r="BW102" s="252">
        <f>'[93]VENTAS TOTALES'!$F114</f>
        <v>286</v>
      </c>
      <c r="BX102" s="253">
        <f>'[93]VENTAS TOTALES'!$G114</f>
        <v>154200</v>
      </c>
      <c r="BY102" s="253">
        <f>'[93]VENTAS TOTALES'!$H114</f>
        <v>640400</v>
      </c>
      <c r="BZ102" s="252">
        <f>'[94]VENTAS TOTALES'!$F114</f>
        <v>175</v>
      </c>
      <c r="CA102" s="253">
        <f>'[94]VENTAS TOTALES'!$G114</f>
        <v>55500</v>
      </c>
      <c r="CB102" s="253">
        <f>'[94]VENTAS TOTALES'!$H114</f>
        <v>353000</v>
      </c>
      <c r="CC102" s="252">
        <f>'[95]VENTAS TOTALES'!$F114</f>
        <v>164</v>
      </c>
      <c r="CD102" s="253">
        <f>'[95]VENTAS TOTALES'!$G114</f>
        <v>68800</v>
      </c>
      <c r="CE102" s="253">
        <f>'[95]VENTAS TOTALES'!$H114</f>
        <v>347600</v>
      </c>
      <c r="CF102" s="252">
        <f>'[96]VENTAS TOTALES'!$F114</f>
        <v>653</v>
      </c>
      <c r="CG102" s="253">
        <f>'[96]VENTAS TOTALES'!$G114</f>
        <v>265000</v>
      </c>
      <c r="CH102" s="253">
        <f>'[96]VENTAS TOTALES'!$H114</f>
        <v>1375100</v>
      </c>
      <c r="CI102" s="252">
        <f>'[97]VENTAS TOTALES'!$F114</f>
        <v>412</v>
      </c>
      <c r="CJ102" s="253">
        <f>'[97]VENTAS TOTALES'!$G114</f>
        <v>255200</v>
      </c>
      <c r="CK102" s="253">
        <f>'[97]VENTAS TOTALES'!$H114</f>
        <v>955600</v>
      </c>
      <c r="CL102" s="252">
        <f>'[98]VENTAS TOTALES'!$F114</f>
        <v>405</v>
      </c>
      <c r="CM102" s="253">
        <f>'[98]VENTAS TOTALES'!$G114</f>
        <v>226200</v>
      </c>
      <c r="CN102" s="253">
        <f>'[98]VENTAS TOTALES'!$H114</f>
        <v>914700</v>
      </c>
      <c r="CO102" s="252">
        <f>'[99]VENTAS TOTALES'!$F114</f>
        <v>364</v>
      </c>
      <c r="CP102" s="253">
        <f>'[99]VENTAS TOTALES'!$G114</f>
        <v>133600</v>
      </c>
      <c r="CQ102" s="253">
        <f>'[99]VENTAS TOTALES'!$H114</f>
        <v>752400</v>
      </c>
      <c r="CR102" s="252">
        <f>'[100]VENTAS TOTALES'!$F114</f>
        <v>286</v>
      </c>
      <c r="CS102" s="253">
        <f>'[100]VENTAS TOTALES'!$G114</f>
        <v>95500</v>
      </c>
      <c r="CT102" s="253">
        <f>'[100]VENTAS TOTALES'!$H114</f>
        <v>581700</v>
      </c>
      <c r="CU102" s="252">
        <f>'[101]VENTAS TOTALES'!$F114</f>
        <v>272</v>
      </c>
      <c r="CV102" s="253">
        <f>'[101]VENTAS TOTALES'!$G114</f>
        <v>67300</v>
      </c>
      <c r="CW102" s="253">
        <f>'[101]VENTAS TOTALES'!$H114</f>
        <v>529700</v>
      </c>
      <c r="CX102" s="252">
        <f>'[102]VENTAS TOTALES'!$F114</f>
        <v>134</v>
      </c>
      <c r="CY102" s="253">
        <f>'[102]VENTAS TOTALES'!$G114</f>
        <v>98500</v>
      </c>
      <c r="CZ102" s="253">
        <f>'[102]VENTAS TOTALES'!$H114</f>
        <v>326300</v>
      </c>
    </row>
    <row r="103" spans="1:104" x14ac:dyDescent="0.2">
      <c r="A103" s="443"/>
      <c r="B103" s="51" t="s">
        <v>115</v>
      </c>
      <c r="C103" s="252">
        <f>'[69]VENTAS TOTALES'!$F115</f>
        <v>2227</v>
      </c>
      <c r="D103" s="253">
        <f>'[69]VENTAS TOTALES'!$G115</f>
        <v>580700</v>
      </c>
      <c r="E103" s="253">
        <f>'[69]VENTAS TOTALES'!$H115</f>
        <v>4366600</v>
      </c>
      <c r="F103" s="252">
        <f>'[70]VENTAS TOTALES'!$F115</f>
        <v>2286</v>
      </c>
      <c r="G103" s="253">
        <f>'[70]VENTAS TOTALES'!$G115</f>
        <v>406300</v>
      </c>
      <c r="H103" s="253">
        <f>'[70]VENTAS TOTALES'!$H115</f>
        <v>4292500</v>
      </c>
      <c r="I103" s="252">
        <f>'[71]VENTAS TOTALES'!$F115</f>
        <v>1979</v>
      </c>
      <c r="J103" s="253">
        <f>'[71]VENTAS TOTALES'!$G115</f>
        <v>660200</v>
      </c>
      <c r="K103" s="253">
        <f>'[71]VENTAS TOTALES'!$H115</f>
        <v>4024500</v>
      </c>
      <c r="L103" s="252">
        <f>'[72]VENTAS TOTALES'!$F115</f>
        <v>1919</v>
      </c>
      <c r="M103" s="253">
        <f>'[72]VENTAS TOTALES'!$G115</f>
        <v>286400</v>
      </c>
      <c r="N103" s="253">
        <f>'[72]VENTAS TOTALES'!$H115</f>
        <v>3548700</v>
      </c>
      <c r="O103" s="252">
        <f>'[73]VENTAS TOTALES'!$F115</f>
        <v>1375</v>
      </c>
      <c r="P103" s="253">
        <f>'[73]VENTAS TOTALES'!$G115</f>
        <v>255500</v>
      </c>
      <c r="Q103" s="253">
        <f>'[73]VENTAS TOTALES'!$H115</f>
        <v>2593000</v>
      </c>
      <c r="R103" s="252">
        <f>'[74]VENTAS TOTALES'!$F115</f>
        <v>784</v>
      </c>
      <c r="S103" s="253">
        <f>'[74]VENTAS TOTALES'!$G115</f>
        <v>174600</v>
      </c>
      <c r="T103" s="253">
        <f>'[74]VENTAS TOTALES'!$H115</f>
        <v>1507400</v>
      </c>
      <c r="U103" s="252">
        <f>'[75]VENTAS TOTALES'!$F115</f>
        <v>2605</v>
      </c>
      <c r="V103" s="253">
        <f>'[75]VENTAS TOTALES'!$G115</f>
        <v>749100</v>
      </c>
      <c r="W103" s="253">
        <f>'[75]VENTAS TOTALES'!$H115</f>
        <v>5177600</v>
      </c>
      <c r="X103" s="252">
        <f>'[76]VENTAS TOTALES'!$F115</f>
        <v>2050</v>
      </c>
      <c r="Y103" s="253">
        <f>'[76]VENTAS TOTALES'!$G115</f>
        <v>305200</v>
      </c>
      <c r="Z103" s="253">
        <f>'[76]VENTAS TOTALES'!$H115</f>
        <v>3790200</v>
      </c>
      <c r="AA103" s="252">
        <f>'[77]VENTAS TOTALES'!$F115</f>
        <v>2107</v>
      </c>
      <c r="AB103" s="253">
        <f>'[77]VENTAS TOTALES'!$G115</f>
        <v>376200</v>
      </c>
      <c r="AC103" s="253">
        <f>'[77]VENTAS TOTALES'!$H115</f>
        <v>3958100</v>
      </c>
      <c r="AD103" s="252">
        <f>'[78]VENTAS TOTALES'!$F115</f>
        <v>1970</v>
      </c>
      <c r="AE103" s="253">
        <f>'[78]VENTAS TOTALES'!$G115</f>
        <v>237800</v>
      </c>
      <c r="AF103" s="253">
        <f>'[78]VENTAS TOTALES'!$H115</f>
        <v>3586800</v>
      </c>
      <c r="AG103" s="252">
        <f>'[79]VENTAS TOTALES'!$F115</f>
        <v>1942</v>
      </c>
      <c r="AH103" s="253">
        <f>'[79]VENTAS TOTALES'!$G115</f>
        <v>343100</v>
      </c>
      <c r="AI103" s="253">
        <f>'[79]VENTAS TOTALES'!$H115</f>
        <v>3644500</v>
      </c>
      <c r="AJ103" s="252">
        <f>'[80]VENTAS TOTALES'!$F115</f>
        <v>1387</v>
      </c>
      <c r="AK103" s="253">
        <f>'[80]VENTAS TOTALES'!$G115</f>
        <v>171500</v>
      </c>
      <c r="AL103" s="253">
        <f>'[80]VENTAS TOTALES'!$H115</f>
        <v>2529400</v>
      </c>
      <c r="AM103" s="252">
        <f>'[81]VENTAS TOTALES'!$F115</f>
        <v>673</v>
      </c>
      <c r="AN103" s="253">
        <f>'[81]VENTAS TOTALES'!$G115</f>
        <v>260300</v>
      </c>
      <c r="AO103" s="253">
        <f>'[81]VENTAS TOTALES'!$H115</f>
        <v>1404400</v>
      </c>
      <c r="AP103" s="252">
        <f>'[82]VENTAS TOTALES'!$F115</f>
        <v>2713</v>
      </c>
      <c r="AQ103" s="253">
        <f>'[82]VENTAS TOTALES'!$G115</f>
        <v>674800</v>
      </c>
      <c r="AR103" s="253">
        <f>'[82]VENTAS TOTALES'!$H115</f>
        <v>5286900</v>
      </c>
      <c r="AS103" s="252">
        <f>'[83]VENTAS TOTALES'!$F115</f>
        <v>2141</v>
      </c>
      <c r="AT103" s="253">
        <f>'[83]VENTAS TOTALES'!$G115</f>
        <v>467900</v>
      </c>
      <c r="AU103" s="253">
        <f>'[83]VENTAS TOTALES'!$H115</f>
        <v>4107600</v>
      </c>
      <c r="AV103" s="252">
        <f>'[84]VENTAS TOTALES'!$F115</f>
        <v>2024</v>
      </c>
      <c r="AW103" s="253">
        <f>'[84]VENTAS TOTALES'!$G115</f>
        <v>647300</v>
      </c>
      <c r="AX103" s="253">
        <f>'[84]VENTAS TOTALES'!$H115</f>
        <v>4088100</v>
      </c>
      <c r="AY103" s="252">
        <f>'[85]VENTAS TOTALES'!$F115</f>
        <v>1996</v>
      </c>
      <c r="AZ103" s="253">
        <f>'[85]VENTAS TOTALES'!$G115</f>
        <v>530900</v>
      </c>
      <c r="BA103" s="253">
        <f>'[85]VENTAS TOTALES'!$H115</f>
        <v>3924100</v>
      </c>
      <c r="BB103" s="252">
        <f>'[86]VENTAS TOTALES'!$F115</f>
        <v>2153</v>
      </c>
      <c r="BC103" s="253">
        <f>'[86]VENTAS TOTALES'!$G115</f>
        <v>312100</v>
      </c>
      <c r="BD103" s="253">
        <f>'[86]VENTAS TOTALES'!$H115</f>
        <v>3972200</v>
      </c>
      <c r="BE103" s="252">
        <f>'[87]VENTAS TOTALES'!$F115</f>
        <v>1427</v>
      </c>
      <c r="BF103" s="253">
        <f>'[87]VENTAS TOTALES'!$G115</f>
        <v>212200</v>
      </c>
      <c r="BG103" s="253">
        <f>'[87]VENTAS TOTALES'!$H115</f>
        <v>2638100</v>
      </c>
      <c r="BH103" s="252">
        <f>'[88]VENTAS TOTALES'!$F115</f>
        <v>774</v>
      </c>
      <c r="BI103" s="253">
        <f>'[88]VENTAS TOTALES'!$G115</f>
        <v>83100</v>
      </c>
      <c r="BJ103" s="253">
        <f>'[88]VENTAS TOTALES'!$H115</f>
        <v>1398900</v>
      </c>
      <c r="BK103" s="252">
        <f>'[89]VENTAS TOTALES'!$F115</f>
        <v>2669</v>
      </c>
      <c r="BL103" s="253">
        <f>'[89]VENTAS TOTALES'!$G115</f>
        <v>574500</v>
      </c>
      <c r="BM103" s="253">
        <f>'[89]VENTAS TOTALES'!$H115</f>
        <v>5111800</v>
      </c>
      <c r="BN103" s="252">
        <f>'[90]VENTAS TOTALES'!$F115</f>
        <v>2197</v>
      </c>
      <c r="BO103" s="253">
        <f>'[90]VENTAS TOTALES'!$G115</f>
        <v>480700</v>
      </c>
      <c r="BP103" s="253">
        <f>'[90]VENTAS TOTALES'!$H115</f>
        <v>4215600</v>
      </c>
      <c r="BQ103" s="252">
        <f>'[91]VENTAS TOTALES'!$F115</f>
        <v>1885</v>
      </c>
      <c r="BR103" s="253">
        <f>'[91]VENTAS TOTALES'!$G115</f>
        <v>482200</v>
      </c>
      <c r="BS103" s="253">
        <f>'[91]VENTAS TOTALES'!$H115</f>
        <v>3686700</v>
      </c>
      <c r="BT103" s="252">
        <f>'[92]VENTAS TOTALES'!$F115</f>
        <v>1883</v>
      </c>
      <c r="BU103" s="253">
        <f>'[92]VENTAS TOTALES'!$G115</f>
        <v>231300</v>
      </c>
      <c r="BV103" s="253">
        <f>'[92]VENTAS TOTALES'!$H115</f>
        <v>3432400</v>
      </c>
      <c r="BW103" s="252">
        <f>'[93]VENTAS TOTALES'!$F115</f>
        <v>1936</v>
      </c>
      <c r="BX103" s="253">
        <f>'[93]VENTAS TOTALES'!$G115</f>
        <v>302200</v>
      </c>
      <c r="BY103" s="253">
        <f>'[93]VENTAS TOTALES'!$H115</f>
        <v>3593400</v>
      </c>
      <c r="BZ103" s="252">
        <f>'[94]VENTAS TOTALES'!$F115</f>
        <v>1596</v>
      </c>
      <c r="CA103" s="253">
        <f>'[94]VENTAS TOTALES'!$G115</f>
        <v>233200</v>
      </c>
      <c r="CB103" s="253">
        <f>'[94]VENTAS TOTALES'!$H115</f>
        <v>2946400</v>
      </c>
      <c r="CC103" s="252">
        <f>'[95]VENTAS TOTALES'!$F115</f>
        <v>840</v>
      </c>
      <c r="CD103" s="253">
        <f>'[95]VENTAS TOTALES'!$G115</f>
        <v>176100</v>
      </c>
      <c r="CE103" s="253">
        <f>'[95]VENTAS TOTALES'!$H115</f>
        <v>1604100</v>
      </c>
      <c r="CF103" s="252">
        <f>'[96]VENTAS TOTALES'!$F115</f>
        <v>2783</v>
      </c>
      <c r="CG103" s="253">
        <f>'[96]VENTAS TOTALES'!$G115</f>
        <v>626500</v>
      </c>
      <c r="CH103" s="253">
        <f>'[96]VENTAS TOTALES'!$H115</f>
        <v>5357600</v>
      </c>
      <c r="CI103" s="252">
        <f>'[97]VENTAS TOTALES'!$F115</f>
        <v>2386</v>
      </c>
      <c r="CJ103" s="253">
        <f>'[97]VENTAS TOTALES'!$G115</f>
        <v>407800</v>
      </c>
      <c r="CK103" s="253">
        <f>'[97]VENTAS TOTALES'!$H115</f>
        <v>4464000</v>
      </c>
      <c r="CL103" s="252">
        <f>'[98]VENTAS TOTALES'!$F115</f>
        <v>2412</v>
      </c>
      <c r="CM103" s="253">
        <f>'[98]VENTAS TOTALES'!$G115</f>
        <v>661100</v>
      </c>
      <c r="CN103" s="253">
        <f>'[98]VENTAS TOTALES'!$H115</f>
        <v>4761500</v>
      </c>
      <c r="CO103" s="252">
        <f>'[99]VENTAS TOTALES'!$F115</f>
        <v>2211</v>
      </c>
      <c r="CP103" s="253">
        <f>'[99]VENTAS TOTALES'!$G115</f>
        <v>471000</v>
      </c>
      <c r="CQ103" s="253">
        <f>'[99]VENTAS TOTALES'!$H115</f>
        <v>4229700</v>
      </c>
      <c r="CR103" s="252">
        <f>'[100]VENTAS TOTALES'!$F115</f>
        <v>1940</v>
      </c>
      <c r="CS103" s="253">
        <f>'[100]VENTAS TOTALES'!$G115</f>
        <v>501900</v>
      </c>
      <c r="CT103" s="253">
        <f>'[100]VENTAS TOTALES'!$H115</f>
        <v>3799900</v>
      </c>
      <c r="CU103" s="252">
        <f>'[101]VENTAS TOTALES'!$F115</f>
        <v>1558</v>
      </c>
      <c r="CV103" s="253">
        <f>'[101]VENTAS TOTALES'!$G115</f>
        <v>264200</v>
      </c>
      <c r="CW103" s="253">
        <f>'[101]VENTAS TOTALES'!$H115</f>
        <v>2912800</v>
      </c>
      <c r="CX103" s="252">
        <f>'[102]VENTAS TOTALES'!$F115</f>
        <v>721</v>
      </c>
      <c r="CY103" s="253">
        <f>'[102]VENTAS TOTALES'!$G115</f>
        <v>147200</v>
      </c>
      <c r="CZ103" s="253">
        <f>'[102]VENTAS TOTALES'!$H115</f>
        <v>1372900</v>
      </c>
    </row>
    <row r="104" spans="1:104" x14ac:dyDescent="0.2">
      <c r="A104" s="443"/>
      <c r="B104" s="43" t="s">
        <v>335</v>
      </c>
      <c r="C104" s="252">
        <f>'[69]VENTAS TOTALES'!$F116</f>
        <v>471</v>
      </c>
      <c r="D104" s="253">
        <f>'[69]VENTAS TOTALES'!$G116</f>
        <v>289800</v>
      </c>
      <c r="E104" s="253">
        <f>'[69]VENTAS TOTALES'!$H116</f>
        <v>1090500</v>
      </c>
      <c r="F104" s="252">
        <f>'[70]VENTAS TOTALES'!$F116</f>
        <v>392</v>
      </c>
      <c r="G104" s="253">
        <f>'[70]VENTAS TOTALES'!$G116</f>
        <v>125400</v>
      </c>
      <c r="H104" s="253">
        <f>'[70]VENTAS TOTALES'!$H116</f>
        <v>791800</v>
      </c>
      <c r="I104" s="252">
        <f>'[71]VENTAS TOTALES'!$F116</f>
        <v>239</v>
      </c>
      <c r="J104" s="253">
        <f>'[71]VENTAS TOTALES'!$G116</f>
        <v>95600</v>
      </c>
      <c r="K104" s="253">
        <f>'[71]VENTAS TOTALES'!$H116</f>
        <v>501900</v>
      </c>
      <c r="L104" s="252">
        <f>'[72]VENTAS TOTALES'!$F116</f>
        <v>312</v>
      </c>
      <c r="M104" s="253">
        <f>'[72]VENTAS TOTALES'!$G116</f>
        <v>53200</v>
      </c>
      <c r="N104" s="253">
        <f>'[72]VENTAS TOTALES'!$H116</f>
        <v>583600</v>
      </c>
      <c r="O104" s="252">
        <f>'[73]VENTAS TOTALES'!$F116</f>
        <v>215</v>
      </c>
      <c r="P104" s="253">
        <f>'[73]VENTAS TOTALES'!$G116</f>
        <v>59000</v>
      </c>
      <c r="Q104" s="253">
        <f>'[73]VENTAS TOTALES'!$H116</f>
        <v>424500</v>
      </c>
      <c r="R104" s="252">
        <f>'[74]VENTAS TOTALES'!$F116</f>
        <v>123</v>
      </c>
      <c r="S104" s="253">
        <f>'[74]VENTAS TOTALES'!$G116</f>
        <v>40000</v>
      </c>
      <c r="T104" s="253">
        <f>'[74]VENTAS TOTALES'!$H116</f>
        <v>249100</v>
      </c>
      <c r="U104" s="252">
        <f>'[75]VENTAS TOTALES'!$F116</f>
        <v>417</v>
      </c>
      <c r="V104" s="253">
        <f>'[75]VENTAS TOTALES'!$G116</f>
        <v>186400</v>
      </c>
      <c r="W104" s="253">
        <f>'[75]VENTAS TOTALES'!$H116</f>
        <v>895300</v>
      </c>
      <c r="X104" s="252">
        <f>'[76]VENTAS TOTALES'!$F116</f>
        <v>364</v>
      </c>
      <c r="Y104" s="253">
        <f>'[76]VENTAS TOTALES'!$G116</f>
        <v>184000</v>
      </c>
      <c r="Z104" s="253">
        <f>'[76]VENTAS TOTALES'!$H116</f>
        <v>802800</v>
      </c>
      <c r="AA104" s="252">
        <f>'[77]VENTAS TOTALES'!$F116</f>
        <v>283</v>
      </c>
      <c r="AB104" s="253">
        <f>'[77]VENTAS TOTALES'!$G116</f>
        <v>127800</v>
      </c>
      <c r="AC104" s="253">
        <f>'[77]VENTAS TOTALES'!$H116</f>
        <v>608900</v>
      </c>
      <c r="AD104" s="252">
        <f>'[78]VENTAS TOTALES'!$F116</f>
        <v>255</v>
      </c>
      <c r="AE104" s="253">
        <f>'[78]VENTAS TOTALES'!$G116</f>
        <v>151000</v>
      </c>
      <c r="AF104" s="253">
        <f>'[78]VENTAS TOTALES'!$H116</f>
        <v>584500</v>
      </c>
      <c r="AG104" s="252">
        <f>'[79]VENTAS TOTALES'!$F116</f>
        <v>277</v>
      </c>
      <c r="AH104" s="253">
        <f>'[79]VENTAS TOTALES'!$G116</f>
        <v>49900</v>
      </c>
      <c r="AI104" s="253">
        <f>'[79]VENTAS TOTALES'!$H116</f>
        <v>520800</v>
      </c>
      <c r="AJ104" s="252">
        <f>'[80]VENTAS TOTALES'!$F116</f>
        <v>179</v>
      </c>
      <c r="AK104" s="253">
        <f>'[80]VENTAS TOTALES'!$G116</f>
        <v>23800</v>
      </c>
      <c r="AL104" s="253">
        <f>'[80]VENTAS TOTALES'!$H116</f>
        <v>328100</v>
      </c>
      <c r="AM104" s="252">
        <f>'[81]VENTAS TOTALES'!$F116</f>
        <v>105</v>
      </c>
      <c r="AN104" s="253">
        <f>'[81]VENTAS TOTALES'!$G116</f>
        <v>42900</v>
      </c>
      <c r="AO104" s="253">
        <f>'[81]VENTAS TOTALES'!$H116</f>
        <v>221400</v>
      </c>
      <c r="AP104" s="252">
        <f>'[82]VENTAS TOTALES'!$F116</f>
        <v>423</v>
      </c>
      <c r="AQ104" s="253">
        <f>'[82]VENTAS TOTALES'!$G116</f>
        <v>174300</v>
      </c>
      <c r="AR104" s="253">
        <f>'[82]VENTAS TOTALES'!$H116</f>
        <v>893400</v>
      </c>
      <c r="AS104" s="252">
        <f>'[83]VENTAS TOTALES'!$F116</f>
        <v>277</v>
      </c>
      <c r="AT104" s="253">
        <f>'[83]VENTAS TOTALES'!$G116</f>
        <v>81200</v>
      </c>
      <c r="AU104" s="253">
        <f>'[83]VENTAS TOTALES'!$H116</f>
        <v>552100</v>
      </c>
      <c r="AV104" s="252">
        <f>'[84]VENTAS TOTALES'!$F116</f>
        <v>424</v>
      </c>
      <c r="AW104" s="253">
        <f>'[84]VENTAS TOTALES'!$G116</f>
        <v>208900</v>
      </c>
      <c r="AX104" s="253">
        <f>'[84]VENTAS TOTALES'!$H116</f>
        <v>929700</v>
      </c>
      <c r="AY104" s="252">
        <f>'[85]VENTAS TOTALES'!$F116</f>
        <v>279</v>
      </c>
      <c r="AZ104" s="253">
        <f>'[85]VENTAS TOTALES'!$G116</f>
        <v>253300</v>
      </c>
      <c r="BA104" s="253">
        <f>'[85]VENTAS TOTALES'!$H116</f>
        <v>727600</v>
      </c>
      <c r="BB104" s="252">
        <f>'[86]VENTAS TOTALES'!$F116</f>
        <v>272</v>
      </c>
      <c r="BC104" s="253">
        <f>'[86]VENTAS TOTALES'!$G116</f>
        <v>183400</v>
      </c>
      <c r="BD104" s="253">
        <f>'[86]VENTAS TOTALES'!$H116</f>
        <v>645800</v>
      </c>
      <c r="BE104" s="252">
        <f>'[87]VENTAS TOTALES'!$F116</f>
        <v>146</v>
      </c>
      <c r="BF104" s="253">
        <f>'[87]VENTAS TOTALES'!$G116</f>
        <v>34000</v>
      </c>
      <c r="BG104" s="253">
        <f>'[87]VENTAS TOTALES'!$H116</f>
        <v>282200</v>
      </c>
      <c r="BH104" s="252">
        <f>'[88]VENTAS TOTALES'!$F116</f>
        <v>93</v>
      </c>
      <c r="BI104" s="253">
        <f>'[88]VENTAS TOTALES'!$G116</f>
        <v>0</v>
      </c>
      <c r="BJ104" s="253">
        <f>'[88]VENTAS TOTALES'!$H116</f>
        <v>158100</v>
      </c>
      <c r="BK104" s="252">
        <f>'[89]VENTAS TOTALES'!$F116</f>
        <v>467</v>
      </c>
      <c r="BL104" s="253">
        <f>'[89]VENTAS TOTALES'!$G116</f>
        <v>147400</v>
      </c>
      <c r="BM104" s="253">
        <f>'[89]VENTAS TOTALES'!$H116</f>
        <v>941300</v>
      </c>
      <c r="BN104" s="252">
        <f>'[90]VENTAS TOTALES'!$F116</f>
        <v>431</v>
      </c>
      <c r="BO104" s="253">
        <f>'[90]VENTAS TOTALES'!$G116</f>
        <v>77850</v>
      </c>
      <c r="BP104" s="253">
        <f>'[90]VENTAS TOTALES'!$H116</f>
        <v>810550</v>
      </c>
      <c r="BQ104" s="252">
        <f>'[91]VENTAS TOTALES'!$F116</f>
        <v>317</v>
      </c>
      <c r="BR104" s="253">
        <f>'[91]VENTAS TOTALES'!$G116</f>
        <v>86000</v>
      </c>
      <c r="BS104" s="253">
        <f>'[91]VENTAS TOTALES'!$H116</f>
        <v>624900</v>
      </c>
      <c r="BT104" s="252">
        <f>'[92]VENTAS TOTALES'!$F116</f>
        <v>283</v>
      </c>
      <c r="BU104" s="253">
        <f>'[92]VENTAS TOTALES'!$G116</f>
        <v>31800</v>
      </c>
      <c r="BV104" s="253">
        <f>'[92]VENTAS TOTALES'!$H116</f>
        <v>512900</v>
      </c>
      <c r="BW104" s="252">
        <f>'[93]VENTAS TOTALES'!$F116</f>
        <v>278</v>
      </c>
      <c r="BX104" s="253">
        <f>'[93]VENTAS TOTALES'!$G116</f>
        <v>155900</v>
      </c>
      <c r="BY104" s="253">
        <f>'[93]VENTAS TOTALES'!$H116</f>
        <v>628500</v>
      </c>
      <c r="BZ104" s="252">
        <f>'[94]VENTAS TOTALES'!$F116</f>
        <v>190</v>
      </c>
      <c r="CA104" s="253">
        <f>'[94]VENTAS TOTALES'!$G116</f>
        <v>119000</v>
      </c>
      <c r="CB104" s="253">
        <f>'[94]VENTAS TOTALES'!$H116</f>
        <v>442000</v>
      </c>
      <c r="CC104" s="252">
        <f>'[95]VENTAS TOTALES'!$F116</f>
        <v>96</v>
      </c>
      <c r="CD104" s="253">
        <f>'[95]VENTAS TOTALES'!$G116</f>
        <v>13800</v>
      </c>
      <c r="CE104" s="253">
        <f>'[95]VENTAS TOTALES'!$H116</f>
        <v>177000</v>
      </c>
      <c r="CF104" s="252">
        <f>'[96]VENTAS TOTALES'!$F116</f>
        <v>650</v>
      </c>
      <c r="CG104" s="253">
        <f>'[96]VENTAS TOTALES'!$G116</f>
        <v>212400</v>
      </c>
      <c r="CH104" s="253">
        <f>'[96]VENTAS TOTALES'!$H116</f>
        <v>1317400</v>
      </c>
      <c r="CI104" s="252">
        <f>'[97]VENTAS TOTALES'!$F116</f>
        <v>499</v>
      </c>
      <c r="CJ104" s="253">
        <f>'[97]VENTAS TOTALES'!$G116</f>
        <v>430750</v>
      </c>
      <c r="CK104" s="253">
        <f>'[97]VENTAS TOTALES'!$H116</f>
        <v>1279050</v>
      </c>
      <c r="CL104" s="252">
        <f>'[98]VENTAS TOTALES'!$F116</f>
        <v>265</v>
      </c>
      <c r="CM104" s="253">
        <f>'[98]VENTAS TOTALES'!$G116</f>
        <v>174900</v>
      </c>
      <c r="CN104" s="253">
        <f>'[98]VENTAS TOTALES'!$H116</f>
        <v>625400</v>
      </c>
      <c r="CO104" s="252">
        <f>'[99]VENTAS TOTALES'!$F116</f>
        <v>283</v>
      </c>
      <c r="CP104" s="253">
        <f>'[99]VENTAS TOTALES'!$G116</f>
        <v>225100</v>
      </c>
      <c r="CQ104" s="253">
        <f>'[99]VENTAS TOTALES'!$H116</f>
        <v>706200</v>
      </c>
      <c r="CR104" s="252">
        <f>'[100]VENTAS TOTALES'!$F116</f>
        <v>372</v>
      </c>
      <c r="CS104" s="253">
        <f>'[100]VENTAS TOTALES'!$G116</f>
        <v>173000</v>
      </c>
      <c r="CT104" s="253">
        <f>'[100]VENTAS TOTALES'!$H116</f>
        <v>805400</v>
      </c>
      <c r="CU104" s="252">
        <f>'[101]VENTAS TOTALES'!$F116</f>
        <v>128</v>
      </c>
      <c r="CV104" s="253">
        <f>'[101]VENTAS TOTALES'!$G116</f>
        <v>59800</v>
      </c>
      <c r="CW104" s="253">
        <f>'[101]VENTAS TOTALES'!$H116</f>
        <v>277400</v>
      </c>
      <c r="CX104" s="252">
        <f>'[102]VENTAS TOTALES'!$F116</f>
        <v>75</v>
      </c>
      <c r="CY104" s="253">
        <f>'[102]VENTAS TOTALES'!$G116</f>
        <v>0</v>
      </c>
      <c r="CZ104" s="253">
        <f>'[102]VENTAS TOTALES'!$H116</f>
        <v>127500</v>
      </c>
    </row>
    <row r="105" spans="1:104" x14ac:dyDescent="0.2">
      <c r="A105" s="443"/>
      <c r="B105" s="43" t="s">
        <v>117</v>
      </c>
      <c r="C105" s="252">
        <f>'[69]VENTAS TOTALES'!$F117</f>
        <v>2250</v>
      </c>
      <c r="D105" s="253">
        <f>'[69]VENTAS TOTALES'!$G117</f>
        <v>416200</v>
      </c>
      <c r="E105" s="253">
        <f>'[69]VENTAS TOTALES'!$H117</f>
        <v>4241200</v>
      </c>
      <c r="F105" s="252">
        <f>'[70]VENTAS TOTALES'!$F117</f>
        <v>2103</v>
      </c>
      <c r="G105" s="253">
        <f>'[70]VENTAS TOTALES'!$G117</f>
        <v>421700</v>
      </c>
      <c r="H105" s="253">
        <f>'[70]VENTAS TOTALES'!$H117</f>
        <v>3996800</v>
      </c>
      <c r="I105" s="252">
        <f>'[71]VENTAS TOTALES'!$F117</f>
        <v>1956</v>
      </c>
      <c r="J105" s="253">
        <f>'[71]VENTAS TOTALES'!$G117</f>
        <v>306400</v>
      </c>
      <c r="K105" s="253">
        <f>'[71]VENTAS TOTALES'!$H117</f>
        <v>3631600</v>
      </c>
      <c r="L105" s="252">
        <f>'[72]VENTAS TOTALES'!$F117</f>
        <v>2093</v>
      </c>
      <c r="M105" s="253">
        <f>'[72]VENTAS TOTALES'!$G117</f>
        <v>423100</v>
      </c>
      <c r="N105" s="253">
        <f>'[72]VENTAS TOTALES'!$H117</f>
        <v>3981200</v>
      </c>
      <c r="O105" s="252">
        <f>'[73]VENTAS TOTALES'!$F117</f>
        <v>1487</v>
      </c>
      <c r="P105" s="253">
        <f>'[73]VENTAS TOTALES'!$G117</f>
        <v>93600</v>
      </c>
      <c r="Q105" s="253">
        <f>'[73]VENTAS TOTALES'!$H117</f>
        <v>2621500</v>
      </c>
      <c r="R105" s="252">
        <f>'[74]VENTAS TOTALES'!$F117</f>
        <v>681</v>
      </c>
      <c r="S105" s="253">
        <f>'[74]VENTAS TOTALES'!$G117</f>
        <v>100900</v>
      </c>
      <c r="T105" s="253">
        <f>'[74]VENTAS TOTALES'!$H117</f>
        <v>1258600</v>
      </c>
      <c r="U105" s="252">
        <f>'[75]VENTAS TOTALES'!$F117</f>
        <v>2759</v>
      </c>
      <c r="V105" s="253">
        <f>'[75]VENTAS TOTALES'!$G117</f>
        <v>725700</v>
      </c>
      <c r="W105" s="253">
        <f>'[75]VENTAS TOTALES'!$H117</f>
        <v>5416000</v>
      </c>
      <c r="X105" s="252">
        <f>'[76]VENTAS TOTALES'!$F117</f>
        <v>2025</v>
      </c>
      <c r="Y105" s="253">
        <f>'[76]VENTAS TOTALES'!$G117</f>
        <v>430800</v>
      </c>
      <c r="Z105" s="253">
        <f>'[76]VENTAS TOTALES'!$H117</f>
        <v>3873300</v>
      </c>
      <c r="AA105" s="252">
        <f>'[77]VENTAS TOTALES'!$F117</f>
        <v>1947</v>
      </c>
      <c r="AB105" s="253">
        <f>'[77]VENTAS TOTALES'!$G117</f>
        <v>353800</v>
      </c>
      <c r="AC105" s="253">
        <f>'[77]VENTAS TOTALES'!$H117</f>
        <v>3663700</v>
      </c>
      <c r="AD105" s="252">
        <f>'[78]VENTAS TOTALES'!$F117</f>
        <v>2057</v>
      </c>
      <c r="AE105" s="253">
        <f>'[78]VENTAS TOTALES'!$G117</f>
        <v>259400</v>
      </c>
      <c r="AF105" s="253">
        <f>'[78]VENTAS TOTALES'!$H117</f>
        <v>3756300</v>
      </c>
      <c r="AG105" s="252">
        <f>'[79]VENTAS TOTALES'!$F117</f>
        <v>1923</v>
      </c>
      <c r="AH105" s="253">
        <f>'[79]VENTAS TOTALES'!$G117</f>
        <v>337900</v>
      </c>
      <c r="AI105" s="253">
        <f>'[79]VENTAS TOTALES'!$H117</f>
        <v>3607000</v>
      </c>
      <c r="AJ105" s="252">
        <f>'[80]VENTAS TOTALES'!$F117</f>
        <v>1497</v>
      </c>
      <c r="AK105" s="253">
        <f>'[80]VENTAS TOTALES'!$G117</f>
        <v>232800</v>
      </c>
      <c r="AL105" s="253">
        <f>'[80]VENTAS TOTALES'!$H117</f>
        <v>2777700</v>
      </c>
      <c r="AM105" s="252">
        <f>'[81]VENTAS TOTALES'!$F117</f>
        <v>633</v>
      </c>
      <c r="AN105" s="253">
        <f>'[81]VENTAS TOTALES'!$G117</f>
        <v>61900</v>
      </c>
      <c r="AO105" s="253">
        <f>'[81]VENTAS TOTALES'!$H117</f>
        <v>1138000</v>
      </c>
      <c r="AP105" s="252">
        <f>'[82]VENTAS TOTALES'!$F117</f>
        <v>2796</v>
      </c>
      <c r="AQ105" s="253">
        <f>'[82]VENTAS TOTALES'!$G117</f>
        <v>743400</v>
      </c>
      <c r="AR105" s="253">
        <f>'[82]VENTAS TOTALES'!$H117</f>
        <v>5496600</v>
      </c>
      <c r="AS105" s="252">
        <f>'[83]VENTAS TOTALES'!$F117</f>
        <v>2133</v>
      </c>
      <c r="AT105" s="253">
        <f>'[83]VENTAS TOTALES'!$G117</f>
        <v>449900</v>
      </c>
      <c r="AU105" s="253">
        <f>'[83]VENTAS TOTALES'!$H117</f>
        <v>4076000</v>
      </c>
      <c r="AV105" s="252">
        <f>'[84]VENTAS TOTALES'!$F117</f>
        <v>2527</v>
      </c>
      <c r="AW105" s="253">
        <f>'[84]VENTAS TOTALES'!$G117</f>
        <v>429200</v>
      </c>
      <c r="AX105" s="253">
        <f>'[84]VENTAS TOTALES'!$H117</f>
        <v>4725100</v>
      </c>
      <c r="AY105" s="252">
        <f>'[85]VENTAS TOTALES'!$F117</f>
        <v>2287</v>
      </c>
      <c r="AZ105" s="253">
        <f>'[85]VENTAS TOTALES'!$G117</f>
        <v>481500</v>
      </c>
      <c r="BA105" s="253">
        <f>'[85]VENTAS TOTALES'!$H117</f>
        <v>4369400</v>
      </c>
      <c r="BB105" s="252">
        <f>'[86]VENTAS TOTALES'!$F117</f>
        <v>2116</v>
      </c>
      <c r="BC105" s="253">
        <f>'[86]VENTAS TOTALES'!$G117</f>
        <v>400400</v>
      </c>
      <c r="BD105" s="253">
        <f>'[86]VENTAS TOTALES'!$H117</f>
        <v>3997600</v>
      </c>
      <c r="BE105" s="252">
        <f>'[87]VENTAS TOTALES'!$F117</f>
        <v>1622</v>
      </c>
      <c r="BF105" s="253">
        <f>'[87]VENTAS TOTALES'!$G117</f>
        <v>334900</v>
      </c>
      <c r="BG105" s="253">
        <f>'[87]VENTAS TOTALES'!$H117</f>
        <v>3092300</v>
      </c>
      <c r="BH105" s="252">
        <f>'[88]VENTAS TOTALES'!$F117</f>
        <v>723</v>
      </c>
      <c r="BI105" s="253">
        <f>'[88]VENTAS TOTALES'!$G117</f>
        <v>104200</v>
      </c>
      <c r="BJ105" s="253">
        <f>'[88]VENTAS TOTALES'!$H117</f>
        <v>1333300</v>
      </c>
      <c r="BK105" s="252">
        <f>'[89]VENTAS TOTALES'!$F117</f>
        <v>2904</v>
      </c>
      <c r="BL105" s="253">
        <f>'[89]VENTAS TOTALES'!$G117</f>
        <v>735100</v>
      </c>
      <c r="BM105" s="253">
        <f>'[89]VENTAS TOTALES'!$H117</f>
        <v>5671900</v>
      </c>
      <c r="BN105" s="252">
        <f>'[90]VENTAS TOTALES'!$F117</f>
        <v>2138</v>
      </c>
      <c r="BO105" s="253">
        <f>'[90]VENTAS TOTALES'!$G117</f>
        <v>461100</v>
      </c>
      <c r="BP105" s="253">
        <f>'[90]VENTAS TOTALES'!$H117</f>
        <v>4095700</v>
      </c>
      <c r="BQ105" s="252">
        <f>'[91]VENTAS TOTALES'!$F117</f>
        <v>2074</v>
      </c>
      <c r="BR105" s="253">
        <f>'[91]VENTAS TOTALES'!$G117</f>
        <v>296600</v>
      </c>
      <c r="BS105" s="253">
        <f>'[91]VENTAS TOTALES'!$H117</f>
        <v>3822400</v>
      </c>
      <c r="BT105" s="252">
        <f>'[92]VENTAS TOTALES'!$F117</f>
        <v>2242</v>
      </c>
      <c r="BU105" s="253">
        <f>'[92]VENTAS TOTALES'!$G117</f>
        <v>478600</v>
      </c>
      <c r="BV105" s="253">
        <f>'[92]VENTAS TOTALES'!$H117</f>
        <v>4290000</v>
      </c>
      <c r="BW105" s="252">
        <f>'[93]VENTAS TOTALES'!$F117</f>
        <v>1970</v>
      </c>
      <c r="BX105" s="253">
        <f>'[93]VENTAS TOTALES'!$G117</f>
        <v>236300</v>
      </c>
      <c r="BY105" s="253">
        <f>'[93]VENTAS TOTALES'!$H117</f>
        <v>3585300</v>
      </c>
      <c r="BZ105" s="252">
        <f>'[94]VENTAS TOTALES'!$F117</f>
        <v>1611</v>
      </c>
      <c r="CA105" s="253">
        <f>'[94]VENTAS TOTALES'!$G117</f>
        <v>257700</v>
      </c>
      <c r="CB105" s="253">
        <f>'[94]VENTAS TOTALES'!$H117</f>
        <v>2996400</v>
      </c>
      <c r="CC105" s="252">
        <f>'[95]VENTAS TOTALES'!$F117</f>
        <v>698</v>
      </c>
      <c r="CD105" s="253">
        <f>'[95]VENTAS TOTALES'!$G117</f>
        <v>86300</v>
      </c>
      <c r="CE105" s="253">
        <f>'[95]VENTAS TOTALES'!$H117</f>
        <v>1272900</v>
      </c>
      <c r="CF105" s="252">
        <f>'[96]VENTAS TOTALES'!$F117</f>
        <v>2840</v>
      </c>
      <c r="CG105" s="253">
        <f>'[96]VENTAS TOTALES'!$G117</f>
        <v>890100</v>
      </c>
      <c r="CH105" s="253">
        <f>'[96]VENTAS TOTALES'!$H117</f>
        <v>5718100</v>
      </c>
      <c r="CI105" s="252">
        <f>'[97]VENTAS TOTALES'!$F117</f>
        <v>2583</v>
      </c>
      <c r="CJ105" s="253">
        <f>'[97]VENTAS TOTALES'!$G117</f>
        <v>458300</v>
      </c>
      <c r="CK105" s="253">
        <f>'[97]VENTAS TOTALES'!$H117</f>
        <v>4849400</v>
      </c>
      <c r="CL105" s="252">
        <f>'[98]VENTAS TOTALES'!$F117</f>
        <v>2539</v>
      </c>
      <c r="CM105" s="253">
        <f>'[98]VENTAS TOTALES'!$G117</f>
        <v>808700</v>
      </c>
      <c r="CN105" s="253">
        <f>'[98]VENTAS TOTALES'!$H117</f>
        <v>5125000</v>
      </c>
      <c r="CO105" s="252">
        <f>'[99]VENTAS TOTALES'!$F117</f>
        <v>2176</v>
      </c>
      <c r="CP105" s="253">
        <f>'[99]VENTAS TOTALES'!$G117</f>
        <v>475900</v>
      </c>
      <c r="CQ105" s="253">
        <f>'[99]VENTAS TOTALES'!$H117</f>
        <v>4175100</v>
      </c>
      <c r="CR105" s="252">
        <f>'[100]VENTAS TOTALES'!$F117</f>
        <v>2133</v>
      </c>
      <c r="CS105" s="253">
        <f>'[100]VENTAS TOTALES'!$G117</f>
        <v>266700</v>
      </c>
      <c r="CT105" s="253">
        <f>'[100]VENTAS TOTALES'!$H117</f>
        <v>3892800</v>
      </c>
      <c r="CU105" s="252">
        <f>'[101]VENTAS TOTALES'!$F117</f>
        <v>1615</v>
      </c>
      <c r="CV105" s="253">
        <f>'[101]VENTAS TOTALES'!$G117</f>
        <v>286300</v>
      </c>
      <c r="CW105" s="253">
        <f>'[101]VENTAS TOTALES'!$H117</f>
        <v>3031800</v>
      </c>
      <c r="CX105" s="252">
        <f>'[102]VENTAS TOTALES'!$F117</f>
        <v>713</v>
      </c>
      <c r="CY105" s="253">
        <f>'[102]VENTAS TOTALES'!$G117</f>
        <v>130800</v>
      </c>
      <c r="CZ105" s="253">
        <f>'[102]VENTAS TOTALES'!$H117</f>
        <v>1342900</v>
      </c>
    </row>
    <row r="106" spans="1:104" ht="13.5" thickBot="1" x14ac:dyDescent="0.25">
      <c r="A106" s="443"/>
      <c r="B106" s="73" t="s">
        <v>113</v>
      </c>
      <c r="C106" s="252">
        <f>'[69]VENTAS TOTALES'!$F118</f>
        <v>2662</v>
      </c>
      <c r="D106" s="253">
        <f>'[69]VENTAS TOTALES'!$G118</f>
        <v>2010000</v>
      </c>
      <c r="E106" s="253">
        <f>'[69]VENTAS TOTALES'!$H118</f>
        <v>6535400</v>
      </c>
      <c r="F106" s="252">
        <f>'[70]VENTAS TOTALES'!$F118</f>
        <v>2974</v>
      </c>
      <c r="G106" s="253">
        <f>'[70]VENTAS TOTALES'!$G118</f>
        <v>1196800</v>
      </c>
      <c r="H106" s="253">
        <f>'[70]VENTAS TOTALES'!$H118</f>
        <v>6252600</v>
      </c>
      <c r="I106" s="252">
        <f>'[71]VENTAS TOTALES'!$F118</f>
        <v>2365</v>
      </c>
      <c r="J106" s="253">
        <f>'[71]VENTAS TOTALES'!$G118</f>
        <v>1016900</v>
      </c>
      <c r="K106" s="253">
        <f>'[71]VENTAS TOTALES'!$H118</f>
        <v>5037400</v>
      </c>
      <c r="L106" s="252">
        <f>'[72]VENTAS TOTALES'!$F118</f>
        <v>2936</v>
      </c>
      <c r="M106" s="253">
        <f>'[72]VENTAS TOTALES'!$G118</f>
        <v>809900</v>
      </c>
      <c r="N106" s="253">
        <f>'[72]VENTAS TOTALES'!$H118</f>
        <v>5801100</v>
      </c>
      <c r="O106" s="252">
        <f>'[73]VENTAS TOTALES'!$F118</f>
        <v>2055</v>
      </c>
      <c r="P106" s="253">
        <f>'[73]VENTAS TOTALES'!$G118</f>
        <v>689300</v>
      </c>
      <c r="Q106" s="253">
        <f>'[73]VENTAS TOTALES'!$H118</f>
        <v>4182800</v>
      </c>
      <c r="R106" s="252">
        <f>'[74]VENTAS TOTALES'!$F118</f>
        <v>1291</v>
      </c>
      <c r="S106" s="253">
        <f>'[74]VENTAS TOTALES'!$G118</f>
        <v>442100</v>
      </c>
      <c r="T106" s="253">
        <f>'[74]VENTAS TOTALES'!$H118</f>
        <v>2636800</v>
      </c>
      <c r="U106" s="252">
        <f>'[75]VENTAS TOTALES'!$F118</f>
        <v>3414</v>
      </c>
      <c r="V106" s="253">
        <f>'[75]VENTAS TOTALES'!$G118</f>
        <v>1904200</v>
      </c>
      <c r="W106" s="253">
        <f>'[75]VENTAS TOTALES'!$H118</f>
        <v>7708000</v>
      </c>
      <c r="X106" s="252">
        <f>'[76]VENTAS TOTALES'!$F118</f>
        <v>2825</v>
      </c>
      <c r="Y106" s="253">
        <f>'[76]VENTAS TOTALES'!$G118</f>
        <v>1291900</v>
      </c>
      <c r="Z106" s="253">
        <f>'[76]VENTAS TOTALES'!$H118</f>
        <v>6094400</v>
      </c>
      <c r="AA106" s="252">
        <f>'[77]VENTAS TOTALES'!$F118</f>
        <v>2497</v>
      </c>
      <c r="AB106" s="253">
        <f>'[77]VENTAS TOTALES'!$G118</f>
        <v>953550</v>
      </c>
      <c r="AC106" s="253">
        <f>'[77]VENTAS TOTALES'!$H118</f>
        <v>5198450</v>
      </c>
      <c r="AD106" s="252">
        <f>'[78]VENTAS TOTALES'!$F118</f>
        <v>2763</v>
      </c>
      <c r="AE106" s="253">
        <f>'[78]VENTAS TOTALES'!$G118</f>
        <v>919550</v>
      </c>
      <c r="AF106" s="253">
        <f>'[78]VENTAS TOTALES'!$H118</f>
        <v>5616650</v>
      </c>
      <c r="AG106" s="252">
        <f>'[79]VENTAS TOTALES'!$F118</f>
        <v>3213</v>
      </c>
      <c r="AH106" s="253">
        <f>'[79]VENTAS TOTALES'!$G118</f>
        <v>791300</v>
      </c>
      <c r="AI106" s="253">
        <f>'[79]VENTAS TOTALES'!$H118</f>
        <v>6253400</v>
      </c>
      <c r="AJ106" s="252">
        <f>'[80]VENTAS TOTALES'!$F118</f>
        <v>1926</v>
      </c>
      <c r="AK106" s="253">
        <f>'[80]VENTAS TOTALES'!$G118</f>
        <v>376600</v>
      </c>
      <c r="AL106" s="253">
        <f>'[80]VENTAS TOTALES'!$H118</f>
        <v>3650800</v>
      </c>
      <c r="AM106" s="252">
        <f>'[81]VENTAS TOTALES'!$F118</f>
        <v>1124</v>
      </c>
      <c r="AN106" s="253">
        <f>'[81]VENTAS TOTALES'!$G118</f>
        <v>405800</v>
      </c>
      <c r="AO106" s="253">
        <f>'[81]VENTAS TOTALES'!$H118</f>
        <v>2316600</v>
      </c>
      <c r="AP106" s="252">
        <f>'[82]VENTAS TOTALES'!$F118</f>
        <v>4396</v>
      </c>
      <c r="AQ106" s="253">
        <f>'[82]VENTAS TOTALES'!$G118</f>
        <v>2105400</v>
      </c>
      <c r="AR106" s="253">
        <f>'[82]VENTAS TOTALES'!$H118</f>
        <v>9578600</v>
      </c>
      <c r="AS106" s="252">
        <f>'[83]VENTAS TOTALES'!$F118</f>
        <v>2953</v>
      </c>
      <c r="AT106" s="253">
        <f>'[83]VENTAS TOTALES'!$G118</f>
        <v>1459700</v>
      </c>
      <c r="AU106" s="253">
        <f>'[83]VENTAS TOTALES'!$H118</f>
        <v>6479800</v>
      </c>
      <c r="AV106" s="252">
        <f>'[84]VENTAS TOTALES'!$F118</f>
        <v>2967</v>
      </c>
      <c r="AW106" s="253">
        <f>'[84]VENTAS TOTALES'!$G118</f>
        <v>1667200</v>
      </c>
      <c r="AX106" s="253">
        <f>'[84]VENTAS TOTALES'!$H118</f>
        <v>6711100</v>
      </c>
      <c r="AY106" s="252">
        <f>'[85]VENTAS TOTALES'!$F118</f>
        <v>2870</v>
      </c>
      <c r="AZ106" s="253">
        <f>'[85]VENTAS TOTALES'!$G118</f>
        <v>1196650</v>
      </c>
      <c r="BA106" s="253">
        <f>'[85]VENTAS TOTALES'!$H118</f>
        <v>6075650</v>
      </c>
      <c r="BB106" s="252">
        <f>'[86]VENTAS TOTALES'!$F118</f>
        <v>2805</v>
      </c>
      <c r="BC106" s="253">
        <f>'[86]VENTAS TOTALES'!$G118</f>
        <v>955800</v>
      </c>
      <c r="BD106" s="253">
        <f>'[86]VENTAS TOTALES'!$H118</f>
        <v>5724300</v>
      </c>
      <c r="BE106" s="252">
        <f>'[87]VENTAS TOTALES'!$F118</f>
        <v>1870</v>
      </c>
      <c r="BF106" s="253">
        <f>'[87]VENTAS TOTALES'!$G118</f>
        <v>809900</v>
      </c>
      <c r="BG106" s="253">
        <f>'[87]VENTAS TOTALES'!$H118</f>
        <v>3988900</v>
      </c>
      <c r="BH106" s="252">
        <f>'[88]VENTAS TOTALES'!$F118</f>
        <v>1314</v>
      </c>
      <c r="BI106" s="253">
        <f>'[88]VENTAS TOTALES'!$G118</f>
        <v>554900</v>
      </c>
      <c r="BJ106" s="253">
        <f>'[88]VENTAS TOTALES'!$H118</f>
        <v>2788700</v>
      </c>
      <c r="BK106" s="252">
        <f>'[89]VENTAS TOTALES'!$F118</f>
        <v>3549</v>
      </c>
      <c r="BL106" s="253">
        <f>'[89]VENTAS TOTALES'!$G118</f>
        <v>1797300</v>
      </c>
      <c r="BM106" s="253">
        <f>'[89]VENTAS TOTALES'!$H118</f>
        <v>7830600</v>
      </c>
      <c r="BN106" s="252">
        <f>'[90]VENTAS TOTALES'!$F118</f>
        <v>2808</v>
      </c>
      <c r="BO106" s="253">
        <f>'[90]VENTAS TOTALES'!$G118</f>
        <v>1064150</v>
      </c>
      <c r="BP106" s="253">
        <f>'[90]VENTAS TOTALES'!$H118</f>
        <v>5837750</v>
      </c>
      <c r="BQ106" s="252">
        <f>'[91]VENTAS TOTALES'!$F118</f>
        <v>2782</v>
      </c>
      <c r="BR106" s="253">
        <f>'[91]VENTAS TOTALES'!$G118</f>
        <v>1130150</v>
      </c>
      <c r="BS106" s="253">
        <f>'[91]VENTAS TOTALES'!$H118</f>
        <v>5859550</v>
      </c>
      <c r="BT106" s="252">
        <f>'[92]VENTAS TOTALES'!$F118</f>
        <v>2899</v>
      </c>
      <c r="BU106" s="253">
        <f>'[92]VENTAS TOTALES'!$G118</f>
        <v>910500</v>
      </c>
      <c r="BV106" s="253">
        <f>'[92]VENTAS TOTALES'!$H118</f>
        <v>5838800</v>
      </c>
      <c r="BW106" s="252">
        <f>'[93]VENTAS TOTALES'!$F118</f>
        <v>2893</v>
      </c>
      <c r="BX106" s="253">
        <f>'[93]VENTAS TOTALES'!$G118</f>
        <v>757100</v>
      </c>
      <c r="BY106" s="253">
        <f>'[93]VENTAS TOTALES'!$H118</f>
        <v>5675200</v>
      </c>
      <c r="BZ106" s="252">
        <f>'[94]VENTAS TOTALES'!$F118</f>
        <v>2044</v>
      </c>
      <c r="CA106" s="253">
        <f>'[94]VENTAS TOTALES'!$G118</f>
        <v>775700</v>
      </c>
      <c r="CB106" s="253">
        <f>'[94]VENTAS TOTALES'!$H118</f>
        <v>4250500</v>
      </c>
      <c r="CC106" s="252">
        <f>'[95]VENTAS TOTALES'!$F118</f>
        <v>1348</v>
      </c>
      <c r="CD106" s="253">
        <f>'[95]VENTAS TOTALES'!$G118</f>
        <v>341300</v>
      </c>
      <c r="CE106" s="253">
        <f>'[95]VENTAS TOTALES'!$H118</f>
        <v>2632900</v>
      </c>
      <c r="CF106" s="252">
        <f>'[96]VENTAS TOTALES'!$F118</f>
        <v>3657</v>
      </c>
      <c r="CG106" s="253">
        <f>'[96]VENTAS TOTALES'!$G118</f>
        <v>2241200</v>
      </c>
      <c r="CH106" s="253">
        <f>'[96]VENTAS TOTALES'!$H118</f>
        <v>8458100</v>
      </c>
      <c r="CI106" s="252">
        <f>'[97]VENTAS TOTALES'!$F118</f>
        <v>3043</v>
      </c>
      <c r="CJ106" s="253">
        <f>'[97]VENTAS TOTALES'!$G118</f>
        <v>1883800</v>
      </c>
      <c r="CK106" s="253">
        <f>'[97]VENTAS TOTALES'!$H118</f>
        <v>7056900</v>
      </c>
      <c r="CL106" s="252">
        <f>'[98]VENTAS TOTALES'!$F118</f>
        <v>3142</v>
      </c>
      <c r="CM106" s="253">
        <f>'[98]VENTAS TOTALES'!$G118</f>
        <v>1977200</v>
      </c>
      <c r="CN106" s="253">
        <f>'[98]VENTAS TOTALES'!$H118</f>
        <v>7318600</v>
      </c>
      <c r="CO106" s="252">
        <f>'[99]VENTAS TOTALES'!$F118</f>
        <v>2774</v>
      </c>
      <c r="CP106" s="253">
        <f>'[99]VENTAS TOTALES'!$G118</f>
        <v>1174100</v>
      </c>
      <c r="CQ106" s="253">
        <f>'[99]VENTAS TOTALES'!$H118</f>
        <v>5889900</v>
      </c>
      <c r="CR106" s="252">
        <f>'[100]VENTAS TOTALES'!$F118</f>
        <v>2999</v>
      </c>
      <c r="CS106" s="253">
        <f>'[100]VENTAS TOTALES'!$G118</f>
        <v>978900</v>
      </c>
      <c r="CT106" s="253">
        <f>'[100]VENTAS TOTALES'!$H118</f>
        <v>6077200</v>
      </c>
      <c r="CU106" s="252">
        <f>'[101]VENTAS TOTALES'!$F118</f>
        <v>2286</v>
      </c>
      <c r="CV106" s="253">
        <f>'[101]VENTAS TOTALES'!$G118</f>
        <v>621900</v>
      </c>
      <c r="CW106" s="253">
        <f>'[101]VENTAS TOTALES'!$H118</f>
        <v>4508100</v>
      </c>
      <c r="CX106" s="252">
        <f>'[102]VENTAS TOTALES'!$F118</f>
        <v>1235</v>
      </c>
      <c r="CY106" s="253">
        <f>'[102]VENTAS TOTALES'!$G118</f>
        <v>318700</v>
      </c>
      <c r="CZ106" s="253">
        <f>'[102]VENTAS TOTALES'!$H118</f>
        <v>2418200</v>
      </c>
    </row>
    <row r="107" spans="1:104" ht="13.5" thickBot="1" x14ac:dyDescent="0.25">
      <c r="A107" s="443"/>
      <c r="B107" s="244" t="s">
        <v>292</v>
      </c>
      <c r="C107" s="306"/>
      <c r="D107" s="307">
        <f>'[69]VENTAS TOTALES'!$G$260</f>
        <v>80000</v>
      </c>
      <c r="E107" s="307">
        <f>'[69]VENTAS TOTALES'!$H$260</f>
        <v>80000</v>
      </c>
      <c r="F107" s="306"/>
      <c r="G107" s="307">
        <f>'[70]VENTAS TOTALES'!$G$260</f>
        <v>108000</v>
      </c>
      <c r="H107" s="307">
        <f>'[70]VENTAS TOTALES'!$H$260</f>
        <v>108000</v>
      </c>
      <c r="I107" s="306"/>
      <c r="J107" s="307">
        <f>'[71]VENTAS TOTALES'!$G$260</f>
        <v>30000</v>
      </c>
      <c r="K107" s="307">
        <f>'[71]VENTAS TOTALES'!$H$260</f>
        <v>30000</v>
      </c>
      <c r="L107" s="306"/>
      <c r="M107" s="307">
        <f>'[72]VENTAS TOTALES'!$G$260</f>
        <v>102000</v>
      </c>
      <c r="N107" s="307">
        <f>'[72]VENTAS TOTALES'!$H$260</f>
        <v>102000</v>
      </c>
      <c r="O107" s="306"/>
      <c r="P107" s="307">
        <f>'[73]VENTAS TOTALES'!$G$260</f>
        <v>28000</v>
      </c>
      <c r="Q107" s="307">
        <f>'[73]VENTAS TOTALES'!$H$260</f>
        <v>28000</v>
      </c>
      <c r="R107" s="306"/>
      <c r="S107" s="307">
        <f>'[74]VENTAS TOTALES'!$G$260</f>
        <v>14000</v>
      </c>
      <c r="T107" s="307">
        <f>'[74]VENTAS TOTALES'!$H$260</f>
        <v>14000</v>
      </c>
      <c r="U107" s="306"/>
      <c r="V107" s="307">
        <f>'[75]VENTAS TOTALES'!$G$260</f>
        <v>78000</v>
      </c>
      <c r="W107" s="307">
        <f>'[75]VENTAS TOTALES'!$H$260</f>
        <v>78000</v>
      </c>
      <c r="X107" s="306"/>
      <c r="Y107" s="307">
        <f>'[76]VENTAS TOTALES'!$G$260</f>
        <v>134000</v>
      </c>
      <c r="Z107" s="307">
        <f>'[76]VENTAS TOTALES'!$H$260</f>
        <v>134000</v>
      </c>
      <c r="AA107" s="306"/>
      <c r="AB107" s="307">
        <f>'[77]VENTAS TOTALES'!$G$260</f>
        <v>37000</v>
      </c>
      <c r="AC107" s="307">
        <f>'[77]VENTAS TOTALES'!$H$260</f>
        <v>37000</v>
      </c>
      <c r="AD107" s="306"/>
      <c r="AE107" s="307">
        <f>'[78]VENTAS TOTALES'!$G$260</f>
        <v>41000</v>
      </c>
      <c r="AF107" s="307">
        <f>'[78]VENTAS TOTALES'!$H$260</f>
        <v>41000</v>
      </c>
      <c r="AG107" s="306"/>
      <c r="AH107" s="307">
        <f>'[79]VENTAS TOTALES'!$G$260</f>
        <v>56000</v>
      </c>
      <c r="AI107" s="307">
        <f>'[79]VENTAS TOTALES'!$H$260</f>
        <v>56000</v>
      </c>
      <c r="AJ107" s="306"/>
      <c r="AK107" s="307">
        <f>'[80]VENTAS TOTALES'!$G$260</f>
        <v>20000</v>
      </c>
      <c r="AL107" s="307">
        <f>'[80]VENTAS TOTALES'!$H$260</f>
        <v>20000</v>
      </c>
      <c r="AM107" s="306"/>
      <c r="AN107" s="307">
        <f>'[81]VENTAS TOTALES'!$G$260</f>
        <v>13000</v>
      </c>
      <c r="AO107" s="307">
        <f>'[81]VENTAS TOTALES'!$H$260</f>
        <v>13000</v>
      </c>
      <c r="AP107" s="306"/>
      <c r="AQ107" s="307">
        <f>'[82]VENTAS TOTALES'!$G$260</f>
        <v>92000</v>
      </c>
      <c r="AR107" s="307">
        <f>'[82]VENTAS TOTALES'!$H$260</f>
        <v>92000</v>
      </c>
      <c r="AS107" s="306"/>
      <c r="AT107" s="307">
        <f>'[83]VENTAS TOTALES'!$G$260</f>
        <v>103000</v>
      </c>
      <c r="AU107" s="307">
        <f>'[83]VENTAS TOTALES'!$H$260</f>
        <v>103000</v>
      </c>
      <c r="AV107" s="306"/>
      <c r="AW107" s="307">
        <f>'[84]VENTAS TOTALES'!$G$260</f>
        <v>112000</v>
      </c>
      <c r="AX107" s="307">
        <f>'[84]VENTAS TOTALES'!$H$260</f>
        <v>112000</v>
      </c>
      <c r="AY107" s="306"/>
      <c r="AZ107" s="307">
        <f>'[85]VENTAS TOTALES'!$G$260</f>
        <v>96000</v>
      </c>
      <c r="BA107" s="307">
        <f>'[85]VENTAS TOTALES'!$H$260</f>
        <v>96000</v>
      </c>
      <c r="BB107" s="306"/>
      <c r="BC107" s="307">
        <f>'[86]VENTAS TOTALES'!$G$260</f>
        <v>53000</v>
      </c>
      <c r="BD107" s="307">
        <f>'[86]VENTAS TOTALES'!$H$260</f>
        <v>53000</v>
      </c>
      <c r="BE107" s="306"/>
      <c r="BF107" s="307">
        <f>'[87]VENTAS TOTALES'!$G$260</f>
        <v>19000</v>
      </c>
      <c r="BG107" s="307">
        <f>'[87]VENTAS TOTALES'!$H$260</f>
        <v>19000</v>
      </c>
      <c r="BH107" s="306"/>
      <c r="BI107" s="307">
        <f>'[88]VENTAS TOTALES'!$G$260</f>
        <v>7000</v>
      </c>
      <c r="BJ107" s="307">
        <f>'[88]VENTAS TOTALES'!$H$260</f>
        <v>7000</v>
      </c>
      <c r="BK107" s="306"/>
      <c r="BL107" s="307">
        <f>'[89]VENTAS TOTALES'!$G$260</f>
        <v>128000</v>
      </c>
      <c r="BM107" s="307">
        <f>'[89]VENTAS TOTALES'!$H$260</f>
        <v>128000</v>
      </c>
      <c r="BN107" s="306"/>
      <c r="BO107" s="307">
        <f>'[90]VENTAS TOTALES'!$G$260</f>
        <v>53000</v>
      </c>
      <c r="BP107" s="307">
        <f>'[90]VENTAS TOTALES'!$H$260</f>
        <v>53000</v>
      </c>
      <c r="BQ107" s="306">
        <f>([103]CONCILIACION!$C$32)/1700</f>
        <v>478</v>
      </c>
      <c r="BR107" s="307">
        <f>'[91]VENTAS TOTALES'!$G$262</f>
        <v>67000</v>
      </c>
      <c r="BS107" s="307">
        <f>(BQ107*1700)+BR107</f>
        <v>879600</v>
      </c>
      <c r="BT107" s="306"/>
      <c r="BU107" s="307">
        <f>'[92]VENTAS TOTALES'!$G$260</f>
        <v>41000</v>
      </c>
      <c r="BV107" s="307">
        <f>'[92]VENTAS TOTALES'!$H$260</f>
        <v>41000</v>
      </c>
      <c r="BW107" s="306"/>
      <c r="BX107" s="307">
        <f>'[93]VENTAS TOTALES'!$G$260</f>
        <v>38000</v>
      </c>
      <c r="BY107" s="307">
        <f>'[93]VENTAS TOTALES'!$H$260</f>
        <v>38000</v>
      </c>
      <c r="BZ107" s="306"/>
      <c r="CA107" s="307">
        <f>'[94]VENTAS TOTALES'!$G$260</f>
        <v>42000</v>
      </c>
      <c r="CB107" s="307">
        <f>'[94]VENTAS TOTALES'!$H$260</f>
        <v>42000</v>
      </c>
      <c r="CC107" s="306"/>
      <c r="CD107" s="307">
        <f>'[95]VENTAS TOTALES'!$G$260</f>
        <v>1000</v>
      </c>
      <c r="CE107" s="307">
        <f>'[95]VENTAS TOTALES'!$H$260</f>
        <v>1000</v>
      </c>
      <c r="CF107" s="306"/>
      <c r="CG107" s="307">
        <f>'[96]VENTAS TOTALES'!$G$260</f>
        <v>212000</v>
      </c>
      <c r="CH107" s="307">
        <f>'[96]VENTAS TOTALES'!$H$260</f>
        <v>212000</v>
      </c>
      <c r="CI107" s="306"/>
      <c r="CJ107" s="307">
        <f>'[97]VENTAS TOTALES'!$G$260</f>
        <v>130000</v>
      </c>
      <c r="CK107" s="307">
        <f>'[97]VENTAS TOTALES'!$H$260</f>
        <v>130000</v>
      </c>
      <c r="CL107" s="306"/>
      <c r="CM107" s="307">
        <f>'[98]VENTAS TOTALES'!$G$260</f>
        <v>109000</v>
      </c>
      <c r="CN107" s="307">
        <f>'[98]VENTAS TOTALES'!$H$260</f>
        <v>109000</v>
      </c>
      <c r="CO107" s="306"/>
      <c r="CP107" s="307">
        <f>'[99]VENTAS TOTALES'!$G$260</f>
        <v>58000</v>
      </c>
      <c r="CQ107" s="307">
        <f>'[99]VENTAS TOTALES'!$H$260</f>
        <v>58000</v>
      </c>
      <c r="CR107" s="306"/>
      <c r="CS107" s="307">
        <f>'[100]VENTAS TOTALES'!$G$260</f>
        <v>50000</v>
      </c>
      <c r="CT107" s="307">
        <f>'[100]VENTAS TOTALES'!$H$260</f>
        <v>50000</v>
      </c>
      <c r="CU107" s="306"/>
      <c r="CV107" s="307">
        <f>'[101]VENTAS TOTALES'!$G$260</f>
        <v>42000</v>
      </c>
      <c r="CW107" s="307">
        <f>'[101]VENTAS TOTALES'!$H$260</f>
        <v>42000</v>
      </c>
      <c r="CX107" s="306"/>
      <c r="CY107" s="307">
        <f>'[102]VENTAS TOTALES'!$G$260</f>
        <v>11000</v>
      </c>
      <c r="CZ107" s="307">
        <f>'[102]VENTAS TOTALES'!$H$260</f>
        <v>11000</v>
      </c>
    </row>
    <row r="108" spans="1:104" x14ac:dyDescent="0.2">
      <c r="A108" s="443"/>
      <c r="B108" s="43" t="s">
        <v>44</v>
      </c>
      <c r="C108" s="252">
        <f>'[69]VENTAS TOTALES'!$F133</f>
        <v>178111</v>
      </c>
      <c r="D108" s="253">
        <f>'[69]VENTAS TOTALES'!$G133</f>
        <v>88554050</v>
      </c>
      <c r="E108" s="253">
        <f>'[69]VENTAS TOTALES'!$H133</f>
        <v>391342750</v>
      </c>
      <c r="F108" s="252">
        <f>'[70]VENTAS TOTALES'!$F133</f>
        <v>173966</v>
      </c>
      <c r="G108" s="253">
        <f>'[70]VENTAS TOTALES'!$G133</f>
        <v>73383150</v>
      </c>
      <c r="H108" s="253">
        <f>'[70]VENTAS TOTALES'!$H133</f>
        <v>369125350</v>
      </c>
      <c r="I108" s="252">
        <f>'[71]VENTAS TOTALES'!$F133</f>
        <v>153437</v>
      </c>
      <c r="J108" s="253">
        <f>'[71]VENTAS TOTALES'!$G133</f>
        <v>51344950</v>
      </c>
      <c r="K108" s="253">
        <f>'[71]VENTAS TOTALES'!$H133</f>
        <v>312187850</v>
      </c>
      <c r="L108" s="252">
        <f>'[72]VENTAS TOTALES'!$F133</f>
        <v>154950</v>
      </c>
      <c r="M108" s="253">
        <f>'[72]VENTAS TOTALES'!$G133</f>
        <v>45955050</v>
      </c>
      <c r="N108" s="253">
        <f>'[72]VENTAS TOTALES'!$H133</f>
        <v>309370050</v>
      </c>
      <c r="O108" s="252">
        <f>'[73]VENTAS TOTALES'!$F133</f>
        <v>125074</v>
      </c>
      <c r="P108" s="253">
        <f>'[73]VENTAS TOTALES'!$G133</f>
        <v>31617950</v>
      </c>
      <c r="Q108" s="253">
        <f>'[73]VENTAS TOTALES'!$H133</f>
        <v>244243750</v>
      </c>
      <c r="R108" s="252">
        <f>'[74]VENTAS TOTALES'!$F133</f>
        <v>68366</v>
      </c>
      <c r="S108" s="253">
        <f>'[74]VENTAS TOTALES'!$G133</f>
        <v>16370150</v>
      </c>
      <c r="T108" s="253">
        <f>'[74]VENTAS TOTALES'!$H133</f>
        <v>132592350</v>
      </c>
      <c r="U108" s="252">
        <f>'[75]VENTAS TOTALES'!$F133</f>
        <v>208882</v>
      </c>
      <c r="V108" s="253">
        <f>'[75]VENTAS TOTALES'!$G133</f>
        <v>91717100</v>
      </c>
      <c r="W108" s="253">
        <f>'[75]VENTAS TOTALES'!$H133</f>
        <v>446816500</v>
      </c>
      <c r="X108" s="252">
        <f>'[76]VENTAS TOTALES'!$F133</f>
        <v>167886</v>
      </c>
      <c r="Y108" s="253">
        <f>'[76]VENTAS TOTALES'!$G133</f>
        <v>54609250</v>
      </c>
      <c r="Z108" s="253">
        <f>'[76]VENTAS TOTALES'!$H133</f>
        <v>340015450</v>
      </c>
      <c r="AA108" s="252">
        <f>'[77]VENTAS TOTALES'!$F133</f>
        <v>159361</v>
      </c>
      <c r="AB108" s="253">
        <f>'[77]VENTAS TOTALES'!$G133</f>
        <v>47069800</v>
      </c>
      <c r="AC108" s="253">
        <f>'[77]VENTAS TOTALES'!$H133</f>
        <v>317983500</v>
      </c>
      <c r="AD108" s="252">
        <f>'[78]VENTAS TOTALES'!$F133</f>
        <v>156770</v>
      </c>
      <c r="AE108" s="253">
        <f>'[78]VENTAS TOTALES'!$G133</f>
        <v>48933550</v>
      </c>
      <c r="AF108" s="253">
        <f>'[78]VENTAS TOTALES'!$H133</f>
        <v>315442550</v>
      </c>
      <c r="AG108" s="252">
        <f>'[79]VENTAS TOTALES'!$F133</f>
        <v>153808</v>
      </c>
      <c r="AH108" s="253">
        <f>'[79]VENTAS TOTALES'!$G133</f>
        <v>44057450</v>
      </c>
      <c r="AI108" s="253">
        <f>'[79]VENTAS TOTALES'!$H133</f>
        <v>305531050</v>
      </c>
      <c r="AJ108" s="252">
        <f>'[80]VENTAS TOTALES'!$F133</f>
        <v>122857</v>
      </c>
      <c r="AK108" s="253">
        <f>'[80]VENTAS TOTALES'!$G133</f>
        <v>30590050</v>
      </c>
      <c r="AL108" s="253">
        <f>'[80]VENTAS TOTALES'!$H133</f>
        <v>239446950</v>
      </c>
      <c r="AM108" s="252">
        <f>'[81]VENTAS TOTALES'!$F133</f>
        <v>65865</v>
      </c>
      <c r="AN108" s="253">
        <f>'[81]VENTAS TOTALES'!$G133</f>
        <v>14989600</v>
      </c>
      <c r="AO108" s="253">
        <f>'[81]VENTAS TOTALES'!$H133</f>
        <v>126960100</v>
      </c>
      <c r="AP108" s="252">
        <f>'[82]VENTAS TOTALES'!$F133</f>
        <v>207393</v>
      </c>
      <c r="AQ108" s="253">
        <f>'[82]VENTAS TOTALES'!$G133</f>
        <v>86816350</v>
      </c>
      <c r="AR108" s="253">
        <f>'[82]VENTAS TOTALES'!$H133</f>
        <v>439384450</v>
      </c>
      <c r="AS108" s="252">
        <f>'[83]VENTAS TOTALES'!$F133</f>
        <v>172895</v>
      </c>
      <c r="AT108" s="253">
        <f>'[83]VENTAS TOTALES'!$G133</f>
        <v>66740700</v>
      </c>
      <c r="AU108" s="253">
        <f>'[83]VENTAS TOTALES'!$H133</f>
        <v>360662200</v>
      </c>
      <c r="AV108" s="252">
        <f>'[84]VENTAS TOTALES'!$F133</f>
        <v>179286</v>
      </c>
      <c r="AW108" s="253">
        <f>'[84]VENTAS TOTALES'!$G133</f>
        <v>79642550</v>
      </c>
      <c r="AX108" s="253">
        <f>'[84]VENTAS TOTALES'!$H133</f>
        <v>384428750</v>
      </c>
      <c r="AY108" s="252">
        <f>'[85]VENTAS TOTALES'!$F133</f>
        <v>168609</v>
      </c>
      <c r="AZ108" s="253">
        <f>'[85]VENTAS TOTALES'!$G133</f>
        <v>63125859</v>
      </c>
      <c r="BA108" s="253">
        <f>'[85]VENTAS TOTALES'!$H133</f>
        <v>349761159</v>
      </c>
      <c r="BB108" s="252">
        <f>'[86]VENTAS TOTALES'!$F133</f>
        <v>159866</v>
      </c>
      <c r="BC108" s="253">
        <f>'[86]VENTAS TOTALES'!$G133</f>
        <v>46303900</v>
      </c>
      <c r="BD108" s="253">
        <f>'[86]VENTAS TOTALES'!$H133</f>
        <v>318076100</v>
      </c>
      <c r="BE108" s="252">
        <f>'[87]VENTAS TOTALES'!$F133</f>
        <v>127459</v>
      </c>
      <c r="BF108" s="253">
        <f>'[87]VENTAS TOTALES'!$G133</f>
        <v>31909800</v>
      </c>
      <c r="BG108" s="253">
        <f>'[87]VENTAS TOTALES'!$H133</f>
        <v>248590100</v>
      </c>
      <c r="BH108" s="252">
        <f>'[88]VENTAS TOTALES'!$F133</f>
        <v>68415</v>
      </c>
      <c r="BI108" s="253">
        <f>'[88]VENTAS TOTALES'!$G133</f>
        <v>15534050</v>
      </c>
      <c r="BJ108" s="253">
        <f>'[88]VENTAS TOTALES'!$H133</f>
        <v>131839550</v>
      </c>
      <c r="BK108" s="252">
        <f>'[89]VENTAS TOTALES'!$F133</f>
        <v>210797</v>
      </c>
      <c r="BL108" s="253">
        <f>'[89]VENTAS TOTALES'!$G133</f>
        <v>90309500</v>
      </c>
      <c r="BM108" s="253">
        <f>'[89]VENTAS TOTALES'!$H133</f>
        <v>448664400</v>
      </c>
      <c r="BN108" s="252">
        <f>'[90]VENTAS TOTALES'!$F133</f>
        <v>168518</v>
      </c>
      <c r="BO108" s="253">
        <f>'[90]VENTAS TOTALES'!$G133</f>
        <v>52509000</v>
      </c>
      <c r="BP108" s="253">
        <f>'[90]VENTAS TOTALES'!$H133</f>
        <v>338989600</v>
      </c>
      <c r="BQ108" s="252">
        <f>'[91]VENTAS TOTALES'!$F133</f>
        <v>160449</v>
      </c>
      <c r="BR108" s="253">
        <f>'[91]VENTAS TOTALES'!$G133</f>
        <v>48542500</v>
      </c>
      <c r="BS108" s="253">
        <f>'[91]VENTAS TOTALES'!$H133</f>
        <v>321305800</v>
      </c>
      <c r="BT108" s="252">
        <f>'[92]VENTAS TOTALES'!$F133</f>
        <v>152895</v>
      </c>
      <c r="BU108" s="253">
        <f>'[92]VENTAS TOTALES'!$G133</f>
        <v>44536300</v>
      </c>
      <c r="BV108" s="253">
        <f>'[92]VENTAS TOTALES'!$H133</f>
        <v>304457800</v>
      </c>
      <c r="BW108" s="252">
        <f>'[93]VENTAS TOTALES'!$F133</f>
        <v>154937</v>
      </c>
      <c r="BX108" s="253">
        <f>'[93]VENTAS TOTALES'!$G133</f>
        <v>43052150</v>
      </c>
      <c r="BY108" s="253">
        <f>'[93]VENTAS TOTALES'!$H133</f>
        <v>306445050</v>
      </c>
      <c r="BZ108" s="252">
        <f>'[94]VENTAS TOTALES'!$F133</f>
        <v>128861</v>
      </c>
      <c r="CA108" s="253">
        <f>'[94]VENTAS TOTALES'!$G133</f>
        <v>35476750</v>
      </c>
      <c r="CB108" s="253">
        <f>'[94]VENTAS TOTALES'!$H133</f>
        <v>254540450</v>
      </c>
      <c r="CC108" s="252">
        <f>'[95]VENTAS TOTALES'!$F133</f>
        <v>68089</v>
      </c>
      <c r="CD108" s="253">
        <f>'[95]VENTAS TOTALES'!$G133</f>
        <v>16492600</v>
      </c>
      <c r="CE108" s="253">
        <f>'[95]VENTAS TOTALES'!$H133</f>
        <v>132243900</v>
      </c>
      <c r="CF108" s="252">
        <f>'[96]VENTAS TOTALES'!$F133</f>
        <v>225567</v>
      </c>
      <c r="CG108" s="253">
        <f>'[96]VENTAS TOTALES'!$G133</f>
        <v>113012700</v>
      </c>
      <c r="CH108" s="253">
        <f>'[96]VENTAS TOTALES'!$H133</f>
        <v>496476600</v>
      </c>
      <c r="CI108" s="252">
        <f>'[97]VENTAS TOTALES'!$F133</f>
        <v>195530</v>
      </c>
      <c r="CJ108" s="253">
        <f>'[97]VENTAS TOTALES'!$G133</f>
        <v>90616050</v>
      </c>
      <c r="CK108" s="253">
        <f>'[97]VENTAS TOTALES'!$H133</f>
        <v>423017050</v>
      </c>
      <c r="CL108" s="252">
        <f>'[98]VENTAS TOTALES'!$F133</f>
        <v>181944</v>
      </c>
      <c r="CM108" s="253">
        <f>'[98]VENTAS TOTALES'!$G133</f>
        <v>77159600</v>
      </c>
      <c r="CN108" s="253">
        <f>'[98]VENTAS TOTALES'!$H133</f>
        <v>386464400</v>
      </c>
      <c r="CO108" s="252">
        <f>'[99]VENTAS TOTALES'!$F133</f>
        <v>169393</v>
      </c>
      <c r="CP108" s="253">
        <f>'[99]VENTAS TOTALES'!$G133</f>
        <v>59580150</v>
      </c>
      <c r="CQ108" s="253">
        <f>'[99]VENTAS TOTALES'!$H133</f>
        <v>347548250</v>
      </c>
      <c r="CR108" s="252">
        <f>'[100]VENTAS TOTALES'!$F133</f>
        <v>163378</v>
      </c>
      <c r="CS108" s="253">
        <f>'[100]VENTAS TOTALES'!$G133</f>
        <v>47597100</v>
      </c>
      <c r="CT108" s="253">
        <f>'[100]VENTAS TOTALES'!$H133</f>
        <v>325339700</v>
      </c>
      <c r="CU108" s="252">
        <f>'[101]VENTAS TOTALES'!$F133</f>
        <v>132716</v>
      </c>
      <c r="CV108" s="253">
        <f>'[101]VENTAS TOTALES'!$G133</f>
        <v>31013300</v>
      </c>
      <c r="CW108" s="253">
        <f>'[101]VENTAS TOTALES'!$H133</f>
        <v>256630500</v>
      </c>
      <c r="CX108" s="252">
        <f>'[102]VENTAS TOTALES'!$F133</f>
        <v>69430</v>
      </c>
      <c r="CY108" s="253">
        <f>'[102]VENTAS TOTALES'!$G133</f>
        <v>16435200</v>
      </c>
      <c r="CZ108" s="253">
        <f>'[102]VENTAS TOTALES'!$H133</f>
        <v>134466200</v>
      </c>
    </row>
    <row r="109" spans="1:104" s="10" customFormat="1" x14ac:dyDescent="0.2">
      <c r="A109" s="443"/>
      <c r="B109" s="245" t="s">
        <v>121</v>
      </c>
      <c r="C109" s="256">
        <f>+'[69]VENTAS TOTALES'!$F$121</f>
        <v>40104</v>
      </c>
      <c r="D109" s="257">
        <f>+'[69]VENTAS TOTALES'!$G$121</f>
        <v>6703750</v>
      </c>
      <c r="E109" s="257">
        <f t="shared" ref="E109" si="0">+C109*1500+D109</f>
        <v>66859750</v>
      </c>
      <c r="F109" s="256">
        <f>+'[70]VENTAS TOTALES'!$F$121</f>
        <v>44386</v>
      </c>
      <c r="G109" s="257">
        <f>+'[70]VENTAS TOTALES'!$G$121</f>
        <v>6180700</v>
      </c>
      <c r="H109" s="257">
        <f t="shared" ref="H109" si="1">+F109*1500+G109</f>
        <v>72759700</v>
      </c>
      <c r="I109" s="256">
        <f>+'[71]VENTAS TOTALES'!$F$121</f>
        <v>43120</v>
      </c>
      <c r="J109" s="257">
        <f>+'[71]VENTAS TOTALES'!$G$121</f>
        <v>5976900</v>
      </c>
      <c r="K109" s="257">
        <f t="shared" ref="K109" si="2">+I109*1500+J109</f>
        <v>70656900</v>
      </c>
      <c r="L109" s="256">
        <f>+'[72]VENTAS TOTALES'!$F$121</f>
        <v>41774</v>
      </c>
      <c r="M109" s="257">
        <f>+'[72]VENTAS TOTALES'!$G$121</f>
        <v>4465400</v>
      </c>
      <c r="N109" s="257">
        <f t="shared" ref="N109" si="3">+L109*1500+M109</f>
        <v>67126400</v>
      </c>
      <c r="O109" s="256">
        <f>+'[73]VENTAS TOTALES'!$F$121</f>
        <v>27848</v>
      </c>
      <c r="P109" s="257">
        <f>+'[73]VENTAS TOTALES'!$G$121</f>
        <v>2660300</v>
      </c>
      <c r="Q109" s="257">
        <f t="shared" ref="Q109" si="4">+O109*1500+P109</f>
        <v>44432300</v>
      </c>
      <c r="R109" s="256">
        <f>+'[74]VENTAS TOTALES'!$F$121</f>
        <v>15047</v>
      </c>
      <c r="S109" s="257">
        <f>+'[74]VENTAS TOTALES'!$G$121</f>
        <v>1354200</v>
      </c>
      <c r="T109" s="257">
        <f t="shared" ref="T109" si="5">+R109*1500+S109</f>
        <v>23924700</v>
      </c>
      <c r="U109" s="256">
        <f>+'[75]VENTAS TOTALES'!$F$121</f>
        <v>44105</v>
      </c>
      <c r="V109" s="257">
        <f>+'[75]VENTAS TOTALES'!$G$121</f>
        <v>7168400</v>
      </c>
      <c r="W109" s="257">
        <f t="shared" ref="W109" si="6">+U109*1500+V109</f>
        <v>73325900</v>
      </c>
      <c r="X109" s="256">
        <f>+'[76]VENTAS TOTALES'!$F$121</f>
        <v>43921</v>
      </c>
      <c r="Y109" s="257">
        <f>+'[76]VENTAS TOTALES'!$G$121</f>
        <v>5447300</v>
      </c>
      <c r="Z109" s="257">
        <f t="shared" ref="Z109" si="7">+X109*1500+Y109</f>
        <v>71328800</v>
      </c>
      <c r="AA109" s="256">
        <f>+'[77]VENTAS TOTALES'!$F$121</f>
        <v>41410</v>
      </c>
      <c r="AB109" s="257">
        <f>+'[77]VENTAS TOTALES'!$G$121</f>
        <v>4302400</v>
      </c>
      <c r="AC109" s="257">
        <f t="shared" ref="AC109" si="8">+AA109*1500+AB109</f>
        <v>66417400</v>
      </c>
      <c r="AD109" s="256">
        <f>+'[78]VENTAS TOTALES'!$F$121</f>
        <v>42772</v>
      </c>
      <c r="AE109" s="257">
        <f>+'[78]VENTAS TOTALES'!$G$121</f>
        <v>4892600</v>
      </c>
      <c r="AF109" s="257">
        <f t="shared" ref="AF109" si="9">+AD109*1500+AE109</f>
        <v>69050600</v>
      </c>
      <c r="AG109" s="256">
        <f>+'[79]VENTAS TOTALES'!$F$121</f>
        <v>41073</v>
      </c>
      <c r="AH109" s="257">
        <f>+'[79]VENTAS TOTALES'!$G$121</f>
        <v>4400800</v>
      </c>
      <c r="AI109" s="257">
        <f t="shared" ref="AI109" si="10">+AG109*1500+AH109</f>
        <v>66010300</v>
      </c>
      <c r="AJ109" s="256">
        <f>+'[80]VENTAS TOTALES'!$F$121</f>
        <v>28168</v>
      </c>
      <c r="AK109" s="257">
        <f>+'[80]VENTAS TOTALES'!$G$121</f>
        <v>2852950</v>
      </c>
      <c r="AL109" s="257">
        <f t="shared" ref="AL109" si="11">+AJ109*1500+AK109</f>
        <v>45104950</v>
      </c>
      <c r="AM109" s="256">
        <f>+'[81]VENTAS TOTALES'!$F$121</f>
        <v>13572</v>
      </c>
      <c r="AN109" s="257">
        <f>+'[81]VENTAS TOTALES'!$G$121</f>
        <v>1148300</v>
      </c>
      <c r="AO109" s="257">
        <f t="shared" ref="AO109" si="12">+AM109*1500+AN109</f>
        <v>21506300</v>
      </c>
      <c r="AP109" s="256">
        <f>+'[82]VENTAS TOTALES'!$F$121</f>
        <v>45116</v>
      </c>
      <c r="AQ109" s="257">
        <f>+'[82]VENTAS TOTALES'!$G$121</f>
        <v>8191000</v>
      </c>
      <c r="AR109" s="257">
        <f t="shared" ref="AR109" si="13">+AP109*1500+AQ109</f>
        <v>75865000</v>
      </c>
      <c r="AS109" s="256">
        <f>+'[83]VENTAS TOTALES'!$F$121</f>
        <v>42530</v>
      </c>
      <c r="AT109" s="257">
        <f>+'[83]VENTAS TOTALES'!$G$121</f>
        <v>7457100</v>
      </c>
      <c r="AU109" s="257">
        <f t="shared" ref="AU109" si="14">+AS109*1500+AT109</f>
        <v>71252100</v>
      </c>
      <c r="AV109" s="256">
        <f>+'[84]VENTAS TOTALES'!$F$121</f>
        <v>42662</v>
      </c>
      <c r="AW109" s="257">
        <f>+'[84]VENTAS TOTALES'!$G$121</f>
        <v>6208800</v>
      </c>
      <c r="AX109" s="257">
        <f t="shared" ref="AX109" si="15">+AV109*1500+AW109</f>
        <v>70201800</v>
      </c>
      <c r="AY109" s="256">
        <f>+'[85]VENTAS TOTALES'!$F$121</f>
        <v>42210</v>
      </c>
      <c r="AZ109" s="257">
        <f>+'[85]VENTAS TOTALES'!$G$121</f>
        <v>5929300</v>
      </c>
      <c r="BA109" s="257">
        <f t="shared" ref="BA109" si="16">+AY109*1500+AZ109</f>
        <v>69244300</v>
      </c>
      <c r="BB109" s="256">
        <f>+'[86]VENTAS TOTALES'!$F$121</f>
        <v>42187</v>
      </c>
      <c r="BC109" s="257">
        <f>+'[86]VENTAS TOTALES'!$G$121</f>
        <v>5000300</v>
      </c>
      <c r="BD109" s="257">
        <f t="shared" ref="BD109" si="17">+BB109*1500+BC109</f>
        <v>68280800</v>
      </c>
      <c r="BE109" s="256">
        <f>+'[87]VENTAS TOTALES'!$F$121</f>
        <v>28282</v>
      </c>
      <c r="BF109" s="257">
        <f>+'[87]VENTAS TOTALES'!$G$121</f>
        <v>2340900</v>
      </c>
      <c r="BG109" s="257">
        <f t="shared" ref="BG109" si="18">+BE109*1500+BF109</f>
        <v>44763900</v>
      </c>
      <c r="BH109" s="256">
        <f>+'[88]VENTAS TOTALES'!$F$121</f>
        <v>14961</v>
      </c>
      <c r="BI109" s="257">
        <f>+'[88]VENTAS TOTALES'!$G$121</f>
        <v>1548100</v>
      </c>
      <c r="BJ109" s="257">
        <f t="shared" ref="BJ109" si="19">+BH109*1500+BI109</f>
        <v>23989600</v>
      </c>
      <c r="BK109" s="256">
        <f>+'[89]VENTAS TOTALES'!$F$121</f>
        <v>45402</v>
      </c>
      <c r="BL109" s="257">
        <f>+'[89]VENTAS TOTALES'!$G$121</f>
        <v>7563800</v>
      </c>
      <c r="BM109" s="257">
        <f t="shared" ref="BM109" si="20">+BK109*1500+BL109</f>
        <v>75666800</v>
      </c>
      <c r="BN109" s="256">
        <f>+'[90]VENTAS TOTALES'!$F$121</f>
        <v>43718</v>
      </c>
      <c r="BO109" s="257">
        <f>+'[90]VENTAS TOTALES'!$G$121</f>
        <v>5583250</v>
      </c>
      <c r="BP109" s="257">
        <f t="shared" ref="BP109" si="21">+BN109*1500+BO109</f>
        <v>71160250</v>
      </c>
      <c r="BQ109" s="256">
        <f>+'[91]VENTAS TOTALES'!$F$121</f>
        <v>42809</v>
      </c>
      <c r="BR109" s="257">
        <f>+'[91]VENTAS TOTALES'!$G$121</f>
        <v>5629500</v>
      </c>
      <c r="BS109" s="257">
        <f t="shared" ref="BS109" si="22">+BQ109*1500+BR109</f>
        <v>69843000</v>
      </c>
      <c r="BT109" s="256">
        <f>+'[92]VENTAS TOTALES'!$F$121</f>
        <v>42201</v>
      </c>
      <c r="BU109" s="257">
        <f>+'[92]VENTAS TOTALES'!$G$121</f>
        <v>4395600</v>
      </c>
      <c r="BV109" s="257">
        <f t="shared" ref="BV109" si="23">+BT109*1500+BU109</f>
        <v>67697100</v>
      </c>
      <c r="BW109" s="256">
        <f>+'[93]VENTAS TOTALES'!$F$121</f>
        <v>41542</v>
      </c>
      <c r="BX109" s="257">
        <f>+'[93]VENTAS TOTALES'!$G$121</f>
        <v>4311700</v>
      </c>
      <c r="BY109" s="257">
        <f t="shared" ref="BY109" si="24">+BW109*1500+BX109</f>
        <v>66624700</v>
      </c>
      <c r="BZ109" s="256">
        <f>+'[94]VENTAS TOTALES'!$F$121</f>
        <v>29131</v>
      </c>
      <c r="CA109" s="257">
        <f>+'[94]VENTAS TOTALES'!$G$121</f>
        <v>2947501</v>
      </c>
      <c r="CB109" s="257">
        <f t="shared" ref="CB109" si="25">+BZ109*1500+CA109</f>
        <v>46644001</v>
      </c>
      <c r="CC109" s="256">
        <f>+'[95]VENTAS TOTALES'!$F$121</f>
        <v>13960</v>
      </c>
      <c r="CD109" s="257">
        <f>+'[95]VENTAS TOTALES'!$G$121</f>
        <v>1840500</v>
      </c>
      <c r="CE109" s="257">
        <f t="shared" ref="CE109" si="26">+CC109*1500+CD109</f>
        <v>22780500</v>
      </c>
      <c r="CF109" s="256">
        <f>+'[96]VENTAS TOTALES'!$F$121</f>
        <v>45656</v>
      </c>
      <c r="CG109" s="257">
        <f>+'[96]VENTAS TOTALES'!$G$121</f>
        <v>10298100</v>
      </c>
      <c r="CH109" s="257">
        <f t="shared" ref="CH109" si="27">+CF109*1500+CG109</f>
        <v>78782100</v>
      </c>
      <c r="CI109" s="256">
        <f>+'[97]VENTAS TOTALES'!$F$121</f>
        <v>45964</v>
      </c>
      <c r="CJ109" s="257">
        <f>+'[97]VENTAS TOTALES'!$G$121</f>
        <v>8134800</v>
      </c>
      <c r="CK109" s="257">
        <f t="shared" ref="CK109" si="28">+CI109*1500+CJ109</f>
        <v>77080800</v>
      </c>
      <c r="CL109" s="256">
        <f>+'[98]VENTAS TOTALES'!$F$121</f>
        <v>44640</v>
      </c>
      <c r="CM109" s="257">
        <f>+'[98]VENTAS TOTALES'!$G$121</f>
        <v>6811100</v>
      </c>
      <c r="CN109" s="257">
        <f t="shared" ref="CN109" si="29">+CL109*1500+CM109</f>
        <v>73771100</v>
      </c>
      <c r="CO109" s="256">
        <f>+'[99]VENTAS TOTALES'!$F$121</f>
        <v>44558</v>
      </c>
      <c r="CP109" s="257">
        <f>+'[99]VENTAS TOTALES'!$G$121</f>
        <v>4920150</v>
      </c>
      <c r="CQ109" s="257">
        <f t="shared" ref="CQ109" si="30">+CO109*1500+CP109</f>
        <v>71757150</v>
      </c>
      <c r="CR109" s="256">
        <f>+'[100]VENTAS TOTALES'!$F$121</f>
        <v>43602</v>
      </c>
      <c r="CS109" s="257">
        <f>+'[100]VENTAS TOTALES'!$G$121</f>
        <v>4627200</v>
      </c>
      <c r="CT109" s="257">
        <f t="shared" ref="CT109" si="31">+CR109*1500+CS109</f>
        <v>70030200</v>
      </c>
      <c r="CU109" s="256">
        <f>+'[101]VENTAS TOTALES'!$F$121</f>
        <v>30310</v>
      </c>
      <c r="CV109" s="257">
        <f>+'[101]VENTAS TOTALES'!$G$121</f>
        <v>3084500</v>
      </c>
      <c r="CW109" s="257">
        <f t="shared" ref="CW109" si="32">+CU109*1500+CV109</f>
        <v>48549500</v>
      </c>
      <c r="CX109" s="256">
        <f>+'[102]VENTAS TOTALES'!$F$121</f>
        <v>14336</v>
      </c>
      <c r="CY109" s="257">
        <f>+'[102]VENTAS TOTALES'!$G$121</f>
        <v>1056000</v>
      </c>
      <c r="CZ109" s="257">
        <f t="shared" ref="CZ109" si="33">+CX109*1500+CY109</f>
        <v>22560000</v>
      </c>
    </row>
    <row r="110" spans="1:104" s="10" customFormat="1" ht="12" customHeight="1" thickBot="1" x14ac:dyDescent="0.25">
      <c r="A110" s="444"/>
      <c r="B110" s="260" t="s">
        <v>120</v>
      </c>
      <c r="C110" s="256">
        <f>+'[69]VENTAS TOTALES'!$F$122</f>
        <v>9575</v>
      </c>
      <c r="D110" s="259">
        <f>+'[69]VENTAS TOTALES'!$G$122</f>
        <v>18014900</v>
      </c>
      <c r="E110" s="259">
        <f>+'[69]VENTAS TOTALES'!$H$122</f>
        <v>34292400</v>
      </c>
      <c r="F110" s="256">
        <f>+'[70]VENTAS TOTALES'!$F$122</f>
        <v>9615</v>
      </c>
      <c r="G110" s="259">
        <f>+'[70]VENTAS TOTALES'!$G$122</f>
        <v>15747650</v>
      </c>
      <c r="H110" s="259">
        <f>+'[70]VENTAS TOTALES'!$H$122</f>
        <v>32093150</v>
      </c>
      <c r="I110" s="256">
        <f>+'[71]VENTAS TOTALES'!$F$122</f>
        <v>8945</v>
      </c>
      <c r="J110" s="259">
        <f>+'[71]VENTAS TOTALES'!$G$122</f>
        <v>12782350</v>
      </c>
      <c r="K110" s="259">
        <f>+'[71]VENTAS TOTALES'!$H$122</f>
        <v>27988850</v>
      </c>
      <c r="L110" s="256">
        <f>+'[72]VENTAS TOTALES'!$F$122</f>
        <v>9691</v>
      </c>
      <c r="M110" s="259">
        <f>+'[72]VENTAS TOTALES'!$G$122</f>
        <v>13141400</v>
      </c>
      <c r="N110" s="259">
        <f>+'[72]VENTAS TOTALES'!$H$122</f>
        <v>29616100</v>
      </c>
      <c r="O110" s="256">
        <f>+'[73]VENTAS TOTALES'!$F$122</f>
        <v>7475</v>
      </c>
      <c r="P110" s="259">
        <f>+'[73]VENTAS TOTALES'!$G$122</f>
        <v>8759200</v>
      </c>
      <c r="Q110" s="259">
        <f>+'[73]VENTAS TOTALES'!$H$122</f>
        <v>21466700</v>
      </c>
      <c r="R110" s="256">
        <f>+'[74]VENTAS TOTALES'!$F$122</f>
        <v>4100</v>
      </c>
      <c r="S110" s="259">
        <f>+'[74]VENTAS TOTALES'!$G$122</f>
        <v>2447900</v>
      </c>
      <c r="T110" s="259">
        <f>+'[74]VENTAS TOTALES'!$H$122</f>
        <v>9417900</v>
      </c>
      <c r="U110" s="256">
        <f>+'[75]VENTAS TOTALES'!$F$122</f>
        <v>9951</v>
      </c>
      <c r="V110" s="259">
        <f>+'[75]VENTAS TOTALES'!$G$122</f>
        <v>16718300</v>
      </c>
      <c r="W110" s="259">
        <f>+'[75]VENTAS TOTALES'!$H$122</f>
        <v>33635000</v>
      </c>
      <c r="X110" s="256">
        <f>+'[76]VENTAS TOTALES'!$F$122</f>
        <v>8992</v>
      </c>
      <c r="Y110" s="259">
        <f>+'[76]VENTAS TOTALES'!$G$122</f>
        <v>13250050</v>
      </c>
      <c r="Z110" s="259">
        <f>+'[76]VENTAS TOTALES'!$H$122</f>
        <v>28536450</v>
      </c>
      <c r="AA110" s="256">
        <f>+'[77]VENTAS TOTALES'!$F$122</f>
        <v>8594</v>
      </c>
      <c r="AB110" s="259">
        <f>+'[77]VENTAS TOTALES'!$G$122</f>
        <v>11703300</v>
      </c>
      <c r="AC110" s="259">
        <f>+'[77]VENTAS TOTALES'!$H$122</f>
        <v>26313100</v>
      </c>
      <c r="AD110" s="256">
        <f>+'[78]VENTAS TOTALES'!$F$122</f>
        <v>8469</v>
      </c>
      <c r="AE110" s="259">
        <f>+'[78]VENTAS TOTALES'!$G$122</f>
        <v>12614750</v>
      </c>
      <c r="AF110" s="259">
        <f>+'[78]VENTAS TOTALES'!$H$122</f>
        <v>27012050</v>
      </c>
      <c r="AG110" s="256">
        <f>+'[79]VENTAS TOTALES'!$F$122</f>
        <v>8686</v>
      </c>
      <c r="AH110" s="259">
        <f>+'[79]VENTAS TOTALES'!$G$122</f>
        <v>11549850</v>
      </c>
      <c r="AI110" s="259">
        <f>+'[79]VENTAS TOTALES'!$H$122</f>
        <v>26316050</v>
      </c>
      <c r="AJ110" s="256">
        <f>+'[80]VENTAS TOTALES'!$F$122</f>
        <v>7164</v>
      </c>
      <c r="AK110" s="259">
        <f>+'[80]VENTAS TOTALES'!$G$122</f>
        <v>8729000</v>
      </c>
      <c r="AL110" s="259">
        <f>+'[80]VENTAS TOTALES'!$H$122</f>
        <v>20907800</v>
      </c>
      <c r="AM110" s="256">
        <f>+'[81]VENTAS TOTALES'!$F$122</f>
        <v>3901</v>
      </c>
      <c r="AN110" s="259">
        <f>+'[81]VENTAS TOTALES'!$G$122</f>
        <v>2951700</v>
      </c>
      <c r="AO110" s="259">
        <f>+'[81]VENTAS TOTALES'!$H$122</f>
        <v>9583400</v>
      </c>
      <c r="AP110" s="256">
        <f>+'[82]VENTAS TOTALES'!$F$122</f>
        <v>10540</v>
      </c>
      <c r="AQ110" s="259">
        <f>+'[82]VENTAS TOTALES'!$G$122</f>
        <v>18073900</v>
      </c>
      <c r="AR110" s="259">
        <f>+'[82]VENTAS TOTALES'!$H$122</f>
        <v>35991900</v>
      </c>
      <c r="AS110" s="256">
        <f>+'[83]VENTAS TOTALES'!$F$122</f>
        <v>10582</v>
      </c>
      <c r="AT110" s="259">
        <f>+'[83]VENTAS TOTALES'!$G$122</f>
        <v>15743100</v>
      </c>
      <c r="AU110" s="259">
        <f>+'[83]VENTAS TOTALES'!$H$122</f>
        <v>33732500</v>
      </c>
      <c r="AV110" s="256">
        <f>+'[84]VENTAS TOTALES'!$F$122</f>
        <v>10283</v>
      </c>
      <c r="AW110" s="259">
        <f>+'[84]VENTAS TOTALES'!$G$122</f>
        <v>19431400</v>
      </c>
      <c r="AX110" s="259">
        <f>+'[84]VENTAS TOTALES'!$H$122</f>
        <v>36912500</v>
      </c>
      <c r="AY110" s="256">
        <f>+'[85]VENTAS TOTALES'!$F$122</f>
        <v>9692</v>
      </c>
      <c r="AZ110" s="259">
        <f>+'[85]VENTAS TOTALES'!$G$122</f>
        <v>15649300</v>
      </c>
      <c r="BA110" s="259">
        <f>+'[85]VENTAS TOTALES'!$H$122</f>
        <v>32125700</v>
      </c>
      <c r="BB110" s="256">
        <f>+'[86]VENTAS TOTALES'!$F$122</f>
        <v>9180</v>
      </c>
      <c r="BC110" s="259">
        <f>+'[86]VENTAS TOTALES'!$G$122</f>
        <v>12171000</v>
      </c>
      <c r="BD110" s="259">
        <f>+'[86]VENTAS TOTALES'!$H$122</f>
        <v>27777000</v>
      </c>
      <c r="BE110" s="256">
        <f>+'[87]VENTAS TOTALES'!$F$122</f>
        <v>7393</v>
      </c>
      <c r="BF110" s="259">
        <f>+'[87]VENTAS TOTALES'!$G$122</f>
        <v>8768201</v>
      </c>
      <c r="BG110" s="259">
        <f>+'[87]VENTAS TOTALES'!$H$122</f>
        <v>21336301</v>
      </c>
      <c r="BH110" s="256">
        <f>+'[88]VENTAS TOTALES'!$F$122</f>
        <v>4044</v>
      </c>
      <c r="BI110" s="259">
        <f>+'[88]VENTAS TOTALES'!$G$122</f>
        <v>2728100</v>
      </c>
      <c r="BJ110" s="259">
        <f>+'[88]VENTAS TOTALES'!$H$122</f>
        <v>9602900</v>
      </c>
      <c r="BK110" s="256">
        <f>+'[89]VENTAS TOTALES'!$F$122</f>
        <v>9822</v>
      </c>
      <c r="BL110" s="259">
        <f>+'[89]VENTAS TOTALES'!$G$122</f>
        <v>19222800</v>
      </c>
      <c r="BM110" s="259">
        <f>+'[89]VENTAS TOTALES'!$H$122</f>
        <v>35920200</v>
      </c>
      <c r="BN110" s="256">
        <f>+'[90]VENTAS TOTALES'!$F$122</f>
        <v>9150</v>
      </c>
      <c r="BO110" s="259">
        <f>+'[90]VENTAS TOTALES'!$G$122</f>
        <v>12912200</v>
      </c>
      <c r="BP110" s="259">
        <f>+'[90]VENTAS TOTALES'!$H$122</f>
        <v>28467200</v>
      </c>
      <c r="BQ110" s="256">
        <f>+'[91]VENTAS TOTALES'!$F$122</f>
        <v>8772</v>
      </c>
      <c r="BR110" s="259">
        <f>+'[91]VENTAS TOTALES'!$G$122</f>
        <v>12199900</v>
      </c>
      <c r="BS110" s="259">
        <f>+'[91]VENTAS TOTALES'!$H$122</f>
        <v>27112300</v>
      </c>
      <c r="BT110" s="256">
        <f>+'[92]VENTAS TOTALES'!$F$122</f>
        <v>8776</v>
      </c>
      <c r="BU110" s="259">
        <f>+'[92]VENTAS TOTALES'!$G$122</f>
        <v>11535750</v>
      </c>
      <c r="BV110" s="259">
        <f>+'[92]VENTAS TOTALES'!$H$122</f>
        <v>26454950</v>
      </c>
      <c r="BW110" s="256">
        <f>+'[93]VENTAS TOTALES'!$F$122</f>
        <v>9202</v>
      </c>
      <c r="BX110" s="259">
        <f>+'[93]VENTAS TOTALES'!$G$122</f>
        <v>11502600</v>
      </c>
      <c r="BY110" s="259">
        <f>+'[93]VENTAS TOTALES'!$H$122</f>
        <v>27146000</v>
      </c>
      <c r="BZ110" s="256">
        <f>+'[94]VENTAS TOTALES'!$F$122</f>
        <v>7726</v>
      </c>
      <c r="CA110" s="259">
        <f>+'[94]VENTAS TOTALES'!$G$122</f>
        <v>9565350</v>
      </c>
      <c r="CB110" s="259">
        <f>+'[94]VENTAS TOTALES'!$H$122</f>
        <v>22699550</v>
      </c>
      <c r="CC110" s="256">
        <f>+'[95]VENTAS TOTALES'!$F$122</f>
        <v>3896</v>
      </c>
      <c r="CD110" s="259">
        <f>+'[95]VENTAS TOTALES'!$G$122</f>
        <v>3103750</v>
      </c>
      <c r="CE110" s="259">
        <f>+'[95]VENTAS TOTALES'!$H$122</f>
        <v>9726950</v>
      </c>
      <c r="CF110" s="256">
        <f>+'[96]VENTAS TOTALES'!$F$122</f>
        <v>9879</v>
      </c>
      <c r="CG110" s="259">
        <f>+'[96]VENTAS TOTALES'!$G$122</f>
        <v>21326900</v>
      </c>
      <c r="CH110" s="259">
        <f>+'[96]VENTAS TOTALES'!$H$122</f>
        <v>38121200</v>
      </c>
      <c r="CI110" s="256">
        <f>+'[97]VENTAS TOTALES'!$F$122</f>
        <v>9534</v>
      </c>
      <c r="CJ110" s="259">
        <f>+'[97]VENTAS TOTALES'!$G$122</f>
        <v>16806100</v>
      </c>
      <c r="CK110" s="259">
        <f>+'[97]VENTAS TOTALES'!$H$122</f>
        <v>33013900</v>
      </c>
      <c r="CL110" s="256">
        <f>+'[98]VENTAS TOTALES'!$F$122</f>
        <v>9408</v>
      </c>
      <c r="CM110" s="259">
        <f>+'[98]VENTAS TOTALES'!$G$122</f>
        <v>13633900</v>
      </c>
      <c r="CN110" s="259">
        <f>+'[98]VENTAS TOTALES'!$H$122</f>
        <v>29627500</v>
      </c>
      <c r="CO110" s="256">
        <f>+'[99]VENTAS TOTALES'!$F$122</f>
        <v>9466</v>
      </c>
      <c r="CP110" s="259">
        <f>+'[99]VENTAS TOTALES'!$G$122</f>
        <v>13218000</v>
      </c>
      <c r="CQ110" s="259">
        <f>+'[99]VENTAS TOTALES'!$H$122</f>
        <v>29310200</v>
      </c>
      <c r="CR110" s="256">
        <f>+'[100]VENTAS TOTALES'!$F$122</f>
        <v>9620</v>
      </c>
      <c r="CS110" s="259">
        <f>+'[100]VENTAS TOTALES'!$G$122</f>
        <v>10940100</v>
      </c>
      <c r="CT110" s="259">
        <f>+'[100]VENTAS TOTALES'!$H$122</f>
        <v>27294100</v>
      </c>
      <c r="CU110" s="256">
        <f>+'[101]VENTAS TOTALES'!$F$122</f>
        <v>7993</v>
      </c>
      <c r="CV110" s="259">
        <f>+'[101]VENTAS TOTALES'!$G$122</f>
        <v>8316250</v>
      </c>
      <c r="CW110" s="259">
        <f>+'[101]VENTAS TOTALES'!$H$122</f>
        <v>21904350</v>
      </c>
      <c r="CX110" s="256">
        <f>+'[102]VENTAS TOTALES'!$F$122</f>
        <v>4219</v>
      </c>
      <c r="CY110" s="259">
        <f>+'[102]VENTAS TOTALES'!$G$122</f>
        <v>2840400</v>
      </c>
      <c r="CZ110" s="259">
        <f>+'[102]VENTAS TOTALES'!$H$122</f>
        <v>10012700</v>
      </c>
    </row>
    <row r="111" spans="1:104" s="10" customFormat="1" ht="12" customHeight="1" thickBot="1" x14ac:dyDescent="0.25">
      <c r="A111" s="219"/>
      <c r="B111" s="246" t="s">
        <v>350</v>
      </c>
      <c r="C111" s="258">
        <f>+[104]CONCILIACION!$D$50</f>
        <v>30772</v>
      </c>
      <c r="D111" s="259"/>
      <c r="E111" s="259"/>
      <c r="F111" s="258">
        <f>+[105]CONCILIACION!$D$50</f>
        <v>31404</v>
      </c>
      <c r="G111" s="259"/>
      <c r="H111" s="259"/>
      <c r="I111" s="258">
        <f>+[106]CONCILIACION!$D$50</f>
        <v>32978</v>
      </c>
      <c r="J111" s="259"/>
      <c r="K111" s="259"/>
      <c r="L111" s="258">
        <f>+[107]CONCILIACION!$D$50</f>
        <v>31742</v>
      </c>
      <c r="M111" s="259"/>
      <c r="N111" s="259"/>
      <c r="O111" s="258">
        <f>+[108]CONCILIACION!$D$50</f>
        <v>16412</v>
      </c>
      <c r="P111" s="259"/>
      <c r="Q111" s="259"/>
      <c r="R111" s="258">
        <f>+[109]CONCILIACION!$D$50</f>
        <v>4982</v>
      </c>
      <c r="S111" s="259"/>
      <c r="T111" s="259"/>
      <c r="U111" s="258">
        <f>+[110]CONCILIACION!$D$50</f>
        <v>32478</v>
      </c>
      <c r="V111" s="259"/>
      <c r="W111" s="259"/>
      <c r="X111" s="258">
        <f>+[111]CONCILIACION!$D$50</f>
        <v>33158</v>
      </c>
      <c r="Y111" s="259"/>
      <c r="Z111" s="259"/>
      <c r="AA111" s="258">
        <f>+[112]CONCILIACION!$D$50</f>
        <v>32548</v>
      </c>
      <c r="AB111" s="259"/>
      <c r="AC111" s="259"/>
      <c r="AD111" s="258">
        <f>+[113]CONCILIACION!$D$50</f>
        <v>33218</v>
      </c>
      <c r="AE111" s="259"/>
      <c r="AF111" s="259"/>
      <c r="AG111" s="258">
        <f>+[114]CONCILIACION!$D$50</f>
        <v>32396</v>
      </c>
      <c r="AH111" s="259"/>
      <c r="AI111" s="259"/>
      <c r="AJ111" s="258">
        <f>+[115]CONCILIACION!$D$50</f>
        <v>16440</v>
      </c>
      <c r="AK111" s="259"/>
      <c r="AL111" s="259"/>
      <c r="AM111" s="258">
        <f>+[116]CONCILIACION!$D$50</f>
        <v>4904</v>
      </c>
      <c r="AN111" s="259"/>
      <c r="AO111" s="259"/>
      <c r="AP111" s="258">
        <f>+[117]CONCILIACION!$D$50</f>
        <v>32950</v>
      </c>
      <c r="AQ111" s="259"/>
      <c r="AR111" s="259"/>
      <c r="AS111" s="258">
        <f>+[118]CONCILIACION!$D$50</f>
        <v>33170</v>
      </c>
      <c r="AT111" s="259"/>
      <c r="AU111" s="259"/>
      <c r="AV111" s="258">
        <f>+[119]CONCILIACION!$D$50</f>
        <v>33294</v>
      </c>
      <c r="AW111" s="259"/>
      <c r="AX111" s="259"/>
      <c r="AY111" s="258">
        <f>+[120]CONCILIACION!$D$50</f>
        <v>33340</v>
      </c>
      <c r="AZ111" s="259"/>
      <c r="BA111" s="259"/>
      <c r="BB111" s="258">
        <f>+[121]CONCILIACION!$D$50</f>
        <v>32726</v>
      </c>
      <c r="BC111" s="259"/>
      <c r="BD111" s="259"/>
      <c r="BE111" s="258">
        <f>+[122]CONCILIACION!$D$50</f>
        <v>16456</v>
      </c>
      <c r="BF111" s="259"/>
      <c r="BG111" s="259"/>
      <c r="BH111" s="258">
        <f>+[123]CONCILIACION!$D$50</f>
        <v>5112</v>
      </c>
      <c r="BI111" s="259"/>
      <c r="BJ111" s="259"/>
      <c r="BK111" s="258">
        <f>+[124]CONCILIACION!$D$50</f>
        <v>33114</v>
      </c>
      <c r="BL111" s="259"/>
      <c r="BM111" s="259"/>
      <c r="BN111" s="258">
        <f>+[125]CONCILIACION!$D$50</f>
        <v>33174</v>
      </c>
      <c r="BO111" s="259"/>
      <c r="BP111" s="259"/>
      <c r="BQ111" s="258">
        <f>+[103]CONCILIACION!$D$52</f>
        <v>33130</v>
      </c>
      <c r="BR111" s="259"/>
      <c r="BS111" s="259"/>
      <c r="BT111" s="258">
        <f>+[126]CONCILIACION!$D$50</f>
        <v>32588</v>
      </c>
      <c r="BU111" s="259"/>
      <c r="BV111" s="259"/>
      <c r="BW111" s="258">
        <f>+[127]CONCILIACION!$D$50</f>
        <v>33252</v>
      </c>
      <c r="BX111" s="259"/>
      <c r="BY111" s="259"/>
      <c r="BZ111" s="258">
        <f>+[128]CONCILIACION!$D$50</f>
        <v>16706</v>
      </c>
      <c r="CA111" s="259"/>
      <c r="CB111" s="259"/>
      <c r="CC111" s="258">
        <f>+[129]CONCILIACION!$D$50</f>
        <v>4984</v>
      </c>
      <c r="CD111" s="259"/>
      <c r="CE111" s="259"/>
      <c r="CF111" s="258">
        <f>+[130]CONCILIACION!$D$50</f>
        <v>32606</v>
      </c>
      <c r="CG111" s="259"/>
      <c r="CH111" s="259"/>
      <c r="CI111" s="258">
        <f>+[131]CONCILIACION!$D$50</f>
        <v>32882</v>
      </c>
      <c r="CJ111" s="259"/>
      <c r="CK111" s="259"/>
      <c r="CL111" s="258">
        <f>+[132]CONCILIACION!$D$50</f>
        <v>33274</v>
      </c>
      <c r="CM111" s="259"/>
      <c r="CN111" s="259"/>
      <c r="CO111" s="258">
        <f>+[133]CONCILIACION!$D$50</f>
        <v>32924</v>
      </c>
      <c r="CP111" s="259"/>
      <c r="CQ111" s="259"/>
      <c r="CR111" s="258">
        <f>+[134]CONCILIACION!$D$50</f>
        <v>33216</v>
      </c>
      <c r="CS111" s="259"/>
      <c r="CT111" s="259"/>
      <c r="CU111" s="258">
        <f>+[135]CONCILIACION!$D$50</f>
        <v>17172</v>
      </c>
      <c r="CV111" s="259"/>
      <c r="CW111" s="259"/>
      <c r="CX111" s="258">
        <f>+[136]CONCILIACION!$D$50</f>
        <v>5068</v>
      </c>
      <c r="CY111" s="259"/>
      <c r="CZ111" s="259"/>
    </row>
    <row r="112" spans="1:104" s="10" customFormat="1" ht="12.75" customHeight="1" thickBot="1" x14ac:dyDescent="0.25">
      <c r="A112" s="454" t="s">
        <v>336</v>
      </c>
      <c r="B112" s="348" t="s">
        <v>297</v>
      </c>
      <c r="C112" s="343">
        <f>+'[69]VENTAS TOTALES'!$F135</f>
        <v>305</v>
      </c>
      <c r="D112" s="344">
        <f>+'[69]VENTAS TOTALES'!$G135</f>
        <v>1229800</v>
      </c>
      <c r="E112" s="344">
        <f>+'[69]VENTAS TOTALES'!$H135</f>
        <v>1748300</v>
      </c>
      <c r="F112" s="343">
        <f>+'[70]VENTAS TOTALES'!$F135</f>
        <v>281</v>
      </c>
      <c r="G112" s="344">
        <f>+'[70]VENTAS TOTALES'!$G135</f>
        <v>547500</v>
      </c>
      <c r="H112" s="344">
        <f>+'[70]VENTAS TOTALES'!$H135</f>
        <v>1025200</v>
      </c>
      <c r="I112" s="343">
        <f>+'[71]VENTAS TOTALES'!$F135</f>
        <v>165</v>
      </c>
      <c r="J112" s="344">
        <f>+'[71]VENTAS TOTALES'!$G135</f>
        <v>534300</v>
      </c>
      <c r="K112" s="344">
        <f>+'[71]VENTAS TOTALES'!$H135</f>
        <v>814800</v>
      </c>
      <c r="L112" s="343">
        <f>+'[72]VENTAS TOTALES'!$F135</f>
        <v>187</v>
      </c>
      <c r="M112" s="344">
        <f>+'[72]VENTAS TOTALES'!$G135</f>
        <v>609000</v>
      </c>
      <c r="N112" s="344">
        <f>+'[72]VENTAS TOTALES'!$H135</f>
        <v>926900</v>
      </c>
      <c r="O112" s="343">
        <f>+'[73]VENTAS TOTALES'!$F135</f>
        <v>0</v>
      </c>
      <c r="P112" s="344">
        <f>+'[73]VENTAS TOTALES'!$G135</f>
        <v>0</v>
      </c>
      <c r="Q112" s="344">
        <f>+'[73]VENTAS TOTALES'!$H135</f>
        <v>0</v>
      </c>
      <c r="R112" s="343">
        <f>+'[74]VENTAS TOTALES'!$F135</f>
        <v>0</v>
      </c>
      <c r="S112" s="344">
        <f>+'[74]VENTAS TOTALES'!$G135</f>
        <v>0</v>
      </c>
      <c r="T112" s="344">
        <f>+'[74]VENTAS TOTALES'!$H135</f>
        <v>0</v>
      </c>
      <c r="U112" s="343">
        <f>+'[75]VENTAS TOTALES'!$F135</f>
        <v>218</v>
      </c>
      <c r="V112" s="344">
        <f>+'[75]VENTAS TOTALES'!$G135</f>
        <v>570600</v>
      </c>
      <c r="W112" s="344">
        <f>+'[75]VENTAS TOTALES'!$H135</f>
        <v>941200</v>
      </c>
      <c r="X112" s="343">
        <f>+'[76]VENTAS TOTALES'!$F135</f>
        <v>177</v>
      </c>
      <c r="Y112" s="344">
        <f>+'[76]VENTAS TOTALES'!$G135</f>
        <v>485000</v>
      </c>
      <c r="Z112" s="344">
        <f>+'[76]VENTAS TOTALES'!$H135</f>
        <v>785900</v>
      </c>
      <c r="AA112" s="343">
        <f>+'[77]VENTAS TOTALES'!$F135</f>
        <v>213</v>
      </c>
      <c r="AB112" s="344">
        <f>+'[77]VENTAS TOTALES'!$G135</f>
        <v>295400</v>
      </c>
      <c r="AC112" s="344">
        <f>+'[77]VENTAS TOTALES'!$H135</f>
        <v>657500</v>
      </c>
      <c r="AD112" s="343">
        <f>+'[78]VENTAS TOTALES'!$F135</f>
        <v>170</v>
      </c>
      <c r="AE112" s="344">
        <f>+'[78]VENTAS TOTALES'!$G135</f>
        <v>346900</v>
      </c>
      <c r="AF112" s="344">
        <f>+'[78]VENTAS TOTALES'!$H135</f>
        <v>635900</v>
      </c>
      <c r="AG112" s="343">
        <f>+'[79]VENTAS TOTALES'!$F135</f>
        <v>202</v>
      </c>
      <c r="AH112" s="344">
        <f>+'[79]VENTAS TOTALES'!$G135</f>
        <v>207100</v>
      </c>
      <c r="AI112" s="344">
        <f>+'[79]VENTAS TOTALES'!$H135</f>
        <v>550500</v>
      </c>
      <c r="AJ112" s="343">
        <f>+'[80]VENTAS TOTALES'!$F135</f>
        <v>0</v>
      </c>
      <c r="AK112" s="344">
        <f>+'[80]VENTAS TOTALES'!$G135</f>
        <v>0</v>
      </c>
      <c r="AL112" s="344">
        <f>+'[80]VENTAS TOTALES'!$H135</f>
        <v>0</v>
      </c>
      <c r="AM112" s="343">
        <f>+'[81]VENTAS TOTALES'!$F135</f>
        <v>0</v>
      </c>
      <c r="AN112" s="344">
        <f>+'[81]VENTAS TOTALES'!$G135</f>
        <v>0</v>
      </c>
      <c r="AO112" s="344">
        <f>+'[81]VENTAS TOTALES'!$H135</f>
        <v>0</v>
      </c>
      <c r="AP112" s="343">
        <f>+'[82]VENTAS TOTALES'!$F135</f>
        <v>234</v>
      </c>
      <c r="AQ112" s="344">
        <f>+'[82]VENTAS TOTALES'!$G135</f>
        <v>489500</v>
      </c>
      <c r="AR112" s="344">
        <f>+'[82]VENTAS TOTALES'!$H135</f>
        <v>887300</v>
      </c>
      <c r="AS112" s="343">
        <f>+'[83]VENTAS TOTALES'!$F135</f>
        <v>230</v>
      </c>
      <c r="AT112" s="344">
        <f>+'[83]VENTAS TOTALES'!$G135</f>
        <v>566000</v>
      </c>
      <c r="AU112" s="344">
        <f>+'[83]VENTAS TOTALES'!$H135</f>
        <v>957000</v>
      </c>
      <c r="AV112" s="343">
        <f>+'[84]VENTAS TOTALES'!$F135</f>
        <v>237</v>
      </c>
      <c r="AW112" s="344">
        <f>+'[84]VENTAS TOTALES'!$G135</f>
        <v>877600</v>
      </c>
      <c r="AX112" s="344">
        <f>+'[84]VENTAS TOTALES'!$H135</f>
        <v>1280500</v>
      </c>
      <c r="AY112" s="343">
        <f>+'[85]VENTAS TOTALES'!$F135</f>
        <v>293</v>
      </c>
      <c r="AZ112" s="344">
        <f>+'[85]VENTAS TOTALES'!$G135</f>
        <v>429000</v>
      </c>
      <c r="BA112" s="344">
        <f>+'[85]VENTAS TOTALES'!$H135</f>
        <v>927100</v>
      </c>
      <c r="BB112" s="343">
        <f>+'[86]VENTAS TOTALES'!$F135</f>
        <v>129</v>
      </c>
      <c r="BC112" s="344">
        <f>+'[86]VENTAS TOTALES'!$G135</f>
        <v>433800</v>
      </c>
      <c r="BD112" s="344">
        <f>+'[86]VENTAS TOTALES'!$H135</f>
        <v>653100</v>
      </c>
      <c r="BE112" s="343">
        <f>+'[87]VENTAS TOTALES'!$F135</f>
        <v>0</v>
      </c>
      <c r="BF112" s="344">
        <f>+'[87]VENTAS TOTALES'!$G135</f>
        <v>0</v>
      </c>
      <c r="BG112" s="344">
        <f>+'[87]VENTAS TOTALES'!$H135</f>
        <v>0</v>
      </c>
      <c r="BH112" s="343">
        <f>+'[88]VENTAS TOTALES'!$F135</f>
        <v>0</v>
      </c>
      <c r="BI112" s="344">
        <f>+'[88]VENTAS TOTALES'!$G135</f>
        <v>0</v>
      </c>
      <c r="BJ112" s="344">
        <f>+'[88]VENTAS TOTALES'!$H135</f>
        <v>0</v>
      </c>
      <c r="BK112" s="343">
        <f>+'[89]VENTAS TOTALES'!$F135</f>
        <v>261</v>
      </c>
      <c r="BL112" s="344">
        <f>+'[89]VENTAS TOTALES'!$G135</f>
        <v>507600</v>
      </c>
      <c r="BM112" s="344">
        <f>+'[89]VENTAS TOTALES'!$H135</f>
        <v>951300</v>
      </c>
      <c r="BN112" s="343">
        <f>+'[90]VENTAS TOTALES'!$F135</f>
        <v>76</v>
      </c>
      <c r="BO112" s="344">
        <f>+'[90]VENTAS TOTALES'!$G135</f>
        <v>282900</v>
      </c>
      <c r="BP112" s="344">
        <f>+'[90]VENTAS TOTALES'!$H135</f>
        <v>412100</v>
      </c>
      <c r="BQ112" s="343">
        <f>+'[91]VENTAS TOTALES'!$F135</f>
        <v>167</v>
      </c>
      <c r="BR112" s="344">
        <f>+'[91]VENTAS TOTALES'!$G135</f>
        <v>293700</v>
      </c>
      <c r="BS112" s="344">
        <f>+'[91]VENTAS TOTALES'!$H135</f>
        <v>577600</v>
      </c>
      <c r="BT112" s="343">
        <f>+'[92]VENTAS TOTALES'!$F135</f>
        <v>164</v>
      </c>
      <c r="BU112" s="344">
        <f>+'[92]VENTAS TOTALES'!$G135</f>
        <v>330500</v>
      </c>
      <c r="BV112" s="344">
        <f>+'[92]VENTAS TOTALES'!$H135</f>
        <v>609300</v>
      </c>
      <c r="BW112" s="343">
        <f>+'[93]VENTAS TOTALES'!$F135</f>
        <v>209</v>
      </c>
      <c r="BX112" s="344">
        <f>+'[93]VENTAS TOTALES'!$G135</f>
        <v>336200</v>
      </c>
      <c r="BY112" s="344">
        <f>+'[93]VENTAS TOTALES'!$H135</f>
        <v>691500</v>
      </c>
      <c r="BZ112" s="343">
        <f>+'[94]VENTAS TOTALES'!$F135</f>
        <v>0</v>
      </c>
      <c r="CA112" s="344">
        <f>+'[94]VENTAS TOTALES'!$G135</f>
        <v>0</v>
      </c>
      <c r="CB112" s="344">
        <f>+'[94]VENTAS TOTALES'!$H135</f>
        <v>0</v>
      </c>
      <c r="CC112" s="343">
        <f>+'[95]VENTAS TOTALES'!$F135</f>
        <v>0</v>
      </c>
      <c r="CD112" s="344">
        <f>+'[95]VENTAS TOTALES'!$G135</f>
        <v>0</v>
      </c>
      <c r="CE112" s="344">
        <f>+'[95]VENTAS TOTALES'!$H135</f>
        <v>0</v>
      </c>
      <c r="CF112" s="343">
        <f>+'[96]VENTAS TOTALES'!$F135</f>
        <v>323</v>
      </c>
      <c r="CG112" s="344">
        <f>+'[96]VENTAS TOTALES'!$G135</f>
        <v>1084100</v>
      </c>
      <c r="CH112" s="344">
        <f>+'[96]VENTAS TOTALES'!$H135</f>
        <v>1633200</v>
      </c>
      <c r="CI112" s="343">
        <f>+'[97]VENTAS TOTALES'!$F135</f>
        <v>504</v>
      </c>
      <c r="CJ112" s="344">
        <f>+'[97]VENTAS TOTALES'!$G135</f>
        <v>1305100</v>
      </c>
      <c r="CK112" s="344">
        <f>+'[97]VENTAS TOTALES'!$H135</f>
        <v>2161900</v>
      </c>
      <c r="CL112" s="343">
        <f>+'[98]VENTAS TOTALES'!$F135</f>
        <v>282</v>
      </c>
      <c r="CM112" s="344">
        <f>+'[98]VENTAS TOTALES'!$G135</f>
        <v>664000</v>
      </c>
      <c r="CN112" s="344">
        <f>+'[98]VENTAS TOTALES'!$H135</f>
        <v>1143400</v>
      </c>
      <c r="CO112" s="343">
        <f>+'[99]VENTAS TOTALES'!$F135</f>
        <v>256</v>
      </c>
      <c r="CP112" s="344">
        <f>+'[99]VENTAS TOTALES'!$G135</f>
        <v>566900</v>
      </c>
      <c r="CQ112" s="344">
        <f>+'[99]VENTAS TOTALES'!$H135</f>
        <v>1002100</v>
      </c>
      <c r="CR112" s="343">
        <f>+'[100]VENTAS TOTALES'!$F135</f>
        <v>213</v>
      </c>
      <c r="CS112" s="344">
        <f>+'[100]VENTAS TOTALES'!$G135</f>
        <v>278800</v>
      </c>
      <c r="CT112" s="344">
        <f>+'[100]VENTAS TOTALES'!$H135</f>
        <v>640900</v>
      </c>
      <c r="CU112" s="343">
        <f>+'[101]VENTAS TOTALES'!$F135</f>
        <v>0</v>
      </c>
      <c r="CV112" s="344">
        <f>+'[101]VENTAS TOTALES'!$G135</f>
        <v>0</v>
      </c>
      <c r="CW112" s="344">
        <f>+'[101]VENTAS TOTALES'!$H135</f>
        <v>0</v>
      </c>
      <c r="CX112" s="343">
        <f>+'[102]VENTAS TOTALES'!$F135</f>
        <v>0</v>
      </c>
      <c r="CY112" s="344">
        <f>+'[102]VENTAS TOTALES'!$G135</f>
        <v>0</v>
      </c>
      <c r="CZ112" s="344">
        <f>+'[102]VENTAS TOTALES'!$H135</f>
        <v>0</v>
      </c>
    </row>
    <row r="113" spans="1:104" s="10" customFormat="1" ht="12" customHeight="1" thickBot="1" x14ac:dyDescent="0.25">
      <c r="A113" s="455"/>
      <c r="B113" s="349" t="s">
        <v>298</v>
      </c>
      <c r="C113" s="343">
        <f>+'[69]VENTAS TOTALES'!$F136</f>
        <v>6046</v>
      </c>
      <c r="D113" s="344">
        <f>+'[69]VENTAS TOTALES'!$G136</f>
        <v>6420450</v>
      </c>
      <c r="E113" s="344">
        <f>+'[69]VENTAS TOTALES'!$H136</f>
        <v>16698650</v>
      </c>
      <c r="F113" s="343">
        <f>+'[70]VENTAS TOTALES'!$F136</f>
        <v>5947</v>
      </c>
      <c r="G113" s="344">
        <f>+'[70]VENTAS TOTALES'!$G136</f>
        <v>4510500</v>
      </c>
      <c r="H113" s="344">
        <f>+'[70]VENTAS TOTALES'!$H136</f>
        <v>14620400</v>
      </c>
      <c r="I113" s="343">
        <f>+'[71]VENTAS TOTALES'!$F136</f>
        <v>4518</v>
      </c>
      <c r="J113" s="344">
        <f>+'[71]VENTAS TOTALES'!$G136</f>
        <v>2944700</v>
      </c>
      <c r="K113" s="344">
        <f>+'[71]VENTAS TOTALES'!$H136</f>
        <v>10625300</v>
      </c>
      <c r="L113" s="343">
        <f>+'[72]VENTAS TOTALES'!$F136</f>
        <v>4226</v>
      </c>
      <c r="M113" s="344">
        <f>+'[72]VENTAS TOTALES'!$G136</f>
        <v>2701350</v>
      </c>
      <c r="N113" s="344">
        <f>+'[72]VENTAS TOTALES'!$H136</f>
        <v>9885550</v>
      </c>
      <c r="O113" s="343">
        <f>+'[73]VENTAS TOTALES'!$F136</f>
        <v>2621</v>
      </c>
      <c r="P113" s="344">
        <f>+'[73]VENTAS TOTALES'!$G136</f>
        <v>1878500</v>
      </c>
      <c r="Q113" s="344">
        <f>+'[73]VENTAS TOTALES'!$H136</f>
        <v>6334200</v>
      </c>
      <c r="R113" s="343">
        <f>+'[74]VENTAS TOTALES'!$F136</f>
        <v>488</v>
      </c>
      <c r="S113" s="344">
        <f>+'[74]VENTAS TOTALES'!$G136</f>
        <v>315000</v>
      </c>
      <c r="T113" s="344">
        <f>+'[74]VENTAS TOTALES'!$H136</f>
        <v>1144600</v>
      </c>
      <c r="U113" s="343">
        <f>+'[75]VENTAS TOTALES'!$F136</f>
        <v>5933</v>
      </c>
      <c r="V113" s="344">
        <f>+'[75]VENTAS TOTALES'!$G136</f>
        <v>4816850</v>
      </c>
      <c r="W113" s="344">
        <f>+'[75]VENTAS TOTALES'!$H136</f>
        <v>14902950</v>
      </c>
      <c r="X113" s="343">
        <f>+'[76]VENTAS TOTALES'!$F136</f>
        <v>5165</v>
      </c>
      <c r="Y113" s="344">
        <f>+'[76]VENTAS TOTALES'!$G136</f>
        <v>3251350</v>
      </c>
      <c r="Z113" s="344">
        <f>+'[76]VENTAS TOTALES'!$H136</f>
        <v>12031850</v>
      </c>
      <c r="AA113" s="343">
        <f>+'[77]VENTAS TOTALES'!$F136</f>
        <v>4643</v>
      </c>
      <c r="AB113" s="344">
        <f>+'[77]VENTAS TOTALES'!$G136</f>
        <v>2249050</v>
      </c>
      <c r="AC113" s="344">
        <f>+'[77]VENTAS TOTALES'!$H136</f>
        <v>10142150</v>
      </c>
      <c r="AD113" s="343">
        <f>+'[78]VENTAS TOTALES'!$F136</f>
        <v>4808</v>
      </c>
      <c r="AE113" s="344">
        <f>+'[78]VENTAS TOTALES'!$G136</f>
        <v>3149950</v>
      </c>
      <c r="AF113" s="344">
        <f>+'[78]VENTAS TOTALES'!$H136</f>
        <v>11323550</v>
      </c>
      <c r="AG113" s="343">
        <f>+'[79]VENTAS TOTALES'!$F136</f>
        <v>4585</v>
      </c>
      <c r="AH113" s="344">
        <f>+'[79]VENTAS TOTALES'!$G136</f>
        <v>2263350</v>
      </c>
      <c r="AI113" s="344">
        <f>+'[79]VENTAS TOTALES'!$H136</f>
        <v>10057850</v>
      </c>
      <c r="AJ113" s="343">
        <f>+'[80]VENTAS TOTALES'!$F136</f>
        <v>2395</v>
      </c>
      <c r="AK113" s="344">
        <f>+'[80]VENTAS TOTALES'!$G136</f>
        <v>1851850</v>
      </c>
      <c r="AL113" s="344">
        <f>+'[80]VENTAS TOTALES'!$H136</f>
        <v>5923350</v>
      </c>
      <c r="AM113" s="343">
        <f>+'[81]VENTAS TOTALES'!$F136</f>
        <v>544</v>
      </c>
      <c r="AN113" s="344">
        <f>+'[81]VENTAS TOTALES'!$G136</f>
        <v>323300</v>
      </c>
      <c r="AO113" s="344">
        <f>+'[81]VENTAS TOTALES'!$H136</f>
        <v>1248100</v>
      </c>
      <c r="AP113" s="343">
        <f>+'[82]VENTAS TOTALES'!$F136</f>
        <v>5844</v>
      </c>
      <c r="AQ113" s="344">
        <f>+'[82]VENTAS TOTALES'!$G136</f>
        <v>4710800</v>
      </c>
      <c r="AR113" s="344">
        <f>+'[82]VENTAS TOTALES'!$H136</f>
        <v>14645600</v>
      </c>
      <c r="AS113" s="343">
        <f>+'[83]VENTAS TOTALES'!$F136</f>
        <v>6011</v>
      </c>
      <c r="AT113" s="344">
        <f>+'[83]VENTAS TOTALES'!$G136</f>
        <v>7012450</v>
      </c>
      <c r="AU113" s="344">
        <f>+'[83]VENTAS TOTALES'!$H136</f>
        <v>17231150</v>
      </c>
      <c r="AV113" s="343">
        <f>+'[84]VENTAS TOTALES'!$F136</f>
        <v>5487</v>
      </c>
      <c r="AW113" s="344">
        <f>+'[84]VENTAS TOTALES'!$G136</f>
        <v>4209000</v>
      </c>
      <c r="AX113" s="344">
        <f>+'[84]VENTAS TOTALES'!$H136</f>
        <v>13536900</v>
      </c>
      <c r="AY113" s="343">
        <f>+'[85]VENTAS TOTALES'!$F136</f>
        <v>4993</v>
      </c>
      <c r="AZ113" s="344">
        <f>+'[85]VENTAS TOTALES'!$G136</f>
        <v>3534850</v>
      </c>
      <c r="BA113" s="344">
        <f>+'[85]VENTAS TOTALES'!$H136</f>
        <v>12022950</v>
      </c>
      <c r="BB113" s="343">
        <f>+'[86]VENTAS TOTALES'!$F136</f>
        <v>4557</v>
      </c>
      <c r="BC113" s="344">
        <f>+'[86]VENTAS TOTALES'!$G136</f>
        <v>2666200</v>
      </c>
      <c r="BD113" s="344">
        <f>+'[86]VENTAS TOTALES'!$H136</f>
        <v>10413100</v>
      </c>
      <c r="BE113" s="343">
        <f>+'[87]VENTAS TOTALES'!$F136</f>
        <v>2677</v>
      </c>
      <c r="BF113" s="344">
        <f>+'[87]VENTAS TOTALES'!$G136</f>
        <v>1954650</v>
      </c>
      <c r="BG113" s="344">
        <f>+'[87]VENTAS TOTALES'!$H136</f>
        <v>6505550</v>
      </c>
      <c r="BH113" s="343">
        <f>+'[88]VENTAS TOTALES'!$F136</f>
        <v>430</v>
      </c>
      <c r="BI113" s="344">
        <f>+'[88]VENTAS TOTALES'!$G136</f>
        <v>280000</v>
      </c>
      <c r="BJ113" s="344">
        <f>+'[88]VENTAS TOTALES'!$H136</f>
        <v>1011000</v>
      </c>
      <c r="BK113" s="343">
        <f>+'[89]VENTAS TOTALES'!$F136</f>
        <v>6240</v>
      </c>
      <c r="BL113" s="344">
        <f>+'[89]VENTAS TOTALES'!$G136</f>
        <v>3911650</v>
      </c>
      <c r="BM113" s="344">
        <f>+'[89]VENTAS TOTALES'!$H136</f>
        <v>14519650</v>
      </c>
      <c r="BN113" s="343">
        <f>+'[90]VENTAS TOTALES'!$F136</f>
        <v>4911</v>
      </c>
      <c r="BO113" s="344">
        <f>+'[90]VENTAS TOTALES'!$G136</f>
        <v>3534650</v>
      </c>
      <c r="BP113" s="344">
        <f>+'[90]VENTAS TOTALES'!$H136</f>
        <v>11883350</v>
      </c>
      <c r="BQ113" s="343">
        <f>+'[91]VENTAS TOTALES'!$F136</f>
        <v>4706</v>
      </c>
      <c r="BR113" s="344">
        <f>+'[91]VENTAS TOTALES'!$G136</f>
        <v>3354400</v>
      </c>
      <c r="BS113" s="344">
        <f>+'[91]VENTAS TOTALES'!$H136</f>
        <v>11354600</v>
      </c>
      <c r="BT113" s="343">
        <f>+'[92]VENTAS TOTALES'!$F136</f>
        <v>4600</v>
      </c>
      <c r="BU113" s="344">
        <f>+'[92]VENTAS TOTALES'!$G136</f>
        <v>2286600</v>
      </c>
      <c r="BV113" s="344">
        <f>+'[92]VENTAS TOTALES'!$H136</f>
        <v>10106600</v>
      </c>
      <c r="BW113" s="343">
        <f>+'[93]VENTAS TOTALES'!$F136</f>
        <v>4455</v>
      </c>
      <c r="BX113" s="344">
        <f>+'[93]VENTAS TOTALES'!$G136</f>
        <v>3462050</v>
      </c>
      <c r="BY113" s="344">
        <f>+'[93]VENTAS TOTALES'!$H136</f>
        <v>11035550</v>
      </c>
      <c r="BZ113" s="343">
        <f>+'[94]VENTAS TOTALES'!$F136</f>
        <v>2695</v>
      </c>
      <c r="CA113" s="344">
        <f>+'[94]VENTAS TOTALES'!$G136</f>
        <v>1656750</v>
      </c>
      <c r="CB113" s="344">
        <f>+'[94]VENTAS TOTALES'!$H136</f>
        <v>6238250</v>
      </c>
      <c r="CC113" s="343">
        <f>+'[95]VENTAS TOTALES'!$F136</f>
        <v>483</v>
      </c>
      <c r="CD113" s="344">
        <f>+'[95]VENTAS TOTALES'!$G136</f>
        <v>231800</v>
      </c>
      <c r="CE113" s="344">
        <f>+'[95]VENTAS TOTALES'!$H136</f>
        <v>1052900</v>
      </c>
      <c r="CF113" s="343">
        <f>+'[96]VENTAS TOTALES'!$F136</f>
        <v>6840</v>
      </c>
      <c r="CG113" s="344">
        <f>+'[96]VENTAS TOTALES'!$G136</f>
        <v>7452300</v>
      </c>
      <c r="CH113" s="344">
        <f>+'[96]VENTAS TOTALES'!$H136</f>
        <v>19080300</v>
      </c>
      <c r="CI113" s="343">
        <f>+'[97]VENTAS TOTALES'!$F136</f>
        <v>6428</v>
      </c>
      <c r="CJ113" s="344">
        <f>+'[97]VENTAS TOTALES'!$G136</f>
        <v>7741450</v>
      </c>
      <c r="CK113" s="344">
        <f>+'[97]VENTAS TOTALES'!$H136</f>
        <v>18669050</v>
      </c>
      <c r="CL113" s="343">
        <f>+'[98]VENTAS TOTALES'!$F136</f>
        <v>5636</v>
      </c>
      <c r="CM113" s="344">
        <f>+'[98]VENTAS TOTALES'!$G136</f>
        <v>4419300</v>
      </c>
      <c r="CN113" s="344">
        <f>+'[98]VENTAS TOTALES'!$H136</f>
        <v>14000500</v>
      </c>
      <c r="CO113" s="343">
        <f>+'[99]VENTAS TOTALES'!$F136</f>
        <v>5290</v>
      </c>
      <c r="CP113" s="344">
        <f>+'[99]VENTAS TOTALES'!$G136</f>
        <v>3818350</v>
      </c>
      <c r="CQ113" s="344">
        <f>+'[99]VENTAS TOTALES'!$H136</f>
        <v>12811350</v>
      </c>
      <c r="CR113" s="343">
        <f>+'[100]VENTAS TOTALES'!$F136</f>
        <v>4734</v>
      </c>
      <c r="CS113" s="344">
        <f>+'[100]VENTAS TOTALES'!$G136</f>
        <v>2599900</v>
      </c>
      <c r="CT113" s="344">
        <f>+'[100]VENTAS TOTALES'!$H136</f>
        <v>10647700</v>
      </c>
      <c r="CU113" s="343">
        <f>+'[101]VENTAS TOTALES'!$F136</f>
        <v>2817</v>
      </c>
      <c r="CV113" s="344">
        <f>+'[101]VENTAS TOTALES'!$G136</f>
        <v>1784400</v>
      </c>
      <c r="CW113" s="344">
        <f>+'[101]VENTAS TOTALES'!$H136</f>
        <v>6573300</v>
      </c>
      <c r="CX113" s="343">
        <f>+'[102]VENTAS TOTALES'!$F136</f>
        <v>551</v>
      </c>
      <c r="CY113" s="344">
        <f>+'[102]VENTAS TOTALES'!$G136</f>
        <v>423700</v>
      </c>
      <c r="CZ113" s="344">
        <f>+'[102]VENTAS TOTALES'!$H136</f>
        <v>1360400</v>
      </c>
    </row>
    <row r="114" spans="1:104" s="10" customFormat="1" ht="12" customHeight="1" thickBot="1" x14ac:dyDescent="0.25">
      <c r="A114" s="455"/>
      <c r="B114" s="372" t="s">
        <v>470</v>
      </c>
      <c r="C114" s="343">
        <f>+'[69]VENTAS TOTALES'!$F137</f>
        <v>373</v>
      </c>
      <c r="D114" s="344">
        <f>+'[69]VENTAS TOTALES'!$G137</f>
        <v>1117600</v>
      </c>
      <c r="E114" s="344">
        <f>+'[69]VENTAS TOTALES'!$H137</f>
        <v>1751700</v>
      </c>
      <c r="F114" s="343">
        <f>+'[70]VENTAS TOTALES'!$F137</f>
        <v>483</v>
      </c>
      <c r="G114" s="344">
        <f>+'[70]VENTAS TOTALES'!$G137</f>
        <v>664500</v>
      </c>
      <c r="H114" s="344">
        <f>+'[70]VENTAS TOTALES'!$H137</f>
        <v>1485600</v>
      </c>
      <c r="I114" s="343">
        <f>+'[71]VENTAS TOTALES'!$F137</f>
        <v>339</v>
      </c>
      <c r="J114" s="344">
        <f>+'[71]VENTAS TOTALES'!$G137</f>
        <v>446200</v>
      </c>
      <c r="K114" s="344">
        <f>+'[71]VENTAS TOTALES'!$H137</f>
        <v>1022500</v>
      </c>
      <c r="L114" s="343">
        <f>+'[72]VENTAS TOTALES'!$F137</f>
        <v>202</v>
      </c>
      <c r="M114" s="344">
        <f>+'[72]VENTAS TOTALES'!$G137</f>
        <v>355600</v>
      </c>
      <c r="N114" s="344">
        <f>+'[72]VENTAS TOTALES'!$H137</f>
        <v>699000</v>
      </c>
      <c r="O114" s="343">
        <f>+'[73]VENTAS TOTALES'!$F137</f>
        <v>0</v>
      </c>
      <c r="P114" s="344">
        <f>+'[73]VENTAS TOTALES'!$G137</f>
        <v>0</v>
      </c>
      <c r="Q114" s="344">
        <f>+'[73]VENTAS TOTALES'!$H137</f>
        <v>0</v>
      </c>
      <c r="R114" s="343">
        <f>+'[74]VENTAS TOTALES'!$F137</f>
        <v>0</v>
      </c>
      <c r="S114" s="344">
        <f>+'[74]VENTAS TOTALES'!$G137</f>
        <v>0</v>
      </c>
      <c r="T114" s="344">
        <f>+'[74]VENTAS TOTALES'!$H137</f>
        <v>0</v>
      </c>
      <c r="U114" s="343">
        <f>+'[75]VENTAS TOTALES'!$F137</f>
        <v>444</v>
      </c>
      <c r="V114" s="344">
        <f>+'[75]VENTAS TOTALES'!$G137</f>
        <v>647100</v>
      </c>
      <c r="W114" s="344">
        <f>+'[75]VENTAS TOTALES'!$H137</f>
        <v>1401900</v>
      </c>
      <c r="X114" s="343">
        <f>+'[76]VENTAS TOTALES'!$F137</f>
        <v>486</v>
      </c>
      <c r="Y114" s="344">
        <f>+'[76]VENTAS TOTALES'!$G137</f>
        <v>857300</v>
      </c>
      <c r="Z114" s="344">
        <f>+'[76]VENTAS TOTALES'!$H137</f>
        <v>1683500</v>
      </c>
      <c r="AA114" s="343">
        <f>+'[77]VENTAS TOTALES'!$F137</f>
        <v>444</v>
      </c>
      <c r="AB114" s="344">
        <f>+'[77]VENTAS TOTALES'!$G137</f>
        <v>744400</v>
      </c>
      <c r="AC114" s="344">
        <f>+'[77]VENTAS TOTALES'!$H137</f>
        <v>1499200</v>
      </c>
      <c r="AD114" s="343">
        <f>+'[78]VENTAS TOTALES'!$F137</f>
        <v>385</v>
      </c>
      <c r="AE114" s="344">
        <f>+'[78]VENTAS TOTALES'!$G137</f>
        <v>537800</v>
      </c>
      <c r="AF114" s="344">
        <f>+'[78]VENTAS TOTALES'!$H137</f>
        <v>1192300</v>
      </c>
      <c r="AG114" s="343">
        <f>+'[79]VENTAS TOTALES'!$F137</f>
        <v>294</v>
      </c>
      <c r="AH114" s="344">
        <f>+'[79]VENTAS TOTALES'!$G137</f>
        <v>377700</v>
      </c>
      <c r="AI114" s="344">
        <f>+'[79]VENTAS TOTALES'!$H137</f>
        <v>877500</v>
      </c>
      <c r="AJ114" s="343">
        <f>+'[80]VENTAS TOTALES'!$F137</f>
        <v>0</v>
      </c>
      <c r="AK114" s="344">
        <f>+'[80]VENTAS TOTALES'!$G137</f>
        <v>0</v>
      </c>
      <c r="AL114" s="344">
        <f>+'[80]VENTAS TOTALES'!$H137</f>
        <v>0</v>
      </c>
      <c r="AM114" s="343">
        <f>+'[81]VENTAS TOTALES'!$F137</f>
        <v>0</v>
      </c>
      <c r="AN114" s="344">
        <f>+'[81]VENTAS TOTALES'!$G137</f>
        <v>0</v>
      </c>
      <c r="AO114" s="344">
        <f>+'[81]VENTAS TOTALES'!$H137</f>
        <v>0</v>
      </c>
      <c r="AP114" s="343">
        <f>+'[82]VENTAS TOTALES'!$F137</f>
        <v>642</v>
      </c>
      <c r="AQ114" s="344">
        <f>+'[82]VENTAS TOTALES'!$G137</f>
        <v>1018900</v>
      </c>
      <c r="AR114" s="344">
        <f>+'[82]VENTAS TOTALES'!$H137</f>
        <v>2110300</v>
      </c>
      <c r="AS114" s="343">
        <f>+'[83]VENTAS TOTALES'!$F137</f>
        <v>525</v>
      </c>
      <c r="AT114" s="344">
        <f>+'[83]VENTAS TOTALES'!$G137</f>
        <v>1680500</v>
      </c>
      <c r="AU114" s="344">
        <f>+'[83]VENTAS TOTALES'!$H137</f>
        <v>2573000</v>
      </c>
      <c r="AV114" s="343">
        <f>+'[84]VENTAS TOTALES'!$F137</f>
        <v>566</v>
      </c>
      <c r="AW114" s="344">
        <f>+'[84]VENTAS TOTALES'!$G137</f>
        <v>1586000</v>
      </c>
      <c r="AX114" s="344">
        <f>+'[84]VENTAS TOTALES'!$H137</f>
        <v>2548200</v>
      </c>
      <c r="AY114" s="343">
        <f>+'[85]VENTAS TOTALES'!$F137</f>
        <v>533</v>
      </c>
      <c r="AZ114" s="344">
        <f>+'[85]VENTAS TOTALES'!$G137</f>
        <v>923100</v>
      </c>
      <c r="BA114" s="344">
        <f>+'[85]VENTAS TOTALES'!$H137</f>
        <v>1829200</v>
      </c>
      <c r="BB114" s="343">
        <f>+'[86]VENTAS TOTALES'!$F137</f>
        <v>335</v>
      </c>
      <c r="BC114" s="344">
        <f>+'[86]VENTAS TOTALES'!$G137</f>
        <v>375500</v>
      </c>
      <c r="BD114" s="344">
        <f>+'[86]VENTAS TOTALES'!$H137</f>
        <v>945000</v>
      </c>
      <c r="BE114" s="343">
        <f>+'[87]VENTAS TOTALES'!$F137</f>
        <v>0</v>
      </c>
      <c r="BF114" s="344">
        <f>+'[87]VENTAS TOTALES'!$G137</f>
        <v>0</v>
      </c>
      <c r="BG114" s="344">
        <f>+'[87]VENTAS TOTALES'!$H137</f>
        <v>0</v>
      </c>
      <c r="BH114" s="343">
        <f>+'[88]VENTAS TOTALES'!$F137</f>
        <v>0</v>
      </c>
      <c r="BI114" s="344">
        <f>+'[88]VENTAS TOTALES'!$G137</f>
        <v>0</v>
      </c>
      <c r="BJ114" s="344">
        <f>+'[88]VENTAS TOTALES'!$H137</f>
        <v>0</v>
      </c>
      <c r="BK114" s="343">
        <f>+'[89]VENTAS TOTALES'!$F137</f>
        <v>576</v>
      </c>
      <c r="BL114" s="344">
        <f>+'[89]VENTAS TOTALES'!$G137</f>
        <v>1195600</v>
      </c>
      <c r="BM114" s="344">
        <f>+'[89]VENTAS TOTALES'!$H137</f>
        <v>2174800</v>
      </c>
      <c r="BN114" s="343">
        <f>+'[90]VENTAS TOTALES'!$F137</f>
        <v>446</v>
      </c>
      <c r="BO114" s="344">
        <f>+'[90]VENTAS TOTALES'!$G137</f>
        <v>606700</v>
      </c>
      <c r="BP114" s="344">
        <f>+'[90]VENTAS TOTALES'!$H137</f>
        <v>1364900</v>
      </c>
      <c r="BQ114" s="343">
        <f>+'[91]VENTAS TOTALES'!$F137</f>
        <v>412</v>
      </c>
      <c r="BR114" s="344">
        <f>+'[91]VENTAS TOTALES'!$G137</f>
        <v>742000</v>
      </c>
      <c r="BS114" s="344">
        <f>+'[91]VENTAS TOTALES'!$H137</f>
        <v>1442400</v>
      </c>
      <c r="BT114" s="343">
        <f>+'[92]VENTAS TOTALES'!$F137</f>
        <v>355</v>
      </c>
      <c r="BU114" s="344">
        <f>+'[92]VENTAS TOTALES'!$G137</f>
        <v>358900</v>
      </c>
      <c r="BV114" s="344">
        <f>+'[92]VENTAS TOTALES'!$H137</f>
        <v>962400</v>
      </c>
      <c r="BW114" s="343">
        <f>+'[93]VENTAS TOTALES'!$F137</f>
        <v>323</v>
      </c>
      <c r="BX114" s="344">
        <f>+'[93]VENTAS TOTALES'!$G137</f>
        <v>567100</v>
      </c>
      <c r="BY114" s="344">
        <f>+'[93]VENTAS TOTALES'!$H137</f>
        <v>1116200</v>
      </c>
      <c r="BZ114" s="343">
        <f>+'[94]VENTAS TOTALES'!$F137</f>
        <v>0</v>
      </c>
      <c r="CA114" s="344">
        <f>+'[94]VENTAS TOTALES'!$G137</f>
        <v>0</v>
      </c>
      <c r="CB114" s="344">
        <f>+'[94]VENTAS TOTALES'!$H137</f>
        <v>0</v>
      </c>
      <c r="CC114" s="343">
        <f>+'[95]VENTAS TOTALES'!$F137</f>
        <v>0</v>
      </c>
      <c r="CD114" s="344">
        <f>+'[95]VENTAS TOTALES'!$G137</f>
        <v>0</v>
      </c>
      <c r="CE114" s="344">
        <f>+'[95]VENTAS TOTALES'!$H137</f>
        <v>0</v>
      </c>
      <c r="CF114" s="343">
        <f>+'[96]VENTAS TOTALES'!$F137</f>
        <v>938</v>
      </c>
      <c r="CG114" s="344">
        <f>+'[96]VENTAS TOTALES'!$G137</f>
        <v>2675800</v>
      </c>
      <c r="CH114" s="344">
        <f>+'[96]VENTAS TOTALES'!$H137</f>
        <v>4270400</v>
      </c>
      <c r="CI114" s="343">
        <f>+'[97]VENTAS TOTALES'!$F137</f>
        <v>745</v>
      </c>
      <c r="CJ114" s="344">
        <f>+'[97]VENTAS TOTALES'!$G137</f>
        <v>1616200</v>
      </c>
      <c r="CK114" s="344">
        <f>+'[97]VENTAS TOTALES'!$H137</f>
        <v>2882700</v>
      </c>
      <c r="CL114" s="343">
        <f>+'[98]VENTAS TOTALES'!$F137</f>
        <v>638</v>
      </c>
      <c r="CM114" s="344">
        <f>+'[98]VENTAS TOTALES'!$G137</f>
        <v>907700</v>
      </c>
      <c r="CN114" s="344">
        <f>+'[98]VENTAS TOTALES'!$H137</f>
        <v>1992300</v>
      </c>
      <c r="CO114" s="343">
        <f>+'[99]VENTAS TOTALES'!$F137</f>
        <v>519</v>
      </c>
      <c r="CP114" s="344">
        <f>+'[99]VENTAS TOTALES'!$G137</f>
        <v>864000</v>
      </c>
      <c r="CQ114" s="344">
        <f>+'[99]VENTAS TOTALES'!$H137</f>
        <v>1746300</v>
      </c>
      <c r="CR114" s="343">
        <f>+'[100]VENTAS TOTALES'!$F137</f>
        <v>423</v>
      </c>
      <c r="CS114" s="344">
        <f>+'[100]VENTAS TOTALES'!$G137</f>
        <v>556300</v>
      </c>
      <c r="CT114" s="344">
        <f>+'[100]VENTAS TOTALES'!$H137</f>
        <v>1275400</v>
      </c>
      <c r="CU114" s="343">
        <f>+'[101]VENTAS TOTALES'!$F137</f>
        <v>0</v>
      </c>
      <c r="CV114" s="344">
        <f>+'[101]VENTAS TOTALES'!$G137</f>
        <v>0</v>
      </c>
      <c r="CW114" s="344">
        <f>+'[101]VENTAS TOTALES'!$H137</f>
        <v>0</v>
      </c>
      <c r="CX114" s="343">
        <f>+'[102]VENTAS TOTALES'!$F137</f>
        <v>0</v>
      </c>
      <c r="CY114" s="344">
        <f>+'[102]VENTAS TOTALES'!$G137</f>
        <v>0</v>
      </c>
      <c r="CZ114" s="344">
        <f>+'[102]VENTAS TOTALES'!$H137</f>
        <v>0</v>
      </c>
    </row>
    <row r="115" spans="1:104" s="10" customFormat="1" ht="12" customHeight="1" thickBot="1" x14ac:dyDescent="0.25">
      <c r="A115" s="455"/>
      <c r="B115" s="349" t="s">
        <v>299</v>
      </c>
      <c r="C115" s="343">
        <f>+'[69]VENTAS TOTALES'!$F138</f>
        <v>0</v>
      </c>
      <c r="D115" s="344">
        <f>+'[69]VENTAS TOTALES'!$G138</f>
        <v>0</v>
      </c>
      <c r="E115" s="344">
        <f>+'[69]VENTAS TOTALES'!$H138</f>
        <v>0</v>
      </c>
      <c r="F115" s="343">
        <f>+'[70]VENTAS TOTALES'!$F138</f>
        <v>0</v>
      </c>
      <c r="G115" s="344">
        <f>+'[70]VENTAS TOTALES'!$G138</f>
        <v>0</v>
      </c>
      <c r="H115" s="344">
        <f>+'[70]VENTAS TOTALES'!$H138</f>
        <v>0</v>
      </c>
      <c r="I115" s="343">
        <f>+'[71]VENTAS TOTALES'!$F138</f>
        <v>0</v>
      </c>
      <c r="J115" s="344">
        <f>+'[71]VENTAS TOTALES'!$G138</f>
        <v>0</v>
      </c>
      <c r="K115" s="344">
        <f>+'[71]VENTAS TOTALES'!$H138</f>
        <v>0</v>
      </c>
      <c r="L115" s="343">
        <f>+'[72]VENTAS TOTALES'!$F138</f>
        <v>0</v>
      </c>
      <c r="M115" s="344">
        <f>+'[72]VENTAS TOTALES'!$G138</f>
        <v>0</v>
      </c>
      <c r="N115" s="344">
        <f>+'[72]VENTAS TOTALES'!$H138</f>
        <v>0</v>
      </c>
      <c r="O115" s="343">
        <f>+'[73]VENTAS TOTALES'!$F138</f>
        <v>0</v>
      </c>
      <c r="P115" s="344">
        <f>+'[73]VENTAS TOTALES'!$G138</f>
        <v>0</v>
      </c>
      <c r="Q115" s="344">
        <f>+'[73]VENTAS TOTALES'!$H138</f>
        <v>0</v>
      </c>
      <c r="R115" s="343">
        <f>+'[74]VENTAS TOTALES'!$F138</f>
        <v>0</v>
      </c>
      <c r="S115" s="344">
        <f>+'[74]VENTAS TOTALES'!$G138</f>
        <v>0</v>
      </c>
      <c r="T115" s="344">
        <f>+'[74]VENTAS TOTALES'!$H138</f>
        <v>0</v>
      </c>
      <c r="U115" s="343">
        <f>+'[75]VENTAS TOTALES'!$F138</f>
        <v>0</v>
      </c>
      <c r="V115" s="344">
        <f>+'[75]VENTAS TOTALES'!$G138</f>
        <v>0</v>
      </c>
      <c r="W115" s="344">
        <f>+'[75]VENTAS TOTALES'!$H138</f>
        <v>0</v>
      </c>
      <c r="X115" s="343">
        <f>+'[76]VENTAS TOTALES'!$F138</f>
        <v>0</v>
      </c>
      <c r="Y115" s="344">
        <f>+'[76]VENTAS TOTALES'!$G138</f>
        <v>0</v>
      </c>
      <c r="Z115" s="344">
        <f>+'[76]VENTAS TOTALES'!$H138</f>
        <v>0</v>
      </c>
      <c r="AA115" s="343">
        <f>+'[77]VENTAS TOTALES'!$F138</f>
        <v>0</v>
      </c>
      <c r="AB115" s="344">
        <f>+'[77]VENTAS TOTALES'!$G138</f>
        <v>0</v>
      </c>
      <c r="AC115" s="344">
        <f>+'[77]VENTAS TOTALES'!$H138</f>
        <v>0</v>
      </c>
      <c r="AD115" s="343">
        <f>+'[78]VENTAS TOTALES'!$F138</f>
        <v>0</v>
      </c>
      <c r="AE115" s="344">
        <f>+'[78]VENTAS TOTALES'!$G138</f>
        <v>0</v>
      </c>
      <c r="AF115" s="344">
        <f>+'[78]VENTAS TOTALES'!$H138</f>
        <v>0</v>
      </c>
      <c r="AG115" s="343">
        <f>+'[79]VENTAS TOTALES'!$F138</f>
        <v>0</v>
      </c>
      <c r="AH115" s="344">
        <f>+'[79]VENTAS TOTALES'!$G138</f>
        <v>0</v>
      </c>
      <c r="AI115" s="344">
        <f>+'[79]VENTAS TOTALES'!$H138</f>
        <v>0</v>
      </c>
      <c r="AJ115" s="343">
        <f>+'[80]VENTAS TOTALES'!$F138</f>
        <v>0</v>
      </c>
      <c r="AK115" s="344">
        <f>+'[80]VENTAS TOTALES'!$G138</f>
        <v>0</v>
      </c>
      <c r="AL115" s="344">
        <f>+'[80]VENTAS TOTALES'!$H138</f>
        <v>0</v>
      </c>
      <c r="AM115" s="343">
        <f>+'[81]VENTAS TOTALES'!$F138</f>
        <v>0</v>
      </c>
      <c r="AN115" s="344">
        <f>+'[81]VENTAS TOTALES'!$G138</f>
        <v>0</v>
      </c>
      <c r="AO115" s="344">
        <f>+'[81]VENTAS TOTALES'!$H138</f>
        <v>0</v>
      </c>
      <c r="AP115" s="343">
        <f>+'[82]VENTAS TOTALES'!$F138</f>
        <v>0</v>
      </c>
      <c r="AQ115" s="344">
        <f>+'[82]VENTAS TOTALES'!$G138</f>
        <v>0</v>
      </c>
      <c r="AR115" s="344">
        <f>+'[82]VENTAS TOTALES'!$H138</f>
        <v>0</v>
      </c>
      <c r="AS115" s="343">
        <f>+'[83]VENTAS TOTALES'!$F138</f>
        <v>0</v>
      </c>
      <c r="AT115" s="344">
        <f>+'[83]VENTAS TOTALES'!$G138</f>
        <v>0</v>
      </c>
      <c r="AU115" s="344">
        <f>+'[83]VENTAS TOTALES'!$H138</f>
        <v>0</v>
      </c>
      <c r="AV115" s="343">
        <f>+'[84]VENTAS TOTALES'!$F138</f>
        <v>0</v>
      </c>
      <c r="AW115" s="344">
        <f>+'[84]VENTAS TOTALES'!$G138</f>
        <v>0</v>
      </c>
      <c r="AX115" s="344">
        <f>+'[84]VENTAS TOTALES'!$H138</f>
        <v>0</v>
      </c>
      <c r="AY115" s="343">
        <f>+'[85]VENTAS TOTALES'!$F138</f>
        <v>0</v>
      </c>
      <c r="AZ115" s="344">
        <f>+'[85]VENTAS TOTALES'!$G138</f>
        <v>0</v>
      </c>
      <c r="BA115" s="344">
        <f>+'[85]VENTAS TOTALES'!$H138</f>
        <v>0</v>
      </c>
      <c r="BB115" s="343">
        <f>+'[86]VENTAS TOTALES'!$F138</f>
        <v>0</v>
      </c>
      <c r="BC115" s="344">
        <f>+'[86]VENTAS TOTALES'!$G138</f>
        <v>0</v>
      </c>
      <c r="BD115" s="344">
        <f>+'[86]VENTAS TOTALES'!$H138</f>
        <v>0</v>
      </c>
      <c r="BE115" s="343">
        <f>+'[87]VENTAS TOTALES'!$F138</f>
        <v>0</v>
      </c>
      <c r="BF115" s="344">
        <f>+'[87]VENTAS TOTALES'!$G138</f>
        <v>0</v>
      </c>
      <c r="BG115" s="344">
        <f>+'[87]VENTAS TOTALES'!$H138</f>
        <v>0</v>
      </c>
      <c r="BH115" s="343">
        <f>+'[88]VENTAS TOTALES'!$F138</f>
        <v>0</v>
      </c>
      <c r="BI115" s="344">
        <f>+'[88]VENTAS TOTALES'!$G138</f>
        <v>0</v>
      </c>
      <c r="BJ115" s="344">
        <f>+'[88]VENTAS TOTALES'!$H138</f>
        <v>0</v>
      </c>
      <c r="BK115" s="343">
        <f>+'[89]VENTAS TOTALES'!$F138</f>
        <v>0</v>
      </c>
      <c r="BL115" s="344">
        <f>+'[89]VENTAS TOTALES'!$G138</f>
        <v>0</v>
      </c>
      <c r="BM115" s="344">
        <f>+'[89]VENTAS TOTALES'!$H138</f>
        <v>0</v>
      </c>
      <c r="BN115" s="343">
        <f>+'[90]VENTAS TOTALES'!$F138</f>
        <v>0</v>
      </c>
      <c r="BO115" s="344">
        <f>+'[90]VENTAS TOTALES'!$G138</f>
        <v>0</v>
      </c>
      <c r="BP115" s="344">
        <f>+'[90]VENTAS TOTALES'!$H138</f>
        <v>0</v>
      </c>
      <c r="BQ115" s="343">
        <f>+'[91]VENTAS TOTALES'!$F138</f>
        <v>0</v>
      </c>
      <c r="BR115" s="344">
        <f>+'[91]VENTAS TOTALES'!$G138</f>
        <v>0</v>
      </c>
      <c r="BS115" s="344">
        <f>+'[91]VENTAS TOTALES'!$H138</f>
        <v>0</v>
      </c>
      <c r="BT115" s="343">
        <f>+'[92]VENTAS TOTALES'!$F138</f>
        <v>0</v>
      </c>
      <c r="BU115" s="344">
        <f>+'[92]VENTAS TOTALES'!$G138</f>
        <v>0</v>
      </c>
      <c r="BV115" s="344">
        <f>+'[92]VENTAS TOTALES'!$H138</f>
        <v>0</v>
      </c>
      <c r="BW115" s="343">
        <f>+'[93]VENTAS TOTALES'!$F138</f>
        <v>0</v>
      </c>
      <c r="BX115" s="344">
        <f>+'[93]VENTAS TOTALES'!$G138</f>
        <v>0</v>
      </c>
      <c r="BY115" s="344">
        <f>+'[93]VENTAS TOTALES'!$H138</f>
        <v>0</v>
      </c>
      <c r="BZ115" s="343">
        <f>+'[94]VENTAS TOTALES'!$F138</f>
        <v>0</v>
      </c>
      <c r="CA115" s="344">
        <f>+'[94]VENTAS TOTALES'!$G138</f>
        <v>0</v>
      </c>
      <c r="CB115" s="344">
        <f>+'[94]VENTAS TOTALES'!$H138</f>
        <v>0</v>
      </c>
      <c r="CC115" s="343">
        <f>+'[95]VENTAS TOTALES'!$F138</f>
        <v>0</v>
      </c>
      <c r="CD115" s="344">
        <f>+'[95]VENTAS TOTALES'!$G138</f>
        <v>0</v>
      </c>
      <c r="CE115" s="344">
        <f>+'[95]VENTAS TOTALES'!$H138</f>
        <v>0</v>
      </c>
      <c r="CF115" s="343">
        <f>+'[96]VENTAS TOTALES'!$F138</f>
        <v>0</v>
      </c>
      <c r="CG115" s="344">
        <f>+'[96]VENTAS TOTALES'!$G138</f>
        <v>0</v>
      </c>
      <c r="CH115" s="344">
        <f>+'[96]VENTAS TOTALES'!$H138</f>
        <v>0</v>
      </c>
      <c r="CI115" s="343">
        <f>+'[97]VENTAS TOTALES'!$F138</f>
        <v>0</v>
      </c>
      <c r="CJ115" s="344">
        <f>+'[97]VENTAS TOTALES'!$G138</f>
        <v>0</v>
      </c>
      <c r="CK115" s="344">
        <f>+'[97]VENTAS TOTALES'!$H138</f>
        <v>0</v>
      </c>
      <c r="CL115" s="343">
        <f>+'[98]VENTAS TOTALES'!$F138</f>
        <v>0</v>
      </c>
      <c r="CM115" s="344">
        <f>+'[98]VENTAS TOTALES'!$G138</f>
        <v>0</v>
      </c>
      <c r="CN115" s="344">
        <f>+'[98]VENTAS TOTALES'!$H138</f>
        <v>0</v>
      </c>
      <c r="CO115" s="343">
        <f>+'[99]VENTAS TOTALES'!$F138</f>
        <v>0</v>
      </c>
      <c r="CP115" s="344">
        <f>+'[99]VENTAS TOTALES'!$G138</f>
        <v>0</v>
      </c>
      <c r="CQ115" s="344">
        <f>+'[99]VENTAS TOTALES'!$H138</f>
        <v>0</v>
      </c>
      <c r="CR115" s="343">
        <f>+'[100]VENTAS TOTALES'!$F138</f>
        <v>0</v>
      </c>
      <c r="CS115" s="344">
        <f>+'[100]VENTAS TOTALES'!$G138</f>
        <v>0</v>
      </c>
      <c r="CT115" s="344">
        <f>+'[100]VENTAS TOTALES'!$H138</f>
        <v>0</v>
      </c>
      <c r="CU115" s="343">
        <f>+'[101]VENTAS TOTALES'!$F138</f>
        <v>0</v>
      </c>
      <c r="CV115" s="344">
        <f>+'[101]VENTAS TOTALES'!$G138</f>
        <v>0</v>
      </c>
      <c r="CW115" s="344">
        <f>+'[101]VENTAS TOTALES'!$H138</f>
        <v>0</v>
      </c>
      <c r="CX115" s="343">
        <f>+'[102]VENTAS TOTALES'!$F138</f>
        <v>0</v>
      </c>
      <c r="CY115" s="344">
        <f>+'[102]VENTAS TOTALES'!$G138</f>
        <v>0</v>
      </c>
      <c r="CZ115" s="344">
        <f>+'[102]VENTAS TOTALES'!$H138</f>
        <v>0</v>
      </c>
    </row>
    <row r="116" spans="1:104" s="10" customFormat="1" ht="12" customHeight="1" thickBot="1" x14ac:dyDescent="0.25">
      <c r="A116" s="455"/>
      <c r="B116" s="349" t="s">
        <v>305</v>
      </c>
      <c r="C116" s="343">
        <f>+'[69]VENTAS TOTALES'!$F139</f>
        <v>237</v>
      </c>
      <c r="D116" s="344">
        <f>+'[69]VENTAS TOTALES'!$G139</f>
        <v>1061100</v>
      </c>
      <c r="E116" s="344">
        <f>+'[69]VENTAS TOTALES'!$H139</f>
        <v>1464000</v>
      </c>
      <c r="F116" s="343">
        <f>+'[70]VENTAS TOTALES'!$F139</f>
        <v>457</v>
      </c>
      <c r="G116" s="344">
        <f>+'[70]VENTAS TOTALES'!$G139</f>
        <v>586100</v>
      </c>
      <c r="H116" s="344">
        <f>+'[70]VENTAS TOTALES'!$H139</f>
        <v>1363000</v>
      </c>
      <c r="I116" s="343">
        <f>+'[71]VENTAS TOTALES'!$F139</f>
        <v>194</v>
      </c>
      <c r="J116" s="344">
        <f>+'[71]VENTAS TOTALES'!$G139</f>
        <v>246700</v>
      </c>
      <c r="K116" s="344">
        <f>+'[71]VENTAS TOTALES'!$H139</f>
        <v>576500</v>
      </c>
      <c r="L116" s="343">
        <f>+'[72]VENTAS TOTALES'!$F139</f>
        <v>276</v>
      </c>
      <c r="M116" s="344">
        <f>+'[72]VENTAS TOTALES'!$G139</f>
        <v>299100</v>
      </c>
      <c r="N116" s="344">
        <f>+'[72]VENTAS TOTALES'!$H139</f>
        <v>768300</v>
      </c>
      <c r="O116" s="343">
        <f>+'[73]VENTAS TOTALES'!$F139</f>
        <v>0</v>
      </c>
      <c r="P116" s="344">
        <f>+'[73]VENTAS TOTALES'!$G139</f>
        <v>0</v>
      </c>
      <c r="Q116" s="344">
        <f>+'[73]VENTAS TOTALES'!$H139</f>
        <v>0</v>
      </c>
      <c r="R116" s="343">
        <f>+'[74]VENTAS TOTALES'!$F139</f>
        <v>0</v>
      </c>
      <c r="S116" s="344">
        <f>+'[74]VENTAS TOTALES'!$G139</f>
        <v>0</v>
      </c>
      <c r="T116" s="344">
        <f>+'[74]VENTAS TOTALES'!$H139</f>
        <v>0</v>
      </c>
      <c r="U116" s="343">
        <f>+'[75]VENTAS TOTALES'!$F139</f>
        <v>450</v>
      </c>
      <c r="V116" s="344">
        <f>+'[75]VENTAS TOTALES'!$G139</f>
        <v>460700</v>
      </c>
      <c r="W116" s="344">
        <f>+'[75]VENTAS TOTALES'!$H139</f>
        <v>1225700</v>
      </c>
      <c r="X116" s="343">
        <f>+'[76]VENTAS TOTALES'!$F139</f>
        <v>303</v>
      </c>
      <c r="Y116" s="344">
        <f>+'[76]VENTAS TOTALES'!$G139</f>
        <v>346000</v>
      </c>
      <c r="Z116" s="344">
        <f>+'[76]VENTAS TOTALES'!$H139</f>
        <v>861100</v>
      </c>
      <c r="AA116" s="343">
        <f>+'[77]VENTAS TOTALES'!$F139</f>
        <v>188</v>
      </c>
      <c r="AB116" s="344">
        <f>+'[77]VENTAS TOTALES'!$G139</f>
        <v>364100</v>
      </c>
      <c r="AC116" s="344">
        <f>+'[77]VENTAS TOTALES'!$H139</f>
        <v>683700</v>
      </c>
      <c r="AD116" s="343">
        <f>+'[78]VENTAS TOTALES'!$F139</f>
        <v>204</v>
      </c>
      <c r="AE116" s="344">
        <f>+'[78]VENTAS TOTALES'!$G139</f>
        <v>581500</v>
      </c>
      <c r="AF116" s="344">
        <f>+'[78]VENTAS TOTALES'!$H139</f>
        <v>928300</v>
      </c>
      <c r="AG116" s="343">
        <f>+'[79]VENTAS TOTALES'!$F139</f>
        <v>170</v>
      </c>
      <c r="AH116" s="344">
        <f>+'[79]VENTAS TOTALES'!$G139</f>
        <v>237500</v>
      </c>
      <c r="AI116" s="344">
        <f>+'[79]VENTAS TOTALES'!$H139</f>
        <v>526500</v>
      </c>
      <c r="AJ116" s="343">
        <f>+'[80]VENTAS TOTALES'!$F139</f>
        <v>0</v>
      </c>
      <c r="AK116" s="344">
        <f>+'[80]VENTAS TOTALES'!$G139</f>
        <v>0</v>
      </c>
      <c r="AL116" s="344">
        <f>+'[80]VENTAS TOTALES'!$H139</f>
        <v>0</v>
      </c>
      <c r="AM116" s="343">
        <f>+'[81]VENTAS TOTALES'!$F139</f>
        <v>0</v>
      </c>
      <c r="AN116" s="344">
        <f>+'[81]VENTAS TOTALES'!$G139</f>
        <v>0</v>
      </c>
      <c r="AO116" s="344">
        <f>+'[81]VENTAS TOTALES'!$H139</f>
        <v>0</v>
      </c>
      <c r="AP116" s="343">
        <f>+'[82]VENTAS TOTALES'!$F139</f>
        <v>392</v>
      </c>
      <c r="AQ116" s="344">
        <f>+'[82]VENTAS TOTALES'!$G139</f>
        <v>633950</v>
      </c>
      <c r="AR116" s="344">
        <f>+'[82]VENTAS TOTALES'!$H139</f>
        <v>1300350</v>
      </c>
      <c r="AS116" s="343">
        <f>+'[83]VENTAS TOTALES'!$F139</f>
        <v>516</v>
      </c>
      <c r="AT116" s="344">
        <f>+'[83]VENTAS TOTALES'!$G139</f>
        <v>1239300</v>
      </c>
      <c r="AU116" s="344">
        <f>+'[83]VENTAS TOTALES'!$H139</f>
        <v>2116500</v>
      </c>
      <c r="AV116" s="343">
        <f>+'[84]VENTAS TOTALES'!$F139</f>
        <v>441</v>
      </c>
      <c r="AW116" s="344">
        <f>+'[84]VENTAS TOTALES'!$G139</f>
        <v>1140400</v>
      </c>
      <c r="AX116" s="344">
        <f>+'[84]VENTAS TOTALES'!$H139</f>
        <v>1890100</v>
      </c>
      <c r="AY116" s="343">
        <f>+'[85]VENTAS TOTALES'!$F139</f>
        <v>379</v>
      </c>
      <c r="AZ116" s="344">
        <f>+'[85]VENTAS TOTALES'!$G139</f>
        <v>624300</v>
      </c>
      <c r="BA116" s="344">
        <f>+'[85]VENTAS TOTALES'!$H139</f>
        <v>1268600</v>
      </c>
      <c r="BB116" s="343">
        <f>+'[86]VENTAS TOTALES'!$F139</f>
        <v>330</v>
      </c>
      <c r="BC116" s="344">
        <f>+'[86]VENTAS TOTALES'!$G139</f>
        <v>428500</v>
      </c>
      <c r="BD116" s="344">
        <f>+'[86]VENTAS TOTALES'!$H139</f>
        <v>989500</v>
      </c>
      <c r="BE116" s="343">
        <f>+'[87]VENTAS TOTALES'!$F139</f>
        <v>0</v>
      </c>
      <c r="BF116" s="344">
        <f>+'[87]VENTAS TOTALES'!$G139</f>
        <v>0</v>
      </c>
      <c r="BG116" s="344">
        <f>+'[87]VENTAS TOTALES'!$H139</f>
        <v>0</v>
      </c>
      <c r="BH116" s="343">
        <f>+'[88]VENTAS TOTALES'!$F139</f>
        <v>0</v>
      </c>
      <c r="BI116" s="344">
        <f>+'[88]VENTAS TOTALES'!$G139</f>
        <v>0</v>
      </c>
      <c r="BJ116" s="344">
        <f>+'[88]VENTAS TOTALES'!$H139</f>
        <v>0</v>
      </c>
      <c r="BK116" s="343">
        <f>+'[89]VENTAS TOTALES'!$F139</f>
        <v>445</v>
      </c>
      <c r="BL116" s="344">
        <f>+'[89]VENTAS TOTALES'!$G139</f>
        <v>648100</v>
      </c>
      <c r="BM116" s="344">
        <f>+'[89]VENTAS TOTALES'!$H139</f>
        <v>1404600</v>
      </c>
      <c r="BN116" s="343">
        <f>+'[90]VENTAS TOTALES'!$F139</f>
        <v>934</v>
      </c>
      <c r="BO116" s="344">
        <f>+'[90]VENTAS TOTALES'!$G139</f>
        <v>496700</v>
      </c>
      <c r="BP116" s="344">
        <f>+'[90]VENTAS TOTALES'!$H139</f>
        <v>2084500</v>
      </c>
      <c r="BQ116" s="343">
        <f>+'[91]VENTAS TOTALES'!$F139</f>
        <v>459</v>
      </c>
      <c r="BR116" s="344">
        <f>+'[91]VENTAS TOTALES'!$G139</f>
        <v>410100</v>
      </c>
      <c r="BS116" s="344">
        <f>+'[91]VENTAS TOTALES'!$H139</f>
        <v>1190400</v>
      </c>
      <c r="BT116" s="343">
        <f>+'[92]VENTAS TOTALES'!$F139</f>
        <v>279</v>
      </c>
      <c r="BU116" s="344">
        <f>+'[92]VENTAS TOTALES'!$G139</f>
        <v>388500</v>
      </c>
      <c r="BV116" s="344">
        <f>+'[92]VENTAS TOTALES'!$H139</f>
        <v>862800</v>
      </c>
      <c r="BW116" s="343">
        <f>+'[93]VENTAS TOTALES'!$F139</f>
        <v>337</v>
      </c>
      <c r="BX116" s="344">
        <f>+'[93]VENTAS TOTALES'!$G139</f>
        <v>546100</v>
      </c>
      <c r="BY116" s="344">
        <f>+'[93]VENTAS TOTALES'!$H139</f>
        <v>1119000</v>
      </c>
      <c r="BZ116" s="343">
        <f>+'[94]VENTAS TOTALES'!$F139</f>
        <v>0</v>
      </c>
      <c r="CA116" s="344">
        <f>+'[94]VENTAS TOTALES'!$G139</f>
        <v>0</v>
      </c>
      <c r="CB116" s="344">
        <f>+'[94]VENTAS TOTALES'!$H139</f>
        <v>0</v>
      </c>
      <c r="CC116" s="343">
        <f>+'[95]VENTAS TOTALES'!$F139</f>
        <v>0</v>
      </c>
      <c r="CD116" s="344">
        <f>+'[95]VENTAS TOTALES'!$G139</f>
        <v>0</v>
      </c>
      <c r="CE116" s="344">
        <f>+'[95]VENTAS TOTALES'!$H139</f>
        <v>0</v>
      </c>
      <c r="CF116" s="343">
        <f>+'[96]VENTAS TOTALES'!$F139</f>
        <v>1211</v>
      </c>
      <c r="CG116" s="344">
        <f>+'[96]VENTAS TOTALES'!$G139</f>
        <v>2092000</v>
      </c>
      <c r="CH116" s="344">
        <f>+'[96]VENTAS TOTALES'!$H139</f>
        <v>4150700</v>
      </c>
      <c r="CI116" s="343">
        <f>+'[97]VENTAS TOTALES'!$F139</f>
        <v>713</v>
      </c>
      <c r="CJ116" s="344">
        <f>+'[97]VENTAS TOTALES'!$G139</f>
        <v>1634500</v>
      </c>
      <c r="CK116" s="344">
        <f>+'[97]VENTAS TOTALES'!$H139</f>
        <v>2846600</v>
      </c>
      <c r="CL116" s="343">
        <f>+'[98]VENTAS TOTALES'!$F139</f>
        <v>480</v>
      </c>
      <c r="CM116" s="344">
        <f>+'[98]VENTAS TOTALES'!$G139</f>
        <v>1077150</v>
      </c>
      <c r="CN116" s="344">
        <f>+'[98]VENTAS TOTALES'!$H139</f>
        <v>1893150</v>
      </c>
      <c r="CO116" s="343">
        <f>+'[99]VENTAS TOTALES'!$F139</f>
        <v>372</v>
      </c>
      <c r="CP116" s="344">
        <f>+'[99]VENTAS TOTALES'!$G139</f>
        <v>1013800</v>
      </c>
      <c r="CQ116" s="344">
        <f>+'[99]VENTAS TOTALES'!$H139</f>
        <v>1646200</v>
      </c>
      <c r="CR116" s="343">
        <f>+'[100]VENTAS TOTALES'!$F139</f>
        <v>380</v>
      </c>
      <c r="CS116" s="344">
        <f>+'[100]VENTAS TOTALES'!$G139</f>
        <v>321900</v>
      </c>
      <c r="CT116" s="344">
        <f>+'[100]VENTAS TOTALES'!$H139</f>
        <v>967900</v>
      </c>
      <c r="CU116" s="343">
        <f>+'[101]VENTAS TOTALES'!$F139</f>
        <v>0</v>
      </c>
      <c r="CV116" s="344">
        <f>+'[101]VENTAS TOTALES'!$G139</f>
        <v>0</v>
      </c>
      <c r="CW116" s="344">
        <f>+'[101]VENTAS TOTALES'!$H139</f>
        <v>0</v>
      </c>
      <c r="CX116" s="343">
        <f>+'[102]VENTAS TOTALES'!$F139</f>
        <v>0</v>
      </c>
      <c r="CY116" s="344">
        <f>+'[102]VENTAS TOTALES'!$G139</f>
        <v>0</v>
      </c>
      <c r="CZ116" s="344">
        <f>+'[102]VENTAS TOTALES'!$H139</f>
        <v>0</v>
      </c>
    </row>
    <row r="117" spans="1:104" s="10" customFormat="1" ht="12" customHeight="1" thickBot="1" x14ac:dyDescent="0.25">
      <c r="A117" s="455"/>
      <c r="B117" s="349" t="s">
        <v>337</v>
      </c>
      <c r="C117" s="343">
        <f>+'[69]VENTAS TOTALES'!$F140</f>
        <v>899</v>
      </c>
      <c r="D117" s="344">
        <f>+'[69]VENTAS TOTALES'!$G140</f>
        <v>1933500</v>
      </c>
      <c r="E117" s="344">
        <f>+'[69]VENTAS TOTALES'!$H140</f>
        <v>3461800</v>
      </c>
      <c r="F117" s="343">
        <f>+'[70]VENTAS TOTALES'!$F140</f>
        <v>982</v>
      </c>
      <c r="G117" s="344">
        <f>+'[70]VENTAS TOTALES'!$G140</f>
        <v>1931500</v>
      </c>
      <c r="H117" s="344">
        <f>+'[70]VENTAS TOTALES'!$H140</f>
        <v>3600900</v>
      </c>
      <c r="I117" s="343">
        <f>+'[71]VENTAS TOTALES'!$F140</f>
        <v>435</v>
      </c>
      <c r="J117" s="344">
        <f>+'[71]VENTAS TOTALES'!$G140</f>
        <v>876800</v>
      </c>
      <c r="K117" s="344">
        <f>+'[71]VENTAS TOTALES'!$H140</f>
        <v>1616300</v>
      </c>
      <c r="L117" s="343">
        <f>+'[72]VENTAS TOTALES'!$F140</f>
        <v>495</v>
      </c>
      <c r="M117" s="344">
        <f>+'[72]VENTAS TOTALES'!$G140</f>
        <v>486900</v>
      </c>
      <c r="N117" s="344">
        <f>+'[72]VENTAS TOTALES'!$H140</f>
        <v>1328400</v>
      </c>
      <c r="O117" s="343">
        <f>+'[73]VENTAS TOTALES'!$F140</f>
        <v>0</v>
      </c>
      <c r="P117" s="344">
        <f>+'[73]VENTAS TOTALES'!$G140</f>
        <v>0</v>
      </c>
      <c r="Q117" s="344">
        <f>+'[73]VENTAS TOTALES'!$H140</f>
        <v>0</v>
      </c>
      <c r="R117" s="343">
        <f>+'[74]VENTAS TOTALES'!$F140</f>
        <v>0</v>
      </c>
      <c r="S117" s="344">
        <f>+'[74]VENTAS TOTALES'!$G140</f>
        <v>0</v>
      </c>
      <c r="T117" s="344">
        <f>+'[74]VENTAS TOTALES'!$H140</f>
        <v>0</v>
      </c>
      <c r="U117" s="343">
        <f>+'[75]VENTAS TOTALES'!$F140</f>
        <v>846</v>
      </c>
      <c r="V117" s="344">
        <f>+'[75]VENTAS TOTALES'!$G140</f>
        <v>1002700</v>
      </c>
      <c r="W117" s="344">
        <f>+'[75]VENTAS TOTALES'!$H140</f>
        <v>2440900</v>
      </c>
      <c r="X117" s="343">
        <f>+'[76]VENTAS TOTALES'!$F140</f>
        <v>558</v>
      </c>
      <c r="Y117" s="344">
        <f>+'[76]VENTAS TOTALES'!$G140</f>
        <v>714900</v>
      </c>
      <c r="Z117" s="344">
        <f>+'[76]VENTAS TOTALES'!$H140</f>
        <v>1663500</v>
      </c>
      <c r="AA117" s="343">
        <f>+'[77]VENTAS TOTALES'!$F140</f>
        <v>563</v>
      </c>
      <c r="AB117" s="344">
        <f>+'[77]VENTAS TOTALES'!$G140</f>
        <v>505300</v>
      </c>
      <c r="AC117" s="344">
        <f>+'[77]VENTAS TOTALES'!$H140</f>
        <v>1462400</v>
      </c>
      <c r="AD117" s="343">
        <f>+'[78]VENTAS TOTALES'!$F140</f>
        <v>471</v>
      </c>
      <c r="AE117" s="344">
        <f>+'[78]VENTAS TOTALES'!$G140</f>
        <v>707600</v>
      </c>
      <c r="AF117" s="344">
        <f>+'[78]VENTAS TOTALES'!$H140</f>
        <v>1508300</v>
      </c>
      <c r="AG117" s="343">
        <f>+'[79]VENTAS TOTALES'!$F140</f>
        <v>445</v>
      </c>
      <c r="AH117" s="344">
        <f>+'[79]VENTAS TOTALES'!$G140</f>
        <v>377600</v>
      </c>
      <c r="AI117" s="344">
        <f>+'[79]VENTAS TOTALES'!$H140</f>
        <v>1134100</v>
      </c>
      <c r="AJ117" s="343">
        <f>+'[80]VENTAS TOTALES'!$F140</f>
        <v>0</v>
      </c>
      <c r="AK117" s="344">
        <f>+'[80]VENTAS TOTALES'!$G140</f>
        <v>0</v>
      </c>
      <c r="AL117" s="344">
        <f>+'[80]VENTAS TOTALES'!$H140</f>
        <v>0</v>
      </c>
      <c r="AM117" s="343">
        <f>+'[81]VENTAS TOTALES'!$F140</f>
        <v>0</v>
      </c>
      <c r="AN117" s="344">
        <f>+'[81]VENTAS TOTALES'!$G140</f>
        <v>0</v>
      </c>
      <c r="AO117" s="344">
        <f>+'[81]VENTAS TOTALES'!$H140</f>
        <v>0</v>
      </c>
      <c r="AP117" s="343">
        <f>+'[82]VENTAS TOTALES'!$F140</f>
        <v>898</v>
      </c>
      <c r="AQ117" s="344">
        <f>+'[82]VENTAS TOTALES'!$G140</f>
        <v>1263900</v>
      </c>
      <c r="AR117" s="344">
        <f>+'[82]VENTAS TOTALES'!$H140</f>
        <v>2790500</v>
      </c>
      <c r="AS117" s="343">
        <f>+'[83]VENTAS TOTALES'!$F140</f>
        <v>922</v>
      </c>
      <c r="AT117" s="344">
        <f>+'[83]VENTAS TOTALES'!$G140</f>
        <v>2230900</v>
      </c>
      <c r="AU117" s="344">
        <f>+'[83]VENTAS TOTALES'!$H140</f>
        <v>3798300</v>
      </c>
      <c r="AV117" s="343">
        <f>+'[84]VENTAS TOTALES'!$F140</f>
        <v>757</v>
      </c>
      <c r="AW117" s="344">
        <f>+'[84]VENTAS TOTALES'!$G140</f>
        <v>1333900</v>
      </c>
      <c r="AX117" s="344">
        <f>+'[84]VENTAS TOTALES'!$H140</f>
        <v>2620800</v>
      </c>
      <c r="AY117" s="343">
        <f>+'[85]VENTAS TOTALES'!$F140</f>
        <v>731</v>
      </c>
      <c r="AZ117" s="344">
        <f>+'[85]VENTAS TOTALES'!$G140</f>
        <v>1106000</v>
      </c>
      <c r="BA117" s="344">
        <f>+'[85]VENTAS TOTALES'!$H140</f>
        <v>2348700</v>
      </c>
      <c r="BB117" s="343">
        <f>+'[86]VENTAS TOTALES'!$F140</f>
        <v>569</v>
      </c>
      <c r="BC117" s="344">
        <f>+'[86]VENTAS TOTALES'!$G140</f>
        <v>576700</v>
      </c>
      <c r="BD117" s="344">
        <f>+'[86]VENTAS TOTALES'!$H140</f>
        <v>1544000</v>
      </c>
      <c r="BE117" s="343">
        <f>+'[87]VENTAS TOTALES'!$F140</f>
        <v>0</v>
      </c>
      <c r="BF117" s="344">
        <f>+'[87]VENTAS TOTALES'!$G140</f>
        <v>0</v>
      </c>
      <c r="BG117" s="344">
        <f>+'[87]VENTAS TOTALES'!$H140</f>
        <v>0</v>
      </c>
      <c r="BH117" s="343">
        <f>+'[88]VENTAS TOTALES'!$F140</f>
        <v>0</v>
      </c>
      <c r="BI117" s="344">
        <f>+'[88]VENTAS TOTALES'!$G140</f>
        <v>0</v>
      </c>
      <c r="BJ117" s="344">
        <f>+'[88]VENTAS TOTALES'!$H140</f>
        <v>0</v>
      </c>
      <c r="BK117" s="343">
        <f>+'[89]VENTAS TOTALES'!$F140</f>
        <v>896</v>
      </c>
      <c r="BL117" s="344">
        <f>+'[89]VENTAS TOTALES'!$G140</f>
        <v>1196800</v>
      </c>
      <c r="BM117" s="344">
        <f>+'[89]VENTAS TOTALES'!$H140</f>
        <v>2720000</v>
      </c>
      <c r="BN117" s="343">
        <f>+'[90]VENTAS TOTALES'!$F140</f>
        <v>620</v>
      </c>
      <c r="BO117" s="344">
        <f>+'[90]VENTAS TOTALES'!$G140</f>
        <v>643900</v>
      </c>
      <c r="BP117" s="344">
        <f>+'[90]VENTAS TOTALES'!$H140</f>
        <v>1697900</v>
      </c>
      <c r="BQ117" s="343">
        <f>+'[91]VENTAS TOTALES'!$F140</f>
        <v>633</v>
      </c>
      <c r="BR117" s="344">
        <f>+'[91]VENTAS TOTALES'!$G140</f>
        <v>781400</v>
      </c>
      <c r="BS117" s="344">
        <f>+'[91]VENTAS TOTALES'!$H140</f>
        <v>1857500</v>
      </c>
      <c r="BT117" s="343">
        <f>+'[92]VENTAS TOTALES'!$F140</f>
        <v>631</v>
      </c>
      <c r="BU117" s="344">
        <f>+'[92]VENTAS TOTALES'!$G140</f>
        <v>499600</v>
      </c>
      <c r="BV117" s="344">
        <f>+'[92]VENTAS TOTALES'!$H140</f>
        <v>1572300</v>
      </c>
      <c r="BW117" s="343">
        <f>+'[93]VENTAS TOTALES'!$F140</f>
        <v>798</v>
      </c>
      <c r="BX117" s="344">
        <f>+'[93]VENTAS TOTALES'!$G140</f>
        <v>764200</v>
      </c>
      <c r="BY117" s="344">
        <f>+'[93]VENTAS TOTALES'!$H140</f>
        <v>2120800</v>
      </c>
      <c r="BZ117" s="343">
        <f>+'[94]VENTAS TOTALES'!$F140</f>
        <v>0</v>
      </c>
      <c r="CA117" s="344">
        <f>+'[94]VENTAS TOTALES'!$G140</f>
        <v>0</v>
      </c>
      <c r="CB117" s="344">
        <f>+'[94]VENTAS TOTALES'!$H140</f>
        <v>0</v>
      </c>
      <c r="CC117" s="343">
        <f>+'[95]VENTAS TOTALES'!$F140</f>
        <v>0</v>
      </c>
      <c r="CD117" s="344">
        <f>+'[95]VENTAS TOTALES'!$G140</f>
        <v>0</v>
      </c>
      <c r="CE117" s="344">
        <f>+'[95]VENTAS TOTALES'!$H140</f>
        <v>0</v>
      </c>
      <c r="CF117" s="343">
        <f>+'[96]VENTAS TOTALES'!$F140</f>
        <v>1457</v>
      </c>
      <c r="CG117" s="344">
        <f>+'[96]VENTAS TOTALES'!$G140</f>
        <v>3026600</v>
      </c>
      <c r="CH117" s="344">
        <f>+'[96]VENTAS TOTALES'!$H140</f>
        <v>5503500</v>
      </c>
      <c r="CI117" s="343">
        <f>+'[97]VENTAS TOTALES'!$F140</f>
        <v>1466</v>
      </c>
      <c r="CJ117" s="344">
        <f>+'[97]VENTAS TOTALES'!$G140</f>
        <v>2301800</v>
      </c>
      <c r="CK117" s="344">
        <f>+'[97]VENTAS TOTALES'!$H140</f>
        <v>4794000</v>
      </c>
      <c r="CL117" s="343">
        <f>+'[98]VENTAS TOTALES'!$F140</f>
        <v>887</v>
      </c>
      <c r="CM117" s="344">
        <f>+'[98]VENTAS TOTALES'!$G140</f>
        <v>1562700</v>
      </c>
      <c r="CN117" s="344">
        <f>+'[98]VENTAS TOTALES'!$H140</f>
        <v>3070600</v>
      </c>
      <c r="CO117" s="343">
        <f>+'[99]VENTAS TOTALES'!$F140</f>
        <v>794</v>
      </c>
      <c r="CP117" s="344">
        <f>+'[99]VENTAS TOTALES'!$G140</f>
        <v>1229600</v>
      </c>
      <c r="CQ117" s="344">
        <f>+'[99]VENTAS TOTALES'!$H140</f>
        <v>2579400</v>
      </c>
      <c r="CR117" s="343">
        <f>+'[100]VENTAS TOTALES'!$F140</f>
        <v>471</v>
      </c>
      <c r="CS117" s="344">
        <f>+'[100]VENTAS TOTALES'!$G140</f>
        <v>553500</v>
      </c>
      <c r="CT117" s="344">
        <f>+'[100]VENTAS TOTALES'!$H140</f>
        <v>1354200</v>
      </c>
      <c r="CU117" s="343">
        <f>+'[101]VENTAS TOTALES'!$F140</f>
        <v>0</v>
      </c>
      <c r="CV117" s="344">
        <f>+'[101]VENTAS TOTALES'!$G140</f>
        <v>0</v>
      </c>
      <c r="CW117" s="344">
        <f>+'[101]VENTAS TOTALES'!$H140</f>
        <v>0</v>
      </c>
      <c r="CX117" s="343">
        <f>+'[102]VENTAS TOTALES'!$F140</f>
        <v>0</v>
      </c>
      <c r="CY117" s="344">
        <f>+'[102]VENTAS TOTALES'!$G140</f>
        <v>0</v>
      </c>
      <c r="CZ117" s="344">
        <f>+'[102]VENTAS TOTALES'!$H140</f>
        <v>0</v>
      </c>
    </row>
    <row r="118" spans="1:104" s="10" customFormat="1" ht="12" customHeight="1" thickBot="1" x14ac:dyDescent="0.25">
      <c r="A118" s="455"/>
      <c r="B118" s="349" t="s">
        <v>300</v>
      </c>
      <c r="C118" s="343">
        <f>+'[69]VENTAS TOTALES'!$F141</f>
        <v>0</v>
      </c>
      <c r="D118" s="344">
        <f>+'[69]VENTAS TOTALES'!$G141</f>
        <v>0</v>
      </c>
      <c r="E118" s="344">
        <f>+'[69]VENTAS TOTALES'!$H141</f>
        <v>0</v>
      </c>
      <c r="F118" s="343">
        <f>+'[70]VENTAS TOTALES'!$F141</f>
        <v>0</v>
      </c>
      <c r="G118" s="344">
        <f>+'[70]VENTAS TOTALES'!$G141</f>
        <v>0</v>
      </c>
      <c r="H118" s="344">
        <f>+'[70]VENTAS TOTALES'!$H141</f>
        <v>0</v>
      </c>
      <c r="I118" s="343">
        <f>+'[71]VENTAS TOTALES'!$F141</f>
        <v>0</v>
      </c>
      <c r="J118" s="344">
        <f>+'[71]VENTAS TOTALES'!$G141</f>
        <v>0</v>
      </c>
      <c r="K118" s="344">
        <f>+'[71]VENTAS TOTALES'!$H141</f>
        <v>0</v>
      </c>
      <c r="L118" s="343">
        <f>+'[72]VENTAS TOTALES'!$F141</f>
        <v>0</v>
      </c>
      <c r="M118" s="344">
        <f>+'[72]VENTAS TOTALES'!$G141</f>
        <v>0</v>
      </c>
      <c r="N118" s="344">
        <f>+'[72]VENTAS TOTALES'!$H141</f>
        <v>0</v>
      </c>
      <c r="O118" s="343">
        <f>+'[73]VENTAS TOTALES'!$F141</f>
        <v>0</v>
      </c>
      <c r="P118" s="344">
        <f>+'[73]VENTAS TOTALES'!$G141</f>
        <v>0</v>
      </c>
      <c r="Q118" s="344">
        <f>+'[73]VENTAS TOTALES'!$H141</f>
        <v>0</v>
      </c>
      <c r="R118" s="343">
        <f>+'[74]VENTAS TOTALES'!$F141</f>
        <v>0</v>
      </c>
      <c r="S118" s="344">
        <f>+'[74]VENTAS TOTALES'!$G141</f>
        <v>0</v>
      </c>
      <c r="T118" s="344">
        <f>+'[74]VENTAS TOTALES'!$H141</f>
        <v>0</v>
      </c>
      <c r="U118" s="343">
        <f>+'[75]VENTAS TOTALES'!$F141</f>
        <v>0</v>
      </c>
      <c r="V118" s="344">
        <f>+'[75]VENTAS TOTALES'!$G141</f>
        <v>0</v>
      </c>
      <c r="W118" s="344">
        <f>+'[75]VENTAS TOTALES'!$H141</f>
        <v>0</v>
      </c>
      <c r="X118" s="343">
        <f>+'[76]VENTAS TOTALES'!$F141</f>
        <v>0</v>
      </c>
      <c r="Y118" s="344">
        <f>+'[76]VENTAS TOTALES'!$G141</f>
        <v>0</v>
      </c>
      <c r="Z118" s="344">
        <f>+'[76]VENTAS TOTALES'!$H141</f>
        <v>0</v>
      </c>
      <c r="AA118" s="343">
        <f>+'[77]VENTAS TOTALES'!$F141</f>
        <v>0</v>
      </c>
      <c r="AB118" s="344">
        <f>+'[77]VENTAS TOTALES'!$G141</f>
        <v>0</v>
      </c>
      <c r="AC118" s="344">
        <f>+'[77]VENTAS TOTALES'!$H141</f>
        <v>0</v>
      </c>
      <c r="AD118" s="343">
        <f>+'[78]VENTAS TOTALES'!$F141</f>
        <v>0</v>
      </c>
      <c r="AE118" s="344">
        <f>+'[78]VENTAS TOTALES'!$G141</f>
        <v>0</v>
      </c>
      <c r="AF118" s="344">
        <f>+'[78]VENTAS TOTALES'!$H141</f>
        <v>0</v>
      </c>
      <c r="AG118" s="343">
        <f>+'[79]VENTAS TOTALES'!$F141</f>
        <v>0</v>
      </c>
      <c r="AH118" s="344">
        <f>+'[79]VENTAS TOTALES'!$G141</f>
        <v>0</v>
      </c>
      <c r="AI118" s="344">
        <f>+'[79]VENTAS TOTALES'!$H141</f>
        <v>0</v>
      </c>
      <c r="AJ118" s="343">
        <f>+'[80]VENTAS TOTALES'!$F141</f>
        <v>0</v>
      </c>
      <c r="AK118" s="344">
        <f>+'[80]VENTAS TOTALES'!$G141</f>
        <v>0</v>
      </c>
      <c r="AL118" s="344">
        <f>+'[80]VENTAS TOTALES'!$H141</f>
        <v>0</v>
      </c>
      <c r="AM118" s="343">
        <f>+'[81]VENTAS TOTALES'!$F141</f>
        <v>0</v>
      </c>
      <c r="AN118" s="344">
        <f>+'[81]VENTAS TOTALES'!$G141</f>
        <v>0</v>
      </c>
      <c r="AO118" s="344">
        <f>+'[81]VENTAS TOTALES'!$H141</f>
        <v>0</v>
      </c>
      <c r="AP118" s="343">
        <f>+'[82]VENTAS TOTALES'!$F141</f>
        <v>0</v>
      </c>
      <c r="AQ118" s="344">
        <f>+'[82]VENTAS TOTALES'!$G141</f>
        <v>0</v>
      </c>
      <c r="AR118" s="344">
        <f>+'[82]VENTAS TOTALES'!$H141</f>
        <v>0</v>
      </c>
      <c r="AS118" s="343">
        <f>+'[83]VENTAS TOTALES'!$F141</f>
        <v>57</v>
      </c>
      <c r="AT118" s="344">
        <f>+'[83]VENTAS TOTALES'!$G141</f>
        <v>51300</v>
      </c>
      <c r="AU118" s="344">
        <f>+'[83]VENTAS TOTALES'!$H141</f>
        <v>148200</v>
      </c>
      <c r="AV118" s="343">
        <f>+'[84]VENTAS TOTALES'!$F141</f>
        <v>249</v>
      </c>
      <c r="AW118" s="344">
        <f>+'[84]VENTAS TOTALES'!$G141</f>
        <v>278800</v>
      </c>
      <c r="AX118" s="344">
        <f>+'[84]VENTAS TOTALES'!$H141</f>
        <v>702100</v>
      </c>
      <c r="AY118" s="343">
        <f>+'[85]VENTAS TOTALES'!$F141</f>
        <v>217</v>
      </c>
      <c r="AZ118" s="344">
        <f>+'[85]VENTAS TOTALES'!$G141</f>
        <v>456800</v>
      </c>
      <c r="BA118" s="344">
        <f>+'[85]VENTAS TOTALES'!$H141</f>
        <v>825700</v>
      </c>
      <c r="BB118" s="343">
        <f>+'[86]VENTAS TOTALES'!$F141</f>
        <v>225</v>
      </c>
      <c r="BC118" s="344">
        <f>+'[86]VENTAS TOTALES'!$G141</f>
        <v>270900</v>
      </c>
      <c r="BD118" s="344">
        <f>+'[86]VENTAS TOTALES'!$H141</f>
        <v>653400</v>
      </c>
      <c r="BE118" s="343">
        <f>+'[87]VENTAS TOTALES'!$F141</f>
        <v>0</v>
      </c>
      <c r="BF118" s="344">
        <f>+'[87]VENTAS TOTALES'!$G141</f>
        <v>0</v>
      </c>
      <c r="BG118" s="344">
        <f>+'[87]VENTAS TOTALES'!$H141</f>
        <v>0</v>
      </c>
      <c r="BH118" s="343">
        <f>+'[88]VENTAS TOTALES'!$F141</f>
        <v>0</v>
      </c>
      <c r="BI118" s="344">
        <f>+'[88]VENTAS TOTALES'!$G141</f>
        <v>0</v>
      </c>
      <c r="BJ118" s="344">
        <f>+'[88]VENTAS TOTALES'!$H141</f>
        <v>0</v>
      </c>
      <c r="BK118" s="343">
        <f>+'[89]VENTAS TOTALES'!$F141</f>
        <v>465</v>
      </c>
      <c r="BL118" s="344">
        <f>+'[89]VENTAS TOTALES'!$G141</f>
        <v>560700</v>
      </c>
      <c r="BM118" s="344">
        <f>+'[89]VENTAS TOTALES'!$H141</f>
        <v>1351200</v>
      </c>
      <c r="BN118" s="343">
        <f>+'[90]VENTAS TOTALES'!$F141</f>
        <v>317</v>
      </c>
      <c r="BO118" s="344">
        <f>+'[90]VENTAS TOTALES'!$G141</f>
        <v>410100</v>
      </c>
      <c r="BP118" s="344">
        <f>+'[90]VENTAS TOTALES'!$H141</f>
        <v>949000</v>
      </c>
      <c r="BQ118" s="343">
        <f>+'[91]VENTAS TOTALES'!$F141</f>
        <v>285</v>
      </c>
      <c r="BR118" s="344">
        <f>+'[91]VENTAS TOTALES'!$G141</f>
        <v>253800</v>
      </c>
      <c r="BS118" s="344">
        <f>+'[91]VENTAS TOTALES'!$H141</f>
        <v>738300</v>
      </c>
      <c r="BT118" s="343">
        <f>+'[92]VENTAS TOTALES'!$F141</f>
        <v>358</v>
      </c>
      <c r="BU118" s="344">
        <f>+'[92]VENTAS TOTALES'!$G141</f>
        <v>275800</v>
      </c>
      <c r="BV118" s="344">
        <f>+'[92]VENTAS TOTALES'!$H141</f>
        <v>884400</v>
      </c>
      <c r="BW118" s="343">
        <f>+'[93]VENTAS TOTALES'!$F141</f>
        <v>296</v>
      </c>
      <c r="BX118" s="344">
        <f>+'[93]VENTAS TOTALES'!$G141</f>
        <v>423800</v>
      </c>
      <c r="BY118" s="344">
        <f>+'[93]VENTAS TOTALES'!$H141</f>
        <v>927000</v>
      </c>
      <c r="BZ118" s="343">
        <f>+'[94]VENTAS TOTALES'!$F141</f>
        <v>0</v>
      </c>
      <c r="CA118" s="344">
        <f>+'[94]VENTAS TOTALES'!$G141</f>
        <v>0</v>
      </c>
      <c r="CB118" s="344">
        <f>+'[94]VENTAS TOTALES'!$H141</f>
        <v>0</v>
      </c>
      <c r="CC118" s="343">
        <f>+'[95]VENTAS TOTALES'!$F141</f>
        <v>0</v>
      </c>
      <c r="CD118" s="344">
        <f>+'[95]VENTAS TOTALES'!$G141</f>
        <v>0</v>
      </c>
      <c r="CE118" s="344">
        <f>+'[95]VENTAS TOTALES'!$H141</f>
        <v>0</v>
      </c>
      <c r="CF118" s="343">
        <f>+'[96]VENTAS TOTALES'!$F141</f>
        <v>580</v>
      </c>
      <c r="CG118" s="344">
        <f>+'[96]VENTAS TOTALES'!$G141</f>
        <v>1136500</v>
      </c>
      <c r="CH118" s="344">
        <f>+'[96]VENTAS TOTALES'!$H141</f>
        <v>2122500</v>
      </c>
      <c r="CI118" s="343">
        <f>+'[97]VENTAS TOTALES'!$F141</f>
        <v>420</v>
      </c>
      <c r="CJ118" s="344">
        <f>+'[97]VENTAS TOTALES'!$G141</f>
        <v>569100</v>
      </c>
      <c r="CK118" s="344">
        <f>+'[97]VENTAS TOTALES'!$H141</f>
        <v>1283100</v>
      </c>
      <c r="CL118" s="343">
        <f>+'[98]VENTAS TOTALES'!$F141</f>
        <v>386</v>
      </c>
      <c r="CM118" s="344">
        <f>+'[98]VENTAS TOTALES'!$G141</f>
        <v>473600</v>
      </c>
      <c r="CN118" s="344">
        <f>+'[98]VENTAS TOTALES'!$H141</f>
        <v>1129800</v>
      </c>
      <c r="CO118" s="343">
        <f>+'[99]VENTAS TOTALES'!$F141</f>
        <v>419</v>
      </c>
      <c r="CP118" s="344">
        <f>+'[99]VENTAS TOTALES'!$G141</f>
        <v>463400</v>
      </c>
      <c r="CQ118" s="344">
        <f>+'[99]VENTAS TOTALES'!$H141</f>
        <v>1175700</v>
      </c>
      <c r="CR118" s="343">
        <f>+'[100]VENTAS TOTALES'!$F141</f>
        <v>354</v>
      </c>
      <c r="CS118" s="344">
        <f>+'[100]VENTAS TOTALES'!$G141</f>
        <v>612500</v>
      </c>
      <c r="CT118" s="344">
        <f>+'[100]VENTAS TOTALES'!$H141</f>
        <v>1214300</v>
      </c>
      <c r="CU118" s="343">
        <f>+'[101]VENTAS TOTALES'!$F141</f>
        <v>0</v>
      </c>
      <c r="CV118" s="344">
        <f>+'[101]VENTAS TOTALES'!$G141</f>
        <v>0</v>
      </c>
      <c r="CW118" s="344">
        <f>+'[101]VENTAS TOTALES'!$H141</f>
        <v>0</v>
      </c>
      <c r="CX118" s="343">
        <f>+'[102]VENTAS TOTALES'!$F141</f>
        <v>0</v>
      </c>
      <c r="CY118" s="344">
        <f>+'[102]VENTAS TOTALES'!$G141</f>
        <v>0</v>
      </c>
      <c r="CZ118" s="344">
        <f>+'[102]VENTAS TOTALES'!$H141</f>
        <v>0</v>
      </c>
    </row>
    <row r="119" spans="1:104" s="10" customFormat="1" ht="12" customHeight="1" thickBot="1" x14ac:dyDescent="0.25">
      <c r="A119" s="455"/>
      <c r="B119" s="349" t="s">
        <v>301</v>
      </c>
      <c r="C119" s="343">
        <f>+'[69]VENTAS TOTALES'!$F142</f>
        <v>430</v>
      </c>
      <c r="D119" s="344">
        <f>+'[69]VENTAS TOTALES'!$G142</f>
        <v>855700</v>
      </c>
      <c r="E119" s="344">
        <f>+'[69]VENTAS TOTALES'!$H142</f>
        <v>1586700</v>
      </c>
      <c r="F119" s="343">
        <f>+'[70]VENTAS TOTALES'!$F142</f>
        <v>283</v>
      </c>
      <c r="G119" s="344">
        <f>+'[70]VENTAS TOTALES'!$G142</f>
        <v>871600</v>
      </c>
      <c r="H119" s="344">
        <f>+'[70]VENTAS TOTALES'!$H142</f>
        <v>1352700</v>
      </c>
      <c r="I119" s="343">
        <f>+'[71]VENTAS TOTALES'!$F142</f>
        <v>240</v>
      </c>
      <c r="J119" s="344">
        <f>+'[71]VENTAS TOTALES'!$G142</f>
        <v>542400</v>
      </c>
      <c r="K119" s="344">
        <f>+'[71]VENTAS TOTALES'!$H142</f>
        <v>950400</v>
      </c>
      <c r="L119" s="343">
        <f>+'[72]VENTAS TOTALES'!$F142</f>
        <v>228</v>
      </c>
      <c r="M119" s="344">
        <f>+'[72]VENTAS TOTALES'!$G142</f>
        <v>499800</v>
      </c>
      <c r="N119" s="344">
        <f>+'[72]VENTAS TOTALES'!$H142</f>
        <v>887400</v>
      </c>
      <c r="O119" s="343">
        <f>+'[73]VENTAS TOTALES'!$F142</f>
        <v>0</v>
      </c>
      <c r="P119" s="344">
        <f>+'[73]VENTAS TOTALES'!$G142</f>
        <v>0</v>
      </c>
      <c r="Q119" s="344">
        <f>+'[73]VENTAS TOTALES'!$H142</f>
        <v>0</v>
      </c>
      <c r="R119" s="343">
        <f>+'[74]VENTAS TOTALES'!$F142</f>
        <v>0</v>
      </c>
      <c r="S119" s="344">
        <f>+'[74]VENTAS TOTALES'!$G142</f>
        <v>0</v>
      </c>
      <c r="T119" s="344">
        <f>+'[74]VENTAS TOTALES'!$H142</f>
        <v>0</v>
      </c>
      <c r="U119" s="343">
        <f>+'[75]VENTAS TOTALES'!$F142</f>
        <v>205</v>
      </c>
      <c r="V119" s="344">
        <f>+'[75]VENTAS TOTALES'!$G142</f>
        <v>414800</v>
      </c>
      <c r="W119" s="344">
        <f>+'[75]VENTAS TOTALES'!$H142</f>
        <v>763300</v>
      </c>
      <c r="X119" s="343">
        <f>+'[76]VENTAS TOTALES'!$F142</f>
        <v>207</v>
      </c>
      <c r="Y119" s="344">
        <f>+'[76]VENTAS TOTALES'!$G142</f>
        <v>708000</v>
      </c>
      <c r="Z119" s="344">
        <f>+'[76]VENTAS TOTALES'!$H142</f>
        <v>1059900</v>
      </c>
      <c r="AA119" s="343">
        <f>+'[77]VENTAS TOTALES'!$F142</f>
        <v>239</v>
      </c>
      <c r="AB119" s="344">
        <f>+'[77]VENTAS TOTALES'!$G142</f>
        <v>340100</v>
      </c>
      <c r="AC119" s="344">
        <f>+'[77]VENTAS TOTALES'!$H142</f>
        <v>746400</v>
      </c>
      <c r="AD119" s="343">
        <f>+'[78]VENTAS TOTALES'!$F142</f>
        <v>258</v>
      </c>
      <c r="AE119" s="344">
        <f>+'[78]VENTAS TOTALES'!$G142</f>
        <v>372700</v>
      </c>
      <c r="AF119" s="344">
        <f>+'[78]VENTAS TOTALES'!$H142</f>
        <v>811300</v>
      </c>
      <c r="AG119" s="343">
        <f>+'[79]VENTAS TOTALES'!$F142</f>
        <v>150</v>
      </c>
      <c r="AH119" s="344">
        <f>+'[79]VENTAS TOTALES'!$G142</f>
        <v>258200</v>
      </c>
      <c r="AI119" s="344">
        <f>+'[79]VENTAS TOTALES'!$H142</f>
        <v>513200</v>
      </c>
      <c r="AJ119" s="343">
        <f>+'[80]VENTAS TOTALES'!$F142</f>
        <v>0</v>
      </c>
      <c r="AK119" s="344">
        <f>+'[80]VENTAS TOTALES'!$G142</f>
        <v>0</v>
      </c>
      <c r="AL119" s="344">
        <f>+'[80]VENTAS TOTALES'!$H142</f>
        <v>0</v>
      </c>
      <c r="AM119" s="343">
        <f>+'[81]VENTAS TOTALES'!$F142</f>
        <v>0</v>
      </c>
      <c r="AN119" s="344">
        <f>+'[81]VENTAS TOTALES'!$G142</f>
        <v>0</v>
      </c>
      <c r="AO119" s="344">
        <f>+'[81]VENTAS TOTALES'!$H142</f>
        <v>0</v>
      </c>
      <c r="AP119" s="343">
        <f>+'[82]VENTAS TOTALES'!$F142</f>
        <v>430</v>
      </c>
      <c r="AQ119" s="344">
        <f>+'[82]VENTAS TOTALES'!$G142</f>
        <v>757800</v>
      </c>
      <c r="AR119" s="344">
        <f>+'[82]VENTAS TOTALES'!$H142</f>
        <v>1488800</v>
      </c>
      <c r="AS119" s="343">
        <f>+'[83]VENTAS TOTALES'!$F142</f>
        <v>322</v>
      </c>
      <c r="AT119" s="344">
        <f>+'[83]VENTAS TOTALES'!$G142</f>
        <v>780200</v>
      </c>
      <c r="AU119" s="344">
        <f>+'[83]VENTAS TOTALES'!$H142</f>
        <v>1327600</v>
      </c>
      <c r="AV119" s="343">
        <f>+'[84]VENTAS TOTALES'!$F142</f>
        <v>197</v>
      </c>
      <c r="AW119" s="344">
        <f>+'[84]VENTAS TOTALES'!$G142</f>
        <v>546900</v>
      </c>
      <c r="AX119" s="344">
        <f>+'[84]VENTAS TOTALES'!$H142</f>
        <v>881800</v>
      </c>
      <c r="AY119" s="343">
        <f>+'[85]VENTAS TOTALES'!$F142</f>
        <v>292</v>
      </c>
      <c r="AZ119" s="344">
        <f>+'[85]VENTAS TOTALES'!$G142</f>
        <v>614600</v>
      </c>
      <c r="BA119" s="344">
        <f>+'[85]VENTAS TOTALES'!$H142</f>
        <v>1111000</v>
      </c>
      <c r="BB119" s="343">
        <f>+'[86]VENTAS TOTALES'!$F142</f>
        <v>166</v>
      </c>
      <c r="BC119" s="344">
        <f>+'[86]VENTAS TOTALES'!$G142</f>
        <v>367400</v>
      </c>
      <c r="BD119" s="344">
        <f>+'[86]VENTAS TOTALES'!$H142</f>
        <v>649600</v>
      </c>
      <c r="BE119" s="343">
        <f>+'[87]VENTAS TOTALES'!$F142</f>
        <v>0</v>
      </c>
      <c r="BF119" s="344">
        <f>+'[87]VENTAS TOTALES'!$G142</f>
        <v>0</v>
      </c>
      <c r="BG119" s="344">
        <f>+'[87]VENTAS TOTALES'!$H142</f>
        <v>0</v>
      </c>
      <c r="BH119" s="343">
        <f>+'[88]VENTAS TOTALES'!$F142</f>
        <v>0</v>
      </c>
      <c r="BI119" s="344">
        <f>+'[88]VENTAS TOTALES'!$G142</f>
        <v>0</v>
      </c>
      <c r="BJ119" s="344">
        <f>+'[88]VENTAS TOTALES'!$H142</f>
        <v>0</v>
      </c>
      <c r="BK119" s="343">
        <f>+'[89]VENTAS TOTALES'!$F142</f>
        <v>476</v>
      </c>
      <c r="BL119" s="344">
        <f>+'[89]VENTAS TOTALES'!$G142</f>
        <v>594550</v>
      </c>
      <c r="BM119" s="344">
        <f>+'[89]VENTAS TOTALES'!$H142</f>
        <v>1403750</v>
      </c>
      <c r="BN119" s="343">
        <f>+'[90]VENTAS TOTALES'!$F142</f>
        <v>328</v>
      </c>
      <c r="BO119" s="344">
        <f>+'[90]VENTAS TOTALES'!$G142</f>
        <v>698000</v>
      </c>
      <c r="BP119" s="344">
        <f>+'[90]VENTAS TOTALES'!$H142</f>
        <v>1255600</v>
      </c>
      <c r="BQ119" s="343">
        <f>+'[91]VENTAS TOTALES'!$F142</f>
        <v>222</v>
      </c>
      <c r="BR119" s="344">
        <f>+'[91]VENTAS TOTALES'!$G142</f>
        <v>397500</v>
      </c>
      <c r="BS119" s="344">
        <f>+'[91]VENTAS TOTALES'!$H142</f>
        <v>774900</v>
      </c>
      <c r="BT119" s="343">
        <f>+'[92]VENTAS TOTALES'!$F142</f>
        <v>152</v>
      </c>
      <c r="BU119" s="344">
        <f>+'[92]VENTAS TOTALES'!$G142</f>
        <v>389900</v>
      </c>
      <c r="BV119" s="344">
        <f>+'[92]VENTAS TOTALES'!$H142</f>
        <v>648300</v>
      </c>
      <c r="BW119" s="343">
        <f>+'[93]VENTAS TOTALES'!$F142</f>
        <v>191</v>
      </c>
      <c r="BX119" s="344">
        <f>+'[93]VENTAS TOTALES'!$G142</f>
        <v>440300</v>
      </c>
      <c r="BY119" s="344">
        <f>+'[93]VENTAS TOTALES'!$H142</f>
        <v>765000</v>
      </c>
      <c r="BZ119" s="343">
        <f>+'[94]VENTAS TOTALES'!$F142</f>
        <v>0</v>
      </c>
      <c r="CA119" s="344">
        <f>+'[94]VENTAS TOTALES'!$G142</f>
        <v>0</v>
      </c>
      <c r="CB119" s="344">
        <f>+'[94]VENTAS TOTALES'!$H142</f>
        <v>0</v>
      </c>
      <c r="CC119" s="343">
        <f>+'[95]VENTAS TOTALES'!$F142</f>
        <v>0</v>
      </c>
      <c r="CD119" s="344">
        <f>+'[95]VENTAS TOTALES'!$G142</f>
        <v>0</v>
      </c>
      <c r="CE119" s="344">
        <f>+'[95]VENTAS TOTALES'!$H142</f>
        <v>0</v>
      </c>
      <c r="CF119" s="343">
        <f>+'[96]VENTAS TOTALES'!$F142</f>
        <v>610</v>
      </c>
      <c r="CG119" s="344">
        <f>+'[96]VENTAS TOTALES'!$G142</f>
        <v>1310900</v>
      </c>
      <c r="CH119" s="344">
        <f>+'[96]VENTAS TOTALES'!$H142</f>
        <v>2347900</v>
      </c>
      <c r="CI119" s="343">
        <f>+'[97]VENTAS TOTALES'!$F142</f>
        <v>549</v>
      </c>
      <c r="CJ119" s="344">
        <f>+'[97]VENTAS TOTALES'!$G142</f>
        <v>1574300</v>
      </c>
      <c r="CK119" s="344">
        <f>+'[97]VENTAS TOTALES'!$H142</f>
        <v>2507600</v>
      </c>
      <c r="CL119" s="343">
        <f>+'[98]VENTAS TOTALES'!$F142</f>
        <v>368</v>
      </c>
      <c r="CM119" s="344">
        <f>+'[98]VENTAS TOTALES'!$G142</f>
        <v>841800</v>
      </c>
      <c r="CN119" s="344">
        <f>+'[98]VENTAS TOTALES'!$H142</f>
        <v>1467400</v>
      </c>
      <c r="CO119" s="343">
        <f>+'[99]VENTAS TOTALES'!$F142</f>
        <v>319</v>
      </c>
      <c r="CP119" s="344">
        <f>+'[99]VENTAS TOTALES'!$G142</f>
        <v>960900</v>
      </c>
      <c r="CQ119" s="344">
        <f>+'[99]VENTAS TOTALES'!$H142</f>
        <v>1503200</v>
      </c>
      <c r="CR119" s="343">
        <f>+'[100]VENTAS TOTALES'!$F142</f>
        <v>192</v>
      </c>
      <c r="CS119" s="344">
        <f>+'[100]VENTAS TOTALES'!$G142</f>
        <v>456100</v>
      </c>
      <c r="CT119" s="344">
        <f>+'[100]VENTAS TOTALES'!$H142</f>
        <v>782500</v>
      </c>
      <c r="CU119" s="343">
        <f>+'[101]VENTAS TOTALES'!$F142</f>
        <v>0</v>
      </c>
      <c r="CV119" s="344">
        <f>+'[101]VENTAS TOTALES'!$G142</f>
        <v>0</v>
      </c>
      <c r="CW119" s="344">
        <f>+'[101]VENTAS TOTALES'!$H142</f>
        <v>0</v>
      </c>
      <c r="CX119" s="343">
        <f>+'[102]VENTAS TOTALES'!$F142</f>
        <v>0</v>
      </c>
      <c r="CY119" s="344">
        <f>+'[102]VENTAS TOTALES'!$G142</f>
        <v>0</v>
      </c>
      <c r="CZ119" s="344">
        <f>+'[102]VENTAS TOTALES'!$H142</f>
        <v>0</v>
      </c>
    </row>
    <row r="120" spans="1:104" s="10" customFormat="1" ht="12" customHeight="1" thickBot="1" x14ac:dyDescent="0.25">
      <c r="A120" s="455"/>
      <c r="B120" s="349" t="s">
        <v>302</v>
      </c>
      <c r="C120" s="343">
        <f>+'[69]VENTAS TOTALES'!$F143</f>
        <v>505</v>
      </c>
      <c r="D120" s="344">
        <f>+'[69]VENTAS TOTALES'!$G143</f>
        <v>1210400</v>
      </c>
      <c r="E120" s="344">
        <f>+'[69]VENTAS TOTALES'!$H143</f>
        <v>2068900</v>
      </c>
      <c r="F120" s="343">
        <f>+'[70]VENTAS TOTALES'!$F143</f>
        <v>552</v>
      </c>
      <c r="G120" s="344">
        <f>+'[70]VENTAS TOTALES'!$G143</f>
        <v>868700</v>
      </c>
      <c r="H120" s="344">
        <f>+'[70]VENTAS TOTALES'!$H143</f>
        <v>1807100</v>
      </c>
      <c r="I120" s="343">
        <f>+'[71]VENTAS TOTALES'!$F143</f>
        <v>359</v>
      </c>
      <c r="J120" s="344">
        <f>+'[71]VENTAS TOTALES'!$G143</f>
        <v>710800</v>
      </c>
      <c r="K120" s="344">
        <f>+'[71]VENTAS TOTALES'!$H143</f>
        <v>1321100</v>
      </c>
      <c r="L120" s="343">
        <f>+'[72]VENTAS TOTALES'!$F143</f>
        <v>342</v>
      </c>
      <c r="M120" s="344">
        <f>+'[72]VENTAS TOTALES'!$G143</f>
        <v>472700</v>
      </c>
      <c r="N120" s="344">
        <f>+'[72]VENTAS TOTALES'!$H143</f>
        <v>1054100</v>
      </c>
      <c r="O120" s="343">
        <f>+'[73]VENTAS TOTALES'!$F143</f>
        <v>0</v>
      </c>
      <c r="P120" s="344">
        <f>+'[73]VENTAS TOTALES'!$G143</f>
        <v>0</v>
      </c>
      <c r="Q120" s="344">
        <f>+'[73]VENTAS TOTALES'!$H143</f>
        <v>0</v>
      </c>
      <c r="R120" s="343">
        <f>+'[74]VENTAS TOTALES'!$F143</f>
        <v>0</v>
      </c>
      <c r="S120" s="344">
        <f>+'[74]VENTAS TOTALES'!$G143</f>
        <v>0</v>
      </c>
      <c r="T120" s="344">
        <f>+'[74]VENTAS TOTALES'!$H143</f>
        <v>0</v>
      </c>
      <c r="U120" s="343">
        <f>+'[75]VENTAS TOTALES'!$F143</f>
        <v>555</v>
      </c>
      <c r="V120" s="344">
        <f>+'[75]VENTAS TOTALES'!$G143</f>
        <v>968200</v>
      </c>
      <c r="W120" s="344">
        <f>+'[75]VENTAS TOTALES'!$H143</f>
        <v>1911700</v>
      </c>
      <c r="X120" s="343">
        <f>+'[76]VENTAS TOTALES'!$F143</f>
        <v>418</v>
      </c>
      <c r="Y120" s="344">
        <f>+'[76]VENTAS TOTALES'!$G143</f>
        <v>674800</v>
      </c>
      <c r="Z120" s="344">
        <f>+'[76]VENTAS TOTALES'!$H143</f>
        <v>1385400</v>
      </c>
      <c r="AA120" s="343">
        <f>+'[77]VENTAS TOTALES'!$F143</f>
        <v>301</v>
      </c>
      <c r="AB120" s="344">
        <f>+'[77]VENTAS TOTALES'!$G143</f>
        <v>694400</v>
      </c>
      <c r="AC120" s="344">
        <f>+'[77]VENTAS TOTALES'!$H143</f>
        <v>1206100</v>
      </c>
      <c r="AD120" s="343">
        <f>+'[78]VENTAS TOTALES'!$F143</f>
        <v>427</v>
      </c>
      <c r="AE120" s="344">
        <f>+'[78]VENTAS TOTALES'!$G143</f>
        <v>502400</v>
      </c>
      <c r="AF120" s="344">
        <f>+'[78]VENTAS TOTALES'!$H143</f>
        <v>1228300</v>
      </c>
      <c r="AG120" s="343">
        <f>+'[79]VENTAS TOTALES'!$F143</f>
        <v>273</v>
      </c>
      <c r="AH120" s="344">
        <f>+'[79]VENTAS TOTALES'!$G143</f>
        <v>564900</v>
      </c>
      <c r="AI120" s="344">
        <f>+'[79]VENTAS TOTALES'!$H143</f>
        <v>1029000</v>
      </c>
      <c r="AJ120" s="343">
        <f>+'[80]VENTAS TOTALES'!$F143</f>
        <v>0</v>
      </c>
      <c r="AK120" s="344">
        <f>+'[80]VENTAS TOTALES'!$G143</f>
        <v>0</v>
      </c>
      <c r="AL120" s="344">
        <f>+'[80]VENTAS TOTALES'!$H143</f>
        <v>0</v>
      </c>
      <c r="AM120" s="343">
        <f>+'[81]VENTAS TOTALES'!$F143</f>
        <v>0</v>
      </c>
      <c r="AN120" s="344">
        <f>+'[81]VENTAS TOTALES'!$G143</f>
        <v>0</v>
      </c>
      <c r="AO120" s="344">
        <f>+'[81]VENTAS TOTALES'!$H143</f>
        <v>0</v>
      </c>
      <c r="AP120" s="343">
        <f>+'[82]VENTAS TOTALES'!$F143</f>
        <v>478</v>
      </c>
      <c r="AQ120" s="344">
        <f>+'[82]VENTAS TOTALES'!$G143</f>
        <v>833500</v>
      </c>
      <c r="AR120" s="344">
        <f>+'[82]VENTAS TOTALES'!$H143</f>
        <v>1646100</v>
      </c>
      <c r="AS120" s="343">
        <f>+'[83]VENTAS TOTALES'!$F143</f>
        <v>599</v>
      </c>
      <c r="AT120" s="344">
        <f>+'[83]VENTAS TOTALES'!$G143</f>
        <v>1200200</v>
      </c>
      <c r="AU120" s="344">
        <f>+'[83]VENTAS TOTALES'!$H143</f>
        <v>2218500</v>
      </c>
      <c r="AV120" s="343">
        <f>+'[84]VENTAS TOTALES'!$F143</f>
        <v>473</v>
      </c>
      <c r="AW120" s="344">
        <f>+'[84]VENTAS TOTALES'!$G143</f>
        <v>841500</v>
      </c>
      <c r="AX120" s="344">
        <f>+'[84]VENTAS TOTALES'!$H143</f>
        <v>1645600</v>
      </c>
      <c r="AY120" s="343">
        <f>+'[85]VENTAS TOTALES'!$F143</f>
        <v>331</v>
      </c>
      <c r="AZ120" s="344">
        <f>+'[85]VENTAS TOTALES'!$G143</f>
        <v>697100</v>
      </c>
      <c r="BA120" s="344">
        <f>+'[85]VENTAS TOTALES'!$H143</f>
        <v>1259800</v>
      </c>
      <c r="BB120" s="343">
        <f>+'[86]VENTAS TOTALES'!$F143</f>
        <v>353</v>
      </c>
      <c r="BC120" s="344">
        <f>+'[86]VENTAS TOTALES'!$G143</f>
        <v>397400</v>
      </c>
      <c r="BD120" s="344">
        <f>+'[86]VENTAS TOTALES'!$H143</f>
        <v>997500</v>
      </c>
      <c r="BE120" s="343">
        <f>+'[87]VENTAS TOTALES'!$F143</f>
        <v>0</v>
      </c>
      <c r="BF120" s="344">
        <f>+'[87]VENTAS TOTALES'!$G143</f>
        <v>0</v>
      </c>
      <c r="BG120" s="344">
        <f>+'[87]VENTAS TOTALES'!$H143</f>
        <v>0</v>
      </c>
      <c r="BH120" s="343">
        <f>+'[88]VENTAS TOTALES'!$F143</f>
        <v>0</v>
      </c>
      <c r="BI120" s="344">
        <f>+'[88]VENTAS TOTALES'!$G143</f>
        <v>0</v>
      </c>
      <c r="BJ120" s="344">
        <f>+'[88]VENTAS TOTALES'!$H143</f>
        <v>0</v>
      </c>
      <c r="BK120" s="343">
        <f>+'[89]VENTAS TOTALES'!$F143</f>
        <v>510</v>
      </c>
      <c r="BL120" s="344">
        <f>+'[89]VENTAS TOTALES'!$G143</f>
        <v>914300</v>
      </c>
      <c r="BM120" s="344">
        <f>+'[89]VENTAS TOTALES'!$H143</f>
        <v>1781300</v>
      </c>
      <c r="BN120" s="343">
        <f>+'[90]VENTAS TOTALES'!$F143</f>
        <v>523</v>
      </c>
      <c r="BO120" s="344">
        <f>+'[90]VENTAS TOTALES'!$G143</f>
        <v>1022900</v>
      </c>
      <c r="BP120" s="344">
        <f>+'[90]VENTAS TOTALES'!$H143</f>
        <v>1912000</v>
      </c>
      <c r="BQ120" s="343">
        <f>+'[91]VENTAS TOTALES'!$F143</f>
        <v>366</v>
      </c>
      <c r="BR120" s="344">
        <f>+'[91]VENTAS TOTALES'!$G143</f>
        <v>668600</v>
      </c>
      <c r="BS120" s="344">
        <f>+'[91]VENTAS TOTALES'!$H143</f>
        <v>1290800</v>
      </c>
      <c r="BT120" s="343">
        <f>+'[92]VENTAS TOTALES'!$F143</f>
        <v>394</v>
      </c>
      <c r="BU120" s="344">
        <f>+'[92]VENTAS TOTALES'!$G143</f>
        <v>487600</v>
      </c>
      <c r="BV120" s="344">
        <f>+'[92]VENTAS TOTALES'!$H143</f>
        <v>1157400</v>
      </c>
      <c r="BW120" s="343">
        <f>+'[93]VENTAS TOTALES'!$F143</f>
        <v>337</v>
      </c>
      <c r="BX120" s="344">
        <f>+'[93]VENTAS TOTALES'!$G143</f>
        <v>521200</v>
      </c>
      <c r="BY120" s="344">
        <f>+'[93]VENTAS TOTALES'!$H143</f>
        <v>1094100</v>
      </c>
      <c r="BZ120" s="343">
        <f>+'[94]VENTAS TOTALES'!$F143</f>
        <v>0</v>
      </c>
      <c r="CA120" s="344">
        <f>+'[94]VENTAS TOTALES'!$G143</f>
        <v>0</v>
      </c>
      <c r="CB120" s="344">
        <f>+'[94]VENTAS TOTALES'!$H143</f>
        <v>0</v>
      </c>
      <c r="CC120" s="343">
        <f>+'[95]VENTAS TOTALES'!$F143</f>
        <v>0</v>
      </c>
      <c r="CD120" s="344">
        <f>+'[95]VENTAS TOTALES'!$G143</f>
        <v>0</v>
      </c>
      <c r="CE120" s="344">
        <f>+'[95]VENTAS TOTALES'!$H143</f>
        <v>0</v>
      </c>
      <c r="CF120" s="343">
        <f>+'[96]VENTAS TOTALES'!$F143</f>
        <v>722</v>
      </c>
      <c r="CG120" s="344">
        <f>+'[96]VENTAS TOTALES'!$G143</f>
        <v>1442100</v>
      </c>
      <c r="CH120" s="344">
        <f>+'[96]VENTAS TOTALES'!$H143</f>
        <v>2669500</v>
      </c>
      <c r="CI120" s="343">
        <f>+'[97]VENTAS TOTALES'!$F143</f>
        <v>556</v>
      </c>
      <c r="CJ120" s="344">
        <f>+'[97]VENTAS TOTALES'!$G143</f>
        <v>1221300</v>
      </c>
      <c r="CK120" s="344">
        <f>+'[97]VENTAS TOTALES'!$H143</f>
        <v>2166500</v>
      </c>
      <c r="CL120" s="343">
        <f>+'[98]VENTAS TOTALES'!$F143</f>
        <v>550</v>
      </c>
      <c r="CM120" s="344">
        <f>+'[98]VENTAS TOTALES'!$G143</f>
        <v>825300</v>
      </c>
      <c r="CN120" s="344">
        <f>+'[98]VENTAS TOTALES'!$H143</f>
        <v>1760300</v>
      </c>
      <c r="CO120" s="343">
        <f>+'[99]VENTAS TOTALES'!$F143</f>
        <v>346</v>
      </c>
      <c r="CP120" s="344">
        <f>+'[99]VENTAS TOTALES'!$G143</f>
        <v>679300</v>
      </c>
      <c r="CQ120" s="344">
        <f>+'[99]VENTAS TOTALES'!$H143</f>
        <v>1267500</v>
      </c>
      <c r="CR120" s="343">
        <f>+'[100]VENTAS TOTALES'!$F143</f>
        <v>384</v>
      </c>
      <c r="CS120" s="344">
        <f>+'[100]VENTAS TOTALES'!$G143</f>
        <v>487400</v>
      </c>
      <c r="CT120" s="344">
        <f>+'[100]VENTAS TOTALES'!$H143</f>
        <v>1140200</v>
      </c>
      <c r="CU120" s="343">
        <f>+'[101]VENTAS TOTALES'!$F143</f>
        <v>0</v>
      </c>
      <c r="CV120" s="344">
        <f>+'[101]VENTAS TOTALES'!$G143</f>
        <v>0</v>
      </c>
      <c r="CW120" s="344">
        <f>+'[101]VENTAS TOTALES'!$H143</f>
        <v>0</v>
      </c>
      <c r="CX120" s="343">
        <f>+'[102]VENTAS TOTALES'!$F143</f>
        <v>0</v>
      </c>
      <c r="CY120" s="344">
        <f>+'[102]VENTAS TOTALES'!$G143</f>
        <v>0</v>
      </c>
      <c r="CZ120" s="344">
        <f>+'[102]VENTAS TOTALES'!$H143</f>
        <v>0</v>
      </c>
    </row>
    <row r="121" spans="1:104" s="10" customFormat="1" ht="12" customHeight="1" thickBot="1" x14ac:dyDescent="0.25">
      <c r="A121" s="455"/>
      <c r="B121" s="349" t="s">
        <v>338</v>
      </c>
      <c r="C121" s="343">
        <f>+'[69]VENTAS TOTALES'!$F144</f>
        <v>310</v>
      </c>
      <c r="D121" s="344">
        <f>+'[69]VENTAS TOTALES'!$G144</f>
        <v>644500</v>
      </c>
      <c r="E121" s="344">
        <f>+'[69]VENTAS TOTALES'!$H144</f>
        <v>1171500</v>
      </c>
      <c r="F121" s="343">
        <f>+'[70]VENTAS TOTALES'!$F144</f>
        <v>406</v>
      </c>
      <c r="G121" s="344">
        <f>+'[70]VENTAS TOTALES'!$G144</f>
        <v>835300</v>
      </c>
      <c r="H121" s="344">
        <f>+'[70]VENTAS TOTALES'!$H144</f>
        <v>1525500</v>
      </c>
      <c r="I121" s="343">
        <f>+'[71]VENTAS TOTALES'!$F144</f>
        <v>208</v>
      </c>
      <c r="J121" s="344">
        <f>+'[71]VENTAS TOTALES'!$G144</f>
        <v>640000</v>
      </c>
      <c r="K121" s="344">
        <f>+'[71]VENTAS TOTALES'!$H144</f>
        <v>993600</v>
      </c>
      <c r="L121" s="343">
        <f>+'[72]VENTAS TOTALES'!$F144</f>
        <v>236</v>
      </c>
      <c r="M121" s="344">
        <f>+'[72]VENTAS TOTALES'!$G144</f>
        <v>433400</v>
      </c>
      <c r="N121" s="344">
        <f>+'[72]VENTAS TOTALES'!$H144</f>
        <v>834600</v>
      </c>
      <c r="O121" s="343">
        <f>+'[73]VENTAS TOTALES'!$F144</f>
        <v>0</v>
      </c>
      <c r="P121" s="344">
        <f>+'[73]VENTAS TOTALES'!$G144</f>
        <v>0</v>
      </c>
      <c r="Q121" s="344">
        <f>+'[73]VENTAS TOTALES'!$H144</f>
        <v>0</v>
      </c>
      <c r="R121" s="343">
        <f>+'[74]VENTAS TOTALES'!$F144</f>
        <v>0</v>
      </c>
      <c r="S121" s="344">
        <f>+'[74]VENTAS TOTALES'!$G144</f>
        <v>0</v>
      </c>
      <c r="T121" s="344">
        <f>+'[74]VENTAS TOTALES'!$H144</f>
        <v>0</v>
      </c>
      <c r="U121" s="343">
        <f>+'[75]VENTAS TOTALES'!$F144</f>
        <v>517</v>
      </c>
      <c r="V121" s="344">
        <f>+'[75]VENTAS TOTALES'!$G144</f>
        <v>953400</v>
      </c>
      <c r="W121" s="344">
        <f>+'[75]VENTAS TOTALES'!$H144</f>
        <v>1832300</v>
      </c>
      <c r="X121" s="343">
        <f>+'[76]VENTAS TOTALES'!$F144</f>
        <v>251</v>
      </c>
      <c r="Y121" s="344">
        <f>+'[76]VENTAS TOTALES'!$G144</f>
        <v>585000</v>
      </c>
      <c r="Z121" s="344">
        <f>+'[76]VENTAS TOTALES'!$H144</f>
        <v>1011700</v>
      </c>
      <c r="AA121" s="343">
        <f>+'[77]VENTAS TOTALES'!$F144</f>
        <v>225</v>
      </c>
      <c r="AB121" s="344">
        <f>+'[77]VENTAS TOTALES'!$G144</f>
        <v>841000</v>
      </c>
      <c r="AC121" s="344">
        <f>+'[77]VENTAS TOTALES'!$H144</f>
        <v>1223500</v>
      </c>
      <c r="AD121" s="343">
        <f>+'[78]VENTAS TOTALES'!$F144</f>
        <v>282</v>
      </c>
      <c r="AE121" s="344">
        <f>+'[78]VENTAS TOTALES'!$G144</f>
        <v>624800</v>
      </c>
      <c r="AF121" s="344">
        <f>+'[78]VENTAS TOTALES'!$H144</f>
        <v>1104200</v>
      </c>
      <c r="AG121" s="343">
        <f>+'[79]VENTAS TOTALES'!$F144</f>
        <v>248</v>
      </c>
      <c r="AH121" s="344">
        <f>+'[79]VENTAS TOTALES'!$G144</f>
        <v>488200</v>
      </c>
      <c r="AI121" s="344">
        <f>+'[79]VENTAS TOTALES'!$H144</f>
        <v>909800</v>
      </c>
      <c r="AJ121" s="343">
        <f>+'[80]VENTAS TOTALES'!$F144</f>
        <v>0</v>
      </c>
      <c r="AK121" s="344">
        <f>+'[80]VENTAS TOTALES'!$G144</f>
        <v>0</v>
      </c>
      <c r="AL121" s="344">
        <f>+'[80]VENTAS TOTALES'!$H144</f>
        <v>0</v>
      </c>
      <c r="AM121" s="343">
        <f>+'[81]VENTAS TOTALES'!$F144</f>
        <v>0</v>
      </c>
      <c r="AN121" s="344">
        <f>+'[81]VENTAS TOTALES'!$G144</f>
        <v>0</v>
      </c>
      <c r="AO121" s="344">
        <f>+'[81]VENTAS TOTALES'!$H144</f>
        <v>0</v>
      </c>
      <c r="AP121" s="343">
        <f>+'[82]VENTAS TOTALES'!$F144</f>
        <v>504</v>
      </c>
      <c r="AQ121" s="344">
        <f>+'[82]VENTAS TOTALES'!$G144</f>
        <v>969400</v>
      </c>
      <c r="AR121" s="344">
        <f>+'[82]VENTAS TOTALES'!$H144</f>
        <v>1826200</v>
      </c>
      <c r="AS121" s="343">
        <f>+'[83]VENTAS TOTALES'!$F144</f>
        <v>334</v>
      </c>
      <c r="AT121" s="344">
        <f>+'[83]VENTAS TOTALES'!$G144</f>
        <v>556900</v>
      </c>
      <c r="AU121" s="344">
        <f>+'[83]VENTAS TOTALES'!$H144</f>
        <v>1124700</v>
      </c>
      <c r="AV121" s="343">
        <f>+'[84]VENTAS TOTALES'!$F144</f>
        <v>209</v>
      </c>
      <c r="AW121" s="344">
        <f>+'[84]VENTAS TOTALES'!$G144</f>
        <v>791800</v>
      </c>
      <c r="AX121" s="344">
        <f>+'[84]VENTAS TOTALES'!$H144</f>
        <v>1147100</v>
      </c>
      <c r="AY121" s="343">
        <f>+'[85]VENTAS TOTALES'!$F144</f>
        <v>253</v>
      </c>
      <c r="AZ121" s="344">
        <f>+'[85]VENTAS TOTALES'!$G144</f>
        <v>696600</v>
      </c>
      <c r="BA121" s="344">
        <f>+'[85]VENTAS TOTALES'!$H144</f>
        <v>1126700</v>
      </c>
      <c r="BB121" s="343">
        <f>+'[86]VENTAS TOTALES'!$F144</f>
        <v>166</v>
      </c>
      <c r="BC121" s="344">
        <f>+'[86]VENTAS TOTALES'!$G144</f>
        <v>609800</v>
      </c>
      <c r="BD121" s="344">
        <f>+'[86]VENTAS TOTALES'!$H144</f>
        <v>892000</v>
      </c>
      <c r="BE121" s="343">
        <f>+'[87]VENTAS TOTALES'!$F144</f>
        <v>0</v>
      </c>
      <c r="BF121" s="344">
        <f>+'[87]VENTAS TOTALES'!$G144</f>
        <v>0</v>
      </c>
      <c r="BG121" s="344">
        <f>+'[87]VENTAS TOTALES'!$H144</f>
        <v>0</v>
      </c>
      <c r="BH121" s="343">
        <f>+'[88]VENTAS TOTALES'!$F144</f>
        <v>0</v>
      </c>
      <c r="BI121" s="344">
        <f>+'[88]VENTAS TOTALES'!$G144</f>
        <v>0</v>
      </c>
      <c r="BJ121" s="344">
        <f>+'[88]VENTAS TOTALES'!$H144</f>
        <v>0</v>
      </c>
      <c r="BK121" s="343">
        <f>+'[89]VENTAS TOTALES'!$F144</f>
        <v>407</v>
      </c>
      <c r="BL121" s="344">
        <f>+'[89]VENTAS TOTALES'!$G144</f>
        <v>1010000</v>
      </c>
      <c r="BM121" s="344">
        <f>+'[89]VENTAS TOTALES'!$H144</f>
        <v>1701900</v>
      </c>
      <c r="BN121" s="343">
        <f>+'[90]VENTAS TOTALES'!$F144</f>
        <v>294</v>
      </c>
      <c r="BO121" s="344">
        <f>+'[90]VENTAS TOTALES'!$G144</f>
        <v>770900</v>
      </c>
      <c r="BP121" s="344">
        <f>+'[90]VENTAS TOTALES'!$H144</f>
        <v>1270700</v>
      </c>
      <c r="BQ121" s="343">
        <f>+'[91]VENTAS TOTALES'!$F144</f>
        <v>236</v>
      </c>
      <c r="BR121" s="344">
        <f>+'[91]VENTAS TOTALES'!$G144</f>
        <v>924600</v>
      </c>
      <c r="BS121" s="344">
        <f>+'[91]VENTAS TOTALES'!$H144</f>
        <v>1325800</v>
      </c>
      <c r="BT121" s="343">
        <f>+'[92]VENTAS TOTALES'!$F144</f>
        <v>239</v>
      </c>
      <c r="BU121" s="344">
        <f>+'[92]VENTAS TOTALES'!$G144</f>
        <v>602500</v>
      </c>
      <c r="BV121" s="344">
        <f>+'[92]VENTAS TOTALES'!$H144</f>
        <v>1008800</v>
      </c>
      <c r="BW121" s="343">
        <f>+'[93]VENTAS TOTALES'!$F144</f>
        <v>403</v>
      </c>
      <c r="BX121" s="344">
        <f>+'[93]VENTAS TOTALES'!$G144</f>
        <v>914100</v>
      </c>
      <c r="BY121" s="344">
        <f>+'[93]VENTAS TOTALES'!$H144</f>
        <v>1599200</v>
      </c>
      <c r="BZ121" s="343">
        <f>+'[94]VENTAS TOTALES'!$F144</f>
        <v>0</v>
      </c>
      <c r="CA121" s="344">
        <f>+'[94]VENTAS TOTALES'!$G144</f>
        <v>0</v>
      </c>
      <c r="CB121" s="344">
        <f>+'[94]VENTAS TOTALES'!$H144</f>
        <v>0</v>
      </c>
      <c r="CC121" s="343">
        <f>+'[95]VENTAS TOTALES'!$F144</f>
        <v>0</v>
      </c>
      <c r="CD121" s="344">
        <f>+'[95]VENTAS TOTALES'!$G144</f>
        <v>0</v>
      </c>
      <c r="CE121" s="344">
        <f>+'[95]VENTAS TOTALES'!$H144</f>
        <v>0</v>
      </c>
      <c r="CF121" s="343">
        <f>+'[96]VENTAS TOTALES'!$F144</f>
        <v>595</v>
      </c>
      <c r="CG121" s="344">
        <f>+'[96]VENTAS TOTALES'!$G144</f>
        <v>1536800</v>
      </c>
      <c r="CH121" s="344">
        <f>+'[96]VENTAS TOTALES'!$H144</f>
        <v>2548300</v>
      </c>
      <c r="CI121" s="343">
        <f>+'[97]VENTAS TOTALES'!$F144</f>
        <v>341</v>
      </c>
      <c r="CJ121" s="344">
        <f>+'[97]VENTAS TOTALES'!$G144</f>
        <v>1191300</v>
      </c>
      <c r="CK121" s="344">
        <f>+'[97]VENTAS TOTALES'!$H144</f>
        <v>1771000</v>
      </c>
      <c r="CL121" s="343">
        <f>+'[98]VENTAS TOTALES'!$F144</f>
        <v>359</v>
      </c>
      <c r="CM121" s="344">
        <f>+'[98]VENTAS TOTALES'!$G144</f>
        <v>800900</v>
      </c>
      <c r="CN121" s="344">
        <f>+'[98]VENTAS TOTALES'!$H144</f>
        <v>1411200</v>
      </c>
      <c r="CO121" s="343">
        <f>+'[99]VENTAS TOTALES'!$F144</f>
        <v>288</v>
      </c>
      <c r="CP121" s="344">
        <f>+'[99]VENTAS TOTALES'!$G144</f>
        <v>672200</v>
      </c>
      <c r="CQ121" s="344">
        <f>+'[99]VENTAS TOTALES'!$H144</f>
        <v>1161800</v>
      </c>
      <c r="CR121" s="343">
        <f>+'[100]VENTAS TOTALES'!$F144</f>
        <v>335</v>
      </c>
      <c r="CS121" s="344">
        <f>+'[100]VENTAS TOTALES'!$G144</f>
        <v>644700</v>
      </c>
      <c r="CT121" s="344">
        <f>+'[100]VENTAS TOTALES'!$H144</f>
        <v>1214200</v>
      </c>
      <c r="CU121" s="343">
        <f>+'[101]VENTAS TOTALES'!$F144</f>
        <v>0</v>
      </c>
      <c r="CV121" s="344">
        <f>+'[101]VENTAS TOTALES'!$G144</f>
        <v>0</v>
      </c>
      <c r="CW121" s="344">
        <f>+'[101]VENTAS TOTALES'!$H144</f>
        <v>0</v>
      </c>
      <c r="CX121" s="343">
        <f>+'[102]VENTAS TOTALES'!$F144</f>
        <v>0</v>
      </c>
      <c r="CY121" s="344">
        <f>+'[102]VENTAS TOTALES'!$G144</f>
        <v>0</v>
      </c>
      <c r="CZ121" s="344">
        <f>+'[102]VENTAS TOTALES'!$H144</f>
        <v>0</v>
      </c>
    </row>
    <row r="122" spans="1:104" s="10" customFormat="1" ht="12" customHeight="1" thickBot="1" x14ac:dyDescent="0.25">
      <c r="A122" s="455"/>
      <c r="B122" s="349" t="s">
        <v>339</v>
      </c>
      <c r="C122" s="343">
        <f>+'[69]VENTAS TOTALES'!$F145</f>
        <v>80</v>
      </c>
      <c r="D122" s="344">
        <f>+'[69]VENTAS TOTALES'!$G145</f>
        <v>407400</v>
      </c>
      <c r="E122" s="344">
        <f>+'[69]VENTAS TOTALES'!$H145</f>
        <v>543400</v>
      </c>
      <c r="F122" s="343">
        <f>+'[70]VENTAS TOTALES'!$F145</f>
        <v>94</v>
      </c>
      <c r="G122" s="344">
        <f>+'[70]VENTAS TOTALES'!$G145</f>
        <v>308700</v>
      </c>
      <c r="H122" s="344">
        <f>+'[70]VENTAS TOTALES'!$H145</f>
        <v>468500</v>
      </c>
      <c r="I122" s="343">
        <f>+'[71]VENTAS TOTALES'!$F145</f>
        <v>113</v>
      </c>
      <c r="J122" s="344">
        <f>+'[71]VENTAS TOTALES'!$G145</f>
        <v>548500</v>
      </c>
      <c r="K122" s="344">
        <f>+'[71]VENTAS TOTALES'!$H145</f>
        <v>740600</v>
      </c>
      <c r="L122" s="343">
        <f>+'[72]VENTAS TOTALES'!$F145</f>
        <v>93</v>
      </c>
      <c r="M122" s="344">
        <f>+'[72]VENTAS TOTALES'!$G145</f>
        <v>125700</v>
      </c>
      <c r="N122" s="344">
        <f>+'[72]VENTAS TOTALES'!$H145</f>
        <v>283800</v>
      </c>
      <c r="O122" s="343">
        <f>+'[73]VENTAS TOTALES'!$F145</f>
        <v>0</v>
      </c>
      <c r="P122" s="344">
        <f>+'[73]VENTAS TOTALES'!$G145</f>
        <v>0</v>
      </c>
      <c r="Q122" s="344">
        <f>+'[73]VENTAS TOTALES'!$H145</f>
        <v>0</v>
      </c>
      <c r="R122" s="343">
        <f>+'[74]VENTAS TOTALES'!$F145</f>
        <v>0</v>
      </c>
      <c r="S122" s="344">
        <f>+'[74]VENTAS TOTALES'!$G145</f>
        <v>0</v>
      </c>
      <c r="T122" s="344">
        <f>+'[74]VENTAS TOTALES'!$H145</f>
        <v>0</v>
      </c>
      <c r="U122" s="343">
        <f>+'[75]VENTAS TOTALES'!$F145</f>
        <v>179</v>
      </c>
      <c r="V122" s="344">
        <f>+'[75]VENTAS TOTALES'!$G145</f>
        <v>451200</v>
      </c>
      <c r="W122" s="344">
        <f>+'[75]VENTAS TOTALES'!$H145</f>
        <v>755500</v>
      </c>
      <c r="X122" s="343">
        <f>+'[76]VENTAS TOTALES'!$F145</f>
        <v>145</v>
      </c>
      <c r="Y122" s="344">
        <f>+'[76]VENTAS TOTALES'!$G145</f>
        <v>248500</v>
      </c>
      <c r="Z122" s="344">
        <f>+'[76]VENTAS TOTALES'!$H145</f>
        <v>495000</v>
      </c>
      <c r="AA122" s="343">
        <f>+'[77]VENTAS TOTALES'!$F145</f>
        <v>77</v>
      </c>
      <c r="AB122" s="344">
        <f>+'[77]VENTAS TOTALES'!$G145</f>
        <v>134200</v>
      </c>
      <c r="AC122" s="344">
        <f>+'[77]VENTAS TOTALES'!$H145</f>
        <v>265100</v>
      </c>
      <c r="AD122" s="343">
        <f>+'[78]VENTAS TOTALES'!$F145</f>
        <v>118</v>
      </c>
      <c r="AE122" s="344">
        <f>+'[78]VENTAS TOTALES'!$G145</f>
        <v>156500</v>
      </c>
      <c r="AF122" s="344">
        <f>+'[78]VENTAS TOTALES'!$H145</f>
        <v>357100</v>
      </c>
      <c r="AG122" s="343">
        <f>+'[79]VENTAS TOTALES'!$F145</f>
        <v>52</v>
      </c>
      <c r="AH122" s="344">
        <f>+'[79]VENTAS TOTALES'!$G145</f>
        <v>137800</v>
      </c>
      <c r="AI122" s="344">
        <f>+'[79]VENTAS TOTALES'!$H145</f>
        <v>226200</v>
      </c>
      <c r="AJ122" s="343">
        <f>+'[80]VENTAS TOTALES'!$F145</f>
        <v>0</v>
      </c>
      <c r="AK122" s="344">
        <f>+'[80]VENTAS TOTALES'!$G145</f>
        <v>0</v>
      </c>
      <c r="AL122" s="344">
        <f>+'[80]VENTAS TOTALES'!$H145</f>
        <v>0</v>
      </c>
      <c r="AM122" s="343">
        <f>+'[81]VENTAS TOTALES'!$F145</f>
        <v>0</v>
      </c>
      <c r="AN122" s="344">
        <f>+'[81]VENTAS TOTALES'!$G145</f>
        <v>0</v>
      </c>
      <c r="AO122" s="344">
        <f>+'[81]VENTAS TOTALES'!$H145</f>
        <v>0</v>
      </c>
      <c r="AP122" s="343">
        <f>+'[82]VENTAS TOTALES'!$F145</f>
        <v>128</v>
      </c>
      <c r="AQ122" s="344">
        <f>+'[82]VENTAS TOTALES'!$G145</f>
        <v>363750</v>
      </c>
      <c r="AR122" s="344">
        <f>+'[82]VENTAS TOTALES'!$H145</f>
        <v>581350</v>
      </c>
      <c r="AS122" s="343">
        <f>+'[83]VENTAS TOTALES'!$F145</f>
        <v>104</v>
      </c>
      <c r="AT122" s="344">
        <f>+'[83]VENTAS TOTALES'!$G145</f>
        <v>600300</v>
      </c>
      <c r="AU122" s="344">
        <f>+'[83]VENTAS TOTALES'!$H145</f>
        <v>777100</v>
      </c>
      <c r="AV122" s="343">
        <f>+'[84]VENTAS TOTALES'!$F145</f>
        <v>119</v>
      </c>
      <c r="AW122" s="344">
        <f>+'[84]VENTAS TOTALES'!$G145</f>
        <v>282700</v>
      </c>
      <c r="AX122" s="344">
        <f>+'[84]VENTAS TOTALES'!$H145</f>
        <v>485000</v>
      </c>
      <c r="AY122" s="343">
        <f>+'[85]VENTAS TOTALES'!$F145</f>
        <v>66</v>
      </c>
      <c r="AZ122" s="344">
        <f>+'[85]VENTAS TOTALES'!$G145</f>
        <v>213600</v>
      </c>
      <c r="BA122" s="344">
        <f>+'[85]VENTAS TOTALES'!$H145</f>
        <v>325800</v>
      </c>
      <c r="BB122" s="343">
        <f>+'[86]VENTAS TOTALES'!$F145</f>
        <v>92</v>
      </c>
      <c r="BC122" s="344">
        <f>+'[86]VENTAS TOTALES'!$G145</f>
        <v>173500</v>
      </c>
      <c r="BD122" s="344">
        <f>+'[86]VENTAS TOTALES'!$H145</f>
        <v>329900</v>
      </c>
      <c r="BE122" s="343">
        <f>+'[87]VENTAS TOTALES'!$F145</f>
        <v>0</v>
      </c>
      <c r="BF122" s="344">
        <f>+'[87]VENTAS TOTALES'!$G145</f>
        <v>0</v>
      </c>
      <c r="BG122" s="344">
        <f>+'[87]VENTAS TOTALES'!$H145</f>
        <v>0</v>
      </c>
      <c r="BH122" s="343">
        <f>+'[88]VENTAS TOTALES'!$F145</f>
        <v>0</v>
      </c>
      <c r="BI122" s="344">
        <f>+'[88]VENTAS TOTALES'!$G145</f>
        <v>0</v>
      </c>
      <c r="BJ122" s="344">
        <f>+'[88]VENTAS TOTALES'!$H145</f>
        <v>0</v>
      </c>
      <c r="BK122" s="343">
        <f>+'[89]VENTAS TOTALES'!$F145</f>
        <v>148</v>
      </c>
      <c r="BL122" s="344">
        <f>+'[89]VENTAS TOTALES'!$G145</f>
        <v>237300</v>
      </c>
      <c r="BM122" s="344">
        <f>+'[89]VENTAS TOTALES'!$H145</f>
        <v>488900</v>
      </c>
      <c r="BN122" s="343">
        <f>+'[90]VENTAS TOTALES'!$F145</f>
        <v>111</v>
      </c>
      <c r="BO122" s="344">
        <f>+'[90]VENTAS TOTALES'!$G145</f>
        <v>153500</v>
      </c>
      <c r="BP122" s="344">
        <f>+'[90]VENTAS TOTALES'!$H145</f>
        <v>342200</v>
      </c>
      <c r="BQ122" s="343">
        <f>+'[91]VENTAS TOTALES'!$F145</f>
        <v>0</v>
      </c>
      <c r="BR122" s="344">
        <f>+'[91]VENTAS TOTALES'!$G145</f>
        <v>0</v>
      </c>
      <c r="BS122" s="344">
        <f>+'[91]VENTAS TOTALES'!$H145</f>
        <v>0</v>
      </c>
      <c r="BT122" s="343">
        <f>+'[92]VENTAS TOTALES'!$F145</f>
        <v>0</v>
      </c>
      <c r="BU122" s="344">
        <f>+'[92]VENTAS TOTALES'!$G145</f>
        <v>0</v>
      </c>
      <c r="BV122" s="344">
        <f>+'[92]VENTAS TOTALES'!$H145</f>
        <v>0</v>
      </c>
      <c r="BW122" s="343">
        <f>+'[93]VENTAS TOTALES'!$F145</f>
        <v>0</v>
      </c>
      <c r="BX122" s="344">
        <f>+'[93]VENTAS TOTALES'!$G145</f>
        <v>0</v>
      </c>
      <c r="BY122" s="344">
        <f>+'[93]VENTAS TOTALES'!$H145</f>
        <v>0</v>
      </c>
      <c r="BZ122" s="343">
        <f>+'[94]VENTAS TOTALES'!$F145</f>
        <v>0</v>
      </c>
      <c r="CA122" s="344">
        <f>+'[94]VENTAS TOTALES'!$G145</f>
        <v>0</v>
      </c>
      <c r="CB122" s="344">
        <f>+'[94]VENTAS TOTALES'!$H145</f>
        <v>0</v>
      </c>
      <c r="CC122" s="343">
        <f>+'[95]VENTAS TOTALES'!$F145</f>
        <v>0</v>
      </c>
      <c r="CD122" s="344">
        <f>+'[95]VENTAS TOTALES'!$G145</f>
        <v>0</v>
      </c>
      <c r="CE122" s="344">
        <f>+'[95]VENTAS TOTALES'!$H145</f>
        <v>0</v>
      </c>
      <c r="CF122" s="343">
        <f>+'[96]VENTAS TOTALES'!$F145</f>
        <v>0</v>
      </c>
      <c r="CG122" s="344">
        <f>+'[96]VENTAS TOTALES'!$G145</f>
        <v>0</v>
      </c>
      <c r="CH122" s="344">
        <f>+'[96]VENTAS TOTALES'!$H145</f>
        <v>0</v>
      </c>
      <c r="CI122" s="343">
        <f>+'[97]VENTAS TOTALES'!$F145</f>
        <v>0</v>
      </c>
      <c r="CJ122" s="344">
        <f>+'[97]VENTAS TOTALES'!$G145</f>
        <v>0</v>
      </c>
      <c r="CK122" s="344">
        <f>+'[97]VENTAS TOTALES'!$H145</f>
        <v>0</v>
      </c>
      <c r="CL122" s="343">
        <f>+'[98]VENTAS TOTALES'!$F145</f>
        <v>0</v>
      </c>
      <c r="CM122" s="344">
        <f>+'[98]VENTAS TOTALES'!$G145</f>
        <v>0</v>
      </c>
      <c r="CN122" s="344">
        <f>+'[98]VENTAS TOTALES'!$H145</f>
        <v>0</v>
      </c>
      <c r="CO122" s="343">
        <f>+'[99]VENTAS TOTALES'!$F145</f>
        <v>0</v>
      </c>
      <c r="CP122" s="344">
        <f>+'[99]VENTAS TOTALES'!$G145</f>
        <v>0</v>
      </c>
      <c r="CQ122" s="344">
        <f>+'[99]VENTAS TOTALES'!$H145</f>
        <v>0</v>
      </c>
      <c r="CR122" s="343">
        <f>+'[100]VENTAS TOTALES'!$F145</f>
        <v>0</v>
      </c>
      <c r="CS122" s="344">
        <f>+'[100]VENTAS TOTALES'!$G145</f>
        <v>0</v>
      </c>
      <c r="CT122" s="344">
        <f>+'[100]VENTAS TOTALES'!$H145</f>
        <v>0</v>
      </c>
      <c r="CU122" s="343">
        <f>+'[101]VENTAS TOTALES'!$F145</f>
        <v>0</v>
      </c>
      <c r="CV122" s="344">
        <f>+'[101]VENTAS TOTALES'!$G145</f>
        <v>0</v>
      </c>
      <c r="CW122" s="344">
        <f>+'[101]VENTAS TOTALES'!$H145</f>
        <v>0</v>
      </c>
      <c r="CX122" s="343">
        <f>+'[102]VENTAS TOTALES'!$F145</f>
        <v>0</v>
      </c>
      <c r="CY122" s="344">
        <f>+'[102]VENTAS TOTALES'!$G145</f>
        <v>0</v>
      </c>
      <c r="CZ122" s="344">
        <f>+'[102]VENTAS TOTALES'!$H145</f>
        <v>0</v>
      </c>
    </row>
    <row r="123" spans="1:104" s="10" customFormat="1" ht="12" customHeight="1" thickBot="1" x14ac:dyDescent="0.25">
      <c r="A123" s="455"/>
      <c r="B123" s="349" t="s">
        <v>340</v>
      </c>
      <c r="C123" s="343">
        <f>+'[69]VENTAS TOTALES'!$F146</f>
        <v>229</v>
      </c>
      <c r="D123" s="344">
        <f>+'[69]VENTAS TOTALES'!$G146</f>
        <v>598500</v>
      </c>
      <c r="E123" s="344">
        <f>+'[69]VENTAS TOTALES'!$H146</f>
        <v>987800</v>
      </c>
      <c r="F123" s="343">
        <f>+'[70]VENTAS TOTALES'!$F146</f>
        <v>324</v>
      </c>
      <c r="G123" s="344">
        <f>+'[70]VENTAS TOTALES'!$G146</f>
        <v>414300</v>
      </c>
      <c r="H123" s="344">
        <f>+'[70]VENTAS TOTALES'!$H146</f>
        <v>965100</v>
      </c>
      <c r="I123" s="343">
        <f>+'[71]VENTAS TOTALES'!$F146</f>
        <v>199</v>
      </c>
      <c r="J123" s="344">
        <f>+'[71]VENTAS TOTALES'!$G146</f>
        <v>245600</v>
      </c>
      <c r="K123" s="344">
        <f>+'[71]VENTAS TOTALES'!$H146</f>
        <v>583900</v>
      </c>
      <c r="L123" s="343">
        <f>+'[72]VENTAS TOTALES'!$F146</f>
        <v>82</v>
      </c>
      <c r="M123" s="344">
        <f>+'[72]VENTAS TOTALES'!$G146</f>
        <v>199800</v>
      </c>
      <c r="N123" s="344">
        <f>+'[72]VENTAS TOTALES'!$H146</f>
        <v>339200</v>
      </c>
      <c r="O123" s="343">
        <f>+'[73]VENTAS TOTALES'!$F146</f>
        <v>0</v>
      </c>
      <c r="P123" s="344">
        <f>+'[73]VENTAS TOTALES'!$G146</f>
        <v>0</v>
      </c>
      <c r="Q123" s="344">
        <f>+'[73]VENTAS TOTALES'!$H146</f>
        <v>0</v>
      </c>
      <c r="R123" s="343">
        <f>+'[74]VENTAS TOTALES'!$F146</f>
        <v>0</v>
      </c>
      <c r="S123" s="344">
        <f>+'[74]VENTAS TOTALES'!$G146</f>
        <v>0</v>
      </c>
      <c r="T123" s="344">
        <f>+'[74]VENTAS TOTALES'!$H146</f>
        <v>0</v>
      </c>
      <c r="U123" s="343">
        <f>+'[75]VENTAS TOTALES'!$F146</f>
        <v>173</v>
      </c>
      <c r="V123" s="344">
        <f>+'[75]VENTAS TOTALES'!$G146</f>
        <v>377900</v>
      </c>
      <c r="W123" s="344">
        <f>+'[75]VENTAS TOTALES'!$H146</f>
        <v>672000</v>
      </c>
      <c r="X123" s="343">
        <f>+'[76]VENTAS TOTALES'!$F146</f>
        <v>160</v>
      </c>
      <c r="Y123" s="344">
        <f>+'[76]VENTAS TOTALES'!$G146</f>
        <v>122600</v>
      </c>
      <c r="Z123" s="344">
        <f>+'[76]VENTAS TOTALES'!$H146</f>
        <v>394600</v>
      </c>
      <c r="AA123" s="343">
        <f>+'[77]VENTAS TOTALES'!$F146</f>
        <v>127</v>
      </c>
      <c r="AB123" s="344">
        <f>+'[77]VENTAS TOTALES'!$G146</f>
        <v>142700</v>
      </c>
      <c r="AC123" s="344">
        <f>+'[77]VENTAS TOTALES'!$H146</f>
        <v>358600</v>
      </c>
      <c r="AD123" s="343">
        <f>+'[78]VENTAS TOTALES'!$F146</f>
        <v>94</v>
      </c>
      <c r="AE123" s="344">
        <f>+'[78]VENTAS TOTALES'!$G146</f>
        <v>155600</v>
      </c>
      <c r="AF123" s="344">
        <f>+'[78]VENTAS TOTALES'!$H146</f>
        <v>315400</v>
      </c>
      <c r="AG123" s="343">
        <f>+'[79]VENTAS TOTALES'!$F146</f>
        <v>155</v>
      </c>
      <c r="AH123" s="344">
        <f>+'[79]VENTAS TOTALES'!$G146</f>
        <v>78100</v>
      </c>
      <c r="AI123" s="344">
        <f>+'[79]VENTAS TOTALES'!$H146</f>
        <v>341600</v>
      </c>
      <c r="AJ123" s="343">
        <f>+'[80]VENTAS TOTALES'!$F146</f>
        <v>0</v>
      </c>
      <c r="AK123" s="344">
        <f>+'[80]VENTAS TOTALES'!$G146</f>
        <v>0</v>
      </c>
      <c r="AL123" s="344">
        <f>+'[80]VENTAS TOTALES'!$H146</f>
        <v>0</v>
      </c>
      <c r="AM123" s="343">
        <f>+'[81]VENTAS TOTALES'!$F146</f>
        <v>0</v>
      </c>
      <c r="AN123" s="344">
        <f>+'[81]VENTAS TOTALES'!$G146</f>
        <v>0</v>
      </c>
      <c r="AO123" s="344">
        <f>+'[81]VENTAS TOTALES'!$H146</f>
        <v>0</v>
      </c>
      <c r="AP123" s="343">
        <f>+'[82]VENTAS TOTALES'!$F146</f>
        <v>139</v>
      </c>
      <c r="AQ123" s="344">
        <f>+'[82]VENTAS TOTALES'!$G146</f>
        <v>350100</v>
      </c>
      <c r="AR123" s="344">
        <f>+'[82]VENTAS TOTALES'!$H146</f>
        <v>586400</v>
      </c>
      <c r="AS123" s="343">
        <f>+'[83]VENTAS TOTALES'!$F146</f>
        <v>168</v>
      </c>
      <c r="AT123" s="344">
        <f>+'[83]VENTAS TOTALES'!$G146</f>
        <v>450800</v>
      </c>
      <c r="AU123" s="344">
        <f>+'[83]VENTAS TOTALES'!$H146</f>
        <v>736400</v>
      </c>
      <c r="AV123" s="343">
        <f>+'[84]VENTAS TOTALES'!$F146</f>
        <v>209</v>
      </c>
      <c r="AW123" s="344">
        <f>+'[84]VENTAS TOTALES'!$G146</f>
        <v>360200</v>
      </c>
      <c r="AX123" s="344">
        <f>+'[84]VENTAS TOTALES'!$H146</f>
        <v>715500</v>
      </c>
      <c r="AY123" s="343">
        <f>+'[85]VENTAS TOTALES'!$F146</f>
        <v>235</v>
      </c>
      <c r="AZ123" s="344">
        <f>+'[85]VENTAS TOTALES'!$G146</f>
        <v>196200</v>
      </c>
      <c r="BA123" s="344">
        <f>+'[85]VENTAS TOTALES'!$H146</f>
        <v>595700</v>
      </c>
      <c r="BB123" s="343">
        <f>+'[86]VENTAS TOTALES'!$F146</f>
        <v>125</v>
      </c>
      <c r="BC123" s="344">
        <f>+'[86]VENTAS TOTALES'!$G146</f>
        <v>113000</v>
      </c>
      <c r="BD123" s="344">
        <f>+'[86]VENTAS TOTALES'!$H146</f>
        <v>325500</v>
      </c>
      <c r="BE123" s="343">
        <f>+'[87]VENTAS TOTALES'!$F146</f>
        <v>0</v>
      </c>
      <c r="BF123" s="344">
        <f>+'[87]VENTAS TOTALES'!$G146</f>
        <v>0</v>
      </c>
      <c r="BG123" s="344">
        <f>+'[87]VENTAS TOTALES'!$H146</f>
        <v>0</v>
      </c>
      <c r="BH123" s="343">
        <f>+'[88]VENTAS TOTALES'!$F146</f>
        <v>0</v>
      </c>
      <c r="BI123" s="344">
        <f>+'[88]VENTAS TOTALES'!$G146</f>
        <v>0</v>
      </c>
      <c r="BJ123" s="344">
        <f>+'[88]VENTAS TOTALES'!$H146</f>
        <v>0</v>
      </c>
      <c r="BK123" s="343">
        <f>+'[89]VENTAS TOTALES'!$F146</f>
        <v>171</v>
      </c>
      <c r="BL123" s="344">
        <f>+'[89]VENTAS TOTALES'!$G146</f>
        <v>442200</v>
      </c>
      <c r="BM123" s="344">
        <f>+'[89]VENTAS TOTALES'!$H146</f>
        <v>732900</v>
      </c>
      <c r="BN123" s="343">
        <f>+'[90]VENTAS TOTALES'!$F146</f>
        <v>131</v>
      </c>
      <c r="BO123" s="344">
        <f>+'[90]VENTAS TOTALES'!$G146</f>
        <v>200100</v>
      </c>
      <c r="BP123" s="344">
        <f>+'[90]VENTAS TOTALES'!$H146</f>
        <v>422800</v>
      </c>
      <c r="BQ123" s="343">
        <f>+'[91]VENTAS TOTALES'!$F146</f>
        <v>86</v>
      </c>
      <c r="BR123" s="344">
        <f>+'[91]VENTAS TOTALES'!$G146</f>
        <v>164000</v>
      </c>
      <c r="BS123" s="344">
        <f>+'[91]VENTAS TOTALES'!$H146</f>
        <v>310200</v>
      </c>
      <c r="BT123" s="343">
        <f>+'[92]VENTAS TOTALES'!$F146</f>
        <v>94</v>
      </c>
      <c r="BU123" s="344">
        <f>+'[92]VENTAS TOTALES'!$G146</f>
        <v>114800</v>
      </c>
      <c r="BV123" s="344">
        <f>+'[92]VENTAS TOTALES'!$H146</f>
        <v>274600</v>
      </c>
      <c r="BW123" s="343">
        <f>+'[93]VENTAS TOTALES'!$F146</f>
        <v>185</v>
      </c>
      <c r="BX123" s="344">
        <f>+'[93]VENTAS TOTALES'!$G146</f>
        <v>242500</v>
      </c>
      <c r="BY123" s="344">
        <f>+'[93]VENTAS TOTALES'!$H146</f>
        <v>557000</v>
      </c>
      <c r="BZ123" s="343">
        <f>+'[94]VENTAS TOTALES'!$F146</f>
        <v>0</v>
      </c>
      <c r="CA123" s="344">
        <f>+'[94]VENTAS TOTALES'!$G146</f>
        <v>0</v>
      </c>
      <c r="CB123" s="344">
        <f>+'[94]VENTAS TOTALES'!$H146</f>
        <v>0</v>
      </c>
      <c r="CC123" s="343">
        <f>+'[95]VENTAS TOTALES'!$F146</f>
        <v>0</v>
      </c>
      <c r="CD123" s="344">
        <f>+'[95]VENTAS TOTALES'!$G146</f>
        <v>0</v>
      </c>
      <c r="CE123" s="344">
        <f>+'[95]VENTAS TOTALES'!$H146</f>
        <v>0</v>
      </c>
      <c r="CF123" s="343">
        <f>+'[96]VENTAS TOTALES'!$F146</f>
        <v>281</v>
      </c>
      <c r="CG123" s="344">
        <f>+'[96]VENTAS TOTALES'!$G146</f>
        <v>427600</v>
      </c>
      <c r="CH123" s="344">
        <f>+'[96]VENTAS TOTALES'!$H146</f>
        <v>905300</v>
      </c>
      <c r="CI123" s="343">
        <f>+'[97]VENTAS TOTALES'!$F146</f>
        <v>300</v>
      </c>
      <c r="CJ123" s="344">
        <f>+'[97]VENTAS TOTALES'!$G146</f>
        <v>903200</v>
      </c>
      <c r="CK123" s="344">
        <f>+'[97]VENTAS TOTALES'!$H146</f>
        <v>1413200</v>
      </c>
      <c r="CL123" s="343">
        <f>+'[98]VENTAS TOTALES'!$F146</f>
        <v>246</v>
      </c>
      <c r="CM123" s="344">
        <f>+'[98]VENTAS TOTALES'!$G146</f>
        <v>311700</v>
      </c>
      <c r="CN123" s="344">
        <f>+'[98]VENTAS TOTALES'!$H146</f>
        <v>729900</v>
      </c>
      <c r="CO123" s="343">
        <f>+'[99]VENTAS TOTALES'!$F146</f>
        <v>247</v>
      </c>
      <c r="CP123" s="344">
        <f>+'[99]VENTAS TOTALES'!$G146</f>
        <v>198000</v>
      </c>
      <c r="CQ123" s="344">
        <f>+'[99]VENTAS TOTALES'!$H146</f>
        <v>617900</v>
      </c>
      <c r="CR123" s="343">
        <f>+'[100]VENTAS TOTALES'!$F146</f>
        <v>167</v>
      </c>
      <c r="CS123" s="344">
        <f>+'[100]VENTAS TOTALES'!$G146</f>
        <v>303000</v>
      </c>
      <c r="CT123" s="344">
        <f>+'[100]VENTAS TOTALES'!$H146</f>
        <v>586900</v>
      </c>
      <c r="CU123" s="343">
        <f>+'[101]VENTAS TOTALES'!$F146</f>
        <v>0</v>
      </c>
      <c r="CV123" s="344">
        <f>+'[101]VENTAS TOTALES'!$G146</f>
        <v>0</v>
      </c>
      <c r="CW123" s="344">
        <f>+'[101]VENTAS TOTALES'!$H146</f>
        <v>0</v>
      </c>
      <c r="CX123" s="343">
        <f>+'[102]VENTAS TOTALES'!$F146</f>
        <v>0</v>
      </c>
      <c r="CY123" s="344">
        <f>+'[102]VENTAS TOTALES'!$G146</f>
        <v>0</v>
      </c>
      <c r="CZ123" s="344">
        <f>+'[102]VENTAS TOTALES'!$H146</f>
        <v>0</v>
      </c>
    </row>
    <row r="124" spans="1:104" s="10" customFormat="1" ht="12" customHeight="1" thickBot="1" x14ac:dyDescent="0.25">
      <c r="A124" s="455"/>
      <c r="B124" s="349" t="s">
        <v>341</v>
      </c>
      <c r="C124" s="343">
        <f>+'[69]VENTAS TOTALES'!$F147</f>
        <v>361</v>
      </c>
      <c r="D124" s="344">
        <f>+'[69]VENTAS TOTALES'!$G147</f>
        <v>1581100</v>
      </c>
      <c r="E124" s="344">
        <f>+'[69]VENTAS TOTALES'!$H147</f>
        <v>2194800</v>
      </c>
      <c r="F124" s="343">
        <f>+'[70]VENTAS TOTALES'!$F147</f>
        <v>425</v>
      </c>
      <c r="G124" s="344">
        <f>+'[70]VENTAS TOTALES'!$G147</f>
        <v>663900</v>
      </c>
      <c r="H124" s="344">
        <f>+'[70]VENTAS TOTALES'!$H147</f>
        <v>1386400</v>
      </c>
      <c r="I124" s="343">
        <f>+'[71]VENTAS TOTALES'!$F147</f>
        <v>415</v>
      </c>
      <c r="J124" s="344">
        <f>+'[71]VENTAS TOTALES'!$G147</f>
        <v>422900</v>
      </c>
      <c r="K124" s="344">
        <f>+'[71]VENTAS TOTALES'!$H147</f>
        <v>1128400</v>
      </c>
      <c r="L124" s="343">
        <f>+'[72]VENTAS TOTALES'!$F147</f>
        <v>277</v>
      </c>
      <c r="M124" s="344">
        <f>+'[72]VENTAS TOTALES'!$G147</f>
        <v>355200</v>
      </c>
      <c r="N124" s="344">
        <f>+'[72]VENTAS TOTALES'!$H147</f>
        <v>826100</v>
      </c>
      <c r="O124" s="343">
        <f>+'[73]VENTAS TOTALES'!$F147</f>
        <v>336</v>
      </c>
      <c r="P124" s="344">
        <f>+'[73]VENTAS TOTALES'!$G147</f>
        <v>736200</v>
      </c>
      <c r="Q124" s="344">
        <f>+'[73]VENTAS TOTALES'!$H147</f>
        <v>1307400</v>
      </c>
      <c r="R124" s="343">
        <f>+'[74]VENTAS TOTALES'!$F147</f>
        <v>362</v>
      </c>
      <c r="S124" s="344">
        <f>+'[74]VENTAS TOTALES'!$G147</f>
        <v>769900</v>
      </c>
      <c r="T124" s="344">
        <f>+'[74]VENTAS TOTALES'!$H147</f>
        <v>1385300</v>
      </c>
      <c r="U124" s="343">
        <f>+'[75]VENTAS TOTALES'!$F147</f>
        <v>417</v>
      </c>
      <c r="V124" s="344">
        <f>+'[75]VENTAS TOTALES'!$G147</f>
        <v>680600</v>
      </c>
      <c r="W124" s="344">
        <f>+'[75]VENTAS TOTALES'!$H147</f>
        <v>1389500</v>
      </c>
      <c r="X124" s="343">
        <f>+'[76]VENTAS TOTALES'!$F147</f>
        <v>468</v>
      </c>
      <c r="Y124" s="344">
        <f>+'[76]VENTAS TOTALES'!$G147</f>
        <v>324700</v>
      </c>
      <c r="Z124" s="344">
        <f>+'[76]VENTAS TOTALES'!$H147</f>
        <v>1120300</v>
      </c>
      <c r="AA124" s="343">
        <f>+'[77]VENTAS TOTALES'!$F147</f>
        <v>267</v>
      </c>
      <c r="AB124" s="344">
        <f>+'[77]VENTAS TOTALES'!$G147</f>
        <v>367000</v>
      </c>
      <c r="AC124" s="344">
        <f>+'[77]VENTAS TOTALES'!$H147</f>
        <v>820900</v>
      </c>
      <c r="AD124" s="343">
        <f>+'[78]VENTAS TOTALES'!$F147</f>
        <v>315</v>
      </c>
      <c r="AE124" s="344">
        <f>+'[78]VENTAS TOTALES'!$G147</f>
        <v>522600</v>
      </c>
      <c r="AF124" s="344">
        <f>+'[78]VENTAS TOTALES'!$H147</f>
        <v>1058100</v>
      </c>
      <c r="AG124" s="343">
        <f>+'[79]VENTAS TOTALES'!$F147</f>
        <v>270</v>
      </c>
      <c r="AH124" s="344">
        <f>+'[79]VENTAS TOTALES'!$G147</f>
        <v>403400</v>
      </c>
      <c r="AI124" s="344">
        <f>+'[79]VENTAS TOTALES'!$H147</f>
        <v>862400</v>
      </c>
      <c r="AJ124" s="343">
        <f>+'[80]VENTAS TOTALES'!$F147</f>
        <v>135</v>
      </c>
      <c r="AK124" s="344">
        <f>+'[80]VENTAS TOTALES'!$G147</f>
        <v>469100</v>
      </c>
      <c r="AL124" s="344">
        <f>+'[80]VENTAS TOTALES'!$H147</f>
        <v>698600</v>
      </c>
      <c r="AM124" s="343">
        <f>+'[81]VENTAS TOTALES'!$F147</f>
        <v>413</v>
      </c>
      <c r="AN124" s="344">
        <f>+'[81]VENTAS TOTALES'!$G147</f>
        <v>678500</v>
      </c>
      <c r="AO124" s="344">
        <f>+'[81]VENTAS TOTALES'!$H147</f>
        <v>1380600</v>
      </c>
      <c r="AP124" s="343">
        <f>+'[82]VENTAS TOTALES'!$F147</f>
        <v>597</v>
      </c>
      <c r="AQ124" s="344">
        <f>+'[82]VENTAS TOTALES'!$G147</f>
        <v>1005400</v>
      </c>
      <c r="AR124" s="344">
        <f>+'[82]VENTAS TOTALES'!$H147</f>
        <v>2020300</v>
      </c>
      <c r="AS124" s="343">
        <f>+'[83]VENTAS TOTALES'!$F147</f>
        <v>441</v>
      </c>
      <c r="AT124" s="344">
        <f>+'[83]VENTAS TOTALES'!$G147</f>
        <v>1425800</v>
      </c>
      <c r="AU124" s="344">
        <f>+'[83]VENTAS TOTALES'!$H147</f>
        <v>2175500</v>
      </c>
      <c r="AV124" s="343">
        <f>+'[84]VENTAS TOTALES'!$F147</f>
        <v>407</v>
      </c>
      <c r="AW124" s="344">
        <f>+'[84]VENTAS TOTALES'!$G147</f>
        <v>812200</v>
      </c>
      <c r="AX124" s="344">
        <f>+'[84]VENTAS TOTALES'!$H147</f>
        <v>1504100</v>
      </c>
      <c r="AY124" s="343">
        <f>+'[85]VENTAS TOTALES'!$F147</f>
        <v>257</v>
      </c>
      <c r="AZ124" s="344">
        <f>+'[85]VENTAS TOTALES'!$G147</f>
        <v>524300</v>
      </c>
      <c r="BA124" s="344">
        <f>+'[85]VENTAS TOTALES'!$H147</f>
        <v>961200</v>
      </c>
      <c r="BB124" s="343">
        <f>+'[86]VENTAS TOTALES'!$F147</f>
        <v>340</v>
      </c>
      <c r="BC124" s="344">
        <f>+'[86]VENTAS TOTALES'!$G147</f>
        <v>400000</v>
      </c>
      <c r="BD124" s="344">
        <f>+'[86]VENTAS TOTALES'!$H147</f>
        <v>978000</v>
      </c>
      <c r="BE124" s="343">
        <f>+'[87]VENTAS TOTALES'!$F147</f>
        <v>196</v>
      </c>
      <c r="BF124" s="344">
        <f>+'[87]VENTAS TOTALES'!$G147</f>
        <v>413500</v>
      </c>
      <c r="BG124" s="344">
        <f>+'[87]VENTAS TOTALES'!$H147</f>
        <v>746700</v>
      </c>
      <c r="BH124" s="343">
        <f>+'[88]VENTAS TOTALES'!$F147</f>
        <v>364</v>
      </c>
      <c r="BI124" s="344">
        <f>+'[88]VENTAS TOTALES'!$G147</f>
        <v>783400</v>
      </c>
      <c r="BJ124" s="344">
        <f>+'[88]VENTAS TOTALES'!$H147</f>
        <v>1402200</v>
      </c>
      <c r="BK124" s="343">
        <f>+'[89]VENTAS TOTALES'!$F147</f>
        <v>272</v>
      </c>
      <c r="BL124" s="344">
        <f>+'[89]VENTAS TOTALES'!$G147</f>
        <v>539600</v>
      </c>
      <c r="BM124" s="344">
        <f>+'[89]VENTAS TOTALES'!$H147</f>
        <v>1002000</v>
      </c>
      <c r="BN124" s="343">
        <f>+'[90]VENTAS TOTALES'!$F147</f>
        <v>321</v>
      </c>
      <c r="BO124" s="344">
        <f>+'[90]VENTAS TOTALES'!$G147</f>
        <v>438800</v>
      </c>
      <c r="BP124" s="344">
        <f>+'[90]VENTAS TOTALES'!$H147</f>
        <v>984500</v>
      </c>
      <c r="BQ124" s="343">
        <f>+'[91]VENTAS TOTALES'!$F147</f>
        <v>420</v>
      </c>
      <c r="BR124" s="344">
        <f>+'[91]VENTAS TOTALES'!$G147</f>
        <v>976000</v>
      </c>
      <c r="BS124" s="344">
        <f>+'[91]VENTAS TOTALES'!$H147</f>
        <v>1690000</v>
      </c>
      <c r="BT124" s="343">
        <f>+'[92]VENTAS TOTALES'!$F147</f>
        <v>370</v>
      </c>
      <c r="BU124" s="344">
        <f>+'[92]VENTAS TOTALES'!$G147</f>
        <v>534200</v>
      </c>
      <c r="BV124" s="344">
        <f>+'[92]VENTAS TOTALES'!$H147</f>
        <v>1163200</v>
      </c>
      <c r="BW124" s="343">
        <f>+'[93]VENTAS TOTALES'!$F147</f>
        <v>280</v>
      </c>
      <c r="BX124" s="344">
        <f>+'[93]VENTAS TOTALES'!$G147</f>
        <v>589900</v>
      </c>
      <c r="BY124" s="344">
        <f>+'[93]VENTAS TOTALES'!$H147</f>
        <v>1065900</v>
      </c>
      <c r="BZ124" s="343">
        <f>+'[94]VENTAS TOTALES'!$F147</f>
        <v>422</v>
      </c>
      <c r="CA124" s="344">
        <f>+'[94]VENTAS TOTALES'!$G147</f>
        <v>779100</v>
      </c>
      <c r="CB124" s="344">
        <f>+'[94]VENTAS TOTALES'!$H147</f>
        <v>1496500</v>
      </c>
      <c r="CC124" s="343">
        <f>+'[95]VENTAS TOTALES'!$F147</f>
        <v>642</v>
      </c>
      <c r="CD124" s="344">
        <f>+'[95]VENTAS TOTALES'!$G147</f>
        <v>609400</v>
      </c>
      <c r="CE124" s="344">
        <f>+'[95]VENTAS TOTALES'!$H147</f>
        <v>1700800</v>
      </c>
      <c r="CF124" s="343">
        <f>+'[96]VENTAS TOTALES'!$F147</f>
        <v>667</v>
      </c>
      <c r="CG124" s="344">
        <f>+'[96]VENTAS TOTALES'!$G147</f>
        <v>1460100</v>
      </c>
      <c r="CH124" s="344">
        <f>+'[96]VENTAS TOTALES'!$H147</f>
        <v>2594000</v>
      </c>
      <c r="CI124" s="343">
        <f>+'[97]VENTAS TOTALES'!$F147</f>
        <v>555</v>
      </c>
      <c r="CJ124" s="344">
        <f>+'[97]VENTAS TOTALES'!$G147</f>
        <v>1074200</v>
      </c>
      <c r="CK124" s="344">
        <f>+'[97]VENTAS TOTALES'!$H147</f>
        <v>2017700</v>
      </c>
      <c r="CL124" s="343">
        <f>+'[98]VENTAS TOTALES'!$F147</f>
        <v>469</v>
      </c>
      <c r="CM124" s="344">
        <f>+'[98]VENTAS TOTALES'!$G147</f>
        <v>1703300</v>
      </c>
      <c r="CN124" s="344">
        <f>+'[98]VENTAS TOTALES'!$H147</f>
        <v>2500600</v>
      </c>
      <c r="CO124" s="343">
        <f>+'[99]VENTAS TOTALES'!$F147</f>
        <v>334</v>
      </c>
      <c r="CP124" s="344">
        <f>+'[99]VENTAS TOTALES'!$G147</f>
        <v>703500</v>
      </c>
      <c r="CQ124" s="344">
        <f>+'[99]VENTAS TOTALES'!$H147</f>
        <v>1271300</v>
      </c>
      <c r="CR124" s="343">
        <f>+'[100]VENTAS TOTALES'!$F147</f>
        <v>349</v>
      </c>
      <c r="CS124" s="344">
        <f>+'[100]VENTAS TOTALES'!$G147</f>
        <v>542100</v>
      </c>
      <c r="CT124" s="344">
        <f>+'[100]VENTAS TOTALES'!$H147</f>
        <v>1135400</v>
      </c>
      <c r="CU124" s="343">
        <f>+'[101]VENTAS TOTALES'!$F147</f>
        <v>284</v>
      </c>
      <c r="CV124" s="344">
        <f>+'[101]VENTAS TOTALES'!$G147</f>
        <v>415500</v>
      </c>
      <c r="CW124" s="344">
        <f>+'[101]VENTAS TOTALES'!$H147</f>
        <v>898300</v>
      </c>
      <c r="CX124" s="343">
        <f>+'[102]VENTAS TOTALES'!$F147</f>
        <v>541</v>
      </c>
      <c r="CY124" s="344">
        <f>+'[102]VENTAS TOTALES'!$G147</f>
        <v>837800</v>
      </c>
      <c r="CZ124" s="344">
        <f>+'[102]VENTAS TOTALES'!$H147</f>
        <v>1757500</v>
      </c>
    </row>
    <row r="125" spans="1:104" s="10" customFormat="1" ht="12" customHeight="1" thickBot="1" x14ac:dyDescent="0.25">
      <c r="A125" s="455"/>
      <c r="B125" s="349" t="s">
        <v>342</v>
      </c>
      <c r="C125" s="343">
        <f>+'[69]VENTAS TOTALES'!$F148</f>
        <v>876</v>
      </c>
      <c r="D125" s="344">
        <f>+'[69]VENTAS TOTALES'!$G148</f>
        <v>2211600</v>
      </c>
      <c r="E125" s="344">
        <f>+'[69]VENTAS TOTALES'!$H148</f>
        <v>3700800</v>
      </c>
      <c r="F125" s="343">
        <f>+'[70]VENTAS TOTALES'!$F148</f>
        <v>951</v>
      </c>
      <c r="G125" s="344">
        <f>+'[70]VENTAS TOTALES'!$G148</f>
        <v>1989200</v>
      </c>
      <c r="H125" s="344">
        <f>+'[70]VENTAS TOTALES'!$H148</f>
        <v>3605900</v>
      </c>
      <c r="I125" s="343">
        <f>+'[71]VENTAS TOTALES'!$F148</f>
        <v>810</v>
      </c>
      <c r="J125" s="344">
        <f>+'[71]VENTAS TOTALES'!$G148</f>
        <v>1179600</v>
      </c>
      <c r="K125" s="344">
        <f>+'[71]VENTAS TOTALES'!$H148</f>
        <v>2556600</v>
      </c>
      <c r="L125" s="343">
        <f>+'[72]VENTAS TOTALES'!$F148</f>
        <v>508</v>
      </c>
      <c r="M125" s="344">
        <f>+'[72]VENTAS TOTALES'!$G148</f>
        <v>1082300</v>
      </c>
      <c r="N125" s="344">
        <f>+'[72]VENTAS TOTALES'!$H148</f>
        <v>1945900</v>
      </c>
      <c r="O125" s="343">
        <f>+'[73]VENTAS TOTALES'!$F148</f>
        <v>592</v>
      </c>
      <c r="P125" s="344">
        <f>+'[73]VENTAS TOTALES'!$G148</f>
        <v>1482000</v>
      </c>
      <c r="Q125" s="344">
        <f>+'[73]VENTAS TOTALES'!$H148</f>
        <v>2488400</v>
      </c>
      <c r="R125" s="343">
        <f>+'[74]VENTAS TOTALES'!$F148</f>
        <v>883</v>
      </c>
      <c r="S125" s="344">
        <f>+'[74]VENTAS TOTALES'!$G148</f>
        <v>1100700</v>
      </c>
      <c r="T125" s="344">
        <f>+'[74]VENTAS TOTALES'!$H148</f>
        <v>2601800</v>
      </c>
      <c r="U125" s="343">
        <f>+'[75]VENTAS TOTALES'!$F148</f>
        <v>1007</v>
      </c>
      <c r="V125" s="344">
        <f>+'[75]VENTAS TOTALES'!$G148</f>
        <v>1914100</v>
      </c>
      <c r="W125" s="344">
        <f>+'[75]VENTAS TOTALES'!$H148</f>
        <v>3626000</v>
      </c>
      <c r="X125" s="343">
        <f>+'[76]VENTAS TOTALES'!$F148</f>
        <v>684</v>
      </c>
      <c r="Y125" s="344">
        <f>+'[76]VENTAS TOTALES'!$G148</f>
        <v>1381500</v>
      </c>
      <c r="Z125" s="344">
        <f>+'[76]VENTAS TOTALES'!$H148</f>
        <v>2544300</v>
      </c>
      <c r="AA125" s="343">
        <f>+'[77]VENTAS TOTALES'!$F148</f>
        <v>520</v>
      </c>
      <c r="AB125" s="344">
        <f>+'[77]VENTAS TOTALES'!$G148</f>
        <v>1096000</v>
      </c>
      <c r="AC125" s="344">
        <f>+'[77]VENTAS TOTALES'!$H148</f>
        <v>1980000</v>
      </c>
      <c r="AD125" s="343">
        <f>+'[78]VENTAS TOTALES'!$F148</f>
        <v>542</v>
      </c>
      <c r="AE125" s="344">
        <f>+'[78]VENTAS TOTALES'!$G148</f>
        <v>1170500</v>
      </c>
      <c r="AF125" s="344">
        <f>+'[78]VENTAS TOTALES'!$H148</f>
        <v>2091900</v>
      </c>
      <c r="AG125" s="343">
        <f>+'[79]VENTAS TOTALES'!$F148</f>
        <v>561</v>
      </c>
      <c r="AH125" s="344">
        <f>+'[79]VENTAS TOTALES'!$G148</f>
        <v>1213300</v>
      </c>
      <c r="AI125" s="344">
        <f>+'[79]VENTAS TOTALES'!$H148</f>
        <v>2167000</v>
      </c>
      <c r="AJ125" s="343">
        <f>+'[80]VENTAS TOTALES'!$F148</f>
        <v>553</v>
      </c>
      <c r="AK125" s="344">
        <f>+'[80]VENTAS TOTALES'!$G148</f>
        <v>758700</v>
      </c>
      <c r="AL125" s="344">
        <f>+'[80]VENTAS TOTALES'!$H148</f>
        <v>1698800</v>
      </c>
      <c r="AM125" s="343">
        <f>+'[81]VENTAS TOTALES'!$F148</f>
        <v>790</v>
      </c>
      <c r="AN125" s="344">
        <f>+'[81]VENTAS TOTALES'!$G148</f>
        <v>1209700</v>
      </c>
      <c r="AO125" s="344">
        <f>+'[81]VENTAS TOTALES'!$H148</f>
        <v>2552700</v>
      </c>
      <c r="AP125" s="343">
        <f>+'[82]VENTAS TOTALES'!$F148</f>
        <v>1048</v>
      </c>
      <c r="AQ125" s="344">
        <f>+'[82]VENTAS TOTALES'!$G148</f>
        <v>1811450</v>
      </c>
      <c r="AR125" s="344">
        <f>+'[82]VENTAS TOTALES'!$H148</f>
        <v>3593050</v>
      </c>
      <c r="AS125" s="343">
        <f>+'[83]VENTAS TOTALES'!$F148</f>
        <v>912</v>
      </c>
      <c r="AT125" s="344">
        <f>+'[83]VENTAS TOTALES'!$G148</f>
        <v>3260500</v>
      </c>
      <c r="AU125" s="344">
        <f>+'[83]VENTAS TOTALES'!$H148</f>
        <v>4810900</v>
      </c>
      <c r="AV125" s="343">
        <f>+'[84]VENTAS TOTALES'!$F148</f>
        <v>822</v>
      </c>
      <c r="AW125" s="344">
        <f>+'[84]VENTAS TOTALES'!$G148</f>
        <v>2511200</v>
      </c>
      <c r="AX125" s="344">
        <f>+'[84]VENTAS TOTALES'!$H148</f>
        <v>3908600</v>
      </c>
      <c r="AY125" s="343">
        <f>+'[85]VENTAS TOTALES'!$F148</f>
        <v>605</v>
      </c>
      <c r="AZ125" s="344">
        <f>+'[85]VENTAS TOTALES'!$G148</f>
        <v>1457600</v>
      </c>
      <c r="BA125" s="344">
        <f>+'[85]VENTAS TOTALES'!$H148</f>
        <v>2486100</v>
      </c>
      <c r="BB125" s="343">
        <f>+'[86]VENTAS TOTALES'!$F148</f>
        <v>614</v>
      </c>
      <c r="BC125" s="344">
        <f>+'[86]VENTAS TOTALES'!$G148</f>
        <v>983000</v>
      </c>
      <c r="BD125" s="344">
        <f>+'[86]VENTAS TOTALES'!$H148</f>
        <v>2026800</v>
      </c>
      <c r="BE125" s="343">
        <f>+'[87]VENTAS TOTALES'!$F148</f>
        <v>599</v>
      </c>
      <c r="BF125" s="344">
        <f>+'[87]VENTAS TOTALES'!$G148</f>
        <v>1414300</v>
      </c>
      <c r="BG125" s="344">
        <f>+'[87]VENTAS TOTALES'!$H148</f>
        <v>2432600</v>
      </c>
      <c r="BH125" s="343">
        <f>+'[88]VENTAS TOTALES'!$F148</f>
        <v>801</v>
      </c>
      <c r="BI125" s="344">
        <f>+'[88]VENTAS TOTALES'!$G148</f>
        <v>1763500</v>
      </c>
      <c r="BJ125" s="344">
        <f>+'[88]VENTAS TOTALES'!$H148</f>
        <v>3125200</v>
      </c>
      <c r="BK125" s="343">
        <f>+'[89]VENTAS TOTALES'!$F148</f>
        <v>852</v>
      </c>
      <c r="BL125" s="344">
        <f>+'[89]VENTAS TOTALES'!$G148</f>
        <v>2082400</v>
      </c>
      <c r="BM125" s="344">
        <f>+'[89]VENTAS TOTALES'!$H148</f>
        <v>3530800</v>
      </c>
      <c r="BN125" s="343">
        <f>+'[90]VENTAS TOTALES'!$F148</f>
        <v>615</v>
      </c>
      <c r="BO125" s="344">
        <f>+'[90]VENTAS TOTALES'!$G148</f>
        <v>826700</v>
      </c>
      <c r="BP125" s="344">
        <f>+'[90]VENTAS TOTALES'!$H148</f>
        <v>1872200</v>
      </c>
      <c r="BQ125" s="343">
        <f>+'[91]VENTAS TOTALES'!$F148</f>
        <v>648</v>
      </c>
      <c r="BR125" s="344">
        <f>+'[91]VENTAS TOTALES'!$G148</f>
        <v>1366800</v>
      </c>
      <c r="BS125" s="344">
        <f>+'[91]VENTAS TOTALES'!$H148</f>
        <v>2468400</v>
      </c>
      <c r="BT125" s="343">
        <f>+'[92]VENTAS TOTALES'!$F148</f>
        <v>687</v>
      </c>
      <c r="BU125" s="344">
        <f>+'[92]VENTAS TOTALES'!$G148</f>
        <v>1181000</v>
      </c>
      <c r="BV125" s="344">
        <f>+'[92]VENTAS TOTALES'!$H148</f>
        <v>2348900</v>
      </c>
      <c r="BW125" s="343">
        <f>+'[93]VENTAS TOTALES'!$F148</f>
        <v>782</v>
      </c>
      <c r="BX125" s="344">
        <f>+'[93]VENTAS TOTALES'!$G148</f>
        <v>1572000</v>
      </c>
      <c r="BY125" s="344">
        <f>+'[93]VENTAS TOTALES'!$H148</f>
        <v>2901400</v>
      </c>
      <c r="BZ125" s="343">
        <f>+'[94]VENTAS TOTALES'!$F148</f>
        <v>676</v>
      </c>
      <c r="CA125" s="344">
        <f>+'[94]VENTAS TOTALES'!$G148</f>
        <v>1377400</v>
      </c>
      <c r="CB125" s="344">
        <f>+'[94]VENTAS TOTALES'!$H148</f>
        <v>2526600</v>
      </c>
      <c r="CC125" s="343">
        <f>+'[95]VENTAS TOTALES'!$F148</f>
        <v>973</v>
      </c>
      <c r="CD125" s="344">
        <f>+'[95]VENTAS TOTALES'!$G148</f>
        <v>1874700</v>
      </c>
      <c r="CE125" s="344">
        <f>+'[95]VENTAS TOTALES'!$H148</f>
        <v>3528800</v>
      </c>
      <c r="CF125" s="343">
        <f>+'[96]VENTAS TOTALES'!$F148</f>
        <v>979</v>
      </c>
      <c r="CG125" s="344">
        <f>+'[96]VENTAS TOTALES'!$G148</f>
        <v>3241100</v>
      </c>
      <c r="CH125" s="344">
        <f>+'[96]VENTAS TOTALES'!$H148</f>
        <v>4905400</v>
      </c>
      <c r="CI125" s="343">
        <f>+'[97]VENTAS TOTALES'!$F148</f>
        <v>1001</v>
      </c>
      <c r="CJ125" s="344">
        <f>+'[97]VENTAS TOTALES'!$G148</f>
        <v>3334300</v>
      </c>
      <c r="CK125" s="344">
        <f>+'[97]VENTAS TOTALES'!$H148</f>
        <v>5036000</v>
      </c>
      <c r="CL125" s="343">
        <f>+'[98]VENTAS TOTALES'!$F148</f>
        <v>974</v>
      </c>
      <c r="CM125" s="344">
        <f>+'[98]VENTAS TOTALES'!$G148</f>
        <v>2534600</v>
      </c>
      <c r="CN125" s="344">
        <f>+'[98]VENTAS TOTALES'!$H148</f>
        <v>4190400</v>
      </c>
      <c r="CO125" s="343">
        <f>+'[99]VENTAS TOTALES'!$F148</f>
        <v>551</v>
      </c>
      <c r="CP125" s="344">
        <f>+'[99]VENTAS TOTALES'!$G148</f>
        <v>1426000</v>
      </c>
      <c r="CQ125" s="344">
        <f>+'[99]VENTAS TOTALES'!$H148</f>
        <v>2362700</v>
      </c>
      <c r="CR125" s="343">
        <f>+'[100]VENTAS TOTALES'!$F148</f>
        <v>835</v>
      </c>
      <c r="CS125" s="344">
        <f>+'[100]VENTAS TOTALES'!$G148</f>
        <v>1189700</v>
      </c>
      <c r="CT125" s="344">
        <f>+'[100]VENTAS TOTALES'!$H148</f>
        <v>2609200</v>
      </c>
      <c r="CU125" s="343">
        <f>+'[101]VENTAS TOTALES'!$F148</f>
        <v>633</v>
      </c>
      <c r="CV125" s="344">
        <f>+'[101]VENTAS TOTALES'!$G148</f>
        <v>1033000</v>
      </c>
      <c r="CW125" s="344">
        <f>+'[101]VENTAS TOTALES'!$H148</f>
        <v>2109100</v>
      </c>
      <c r="CX125" s="343">
        <f>+'[102]VENTAS TOTALES'!$F148</f>
        <v>921</v>
      </c>
      <c r="CY125" s="344">
        <f>+'[102]VENTAS TOTALES'!$G148</f>
        <v>1249300</v>
      </c>
      <c r="CZ125" s="344">
        <f>+'[102]VENTAS TOTALES'!$H148</f>
        <v>2815000</v>
      </c>
    </row>
    <row r="126" spans="1:104" s="10" customFormat="1" ht="12" customHeight="1" thickBot="1" x14ac:dyDescent="0.25">
      <c r="A126" s="455"/>
      <c r="B126" s="349" t="s">
        <v>343</v>
      </c>
      <c r="C126" s="343">
        <f>+'[69]VENTAS TOTALES'!$F149</f>
        <v>365</v>
      </c>
      <c r="D126" s="344">
        <f>+'[69]VENTAS TOTALES'!$G149</f>
        <v>1336400</v>
      </c>
      <c r="E126" s="344">
        <f>+'[69]VENTAS TOTALES'!$H149</f>
        <v>1956900</v>
      </c>
      <c r="F126" s="343">
        <f>+'[70]VENTAS TOTALES'!$F149</f>
        <v>366</v>
      </c>
      <c r="G126" s="344">
        <f>+'[70]VENTAS TOTALES'!$G149</f>
        <v>896100</v>
      </c>
      <c r="H126" s="344">
        <f>+'[70]VENTAS TOTALES'!$H149</f>
        <v>1518300</v>
      </c>
      <c r="I126" s="343">
        <f>+'[71]VENTAS TOTALES'!$F149</f>
        <v>266</v>
      </c>
      <c r="J126" s="344">
        <f>+'[71]VENTAS TOTALES'!$G149</f>
        <v>329200</v>
      </c>
      <c r="K126" s="344">
        <f>+'[71]VENTAS TOTALES'!$H149</f>
        <v>781400</v>
      </c>
      <c r="L126" s="343">
        <f>+'[72]VENTAS TOTALES'!$F149</f>
        <v>117</v>
      </c>
      <c r="M126" s="344">
        <f>+'[72]VENTAS TOTALES'!$G149</f>
        <v>303800</v>
      </c>
      <c r="N126" s="344">
        <f>+'[72]VENTAS TOTALES'!$H149</f>
        <v>502700</v>
      </c>
      <c r="O126" s="343">
        <f>+'[73]VENTAS TOTALES'!$F149</f>
        <v>0</v>
      </c>
      <c r="P126" s="344">
        <f>+'[73]VENTAS TOTALES'!$G149</f>
        <v>0</v>
      </c>
      <c r="Q126" s="344">
        <f>+'[73]VENTAS TOTALES'!$H149</f>
        <v>0</v>
      </c>
      <c r="R126" s="343">
        <f>+'[74]VENTAS TOTALES'!$F149</f>
        <v>0</v>
      </c>
      <c r="S126" s="344">
        <f>+'[74]VENTAS TOTALES'!$G149</f>
        <v>0</v>
      </c>
      <c r="T126" s="344">
        <f>+'[74]VENTAS TOTALES'!$H149</f>
        <v>0</v>
      </c>
      <c r="U126" s="343">
        <f>+'[75]VENTAS TOTALES'!$F149</f>
        <v>340</v>
      </c>
      <c r="V126" s="344">
        <f>+'[75]VENTAS TOTALES'!$G149</f>
        <v>802200</v>
      </c>
      <c r="W126" s="344">
        <f>+'[75]VENTAS TOTALES'!$H149</f>
        <v>1380200</v>
      </c>
      <c r="X126" s="343">
        <f>+'[76]VENTAS TOTALES'!$F149</f>
        <v>179</v>
      </c>
      <c r="Y126" s="344">
        <f>+'[76]VENTAS TOTALES'!$G149</f>
        <v>335400</v>
      </c>
      <c r="Z126" s="344">
        <f>+'[76]VENTAS TOTALES'!$H149</f>
        <v>639700</v>
      </c>
      <c r="AA126" s="343">
        <f>+'[77]VENTAS TOTALES'!$F149</f>
        <v>170</v>
      </c>
      <c r="AB126" s="344">
        <f>+'[77]VENTAS TOTALES'!$G149</f>
        <v>243600</v>
      </c>
      <c r="AC126" s="344">
        <f>+'[77]VENTAS TOTALES'!$H149</f>
        <v>532600</v>
      </c>
      <c r="AD126" s="343">
        <f>+'[78]VENTAS TOTALES'!$F149</f>
        <v>141</v>
      </c>
      <c r="AE126" s="344">
        <f>+'[78]VENTAS TOTALES'!$G149</f>
        <v>318300</v>
      </c>
      <c r="AF126" s="344">
        <f>+'[78]VENTAS TOTALES'!$H149</f>
        <v>558000</v>
      </c>
      <c r="AG126" s="343">
        <f>+'[79]VENTAS TOTALES'!$F149</f>
        <v>189</v>
      </c>
      <c r="AH126" s="344">
        <f>+'[79]VENTAS TOTALES'!$G149</f>
        <v>310500</v>
      </c>
      <c r="AI126" s="344">
        <f>+'[79]VENTAS TOTALES'!$H149</f>
        <v>631800</v>
      </c>
      <c r="AJ126" s="343">
        <f>+'[80]VENTAS TOTALES'!$F149</f>
        <v>0</v>
      </c>
      <c r="AK126" s="344">
        <f>+'[80]VENTAS TOTALES'!$G149</f>
        <v>0</v>
      </c>
      <c r="AL126" s="344">
        <f>+'[80]VENTAS TOTALES'!$H149</f>
        <v>0</v>
      </c>
      <c r="AM126" s="343">
        <f>+'[81]VENTAS TOTALES'!$F149</f>
        <v>0</v>
      </c>
      <c r="AN126" s="344">
        <f>+'[81]VENTAS TOTALES'!$G149</f>
        <v>0</v>
      </c>
      <c r="AO126" s="344">
        <f>+'[81]VENTAS TOTALES'!$H149</f>
        <v>0</v>
      </c>
      <c r="AP126" s="343">
        <f>+'[82]VENTAS TOTALES'!$F149</f>
        <v>257</v>
      </c>
      <c r="AQ126" s="344">
        <f>+'[82]VENTAS TOTALES'!$G149</f>
        <v>515100</v>
      </c>
      <c r="AR126" s="344">
        <f>+'[82]VENTAS TOTALES'!$H149</f>
        <v>952000</v>
      </c>
      <c r="AS126" s="343">
        <f>+'[83]VENTAS TOTALES'!$F149</f>
        <v>318</v>
      </c>
      <c r="AT126" s="344">
        <f>+'[83]VENTAS TOTALES'!$G149</f>
        <v>751000</v>
      </c>
      <c r="AU126" s="344">
        <f>+'[83]VENTAS TOTALES'!$H149</f>
        <v>1291600</v>
      </c>
      <c r="AV126" s="343">
        <f>+'[84]VENTAS TOTALES'!$F149</f>
        <v>260</v>
      </c>
      <c r="AW126" s="344">
        <f>+'[84]VENTAS TOTALES'!$G149</f>
        <v>925600</v>
      </c>
      <c r="AX126" s="344">
        <f>+'[84]VENTAS TOTALES'!$H149</f>
        <v>1367600</v>
      </c>
      <c r="AY126" s="343">
        <f>+'[85]VENTAS TOTALES'!$F149</f>
        <v>181</v>
      </c>
      <c r="AZ126" s="344">
        <f>+'[85]VENTAS TOTALES'!$G149</f>
        <v>518100</v>
      </c>
      <c r="BA126" s="344">
        <f>+'[85]VENTAS TOTALES'!$H149</f>
        <v>825800</v>
      </c>
      <c r="BB126" s="343">
        <f>+'[86]VENTAS TOTALES'!$F149</f>
        <v>126</v>
      </c>
      <c r="BC126" s="344">
        <f>+'[86]VENTAS TOTALES'!$G149</f>
        <v>243100</v>
      </c>
      <c r="BD126" s="344">
        <f>+'[86]VENTAS TOTALES'!$H149</f>
        <v>457300</v>
      </c>
      <c r="BE126" s="343">
        <f>+'[87]VENTAS TOTALES'!$F149</f>
        <v>0</v>
      </c>
      <c r="BF126" s="344">
        <f>+'[87]VENTAS TOTALES'!$G149</f>
        <v>0</v>
      </c>
      <c r="BG126" s="344">
        <f>+'[87]VENTAS TOTALES'!$H149</f>
        <v>0</v>
      </c>
      <c r="BH126" s="343">
        <f>+'[88]VENTAS TOTALES'!$F149</f>
        <v>0</v>
      </c>
      <c r="BI126" s="344">
        <f>+'[88]VENTAS TOTALES'!$G149</f>
        <v>0</v>
      </c>
      <c r="BJ126" s="344">
        <f>+'[88]VENTAS TOTALES'!$H149</f>
        <v>0</v>
      </c>
      <c r="BK126" s="343">
        <f>+'[89]VENTAS TOTALES'!$F149</f>
        <v>295</v>
      </c>
      <c r="BL126" s="344">
        <f>+'[89]VENTAS TOTALES'!$G149</f>
        <v>523200</v>
      </c>
      <c r="BM126" s="344">
        <f>+'[89]VENTAS TOTALES'!$H149</f>
        <v>1024700</v>
      </c>
      <c r="BN126" s="343">
        <f>+'[90]VENTAS TOTALES'!$F149</f>
        <v>280</v>
      </c>
      <c r="BO126" s="344">
        <f>+'[90]VENTAS TOTALES'!$G149</f>
        <v>426500</v>
      </c>
      <c r="BP126" s="344">
        <f>+'[90]VENTAS TOTALES'!$H149</f>
        <v>902500</v>
      </c>
      <c r="BQ126" s="343">
        <f>+'[91]VENTAS TOTALES'!$F149</f>
        <v>199</v>
      </c>
      <c r="BR126" s="344">
        <f>+'[91]VENTAS TOTALES'!$G149</f>
        <v>311000</v>
      </c>
      <c r="BS126" s="344">
        <f>+'[91]VENTAS TOTALES'!$H149</f>
        <v>649300</v>
      </c>
      <c r="BT126" s="343">
        <f>+'[92]VENTAS TOTALES'!$F149</f>
        <v>209</v>
      </c>
      <c r="BU126" s="344">
        <f>+'[92]VENTAS TOTALES'!$G149</f>
        <v>538900</v>
      </c>
      <c r="BV126" s="344">
        <f>+'[92]VENTAS TOTALES'!$H149</f>
        <v>894200</v>
      </c>
      <c r="BW126" s="343">
        <f>+'[93]VENTAS TOTALES'!$F149</f>
        <v>210</v>
      </c>
      <c r="BX126" s="344">
        <f>+'[93]VENTAS TOTALES'!$G149</f>
        <v>522500</v>
      </c>
      <c r="BY126" s="344">
        <f>+'[93]VENTAS TOTALES'!$H149</f>
        <v>879500</v>
      </c>
      <c r="BZ126" s="343">
        <f>+'[94]VENTAS TOTALES'!$F149</f>
        <v>0</v>
      </c>
      <c r="CA126" s="344">
        <f>+'[94]VENTAS TOTALES'!$G149</f>
        <v>0</v>
      </c>
      <c r="CB126" s="344">
        <f>+'[94]VENTAS TOTALES'!$H149</f>
        <v>0</v>
      </c>
      <c r="CC126" s="343">
        <f>+'[95]VENTAS TOTALES'!$F149</f>
        <v>0</v>
      </c>
      <c r="CD126" s="344">
        <f>+'[95]VENTAS TOTALES'!$G149</f>
        <v>0</v>
      </c>
      <c r="CE126" s="344">
        <f>+'[95]VENTAS TOTALES'!$H149</f>
        <v>0</v>
      </c>
      <c r="CF126" s="343">
        <f>+'[96]VENTAS TOTALES'!$F149</f>
        <v>375</v>
      </c>
      <c r="CG126" s="344">
        <f>+'[96]VENTAS TOTALES'!$G149</f>
        <v>1274600</v>
      </c>
      <c r="CH126" s="344">
        <f>+'[96]VENTAS TOTALES'!$H149</f>
        <v>1912100</v>
      </c>
      <c r="CI126" s="343">
        <f>+'[97]VENTAS TOTALES'!$F149</f>
        <v>491</v>
      </c>
      <c r="CJ126" s="344">
        <f>+'[97]VENTAS TOTALES'!$G149</f>
        <v>1827700</v>
      </c>
      <c r="CK126" s="344">
        <f>+'[97]VENTAS TOTALES'!$H149</f>
        <v>2662400</v>
      </c>
      <c r="CL126" s="343">
        <f>+'[98]VENTAS TOTALES'!$F149</f>
        <v>407</v>
      </c>
      <c r="CM126" s="344">
        <f>+'[98]VENTAS TOTALES'!$G149</f>
        <v>838000</v>
      </c>
      <c r="CN126" s="344">
        <f>+'[98]VENTAS TOTALES'!$H149</f>
        <v>1529900</v>
      </c>
      <c r="CO126" s="343">
        <f>+'[99]VENTAS TOTALES'!$F149</f>
        <v>227</v>
      </c>
      <c r="CP126" s="344">
        <f>+'[99]VENTAS TOTALES'!$G149</f>
        <v>520400</v>
      </c>
      <c r="CQ126" s="344">
        <f>+'[99]VENTAS TOTALES'!$H149</f>
        <v>906300</v>
      </c>
      <c r="CR126" s="343">
        <f>+'[100]VENTAS TOTALES'!$F149</f>
        <v>241</v>
      </c>
      <c r="CS126" s="344">
        <f>+'[100]VENTAS TOTALES'!$G149</f>
        <v>300400</v>
      </c>
      <c r="CT126" s="344">
        <f>+'[100]VENTAS TOTALES'!$H149</f>
        <v>710100</v>
      </c>
      <c r="CU126" s="343">
        <f>+'[101]VENTAS TOTALES'!$F149</f>
        <v>0</v>
      </c>
      <c r="CV126" s="344">
        <f>+'[101]VENTAS TOTALES'!$G149</f>
        <v>0</v>
      </c>
      <c r="CW126" s="344">
        <f>+'[101]VENTAS TOTALES'!$H149</f>
        <v>0</v>
      </c>
      <c r="CX126" s="343">
        <f>+'[102]VENTAS TOTALES'!$F149</f>
        <v>0</v>
      </c>
      <c r="CY126" s="344">
        <f>+'[102]VENTAS TOTALES'!$G149</f>
        <v>0</v>
      </c>
      <c r="CZ126" s="344">
        <f>+'[102]VENTAS TOTALES'!$H149</f>
        <v>0</v>
      </c>
    </row>
    <row r="127" spans="1:104" s="10" customFormat="1" ht="12" customHeight="1" thickBot="1" x14ac:dyDescent="0.25">
      <c r="A127" s="456"/>
      <c r="B127" s="373" t="s">
        <v>344</v>
      </c>
      <c r="C127" s="343">
        <f>+'[69]VENTAS TOTALES'!$F150</f>
        <v>554</v>
      </c>
      <c r="D127" s="344">
        <f>+'[69]VENTAS TOTALES'!$G150</f>
        <v>1370400</v>
      </c>
      <c r="E127" s="344">
        <f>+'[69]VENTAS TOTALES'!$H150</f>
        <v>2312200</v>
      </c>
      <c r="F127" s="343">
        <f>+'[70]VENTAS TOTALES'!$F150</f>
        <v>377</v>
      </c>
      <c r="G127" s="344">
        <f>+'[70]VENTAS TOTALES'!$G150</f>
        <v>546400</v>
      </c>
      <c r="H127" s="344">
        <f>+'[70]VENTAS TOTALES'!$H150</f>
        <v>1187300</v>
      </c>
      <c r="I127" s="343">
        <f>+'[71]VENTAS TOTALES'!$F150</f>
        <v>420</v>
      </c>
      <c r="J127" s="344">
        <f>+'[71]VENTAS TOTALES'!$G150</f>
        <v>612800</v>
      </c>
      <c r="K127" s="344">
        <f>+'[71]VENTAS TOTALES'!$H150</f>
        <v>1326800</v>
      </c>
      <c r="L127" s="343">
        <f>+'[72]VENTAS TOTALES'!$F150</f>
        <v>245</v>
      </c>
      <c r="M127" s="344">
        <f>+'[72]VENTAS TOTALES'!$G150</f>
        <v>419900</v>
      </c>
      <c r="N127" s="344">
        <f>+'[72]VENTAS TOTALES'!$H150</f>
        <v>836400</v>
      </c>
      <c r="O127" s="343">
        <f>+'[73]VENTAS TOTALES'!$F150</f>
        <v>0</v>
      </c>
      <c r="P127" s="344">
        <f>+'[73]VENTAS TOTALES'!$G150</f>
        <v>0</v>
      </c>
      <c r="Q127" s="344">
        <f>+'[73]VENTAS TOTALES'!$H150</f>
        <v>0</v>
      </c>
      <c r="R127" s="343">
        <f>+'[74]VENTAS TOTALES'!$F150</f>
        <v>0</v>
      </c>
      <c r="S127" s="344">
        <f>+'[74]VENTAS TOTALES'!$G150</f>
        <v>0</v>
      </c>
      <c r="T127" s="344">
        <f>+'[74]VENTAS TOTALES'!$H150</f>
        <v>0</v>
      </c>
      <c r="U127" s="343">
        <f>+'[75]VENTAS TOTALES'!$F150</f>
        <v>330</v>
      </c>
      <c r="V127" s="344">
        <f>+'[75]VENTAS TOTALES'!$G150</f>
        <v>640100</v>
      </c>
      <c r="W127" s="344">
        <f>+'[75]VENTAS TOTALES'!$H150</f>
        <v>1201100</v>
      </c>
      <c r="X127" s="343">
        <f>+'[76]VENTAS TOTALES'!$F150</f>
        <v>516</v>
      </c>
      <c r="Y127" s="344">
        <f>+'[76]VENTAS TOTALES'!$G150</f>
        <v>538100</v>
      </c>
      <c r="Z127" s="344">
        <f>+'[76]VENTAS TOTALES'!$H150</f>
        <v>1415300</v>
      </c>
      <c r="AA127" s="343">
        <f>+'[77]VENTAS TOTALES'!$F150</f>
        <v>204</v>
      </c>
      <c r="AB127" s="344">
        <f>+'[77]VENTAS TOTALES'!$G150</f>
        <v>472400</v>
      </c>
      <c r="AC127" s="344">
        <f>+'[77]VENTAS TOTALES'!$H150</f>
        <v>819200</v>
      </c>
      <c r="AD127" s="343">
        <f>+'[78]VENTAS TOTALES'!$F150</f>
        <v>237</v>
      </c>
      <c r="AE127" s="344">
        <f>+'[78]VENTAS TOTALES'!$G150</f>
        <v>449300</v>
      </c>
      <c r="AF127" s="344">
        <f>+'[78]VENTAS TOTALES'!$H150</f>
        <v>852200</v>
      </c>
      <c r="AG127" s="343">
        <f>+'[79]VENTAS TOTALES'!$F150</f>
        <v>228</v>
      </c>
      <c r="AH127" s="344">
        <f>+'[79]VENTAS TOTALES'!$G150</f>
        <v>140600</v>
      </c>
      <c r="AI127" s="344">
        <f>+'[79]VENTAS TOTALES'!$H150</f>
        <v>528200</v>
      </c>
      <c r="AJ127" s="343">
        <f>+'[80]VENTAS TOTALES'!$F150</f>
        <v>0</v>
      </c>
      <c r="AK127" s="344">
        <f>+'[80]VENTAS TOTALES'!$G150</f>
        <v>0</v>
      </c>
      <c r="AL127" s="344">
        <f>+'[80]VENTAS TOTALES'!$H150</f>
        <v>0</v>
      </c>
      <c r="AM127" s="343">
        <f>+'[81]VENTAS TOTALES'!$F150</f>
        <v>0</v>
      </c>
      <c r="AN127" s="344">
        <f>+'[81]VENTAS TOTALES'!$G150</f>
        <v>0</v>
      </c>
      <c r="AO127" s="344">
        <f>+'[81]VENTAS TOTALES'!$H150</f>
        <v>0</v>
      </c>
      <c r="AP127" s="343">
        <f>+'[82]VENTAS TOTALES'!$F150</f>
        <v>302</v>
      </c>
      <c r="AQ127" s="344">
        <f>+'[82]VENTAS TOTALES'!$G150</f>
        <v>683300</v>
      </c>
      <c r="AR127" s="344">
        <f>+'[82]VENTAS TOTALES'!$H150</f>
        <v>1196700</v>
      </c>
      <c r="AS127" s="343">
        <f>+'[83]VENTAS TOTALES'!$F150</f>
        <v>622</v>
      </c>
      <c r="AT127" s="344">
        <f>+'[83]VENTAS TOTALES'!$G150</f>
        <v>1257000</v>
      </c>
      <c r="AU127" s="344">
        <f>+'[83]VENTAS TOTALES'!$H150</f>
        <v>2314400</v>
      </c>
      <c r="AV127" s="343">
        <f>+'[84]VENTAS TOTALES'!$F150</f>
        <v>300</v>
      </c>
      <c r="AW127" s="344">
        <f>+'[84]VENTAS TOTALES'!$G150</f>
        <v>852400</v>
      </c>
      <c r="AX127" s="344">
        <f>+'[84]VENTAS TOTALES'!$H150</f>
        <v>1362400</v>
      </c>
      <c r="AY127" s="343">
        <f>+'[85]VENTAS TOTALES'!$F150</f>
        <v>352</v>
      </c>
      <c r="AZ127" s="344">
        <f>+'[85]VENTAS TOTALES'!$G150</f>
        <v>567900</v>
      </c>
      <c r="BA127" s="344">
        <f>+'[85]VENTAS TOTALES'!$H150</f>
        <v>1166300</v>
      </c>
      <c r="BB127" s="343">
        <f>+'[86]VENTAS TOTALES'!$F150</f>
        <v>194</v>
      </c>
      <c r="BC127" s="344">
        <f>+'[86]VENTAS TOTALES'!$G150</f>
        <v>379400</v>
      </c>
      <c r="BD127" s="344">
        <f>+'[86]VENTAS TOTALES'!$H150</f>
        <v>709200</v>
      </c>
      <c r="BE127" s="343">
        <f>+'[87]VENTAS TOTALES'!$F150</f>
        <v>0</v>
      </c>
      <c r="BF127" s="344">
        <f>+'[87]VENTAS TOTALES'!$G150</f>
        <v>0</v>
      </c>
      <c r="BG127" s="344">
        <f>+'[87]VENTAS TOTALES'!$H150</f>
        <v>0</v>
      </c>
      <c r="BH127" s="343">
        <f>+'[88]VENTAS TOTALES'!$F150</f>
        <v>0</v>
      </c>
      <c r="BI127" s="344">
        <f>+'[88]VENTAS TOTALES'!$G150</f>
        <v>0</v>
      </c>
      <c r="BJ127" s="344">
        <f>+'[88]VENTAS TOTALES'!$H150</f>
        <v>0</v>
      </c>
      <c r="BK127" s="343">
        <f>+'[89]VENTAS TOTALES'!$F150</f>
        <v>404</v>
      </c>
      <c r="BL127" s="344">
        <f>+'[89]VENTAS TOTALES'!$G150</f>
        <v>741900</v>
      </c>
      <c r="BM127" s="344">
        <f>+'[89]VENTAS TOTALES'!$H150</f>
        <v>1428700</v>
      </c>
      <c r="BN127" s="343">
        <f>+'[90]VENTAS TOTALES'!$F150</f>
        <v>368</v>
      </c>
      <c r="BO127" s="344">
        <f>+'[90]VENTAS TOTALES'!$G150</f>
        <v>524300</v>
      </c>
      <c r="BP127" s="344">
        <f>+'[90]VENTAS TOTALES'!$H150</f>
        <v>1149900</v>
      </c>
      <c r="BQ127" s="343">
        <f>+'[91]VENTAS TOTALES'!$F150</f>
        <v>220</v>
      </c>
      <c r="BR127" s="344">
        <f>+'[91]VENTAS TOTALES'!$G150</f>
        <v>407400</v>
      </c>
      <c r="BS127" s="344">
        <f>+'[91]VENTAS TOTALES'!$H150</f>
        <v>781400</v>
      </c>
      <c r="BT127" s="343">
        <f>+'[92]VENTAS TOTALES'!$F150</f>
        <v>196</v>
      </c>
      <c r="BU127" s="344">
        <f>+'[92]VENTAS TOTALES'!$G150</f>
        <v>389100</v>
      </c>
      <c r="BV127" s="344">
        <f>+'[92]VENTAS TOTALES'!$H150</f>
        <v>722300</v>
      </c>
      <c r="BW127" s="343">
        <f>+'[93]VENTAS TOTALES'!$F150</f>
        <v>475</v>
      </c>
      <c r="BX127" s="344">
        <f>+'[93]VENTAS TOTALES'!$G150</f>
        <v>586700</v>
      </c>
      <c r="BY127" s="344">
        <f>+'[93]VENTAS TOTALES'!$H150</f>
        <v>1394200</v>
      </c>
      <c r="BZ127" s="343">
        <f>+'[94]VENTAS TOTALES'!$F150</f>
        <v>0</v>
      </c>
      <c r="CA127" s="344">
        <f>+'[94]VENTAS TOTALES'!$G150</f>
        <v>0</v>
      </c>
      <c r="CB127" s="344">
        <f>+'[94]VENTAS TOTALES'!$H150</f>
        <v>0</v>
      </c>
      <c r="CC127" s="343">
        <f>+'[95]VENTAS TOTALES'!$F150</f>
        <v>0</v>
      </c>
      <c r="CD127" s="344">
        <f>+'[95]VENTAS TOTALES'!$G150</f>
        <v>0</v>
      </c>
      <c r="CE127" s="344">
        <f>+'[95]VENTAS TOTALES'!$H150</f>
        <v>0</v>
      </c>
      <c r="CF127" s="343">
        <f>+'[96]VENTAS TOTALES'!$F150</f>
        <v>805</v>
      </c>
      <c r="CG127" s="344">
        <f>+'[96]VENTAS TOTALES'!$G150</f>
        <v>1745000</v>
      </c>
      <c r="CH127" s="344">
        <f>+'[96]VENTAS TOTALES'!$H150</f>
        <v>3113500</v>
      </c>
      <c r="CI127" s="343">
        <f>+'[97]VENTAS TOTALES'!$F150</f>
        <v>628</v>
      </c>
      <c r="CJ127" s="344">
        <f>+'[97]VENTAS TOTALES'!$G150</f>
        <v>1203400</v>
      </c>
      <c r="CK127" s="344">
        <f>+'[97]VENTAS TOTALES'!$H150</f>
        <v>2271000</v>
      </c>
      <c r="CL127" s="343">
        <f>+'[98]VENTAS TOTALES'!$F150</f>
        <v>351</v>
      </c>
      <c r="CM127" s="344">
        <f>+'[98]VENTAS TOTALES'!$G150</f>
        <v>477900</v>
      </c>
      <c r="CN127" s="344">
        <f>+'[98]VENTAS TOTALES'!$H150</f>
        <v>1074600</v>
      </c>
      <c r="CO127" s="343">
        <f>+'[99]VENTAS TOTALES'!$F150</f>
        <v>514</v>
      </c>
      <c r="CP127" s="344">
        <f>+'[99]VENTAS TOTALES'!$G150</f>
        <v>527100</v>
      </c>
      <c r="CQ127" s="344">
        <f>+'[99]VENTAS TOTALES'!$H150</f>
        <v>1400900</v>
      </c>
      <c r="CR127" s="343">
        <f>+'[100]VENTAS TOTALES'!$F150</f>
        <v>373</v>
      </c>
      <c r="CS127" s="344">
        <f>+'[100]VENTAS TOTALES'!$G150</f>
        <v>509208</v>
      </c>
      <c r="CT127" s="344">
        <f>+'[100]VENTAS TOTALES'!$H150</f>
        <v>1143308</v>
      </c>
      <c r="CU127" s="343">
        <f>+'[101]VENTAS TOTALES'!$F150</f>
        <v>0</v>
      </c>
      <c r="CV127" s="344">
        <f>+'[101]VENTAS TOTALES'!$G150</f>
        <v>0</v>
      </c>
      <c r="CW127" s="344">
        <f>+'[101]VENTAS TOTALES'!$H150</f>
        <v>0</v>
      </c>
      <c r="CX127" s="343">
        <f>+'[102]VENTAS TOTALES'!$F150</f>
        <v>0</v>
      </c>
      <c r="CY127" s="344">
        <f>+'[102]VENTAS TOTALES'!$G150</f>
        <v>0</v>
      </c>
      <c r="CZ127" s="344">
        <f>+'[102]VENTAS TOTALES'!$H150</f>
        <v>0</v>
      </c>
    </row>
    <row r="128" spans="1:104" s="10" customFormat="1" ht="12" customHeight="1" thickBot="1" x14ac:dyDescent="0.25">
      <c r="A128" s="454" t="s">
        <v>354</v>
      </c>
      <c r="B128" s="348" t="str">
        <f>+'[205]VENTAS TOTALES'!$C$151</f>
        <v>CATI Calle 100 - E1</v>
      </c>
      <c r="C128" s="343">
        <f>+'[69]VENTAS TOTALES'!$F153</f>
        <v>0</v>
      </c>
      <c r="D128" s="344">
        <f>+'[69]VENTAS TOTALES'!$G153</f>
        <v>140000</v>
      </c>
      <c r="E128" s="344">
        <f>+'[69]VENTAS TOTALES'!$H153</f>
        <v>140000</v>
      </c>
      <c r="F128" s="343">
        <f>+'[70]VENTAS TOTALES'!$F153</f>
        <v>0</v>
      </c>
      <c r="G128" s="344">
        <f>+'[70]VENTAS TOTALES'!$G153</f>
        <v>128000</v>
      </c>
      <c r="H128" s="344">
        <f>+'[70]VENTAS TOTALES'!$H153</f>
        <v>128000</v>
      </c>
      <c r="I128" s="343">
        <f>+'[71]VENTAS TOTALES'!$F153</f>
        <v>0</v>
      </c>
      <c r="J128" s="344">
        <f>+'[71]VENTAS TOTALES'!$G153</f>
        <v>26000</v>
      </c>
      <c r="K128" s="344">
        <f>+'[71]VENTAS TOTALES'!$H153</f>
        <v>26000</v>
      </c>
      <c r="L128" s="343">
        <f>+'[72]VENTAS TOTALES'!$F153</f>
        <v>0</v>
      </c>
      <c r="M128" s="344">
        <f>+'[72]VENTAS TOTALES'!$G153</f>
        <v>20000</v>
      </c>
      <c r="N128" s="344">
        <f>+'[72]VENTAS TOTALES'!$H153</f>
        <v>20000</v>
      </c>
      <c r="O128" s="343">
        <f>+'[73]VENTAS TOTALES'!$F153</f>
        <v>0</v>
      </c>
      <c r="P128" s="344">
        <f>+'[73]VENTAS TOTALES'!$G153</f>
        <v>0</v>
      </c>
      <c r="Q128" s="344">
        <f>+'[73]VENTAS TOTALES'!$H153</f>
        <v>0</v>
      </c>
      <c r="R128" s="343">
        <f>+'[74]VENTAS TOTALES'!$F153</f>
        <v>0</v>
      </c>
      <c r="S128" s="344">
        <f>+'[74]VENTAS TOTALES'!$G153</f>
        <v>0</v>
      </c>
      <c r="T128" s="344">
        <f>+'[74]VENTAS TOTALES'!$H153</f>
        <v>0</v>
      </c>
      <c r="U128" s="343">
        <f>+'[75]VENTAS TOTALES'!$F153</f>
        <v>0</v>
      </c>
      <c r="V128" s="344">
        <f>+'[75]VENTAS TOTALES'!$G153</f>
        <v>74000</v>
      </c>
      <c r="W128" s="344">
        <f>+'[75]VENTAS TOTALES'!$H153</f>
        <v>74000</v>
      </c>
      <c r="X128" s="343">
        <f>+'[76]VENTAS TOTALES'!$F153</f>
        <v>0</v>
      </c>
      <c r="Y128" s="344">
        <f>+'[76]VENTAS TOTALES'!$G153</f>
        <v>26000</v>
      </c>
      <c r="Z128" s="344">
        <f>+'[76]VENTAS TOTALES'!$H153</f>
        <v>26000</v>
      </c>
      <c r="AA128" s="343">
        <f>+'[77]VENTAS TOTALES'!$F153</f>
        <v>0</v>
      </c>
      <c r="AB128" s="344">
        <f>+'[77]VENTAS TOTALES'!$G153</f>
        <v>45000</v>
      </c>
      <c r="AC128" s="344">
        <f>+'[77]VENTAS TOTALES'!$H153</f>
        <v>45000</v>
      </c>
      <c r="AD128" s="343">
        <f>+'[78]VENTAS TOTALES'!$F153</f>
        <v>0</v>
      </c>
      <c r="AE128" s="344">
        <f>+'[78]VENTAS TOTALES'!$G153</f>
        <v>53000</v>
      </c>
      <c r="AF128" s="344">
        <f>+'[78]VENTAS TOTALES'!$H153</f>
        <v>53000</v>
      </c>
      <c r="AG128" s="343">
        <f>+'[79]VENTAS TOTALES'!$F153</f>
        <v>0</v>
      </c>
      <c r="AH128" s="344">
        <f>+'[79]VENTAS TOTALES'!$G153</f>
        <v>35000</v>
      </c>
      <c r="AI128" s="344">
        <f>+'[79]VENTAS TOTALES'!$H153</f>
        <v>35000</v>
      </c>
      <c r="AJ128" s="343">
        <f>+'[80]VENTAS TOTALES'!$F153</f>
        <v>0</v>
      </c>
      <c r="AK128" s="344">
        <f>+'[80]VENTAS TOTALES'!$G153</f>
        <v>30000</v>
      </c>
      <c r="AL128" s="344">
        <f>+'[80]VENTAS TOTALES'!$H153</f>
        <v>30000</v>
      </c>
      <c r="AM128" s="343">
        <f>+'[81]VENTAS TOTALES'!$F153</f>
        <v>0</v>
      </c>
      <c r="AN128" s="344">
        <f>+'[81]VENTAS TOTALES'!$G153</f>
        <v>0</v>
      </c>
      <c r="AO128" s="344">
        <f>+'[81]VENTAS TOTALES'!$H153</f>
        <v>0</v>
      </c>
      <c r="AP128" s="343">
        <f>+'[82]VENTAS TOTALES'!$F153</f>
        <v>0</v>
      </c>
      <c r="AQ128" s="344">
        <f>+'[82]VENTAS TOTALES'!$G153</f>
        <v>1000</v>
      </c>
      <c r="AR128" s="344">
        <f>+'[82]VENTAS TOTALES'!$H153</f>
        <v>1000</v>
      </c>
      <c r="AS128" s="343">
        <f>+'[83]VENTAS TOTALES'!$F153</f>
        <v>0</v>
      </c>
      <c r="AT128" s="344">
        <f>+'[83]VENTAS TOTALES'!$G153</f>
        <v>102000</v>
      </c>
      <c r="AU128" s="344">
        <f>+'[83]VENTAS TOTALES'!$H153</f>
        <v>102000</v>
      </c>
      <c r="AV128" s="343">
        <f>+'[84]VENTAS TOTALES'!$F153</f>
        <v>0</v>
      </c>
      <c r="AW128" s="344">
        <f>+'[84]VENTAS TOTALES'!$G153</f>
        <v>152000</v>
      </c>
      <c r="AX128" s="344">
        <f>+'[84]VENTAS TOTALES'!$H153</f>
        <v>152000</v>
      </c>
      <c r="AY128" s="343">
        <f>+'[85]VENTAS TOTALES'!$F153</f>
        <v>0</v>
      </c>
      <c r="AZ128" s="344">
        <f>+'[85]VENTAS TOTALES'!$G153</f>
        <v>36000</v>
      </c>
      <c r="BA128" s="344">
        <f>+'[85]VENTAS TOTALES'!$H153</f>
        <v>36000</v>
      </c>
      <c r="BB128" s="343">
        <f>+'[86]VENTAS TOTALES'!$F153</f>
        <v>0</v>
      </c>
      <c r="BC128" s="344">
        <f>+'[86]VENTAS TOTALES'!$G153</f>
        <v>22000</v>
      </c>
      <c r="BD128" s="344">
        <f>+'[86]VENTAS TOTALES'!$H153</f>
        <v>22000</v>
      </c>
      <c r="BE128" s="343">
        <f>+'[87]VENTAS TOTALES'!$F153</f>
        <v>0</v>
      </c>
      <c r="BF128" s="344">
        <f>+'[87]VENTAS TOTALES'!$G153</f>
        <v>0</v>
      </c>
      <c r="BG128" s="344">
        <f>+'[87]VENTAS TOTALES'!$H153</f>
        <v>0</v>
      </c>
      <c r="BH128" s="343">
        <f>+'[88]VENTAS TOTALES'!$F153</f>
        <v>0</v>
      </c>
      <c r="BI128" s="344">
        <f>+'[88]VENTAS TOTALES'!$G153</f>
        <v>0</v>
      </c>
      <c r="BJ128" s="344">
        <f>+'[88]VENTAS TOTALES'!$H153</f>
        <v>0</v>
      </c>
      <c r="BK128" s="343">
        <f>+'[89]VENTAS TOTALES'!$F153</f>
        <v>0</v>
      </c>
      <c r="BL128" s="344">
        <f>+'[89]VENTAS TOTALES'!$G153</f>
        <v>65000</v>
      </c>
      <c r="BM128" s="344">
        <f>+'[89]VENTAS TOTALES'!$H153</f>
        <v>65000</v>
      </c>
      <c r="BN128" s="343">
        <f>+'[90]VENTAS TOTALES'!$F153</f>
        <v>0</v>
      </c>
      <c r="BO128" s="344">
        <f>+'[90]VENTAS TOTALES'!$G153</f>
        <v>0</v>
      </c>
      <c r="BP128" s="344">
        <f>+'[90]VENTAS TOTALES'!$H153</f>
        <v>0</v>
      </c>
      <c r="BQ128" s="343">
        <f>+'[91]VENTAS TOTALES'!$F153</f>
        <v>0</v>
      </c>
      <c r="BR128" s="344">
        <f>+'[91]VENTAS TOTALES'!$G153</f>
        <v>73000</v>
      </c>
      <c r="BS128" s="344">
        <f>+'[91]VENTAS TOTALES'!$H153</f>
        <v>73000</v>
      </c>
      <c r="BT128" s="343">
        <f>+'[92]VENTAS TOTALES'!$F153</f>
        <v>0</v>
      </c>
      <c r="BU128" s="344">
        <f>+'[92]VENTAS TOTALES'!$G153</f>
        <v>50000</v>
      </c>
      <c r="BV128" s="344">
        <f>+'[92]VENTAS TOTALES'!$H153</f>
        <v>50000</v>
      </c>
      <c r="BW128" s="343">
        <f>+'[93]VENTAS TOTALES'!$F153</f>
        <v>0</v>
      </c>
      <c r="BX128" s="344">
        <f>+'[93]VENTAS TOTALES'!$G153</f>
        <v>3000</v>
      </c>
      <c r="BY128" s="344">
        <f>+'[93]VENTAS TOTALES'!$H153</f>
        <v>3000</v>
      </c>
      <c r="BZ128" s="343">
        <f>+'[94]VENTAS TOTALES'!$F153</f>
        <v>0</v>
      </c>
      <c r="CA128" s="344">
        <f>+'[94]VENTAS TOTALES'!$G153</f>
        <v>0</v>
      </c>
      <c r="CB128" s="344">
        <f>+'[94]VENTAS TOTALES'!$H153</f>
        <v>0</v>
      </c>
      <c r="CC128" s="343">
        <f>+'[95]VENTAS TOTALES'!$F153</f>
        <v>0</v>
      </c>
      <c r="CD128" s="344">
        <f>+'[95]VENTAS TOTALES'!$G153</f>
        <v>0</v>
      </c>
      <c r="CE128" s="344">
        <f>+'[95]VENTAS TOTALES'!$H153</f>
        <v>0</v>
      </c>
      <c r="CF128" s="343">
        <f>+'[96]VENTAS TOTALES'!$F153</f>
        <v>0</v>
      </c>
      <c r="CG128" s="344">
        <f>+'[96]VENTAS TOTALES'!$G153</f>
        <v>50000</v>
      </c>
      <c r="CH128" s="344">
        <f>+'[96]VENTAS TOTALES'!$H153</f>
        <v>50000</v>
      </c>
      <c r="CI128" s="343">
        <f>+'[97]VENTAS TOTALES'!$F153</f>
        <v>0</v>
      </c>
      <c r="CJ128" s="344">
        <f>+'[97]VENTAS TOTALES'!$G153</f>
        <v>5000</v>
      </c>
      <c r="CK128" s="344">
        <f>+'[97]VENTAS TOTALES'!$H153</f>
        <v>5000</v>
      </c>
      <c r="CL128" s="343">
        <f>+'[98]VENTAS TOTALES'!$F153</f>
        <v>0</v>
      </c>
      <c r="CM128" s="344">
        <f>+'[98]VENTAS TOTALES'!$G153</f>
        <v>93000</v>
      </c>
      <c r="CN128" s="344">
        <f>+'[98]VENTAS TOTALES'!$H153</f>
        <v>93000</v>
      </c>
      <c r="CO128" s="343">
        <f>+'[99]VENTAS TOTALES'!$F153</f>
        <v>0</v>
      </c>
      <c r="CP128" s="344">
        <f>+'[99]VENTAS TOTALES'!$G153</f>
        <v>40000</v>
      </c>
      <c r="CQ128" s="344">
        <f>+'[99]VENTAS TOTALES'!$H153</f>
        <v>40000</v>
      </c>
      <c r="CR128" s="343">
        <f>+'[100]VENTAS TOTALES'!$F153</f>
        <v>0</v>
      </c>
      <c r="CS128" s="344">
        <f>+'[100]VENTAS TOTALES'!$G153</f>
        <v>63000</v>
      </c>
      <c r="CT128" s="344">
        <f>+'[100]VENTAS TOTALES'!$H153</f>
        <v>63000</v>
      </c>
      <c r="CU128" s="343">
        <f>+'[101]VENTAS TOTALES'!$F153</f>
        <v>0</v>
      </c>
      <c r="CV128" s="344">
        <f>+'[101]VENTAS TOTALES'!$G153</f>
        <v>0</v>
      </c>
      <c r="CW128" s="344">
        <f>+'[101]VENTAS TOTALES'!$H153</f>
        <v>0</v>
      </c>
      <c r="CX128" s="343">
        <f>+'[102]VENTAS TOTALES'!$F153</f>
        <v>0</v>
      </c>
      <c r="CY128" s="344">
        <f>+'[102]VENTAS TOTALES'!$G153</f>
        <v>0</v>
      </c>
      <c r="CZ128" s="344">
        <f>+'[102]VENTAS TOTALES'!$H153</f>
        <v>0</v>
      </c>
    </row>
    <row r="129" spans="1:104" s="10" customFormat="1" ht="12" customHeight="1" thickBot="1" x14ac:dyDescent="0.25">
      <c r="A129" s="455"/>
      <c r="B129" s="349" t="str">
        <f>+'[205]VENTAS TOTALES'!$C$152</f>
        <v>CATI Calle 85 - E1</v>
      </c>
      <c r="C129" s="343">
        <f>+'[69]VENTAS TOTALES'!$F154</f>
        <v>0</v>
      </c>
      <c r="D129" s="344">
        <f>+'[69]VENTAS TOTALES'!$G154</f>
        <v>361000</v>
      </c>
      <c r="E129" s="344">
        <f>+'[69]VENTAS TOTALES'!$H154</f>
        <v>361000</v>
      </c>
      <c r="F129" s="343">
        <f>+'[70]VENTAS TOTALES'!$F154</f>
        <v>0</v>
      </c>
      <c r="G129" s="344">
        <f>+'[70]VENTAS TOTALES'!$G154</f>
        <v>260000</v>
      </c>
      <c r="H129" s="344">
        <f>+'[70]VENTAS TOTALES'!$H154</f>
        <v>260000</v>
      </c>
      <c r="I129" s="343">
        <f>+'[71]VENTAS TOTALES'!$F154</f>
        <v>0</v>
      </c>
      <c r="J129" s="344">
        <f>+'[71]VENTAS TOTALES'!$G154</f>
        <v>163000</v>
      </c>
      <c r="K129" s="344">
        <f>+'[71]VENTAS TOTALES'!$H154</f>
        <v>163000</v>
      </c>
      <c r="L129" s="343">
        <f>+'[72]VENTAS TOTALES'!$F154</f>
        <v>0</v>
      </c>
      <c r="M129" s="344">
        <f>+'[72]VENTAS TOTALES'!$G154</f>
        <v>60000</v>
      </c>
      <c r="N129" s="344">
        <f>+'[72]VENTAS TOTALES'!$H154</f>
        <v>60000</v>
      </c>
      <c r="O129" s="343">
        <f>+'[73]VENTAS TOTALES'!$F154</f>
        <v>0</v>
      </c>
      <c r="P129" s="344">
        <f>+'[73]VENTAS TOTALES'!$G154</f>
        <v>28000</v>
      </c>
      <c r="Q129" s="344">
        <f>+'[73]VENTAS TOTALES'!$H154</f>
        <v>28000</v>
      </c>
      <c r="R129" s="343">
        <f>+'[74]VENTAS TOTALES'!$F154</f>
        <v>0</v>
      </c>
      <c r="S129" s="344">
        <f>+'[74]VENTAS TOTALES'!$G154</f>
        <v>0</v>
      </c>
      <c r="T129" s="344">
        <f>+'[74]VENTAS TOTALES'!$H154</f>
        <v>0</v>
      </c>
      <c r="U129" s="343">
        <f>+'[75]VENTAS TOTALES'!$F154</f>
        <v>0</v>
      </c>
      <c r="V129" s="344">
        <f>+'[75]VENTAS TOTALES'!$G154</f>
        <v>228000</v>
      </c>
      <c r="W129" s="344">
        <f>+'[75]VENTAS TOTALES'!$H154</f>
        <v>228000</v>
      </c>
      <c r="X129" s="343">
        <f>+'[76]VENTAS TOTALES'!$F154</f>
        <v>0</v>
      </c>
      <c r="Y129" s="344">
        <f>+'[76]VENTAS TOTALES'!$G154</f>
        <v>256000</v>
      </c>
      <c r="Z129" s="344">
        <f>+'[76]VENTAS TOTALES'!$H154</f>
        <v>256000</v>
      </c>
      <c r="AA129" s="343">
        <f>+'[77]VENTAS TOTALES'!$F154</f>
        <v>0</v>
      </c>
      <c r="AB129" s="344">
        <f>+'[77]VENTAS TOTALES'!$G154</f>
        <v>0</v>
      </c>
      <c r="AC129" s="344">
        <f>+'[77]VENTAS TOTALES'!$H154</f>
        <v>0</v>
      </c>
      <c r="AD129" s="343">
        <f>+'[78]VENTAS TOTALES'!$F154</f>
        <v>0</v>
      </c>
      <c r="AE129" s="344">
        <f>+'[78]VENTAS TOTALES'!$G154</f>
        <v>215000</v>
      </c>
      <c r="AF129" s="344">
        <f>+'[78]VENTAS TOTALES'!$H154</f>
        <v>215000</v>
      </c>
      <c r="AG129" s="343">
        <f>+'[79]VENTAS TOTALES'!$F154</f>
        <v>0</v>
      </c>
      <c r="AH129" s="344">
        <f>+'[79]VENTAS TOTALES'!$G154</f>
        <v>48000</v>
      </c>
      <c r="AI129" s="344">
        <f>+'[79]VENTAS TOTALES'!$H154</f>
        <v>48000</v>
      </c>
      <c r="AJ129" s="343">
        <f>+'[80]VENTAS TOTALES'!$F154</f>
        <v>0</v>
      </c>
      <c r="AK129" s="344">
        <f>+'[80]VENTAS TOTALES'!$G154</f>
        <v>0</v>
      </c>
      <c r="AL129" s="344">
        <f>+'[80]VENTAS TOTALES'!$H154</f>
        <v>0</v>
      </c>
      <c r="AM129" s="343">
        <f>+'[81]VENTAS TOTALES'!$F154</f>
        <v>0</v>
      </c>
      <c r="AN129" s="344">
        <f>+'[81]VENTAS TOTALES'!$G154</f>
        <v>0</v>
      </c>
      <c r="AO129" s="344">
        <f>+'[81]VENTAS TOTALES'!$H154</f>
        <v>0</v>
      </c>
      <c r="AP129" s="343">
        <f>+'[82]VENTAS TOTALES'!$F154</f>
        <v>0</v>
      </c>
      <c r="AQ129" s="344">
        <f>+'[82]VENTAS TOTALES'!$G154</f>
        <v>0</v>
      </c>
      <c r="AR129" s="344">
        <f>+'[82]VENTAS TOTALES'!$H154</f>
        <v>0</v>
      </c>
      <c r="AS129" s="343">
        <f>+'[83]VENTAS TOTALES'!$F154</f>
        <v>0</v>
      </c>
      <c r="AT129" s="344">
        <f>+'[83]VENTAS TOTALES'!$G154</f>
        <v>435000</v>
      </c>
      <c r="AU129" s="344">
        <f>+'[83]VENTAS TOTALES'!$H154</f>
        <v>435000</v>
      </c>
      <c r="AV129" s="343">
        <f>+'[84]VENTAS TOTALES'!$F154</f>
        <v>0</v>
      </c>
      <c r="AW129" s="344">
        <f>+'[84]VENTAS TOTALES'!$G154</f>
        <v>0</v>
      </c>
      <c r="AX129" s="344">
        <f>+'[84]VENTAS TOTALES'!$H154</f>
        <v>0</v>
      </c>
      <c r="AY129" s="343">
        <f>+'[85]VENTAS TOTALES'!$F154</f>
        <v>0</v>
      </c>
      <c r="AZ129" s="344">
        <f>+'[85]VENTAS TOTALES'!$G154</f>
        <v>209000</v>
      </c>
      <c r="BA129" s="344">
        <f>+'[85]VENTAS TOTALES'!$H154</f>
        <v>209000</v>
      </c>
      <c r="BB129" s="343">
        <f>+'[86]VENTAS TOTALES'!$F154</f>
        <v>0</v>
      </c>
      <c r="BC129" s="344">
        <f>+'[86]VENTAS TOTALES'!$G154</f>
        <v>149000</v>
      </c>
      <c r="BD129" s="344">
        <f>+'[86]VENTAS TOTALES'!$H154</f>
        <v>149000</v>
      </c>
      <c r="BE129" s="343">
        <f>+'[87]VENTAS TOTALES'!$F154</f>
        <v>0</v>
      </c>
      <c r="BF129" s="344">
        <f>+'[87]VENTAS TOTALES'!$G154</f>
        <v>99000</v>
      </c>
      <c r="BG129" s="344">
        <f>+'[87]VENTAS TOTALES'!$H154</f>
        <v>99000</v>
      </c>
      <c r="BH129" s="343">
        <f>+'[88]VENTAS TOTALES'!$F154</f>
        <v>0</v>
      </c>
      <c r="BI129" s="344">
        <f>+'[88]VENTAS TOTALES'!$G154</f>
        <v>0</v>
      </c>
      <c r="BJ129" s="344">
        <f>+'[88]VENTAS TOTALES'!$H154</f>
        <v>0</v>
      </c>
      <c r="BK129" s="343">
        <f>+'[89]VENTAS TOTALES'!$F154</f>
        <v>0</v>
      </c>
      <c r="BL129" s="344">
        <f>+'[89]VENTAS TOTALES'!$G154</f>
        <v>441000</v>
      </c>
      <c r="BM129" s="344">
        <f>+'[89]VENTAS TOTALES'!$H154</f>
        <v>441000</v>
      </c>
      <c r="BN129" s="343">
        <f>+'[90]VENTAS TOTALES'!$F154</f>
        <v>0</v>
      </c>
      <c r="BO129" s="344">
        <f>+'[90]VENTAS TOTALES'!$G154</f>
        <v>157000</v>
      </c>
      <c r="BP129" s="344">
        <f>+'[90]VENTAS TOTALES'!$H154</f>
        <v>157000</v>
      </c>
      <c r="BQ129" s="343">
        <f>+'[91]VENTAS TOTALES'!$F154</f>
        <v>0</v>
      </c>
      <c r="BR129" s="344">
        <f>+'[91]VENTAS TOTALES'!$G154</f>
        <v>196000</v>
      </c>
      <c r="BS129" s="344">
        <f>+'[91]VENTAS TOTALES'!$H154</f>
        <v>196000</v>
      </c>
      <c r="BT129" s="343">
        <f>+'[92]VENTAS TOTALES'!$F154</f>
        <v>0</v>
      </c>
      <c r="BU129" s="344">
        <f>+'[92]VENTAS TOTALES'!$G154</f>
        <v>207000</v>
      </c>
      <c r="BV129" s="344">
        <f>+'[92]VENTAS TOTALES'!$H154</f>
        <v>207000</v>
      </c>
      <c r="BW129" s="343">
        <f>+'[93]VENTAS TOTALES'!$F154</f>
        <v>0</v>
      </c>
      <c r="BX129" s="344">
        <f>+'[93]VENTAS TOTALES'!$G154</f>
        <v>61000</v>
      </c>
      <c r="BY129" s="344">
        <f>+'[93]VENTAS TOTALES'!$H154</f>
        <v>61000</v>
      </c>
      <c r="BZ129" s="343">
        <f>+'[94]VENTAS TOTALES'!$F154</f>
        <v>0</v>
      </c>
      <c r="CA129" s="344">
        <f>+'[94]VENTAS TOTALES'!$G154</f>
        <v>5000</v>
      </c>
      <c r="CB129" s="344">
        <f>+'[94]VENTAS TOTALES'!$H154</f>
        <v>5000</v>
      </c>
      <c r="CC129" s="343">
        <f>+'[95]VENTAS TOTALES'!$F154</f>
        <v>0</v>
      </c>
      <c r="CD129" s="344">
        <f>+'[95]VENTAS TOTALES'!$G154</f>
        <v>0</v>
      </c>
      <c r="CE129" s="344">
        <f>+'[95]VENTAS TOTALES'!$H154</f>
        <v>0</v>
      </c>
      <c r="CF129" s="343">
        <f>+'[96]VENTAS TOTALES'!$F154</f>
        <v>0</v>
      </c>
      <c r="CG129" s="344">
        <f>+'[96]VENTAS TOTALES'!$G154</f>
        <v>382000</v>
      </c>
      <c r="CH129" s="344">
        <f>+'[96]VENTAS TOTALES'!$H154</f>
        <v>382000</v>
      </c>
      <c r="CI129" s="343">
        <f>+'[97]VENTAS TOTALES'!$F154</f>
        <v>0</v>
      </c>
      <c r="CJ129" s="344">
        <f>+'[97]VENTAS TOTALES'!$G154</f>
        <v>593000</v>
      </c>
      <c r="CK129" s="344">
        <f>+'[97]VENTAS TOTALES'!$H154</f>
        <v>593000</v>
      </c>
      <c r="CL129" s="343">
        <f>+'[98]VENTAS TOTALES'!$F154</f>
        <v>0</v>
      </c>
      <c r="CM129" s="344">
        <f>+'[98]VENTAS TOTALES'!$G154</f>
        <v>275000</v>
      </c>
      <c r="CN129" s="344">
        <f>+'[98]VENTAS TOTALES'!$H154</f>
        <v>275000</v>
      </c>
      <c r="CO129" s="343">
        <f>+'[99]VENTAS TOTALES'!$F154</f>
        <v>0</v>
      </c>
      <c r="CP129" s="344">
        <f>+'[99]VENTAS TOTALES'!$G154</f>
        <v>121000</v>
      </c>
      <c r="CQ129" s="344">
        <f>+'[99]VENTAS TOTALES'!$H154</f>
        <v>121000</v>
      </c>
      <c r="CR129" s="343">
        <f>+'[100]VENTAS TOTALES'!$F154</f>
        <v>0</v>
      </c>
      <c r="CS129" s="344">
        <f>+'[100]VENTAS TOTALES'!$G154</f>
        <v>240000</v>
      </c>
      <c r="CT129" s="344">
        <f>+'[100]VENTAS TOTALES'!$H154</f>
        <v>240000</v>
      </c>
      <c r="CU129" s="343">
        <f>+'[101]VENTAS TOTALES'!$F154</f>
        <v>0</v>
      </c>
      <c r="CV129" s="344">
        <f>+'[101]VENTAS TOTALES'!$G154</f>
        <v>26000</v>
      </c>
      <c r="CW129" s="344">
        <f>+'[101]VENTAS TOTALES'!$H154</f>
        <v>26000</v>
      </c>
      <c r="CX129" s="343">
        <f>+'[102]VENTAS TOTALES'!$F154</f>
        <v>0</v>
      </c>
      <c r="CY129" s="344">
        <f>+'[102]VENTAS TOTALES'!$G154</f>
        <v>0</v>
      </c>
      <c r="CZ129" s="344">
        <f>+'[102]VENTAS TOTALES'!$H154</f>
        <v>0</v>
      </c>
    </row>
    <row r="130" spans="1:104" s="10" customFormat="1" ht="12" customHeight="1" thickBot="1" x14ac:dyDescent="0.25">
      <c r="A130" s="455"/>
      <c r="B130" s="349" t="str">
        <f>+'[205]VENTAS TOTALES'!$C$153</f>
        <v>CATI Heroes - E1</v>
      </c>
      <c r="C130" s="343">
        <f>+'[69]VENTAS TOTALES'!$F155</f>
        <v>0</v>
      </c>
      <c r="D130" s="344">
        <f>+'[69]VENTAS TOTALES'!$G155</f>
        <v>321000</v>
      </c>
      <c r="E130" s="344">
        <f>+'[69]VENTAS TOTALES'!$H155</f>
        <v>321000</v>
      </c>
      <c r="F130" s="343">
        <f>+'[70]VENTAS TOTALES'!$F155</f>
        <v>0</v>
      </c>
      <c r="G130" s="344">
        <f>+'[70]VENTAS TOTALES'!$G155</f>
        <v>309000</v>
      </c>
      <c r="H130" s="344">
        <f>+'[70]VENTAS TOTALES'!$H155</f>
        <v>309000</v>
      </c>
      <c r="I130" s="343">
        <f>+'[71]VENTAS TOTALES'!$F155</f>
        <v>0</v>
      </c>
      <c r="J130" s="344">
        <f>+'[71]VENTAS TOTALES'!$G155</f>
        <v>200000</v>
      </c>
      <c r="K130" s="344">
        <f>+'[71]VENTAS TOTALES'!$H155</f>
        <v>200000</v>
      </c>
      <c r="L130" s="343">
        <f>+'[72]VENTAS TOTALES'!$F155</f>
        <v>0</v>
      </c>
      <c r="M130" s="344">
        <f>+'[72]VENTAS TOTALES'!$G155</f>
        <v>197000</v>
      </c>
      <c r="N130" s="344">
        <f>+'[72]VENTAS TOTALES'!$H155</f>
        <v>197000</v>
      </c>
      <c r="O130" s="343">
        <f>+'[73]VENTAS TOTALES'!$F155</f>
        <v>0</v>
      </c>
      <c r="P130" s="344">
        <f>+'[73]VENTAS TOTALES'!$G155</f>
        <v>41000</v>
      </c>
      <c r="Q130" s="344">
        <f>+'[73]VENTAS TOTALES'!$H155</f>
        <v>41000</v>
      </c>
      <c r="R130" s="343">
        <f>+'[74]VENTAS TOTALES'!$F155</f>
        <v>0</v>
      </c>
      <c r="S130" s="344">
        <f>+'[74]VENTAS TOTALES'!$G155</f>
        <v>1000</v>
      </c>
      <c r="T130" s="344">
        <f>+'[74]VENTAS TOTALES'!$H155</f>
        <v>1000</v>
      </c>
      <c r="U130" s="343">
        <f>+'[75]VENTAS TOTALES'!$F155</f>
        <v>0</v>
      </c>
      <c r="V130" s="344">
        <f>+'[75]VENTAS TOTALES'!$G155</f>
        <v>380000</v>
      </c>
      <c r="W130" s="344">
        <f>+'[75]VENTAS TOTALES'!$H155</f>
        <v>380000</v>
      </c>
      <c r="X130" s="343">
        <f>+'[76]VENTAS TOTALES'!$F155</f>
        <v>0</v>
      </c>
      <c r="Y130" s="344">
        <f>+'[76]VENTAS TOTALES'!$G155</f>
        <v>125000</v>
      </c>
      <c r="Z130" s="344">
        <f>+'[76]VENTAS TOTALES'!$H155</f>
        <v>125000</v>
      </c>
      <c r="AA130" s="343">
        <f>+'[77]VENTAS TOTALES'!$F155</f>
        <v>0</v>
      </c>
      <c r="AB130" s="344">
        <f>+'[77]VENTAS TOTALES'!$G155</f>
        <v>0</v>
      </c>
      <c r="AC130" s="344">
        <f>+'[77]VENTAS TOTALES'!$H155</f>
        <v>0</v>
      </c>
      <c r="AD130" s="343">
        <f>+'[78]VENTAS TOTALES'!$F155</f>
        <v>0</v>
      </c>
      <c r="AE130" s="344">
        <f>+'[78]VENTAS TOTALES'!$G155</f>
        <v>45000</v>
      </c>
      <c r="AF130" s="344">
        <f>+'[78]VENTAS TOTALES'!$H155</f>
        <v>45000</v>
      </c>
      <c r="AG130" s="343">
        <f>+'[79]VENTAS TOTALES'!$F155</f>
        <v>0</v>
      </c>
      <c r="AH130" s="344">
        <f>+'[79]VENTAS TOTALES'!$G155</f>
        <v>166000</v>
      </c>
      <c r="AI130" s="344">
        <f>+'[79]VENTAS TOTALES'!$H155</f>
        <v>166000</v>
      </c>
      <c r="AJ130" s="343">
        <f>+'[80]VENTAS TOTALES'!$F155</f>
        <v>0</v>
      </c>
      <c r="AK130" s="344">
        <f>+'[80]VENTAS TOTALES'!$G155</f>
        <v>63000</v>
      </c>
      <c r="AL130" s="344">
        <f>+'[80]VENTAS TOTALES'!$H155</f>
        <v>63000</v>
      </c>
      <c r="AM130" s="343">
        <f>+'[81]VENTAS TOTALES'!$F155</f>
        <v>0</v>
      </c>
      <c r="AN130" s="344">
        <f>+'[81]VENTAS TOTALES'!$G155</f>
        <v>13000</v>
      </c>
      <c r="AO130" s="344">
        <f>+'[81]VENTAS TOTALES'!$H155</f>
        <v>13000</v>
      </c>
      <c r="AP130" s="343">
        <f>+'[82]VENTAS TOTALES'!$F155</f>
        <v>0</v>
      </c>
      <c r="AQ130" s="344">
        <f>+'[82]VENTAS TOTALES'!$G155</f>
        <v>357000</v>
      </c>
      <c r="AR130" s="344">
        <f>+'[82]VENTAS TOTALES'!$H155</f>
        <v>357000</v>
      </c>
      <c r="AS130" s="343">
        <f>+'[83]VENTAS TOTALES'!$F155</f>
        <v>0</v>
      </c>
      <c r="AT130" s="344">
        <f>+'[83]VENTAS TOTALES'!$G155</f>
        <v>427000</v>
      </c>
      <c r="AU130" s="344">
        <f>+'[83]VENTAS TOTALES'!$H155</f>
        <v>427000</v>
      </c>
      <c r="AV130" s="343">
        <f>+'[84]VENTAS TOTALES'!$F155</f>
        <v>0</v>
      </c>
      <c r="AW130" s="344">
        <f>+'[84]VENTAS TOTALES'!$G155</f>
        <v>316000</v>
      </c>
      <c r="AX130" s="344">
        <f>+'[84]VENTAS TOTALES'!$H155</f>
        <v>316000</v>
      </c>
      <c r="AY130" s="343">
        <f>+'[85]VENTAS TOTALES'!$F155</f>
        <v>0</v>
      </c>
      <c r="AZ130" s="344">
        <f>+'[85]VENTAS TOTALES'!$G155</f>
        <v>215000</v>
      </c>
      <c r="BA130" s="344">
        <f>+'[85]VENTAS TOTALES'!$H155</f>
        <v>215000</v>
      </c>
      <c r="BB130" s="343">
        <f>+'[86]VENTAS TOTALES'!$F155</f>
        <v>0</v>
      </c>
      <c r="BC130" s="344">
        <f>+'[86]VENTAS TOTALES'!$G155</f>
        <v>174000</v>
      </c>
      <c r="BD130" s="344">
        <f>+'[86]VENTAS TOTALES'!$H155</f>
        <v>174000</v>
      </c>
      <c r="BE130" s="343">
        <f>+'[87]VENTAS TOTALES'!$F155</f>
        <v>0</v>
      </c>
      <c r="BF130" s="344">
        <f>+'[87]VENTAS TOTALES'!$G155</f>
        <v>78000</v>
      </c>
      <c r="BG130" s="344">
        <f>+'[87]VENTAS TOTALES'!$H155</f>
        <v>78000</v>
      </c>
      <c r="BH130" s="343">
        <f>+'[88]VENTAS TOTALES'!$F155</f>
        <v>0</v>
      </c>
      <c r="BI130" s="344">
        <f>+'[88]VENTAS TOTALES'!$G155</f>
        <v>12000</v>
      </c>
      <c r="BJ130" s="344">
        <f>+'[88]VENTAS TOTALES'!$H155</f>
        <v>12000</v>
      </c>
      <c r="BK130" s="343">
        <f>+'[89]VENTAS TOTALES'!$F155</f>
        <v>0</v>
      </c>
      <c r="BL130" s="344">
        <f>+'[89]VENTAS TOTALES'!$G155</f>
        <v>361000</v>
      </c>
      <c r="BM130" s="344">
        <f>+'[89]VENTAS TOTALES'!$H155</f>
        <v>361000</v>
      </c>
      <c r="BN130" s="343">
        <f>+'[90]VENTAS TOTALES'!$F155</f>
        <v>0</v>
      </c>
      <c r="BO130" s="344">
        <f>+'[90]VENTAS TOTALES'!$G155</f>
        <v>211000</v>
      </c>
      <c r="BP130" s="344">
        <f>+'[90]VENTAS TOTALES'!$H155</f>
        <v>211000</v>
      </c>
      <c r="BQ130" s="343">
        <f>+'[91]VENTAS TOTALES'!$F155</f>
        <v>0</v>
      </c>
      <c r="BR130" s="344">
        <f>+'[91]VENTAS TOTALES'!$G155</f>
        <v>252000</v>
      </c>
      <c r="BS130" s="344">
        <f>+'[91]VENTAS TOTALES'!$H155</f>
        <v>252000</v>
      </c>
      <c r="BT130" s="343">
        <f>+'[92]VENTAS TOTALES'!$F155</f>
        <v>0</v>
      </c>
      <c r="BU130" s="344">
        <f>+'[92]VENTAS TOTALES'!$G155</f>
        <v>148000</v>
      </c>
      <c r="BV130" s="344">
        <f>+'[92]VENTAS TOTALES'!$H155</f>
        <v>148000</v>
      </c>
      <c r="BW130" s="343">
        <f>+'[93]VENTAS TOTALES'!$F155</f>
        <v>0</v>
      </c>
      <c r="BX130" s="344">
        <f>+'[93]VENTAS TOTALES'!$G155</f>
        <v>232000</v>
      </c>
      <c r="BY130" s="344">
        <f>+'[93]VENTAS TOTALES'!$H155</f>
        <v>232000</v>
      </c>
      <c r="BZ130" s="343">
        <f>+'[94]VENTAS TOTALES'!$F155</f>
        <v>0</v>
      </c>
      <c r="CA130" s="344">
        <f>+'[94]VENTAS TOTALES'!$G155</f>
        <v>54000</v>
      </c>
      <c r="CB130" s="344">
        <f>+'[94]VENTAS TOTALES'!$H155</f>
        <v>54000</v>
      </c>
      <c r="CC130" s="343">
        <f>+'[95]VENTAS TOTALES'!$F155</f>
        <v>0</v>
      </c>
      <c r="CD130" s="344">
        <f>+'[95]VENTAS TOTALES'!$G155</f>
        <v>4000</v>
      </c>
      <c r="CE130" s="344">
        <f>+'[95]VENTAS TOTALES'!$H155</f>
        <v>4000</v>
      </c>
      <c r="CF130" s="343">
        <f>+'[96]VENTAS TOTALES'!$F155</f>
        <v>0</v>
      </c>
      <c r="CG130" s="344">
        <f>+'[96]VENTAS TOTALES'!$G155</f>
        <v>401000</v>
      </c>
      <c r="CH130" s="344">
        <f>+'[96]VENTAS TOTALES'!$H155</f>
        <v>401000</v>
      </c>
      <c r="CI130" s="343">
        <f>+'[97]VENTAS TOTALES'!$F155</f>
        <v>0</v>
      </c>
      <c r="CJ130" s="344">
        <f>+'[97]VENTAS TOTALES'!$G155</f>
        <v>459000</v>
      </c>
      <c r="CK130" s="344">
        <f>+'[97]VENTAS TOTALES'!$H155</f>
        <v>459000</v>
      </c>
      <c r="CL130" s="343">
        <f>+'[98]VENTAS TOTALES'!$F155</f>
        <v>0</v>
      </c>
      <c r="CM130" s="344">
        <f>+'[98]VENTAS TOTALES'!$G155</f>
        <v>228000</v>
      </c>
      <c r="CN130" s="344">
        <f>+'[98]VENTAS TOTALES'!$H155</f>
        <v>228000</v>
      </c>
      <c r="CO130" s="343">
        <f>+'[99]VENTAS TOTALES'!$F155</f>
        <v>0</v>
      </c>
      <c r="CP130" s="344">
        <f>+'[99]VENTAS TOTALES'!$G155</f>
        <v>135000</v>
      </c>
      <c r="CQ130" s="344">
        <f>+'[99]VENTAS TOTALES'!$H155</f>
        <v>135000</v>
      </c>
      <c r="CR130" s="343">
        <f>+'[100]VENTAS TOTALES'!$F155</f>
        <v>0</v>
      </c>
      <c r="CS130" s="344">
        <f>+'[100]VENTAS TOTALES'!$G155</f>
        <v>160000</v>
      </c>
      <c r="CT130" s="344">
        <f>+'[100]VENTAS TOTALES'!$H155</f>
        <v>160000</v>
      </c>
      <c r="CU130" s="343">
        <f>+'[101]VENTAS TOTALES'!$F155</f>
        <v>0</v>
      </c>
      <c r="CV130" s="344">
        <f>+'[101]VENTAS TOTALES'!$G155</f>
        <v>65000</v>
      </c>
      <c r="CW130" s="344">
        <f>+'[101]VENTAS TOTALES'!$H155</f>
        <v>65000</v>
      </c>
      <c r="CX130" s="343">
        <f>+'[102]VENTAS TOTALES'!$F155</f>
        <v>0</v>
      </c>
      <c r="CY130" s="344">
        <f>+'[102]VENTAS TOTALES'!$G155</f>
        <v>20000</v>
      </c>
      <c r="CZ130" s="344">
        <f>+'[102]VENTAS TOTALES'!$H155</f>
        <v>20000</v>
      </c>
    </row>
    <row r="131" spans="1:104" s="10" customFormat="1" ht="12" customHeight="1" thickBot="1" x14ac:dyDescent="0.25">
      <c r="A131" s="455"/>
      <c r="B131" s="349" t="str">
        <f>+'[205]VENTAS TOTALES'!$C$154</f>
        <v>CATI Museo del Oro - E1</v>
      </c>
      <c r="C131" s="343">
        <f>+'[69]VENTAS TOTALES'!$F156</f>
        <v>0</v>
      </c>
      <c r="D131" s="344">
        <f>+'[69]VENTAS TOTALES'!$G156</f>
        <v>0</v>
      </c>
      <c r="E131" s="344">
        <f>+'[69]VENTAS TOTALES'!$H156</f>
        <v>0</v>
      </c>
      <c r="F131" s="343">
        <f>+'[70]VENTAS TOTALES'!$F156</f>
        <v>0</v>
      </c>
      <c r="G131" s="344">
        <f>+'[70]VENTAS TOTALES'!$G156</f>
        <v>0</v>
      </c>
      <c r="H131" s="344">
        <f>+'[70]VENTAS TOTALES'!$H156</f>
        <v>0</v>
      </c>
      <c r="I131" s="343">
        <f>+'[71]VENTAS TOTALES'!$F156</f>
        <v>0</v>
      </c>
      <c r="J131" s="344">
        <f>+'[71]VENTAS TOTALES'!$G156</f>
        <v>0</v>
      </c>
      <c r="K131" s="344">
        <f>+'[71]VENTAS TOTALES'!$H156</f>
        <v>0</v>
      </c>
      <c r="L131" s="343">
        <f>+'[72]VENTAS TOTALES'!$F156</f>
        <v>0</v>
      </c>
      <c r="M131" s="344">
        <f>+'[72]VENTAS TOTALES'!$G156</f>
        <v>0</v>
      </c>
      <c r="N131" s="344">
        <f>+'[72]VENTAS TOTALES'!$H156</f>
        <v>0</v>
      </c>
      <c r="O131" s="343">
        <f>+'[73]VENTAS TOTALES'!$F156</f>
        <v>0</v>
      </c>
      <c r="P131" s="344">
        <f>+'[73]VENTAS TOTALES'!$G156</f>
        <v>0</v>
      </c>
      <c r="Q131" s="344">
        <f>+'[73]VENTAS TOTALES'!$H156</f>
        <v>0</v>
      </c>
      <c r="R131" s="343">
        <f>+'[74]VENTAS TOTALES'!$F156</f>
        <v>0</v>
      </c>
      <c r="S131" s="344">
        <f>+'[74]VENTAS TOTALES'!$G156</f>
        <v>0</v>
      </c>
      <c r="T131" s="344">
        <f>+'[74]VENTAS TOTALES'!$H156</f>
        <v>0</v>
      </c>
      <c r="U131" s="343">
        <f>+'[75]VENTAS TOTALES'!$F156</f>
        <v>0</v>
      </c>
      <c r="V131" s="344">
        <f>+'[75]VENTAS TOTALES'!$G156</f>
        <v>0</v>
      </c>
      <c r="W131" s="344">
        <f>+'[75]VENTAS TOTALES'!$H156</f>
        <v>0</v>
      </c>
      <c r="X131" s="343">
        <f>+'[76]VENTAS TOTALES'!$F156</f>
        <v>0</v>
      </c>
      <c r="Y131" s="344">
        <f>+'[76]VENTAS TOTALES'!$G156</f>
        <v>0</v>
      </c>
      <c r="Z131" s="344">
        <f>+'[76]VENTAS TOTALES'!$H156</f>
        <v>0</v>
      </c>
      <c r="AA131" s="343">
        <f>+'[77]VENTAS TOTALES'!$F156</f>
        <v>0</v>
      </c>
      <c r="AB131" s="344">
        <f>+'[77]VENTAS TOTALES'!$G156</f>
        <v>0</v>
      </c>
      <c r="AC131" s="344">
        <f>+'[77]VENTAS TOTALES'!$H156</f>
        <v>0</v>
      </c>
      <c r="AD131" s="343">
        <f>+'[78]VENTAS TOTALES'!$F156</f>
        <v>0</v>
      </c>
      <c r="AE131" s="344">
        <f>+'[78]VENTAS TOTALES'!$G156</f>
        <v>0</v>
      </c>
      <c r="AF131" s="344">
        <f>+'[78]VENTAS TOTALES'!$H156</f>
        <v>0</v>
      </c>
      <c r="AG131" s="343">
        <f>+'[79]VENTAS TOTALES'!$F156</f>
        <v>0</v>
      </c>
      <c r="AH131" s="344">
        <f>+'[79]VENTAS TOTALES'!$G156</f>
        <v>0</v>
      </c>
      <c r="AI131" s="344">
        <f>+'[79]VENTAS TOTALES'!$H156</f>
        <v>0</v>
      </c>
      <c r="AJ131" s="343">
        <f>+'[80]VENTAS TOTALES'!$F156</f>
        <v>0</v>
      </c>
      <c r="AK131" s="344">
        <f>+'[80]VENTAS TOTALES'!$G156</f>
        <v>0</v>
      </c>
      <c r="AL131" s="344">
        <f>+'[80]VENTAS TOTALES'!$H156</f>
        <v>0</v>
      </c>
      <c r="AM131" s="343">
        <f>+'[81]VENTAS TOTALES'!$F156</f>
        <v>0</v>
      </c>
      <c r="AN131" s="344">
        <f>+'[81]VENTAS TOTALES'!$G156</f>
        <v>0</v>
      </c>
      <c r="AO131" s="344">
        <f>+'[81]VENTAS TOTALES'!$H156</f>
        <v>0</v>
      </c>
      <c r="AP131" s="343">
        <f>+'[82]VENTAS TOTALES'!$F156</f>
        <v>0</v>
      </c>
      <c r="AQ131" s="344">
        <f>+'[82]VENTAS TOTALES'!$G156</f>
        <v>0</v>
      </c>
      <c r="AR131" s="344">
        <f>+'[82]VENTAS TOTALES'!$H156</f>
        <v>0</v>
      </c>
      <c r="AS131" s="343">
        <f>+'[83]VENTAS TOTALES'!$F156</f>
        <v>0</v>
      </c>
      <c r="AT131" s="344">
        <f>+'[83]VENTAS TOTALES'!$G156</f>
        <v>0</v>
      </c>
      <c r="AU131" s="344">
        <f>+'[83]VENTAS TOTALES'!$H156</f>
        <v>0</v>
      </c>
      <c r="AV131" s="343">
        <f>+'[84]VENTAS TOTALES'!$F156</f>
        <v>0</v>
      </c>
      <c r="AW131" s="344">
        <f>+'[84]VENTAS TOTALES'!$G156</f>
        <v>0</v>
      </c>
      <c r="AX131" s="344">
        <f>+'[84]VENTAS TOTALES'!$H156</f>
        <v>0</v>
      </c>
      <c r="AY131" s="343">
        <f>+'[85]VENTAS TOTALES'!$F156</f>
        <v>0</v>
      </c>
      <c r="AZ131" s="344">
        <f>+'[85]VENTAS TOTALES'!$G156</f>
        <v>0</v>
      </c>
      <c r="BA131" s="344">
        <f>+'[85]VENTAS TOTALES'!$H156</f>
        <v>0</v>
      </c>
      <c r="BB131" s="343">
        <f>+'[86]VENTAS TOTALES'!$F156</f>
        <v>0</v>
      </c>
      <c r="BC131" s="344">
        <f>+'[86]VENTAS TOTALES'!$G156</f>
        <v>0</v>
      </c>
      <c r="BD131" s="344">
        <f>+'[86]VENTAS TOTALES'!$H156</f>
        <v>0</v>
      </c>
      <c r="BE131" s="343">
        <f>+'[87]VENTAS TOTALES'!$F156</f>
        <v>0</v>
      </c>
      <c r="BF131" s="344">
        <f>+'[87]VENTAS TOTALES'!$G156</f>
        <v>0</v>
      </c>
      <c r="BG131" s="344">
        <f>+'[87]VENTAS TOTALES'!$H156</f>
        <v>0</v>
      </c>
      <c r="BH131" s="343">
        <f>+'[88]VENTAS TOTALES'!$F156</f>
        <v>0</v>
      </c>
      <c r="BI131" s="344">
        <f>+'[88]VENTAS TOTALES'!$G156</f>
        <v>0</v>
      </c>
      <c r="BJ131" s="344">
        <f>+'[88]VENTAS TOTALES'!$H156</f>
        <v>0</v>
      </c>
      <c r="BK131" s="343">
        <f>+'[89]VENTAS TOTALES'!$F156</f>
        <v>0</v>
      </c>
      <c r="BL131" s="344">
        <f>+'[89]VENTAS TOTALES'!$G156</f>
        <v>0</v>
      </c>
      <c r="BM131" s="344">
        <f>+'[89]VENTAS TOTALES'!$H156</f>
        <v>0</v>
      </c>
      <c r="BN131" s="343">
        <f>+'[90]VENTAS TOTALES'!$F156</f>
        <v>0</v>
      </c>
      <c r="BO131" s="344">
        <f>+'[90]VENTAS TOTALES'!$G156</f>
        <v>0</v>
      </c>
      <c r="BP131" s="344">
        <f>+'[90]VENTAS TOTALES'!$H156</f>
        <v>0</v>
      </c>
      <c r="BQ131" s="343">
        <f>+'[91]VENTAS TOTALES'!$F156</f>
        <v>0</v>
      </c>
      <c r="BR131" s="344">
        <f>+'[91]VENTAS TOTALES'!$G156</f>
        <v>0</v>
      </c>
      <c r="BS131" s="344">
        <f>+'[91]VENTAS TOTALES'!$H156</f>
        <v>0</v>
      </c>
      <c r="BT131" s="343">
        <f>+'[92]VENTAS TOTALES'!$F156</f>
        <v>0</v>
      </c>
      <c r="BU131" s="344">
        <f>+'[92]VENTAS TOTALES'!$G156</f>
        <v>0</v>
      </c>
      <c r="BV131" s="344">
        <f>+'[92]VENTAS TOTALES'!$H156</f>
        <v>0</v>
      </c>
      <c r="BW131" s="343">
        <f>+'[93]VENTAS TOTALES'!$F156</f>
        <v>0</v>
      </c>
      <c r="BX131" s="344">
        <f>+'[93]VENTAS TOTALES'!$G156</f>
        <v>0</v>
      </c>
      <c r="BY131" s="344">
        <f>+'[93]VENTAS TOTALES'!$H156</f>
        <v>0</v>
      </c>
      <c r="BZ131" s="343">
        <f>+'[94]VENTAS TOTALES'!$F156</f>
        <v>0</v>
      </c>
      <c r="CA131" s="344">
        <f>+'[94]VENTAS TOTALES'!$G156</f>
        <v>0</v>
      </c>
      <c r="CB131" s="344">
        <f>+'[94]VENTAS TOTALES'!$H156</f>
        <v>0</v>
      </c>
      <c r="CC131" s="343">
        <f>+'[95]VENTAS TOTALES'!$F156</f>
        <v>0</v>
      </c>
      <c r="CD131" s="344">
        <f>+'[95]VENTAS TOTALES'!$G156</f>
        <v>0</v>
      </c>
      <c r="CE131" s="344">
        <f>+'[95]VENTAS TOTALES'!$H156</f>
        <v>0</v>
      </c>
      <c r="CF131" s="343">
        <f>+'[96]VENTAS TOTALES'!$F156</f>
        <v>0</v>
      </c>
      <c r="CG131" s="344">
        <f>+'[96]VENTAS TOTALES'!$G156</f>
        <v>0</v>
      </c>
      <c r="CH131" s="344">
        <f>+'[96]VENTAS TOTALES'!$H156</f>
        <v>0</v>
      </c>
      <c r="CI131" s="343">
        <f>+'[97]VENTAS TOTALES'!$F156</f>
        <v>0</v>
      </c>
      <c r="CJ131" s="344">
        <f>+'[97]VENTAS TOTALES'!$G156</f>
        <v>0</v>
      </c>
      <c r="CK131" s="344">
        <f>+'[97]VENTAS TOTALES'!$H156</f>
        <v>0</v>
      </c>
      <c r="CL131" s="343">
        <f>+'[98]VENTAS TOTALES'!$F156</f>
        <v>0</v>
      </c>
      <c r="CM131" s="344">
        <f>+'[98]VENTAS TOTALES'!$G156</f>
        <v>0</v>
      </c>
      <c r="CN131" s="344">
        <f>+'[98]VENTAS TOTALES'!$H156</f>
        <v>0</v>
      </c>
      <c r="CO131" s="343">
        <f>+'[99]VENTAS TOTALES'!$F156</f>
        <v>0</v>
      </c>
      <c r="CP131" s="344">
        <f>+'[99]VENTAS TOTALES'!$G156</f>
        <v>0</v>
      </c>
      <c r="CQ131" s="344">
        <f>+'[99]VENTAS TOTALES'!$H156</f>
        <v>0</v>
      </c>
      <c r="CR131" s="343">
        <f>+'[100]VENTAS TOTALES'!$F156</f>
        <v>0</v>
      </c>
      <c r="CS131" s="344">
        <f>+'[100]VENTAS TOTALES'!$G156</f>
        <v>1764000</v>
      </c>
      <c r="CT131" s="344">
        <f>+'[100]VENTAS TOTALES'!$H156</f>
        <v>1764000</v>
      </c>
      <c r="CU131" s="343">
        <f>+'[101]VENTAS TOTALES'!$F156</f>
        <v>0</v>
      </c>
      <c r="CV131" s="344">
        <f>+'[101]VENTAS TOTALES'!$G156</f>
        <v>894000</v>
      </c>
      <c r="CW131" s="344">
        <f>+'[101]VENTAS TOTALES'!$H156</f>
        <v>894000</v>
      </c>
      <c r="CX131" s="343">
        <f>+'[102]VENTAS TOTALES'!$F156</f>
        <v>0</v>
      </c>
      <c r="CY131" s="344">
        <f>+'[102]VENTAS TOTALES'!$G156</f>
        <v>36000</v>
      </c>
      <c r="CZ131" s="344">
        <f>+'[102]VENTAS TOTALES'!$H156</f>
        <v>36000</v>
      </c>
    </row>
    <row r="132" spans="1:104" s="10" customFormat="1" ht="12" customHeight="1" thickBot="1" x14ac:dyDescent="0.25">
      <c r="A132" s="455"/>
      <c r="B132" s="349" t="str">
        <f>+'[205]VENTAS TOTALES'!$C$155</f>
        <v>CATI Movil - E1</v>
      </c>
      <c r="C132" s="343">
        <f>+'[69]VENTAS TOTALES'!$F157</f>
        <v>0</v>
      </c>
      <c r="D132" s="344">
        <f>+'[69]VENTAS TOTALES'!$G157</f>
        <v>10000</v>
      </c>
      <c r="E132" s="344">
        <f>+'[69]VENTAS TOTALES'!$H157</f>
        <v>10000</v>
      </c>
      <c r="F132" s="343">
        <f>+'[70]VENTAS TOTALES'!$F157</f>
        <v>0</v>
      </c>
      <c r="G132" s="344">
        <f>+'[70]VENTAS TOTALES'!$G157</f>
        <v>1000</v>
      </c>
      <c r="H132" s="344">
        <f>+'[70]VENTAS TOTALES'!$H157</f>
        <v>1000</v>
      </c>
      <c r="I132" s="343">
        <f>+'[71]VENTAS TOTALES'!$F157</f>
        <v>0</v>
      </c>
      <c r="J132" s="344">
        <f>+'[71]VENTAS TOTALES'!$G157</f>
        <v>2000</v>
      </c>
      <c r="K132" s="344">
        <f>+'[71]VENTAS TOTALES'!$H157</f>
        <v>2000</v>
      </c>
      <c r="L132" s="343">
        <f>+'[72]VENTAS TOTALES'!$F157</f>
        <v>0</v>
      </c>
      <c r="M132" s="344">
        <f>+'[72]VENTAS TOTALES'!$G157</f>
        <v>67000</v>
      </c>
      <c r="N132" s="344">
        <f>+'[72]VENTAS TOTALES'!$H157</f>
        <v>67000</v>
      </c>
      <c r="O132" s="343">
        <f>+'[73]VENTAS TOTALES'!$F157</f>
        <v>0</v>
      </c>
      <c r="P132" s="344">
        <f>+'[73]VENTAS TOTALES'!$G157</f>
        <v>50000</v>
      </c>
      <c r="Q132" s="344">
        <f>+'[73]VENTAS TOTALES'!$H157</f>
        <v>50000</v>
      </c>
      <c r="R132" s="343">
        <f>+'[74]VENTAS TOTALES'!$F157</f>
        <v>0</v>
      </c>
      <c r="S132" s="344">
        <f>+'[74]VENTAS TOTALES'!$G157</f>
        <v>0</v>
      </c>
      <c r="T132" s="344">
        <f>+'[74]VENTAS TOTALES'!$H157</f>
        <v>0</v>
      </c>
      <c r="U132" s="343">
        <f>+'[75]VENTAS TOTALES'!$F157</f>
        <v>0</v>
      </c>
      <c r="V132" s="344">
        <f>+'[75]VENTAS TOTALES'!$G157</f>
        <v>19000</v>
      </c>
      <c r="W132" s="344">
        <f>+'[75]VENTAS TOTALES'!$H157</f>
        <v>19000</v>
      </c>
      <c r="X132" s="343">
        <f>+'[76]VENTAS TOTALES'!$F157</f>
        <v>0</v>
      </c>
      <c r="Y132" s="344">
        <f>+'[76]VENTAS TOTALES'!$G157</f>
        <v>13000</v>
      </c>
      <c r="Z132" s="344">
        <f>+'[76]VENTAS TOTALES'!$H157</f>
        <v>13000</v>
      </c>
      <c r="AA132" s="343">
        <f>+'[77]VENTAS TOTALES'!$F157</f>
        <v>0</v>
      </c>
      <c r="AB132" s="344">
        <f>+'[77]VENTAS TOTALES'!$G157</f>
        <v>25000</v>
      </c>
      <c r="AC132" s="344">
        <f>+'[77]VENTAS TOTALES'!$H157</f>
        <v>25000</v>
      </c>
      <c r="AD132" s="343">
        <f>+'[78]VENTAS TOTALES'!$F157</f>
        <v>0</v>
      </c>
      <c r="AE132" s="344">
        <f>+'[78]VENTAS TOTALES'!$G157</f>
        <v>13000</v>
      </c>
      <c r="AF132" s="344">
        <f>+'[78]VENTAS TOTALES'!$H157</f>
        <v>13000</v>
      </c>
      <c r="AG132" s="343">
        <f>+'[79]VENTAS TOTALES'!$F157</f>
        <v>0</v>
      </c>
      <c r="AH132" s="344">
        <f>+'[79]VENTAS TOTALES'!$G157</f>
        <v>0</v>
      </c>
      <c r="AI132" s="344">
        <f>+'[79]VENTAS TOTALES'!$H157</f>
        <v>0</v>
      </c>
      <c r="AJ132" s="343">
        <f>+'[80]VENTAS TOTALES'!$F157</f>
        <v>0</v>
      </c>
      <c r="AK132" s="344">
        <f>+'[80]VENTAS TOTALES'!$G157</f>
        <v>23000</v>
      </c>
      <c r="AL132" s="344">
        <f>+'[80]VENTAS TOTALES'!$H157</f>
        <v>23000</v>
      </c>
      <c r="AM132" s="343">
        <f>+'[81]VENTAS TOTALES'!$F157</f>
        <v>0</v>
      </c>
      <c r="AN132" s="344">
        <f>+'[81]VENTAS TOTALES'!$G157</f>
        <v>44000</v>
      </c>
      <c r="AO132" s="344">
        <f>+'[81]VENTAS TOTALES'!$H157</f>
        <v>44000</v>
      </c>
      <c r="AP132" s="343">
        <f>+'[82]VENTAS TOTALES'!$F157</f>
        <v>0</v>
      </c>
      <c r="AQ132" s="344">
        <f>+'[82]VENTAS TOTALES'!$G157</f>
        <v>26000</v>
      </c>
      <c r="AR132" s="344">
        <f>+'[82]VENTAS TOTALES'!$H157</f>
        <v>26000</v>
      </c>
      <c r="AS132" s="343">
        <f>+'[83]VENTAS TOTALES'!$F157</f>
        <v>0</v>
      </c>
      <c r="AT132" s="344">
        <f>+'[83]VENTAS TOTALES'!$G157</f>
        <v>0</v>
      </c>
      <c r="AU132" s="344">
        <f>+'[83]VENTAS TOTALES'!$H157</f>
        <v>0</v>
      </c>
      <c r="AV132" s="343">
        <f>+'[84]VENTAS TOTALES'!$F157</f>
        <v>0</v>
      </c>
      <c r="AW132" s="344">
        <f>+'[84]VENTAS TOTALES'!$G157</f>
        <v>4000</v>
      </c>
      <c r="AX132" s="344">
        <f>+'[84]VENTAS TOTALES'!$H157</f>
        <v>4000</v>
      </c>
      <c r="AY132" s="343">
        <f>+'[85]VENTAS TOTALES'!$F157</f>
        <v>0</v>
      </c>
      <c r="AZ132" s="344">
        <f>+'[85]VENTAS TOTALES'!$G157</f>
        <v>0</v>
      </c>
      <c r="BA132" s="344">
        <f>+'[85]VENTAS TOTALES'!$H157</f>
        <v>0</v>
      </c>
      <c r="BB132" s="343">
        <f>+'[86]VENTAS TOTALES'!$F157</f>
        <v>0</v>
      </c>
      <c r="BC132" s="344">
        <f>+'[86]VENTAS TOTALES'!$G157</f>
        <v>20000</v>
      </c>
      <c r="BD132" s="344">
        <f>+'[86]VENTAS TOTALES'!$H157</f>
        <v>20000</v>
      </c>
      <c r="BE132" s="343">
        <f>+'[87]VENTAS TOTALES'!$F157</f>
        <v>0</v>
      </c>
      <c r="BF132" s="344">
        <f>+'[87]VENTAS TOTALES'!$G157</f>
        <v>0</v>
      </c>
      <c r="BG132" s="344">
        <f>+'[87]VENTAS TOTALES'!$H157</f>
        <v>0</v>
      </c>
      <c r="BH132" s="343">
        <f>+'[88]VENTAS TOTALES'!$F157</f>
        <v>0</v>
      </c>
      <c r="BI132" s="344">
        <f>+'[88]VENTAS TOTALES'!$G157</f>
        <v>0</v>
      </c>
      <c r="BJ132" s="344">
        <f>+'[88]VENTAS TOTALES'!$H157</f>
        <v>0</v>
      </c>
      <c r="BK132" s="343">
        <f>+'[89]VENTAS TOTALES'!$F157</f>
        <v>0</v>
      </c>
      <c r="BL132" s="344">
        <f>+'[89]VENTAS TOTALES'!$G157</f>
        <v>0</v>
      </c>
      <c r="BM132" s="344">
        <f>+'[89]VENTAS TOTALES'!$H157</f>
        <v>0</v>
      </c>
      <c r="BN132" s="343">
        <f>+'[90]VENTAS TOTALES'!$F157</f>
        <v>0</v>
      </c>
      <c r="BO132" s="344">
        <f>+'[90]VENTAS TOTALES'!$G157</f>
        <v>0</v>
      </c>
      <c r="BP132" s="344">
        <f>+'[90]VENTAS TOTALES'!$H157</f>
        <v>0</v>
      </c>
      <c r="BQ132" s="343">
        <f>+'[91]VENTAS TOTALES'!$F157</f>
        <v>0</v>
      </c>
      <c r="BR132" s="344">
        <f>+'[91]VENTAS TOTALES'!$G157</f>
        <v>0</v>
      </c>
      <c r="BS132" s="344">
        <f>+'[91]VENTAS TOTALES'!$H157</f>
        <v>0</v>
      </c>
      <c r="BT132" s="343">
        <f>+'[92]VENTAS TOTALES'!$F157</f>
        <v>0</v>
      </c>
      <c r="BU132" s="344">
        <f>+'[92]VENTAS TOTALES'!$G157</f>
        <v>0</v>
      </c>
      <c r="BV132" s="344">
        <f>+'[92]VENTAS TOTALES'!$H157</f>
        <v>0</v>
      </c>
      <c r="BW132" s="343">
        <f>+'[93]VENTAS TOTALES'!$F157</f>
        <v>0</v>
      </c>
      <c r="BX132" s="344">
        <f>+'[93]VENTAS TOTALES'!$G157</f>
        <v>0</v>
      </c>
      <c r="BY132" s="344">
        <f>+'[93]VENTAS TOTALES'!$H157</f>
        <v>0</v>
      </c>
      <c r="BZ132" s="343">
        <f>+'[94]VENTAS TOTALES'!$F157</f>
        <v>0</v>
      </c>
      <c r="CA132" s="344">
        <f>+'[94]VENTAS TOTALES'!$G157</f>
        <v>0</v>
      </c>
      <c r="CB132" s="344">
        <f>+'[94]VENTAS TOTALES'!$H157</f>
        <v>0</v>
      </c>
      <c r="CC132" s="343">
        <f>+'[95]VENTAS TOTALES'!$F157</f>
        <v>0</v>
      </c>
      <c r="CD132" s="344">
        <f>+'[95]VENTAS TOTALES'!$G157</f>
        <v>0</v>
      </c>
      <c r="CE132" s="344">
        <f>+'[95]VENTAS TOTALES'!$H157</f>
        <v>0</v>
      </c>
      <c r="CF132" s="343">
        <f>+'[96]VENTAS TOTALES'!$F157</f>
        <v>0</v>
      </c>
      <c r="CG132" s="344">
        <f>+'[96]VENTAS TOTALES'!$G157</f>
        <v>0</v>
      </c>
      <c r="CH132" s="344">
        <f>+'[96]VENTAS TOTALES'!$H157</f>
        <v>0</v>
      </c>
      <c r="CI132" s="343">
        <f>+'[97]VENTAS TOTALES'!$F157</f>
        <v>0</v>
      </c>
      <c r="CJ132" s="344">
        <f>+'[97]VENTAS TOTALES'!$G157</f>
        <v>0</v>
      </c>
      <c r="CK132" s="344">
        <f>+'[97]VENTAS TOTALES'!$H157</f>
        <v>0</v>
      </c>
      <c r="CL132" s="343">
        <f>+'[98]VENTAS TOTALES'!$F157</f>
        <v>0</v>
      </c>
      <c r="CM132" s="344">
        <f>+'[98]VENTAS TOTALES'!$G157</f>
        <v>0</v>
      </c>
      <c r="CN132" s="344">
        <f>+'[98]VENTAS TOTALES'!$H157</f>
        <v>0</v>
      </c>
      <c r="CO132" s="343">
        <f>+'[99]VENTAS TOTALES'!$F157</f>
        <v>0</v>
      </c>
      <c r="CP132" s="344">
        <f>+'[99]VENTAS TOTALES'!$G157</f>
        <v>0</v>
      </c>
      <c r="CQ132" s="344">
        <f>+'[99]VENTAS TOTALES'!$H157</f>
        <v>0</v>
      </c>
      <c r="CR132" s="343">
        <f>+'[100]VENTAS TOTALES'!$F157</f>
        <v>0</v>
      </c>
      <c r="CS132" s="344">
        <f>+'[100]VENTAS TOTALES'!$G157</f>
        <v>0</v>
      </c>
      <c r="CT132" s="344">
        <f>+'[100]VENTAS TOTALES'!$H157</f>
        <v>0</v>
      </c>
      <c r="CU132" s="343">
        <f>+'[101]VENTAS TOTALES'!$F157</f>
        <v>0</v>
      </c>
      <c r="CV132" s="344">
        <f>+'[101]VENTAS TOTALES'!$G157</f>
        <v>0</v>
      </c>
      <c r="CW132" s="344">
        <f>+'[101]VENTAS TOTALES'!$H157</f>
        <v>0</v>
      </c>
      <c r="CX132" s="343">
        <f>+'[102]VENTAS TOTALES'!$F157</f>
        <v>0</v>
      </c>
      <c r="CY132" s="344">
        <f>+'[102]VENTAS TOTALES'!$G157</f>
        <v>0</v>
      </c>
      <c r="CZ132" s="344">
        <f>+'[102]VENTAS TOTALES'!$H157</f>
        <v>0</v>
      </c>
    </row>
    <row r="133" spans="1:104" s="10" customFormat="1" ht="12" customHeight="1" thickBot="1" x14ac:dyDescent="0.25">
      <c r="A133" s="455"/>
      <c r="B133" s="345" t="s">
        <v>369</v>
      </c>
      <c r="C133" s="343">
        <f>+'[69]VENTAS TOTALES'!$F158</f>
        <v>0</v>
      </c>
      <c r="D133" s="344">
        <f>+'[69]VENTAS TOTALES'!$G158</f>
        <v>2419000</v>
      </c>
      <c r="E133" s="344">
        <f>+'[69]VENTAS TOTALES'!$H158</f>
        <v>2419000</v>
      </c>
      <c r="F133" s="343">
        <f>+'[70]VENTAS TOTALES'!$F158</f>
        <v>0</v>
      </c>
      <c r="G133" s="344">
        <f>+'[70]VENTAS TOTALES'!$G158</f>
        <v>2047000</v>
      </c>
      <c r="H133" s="344">
        <f>+'[70]VENTAS TOTALES'!$H158</f>
        <v>2047000</v>
      </c>
      <c r="I133" s="343">
        <f>+'[71]VENTAS TOTALES'!$F158</f>
        <v>0</v>
      </c>
      <c r="J133" s="344">
        <f>+'[71]VENTAS TOTALES'!$G158</f>
        <v>1046000</v>
      </c>
      <c r="K133" s="344">
        <f>+'[71]VENTAS TOTALES'!$H158</f>
        <v>1046000</v>
      </c>
      <c r="L133" s="343">
        <f>+'[72]VENTAS TOTALES'!$F158</f>
        <v>0</v>
      </c>
      <c r="M133" s="344">
        <f>+'[72]VENTAS TOTALES'!$G158</f>
        <v>1571000</v>
      </c>
      <c r="N133" s="344">
        <f>+'[72]VENTAS TOTALES'!$H158</f>
        <v>1571000</v>
      </c>
      <c r="O133" s="343">
        <f>+'[73]VENTAS TOTALES'!$F158</f>
        <v>0</v>
      </c>
      <c r="P133" s="344">
        <f>+'[73]VENTAS TOTALES'!$G158</f>
        <v>967000</v>
      </c>
      <c r="Q133" s="344">
        <f>+'[73]VENTAS TOTALES'!$H158</f>
        <v>967000</v>
      </c>
      <c r="R133" s="343">
        <f>+'[74]VENTAS TOTALES'!$F158</f>
        <v>0</v>
      </c>
      <c r="S133" s="344">
        <f>+'[74]VENTAS TOTALES'!$G158</f>
        <v>550000</v>
      </c>
      <c r="T133" s="344">
        <f>+'[74]VENTAS TOTALES'!$H158</f>
        <v>550000</v>
      </c>
      <c r="U133" s="343">
        <f>+'[75]VENTAS TOTALES'!$F158</f>
        <v>0</v>
      </c>
      <c r="V133" s="344">
        <f>+'[75]VENTAS TOTALES'!$G158</f>
        <v>2819000</v>
      </c>
      <c r="W133" s="344">
        <f>+'[75]VENTAS TOTALES'!$H158</f>
        <v>2819000</v>
      </c>
      <c r="X133" s="343">
        <f>+'[76]VENTAS TOTALES'!$F158</f>
        <v>0</v>
      </c>
      <c r="Y133" s="344">
        <f>+'[76]VENTAS TOTALES'!$G158</f>
        <v>1796000</v>
      </c>
      <c r="Z133" s="344">
        <f>+'[76]VENTAS TOTALES'!$H158</f>
        <v>1796000</v>
      </c>
      <c r="AA133" s="343">
        <f>+'[77]VENTAS TOTALES'!$F158</f>
        <v>0</v>
      </c>
      <c r="AB133" s="344">
        <f>+'[77]VENTAS TOTALES'!$G158</f>
        <v>1450000</v>
      </c>
      <c r="AC133" s="344">
        <f>+'[77]VENTAS TOTALES'!$H158</f>
        <v>1450000</v>
      </c>
      <c r="AD133" s="343">
        <f>+'[78]VENTAS TOTALES'!$F158</f>
        <v>0</v>
      </c>
      <c r="AE133" s="344">
        <f>+'[78]VENTAS TOTALES'!$G158</f>
        <v>1400000</v>
      </c>
      <c r="AF133" s="344">
        <f>+'[78]VENTAS TOTALES'!$H158</f>
        <v>1400000</v>
      </c>
      <c r="AG133" s="343">
        <f>+'[79]VENTAS TOTALES'!$F158</f>
        <v>0</v>
      </c>
      <c r="AH133" s="344">
        <f>+'[79]VENTAS TOTALES'!$G158</f>
        <v>994000</v>
      </c>
      <c r="AI133" s="344">
        <f>+'[79]VENTAS TOTALES'!$H158</f>
        <v>994000</v>
      </c>
      <c r="AJ133" s="343">
        <f>+'[80]VENTAS TOTALES'!$F158</f>
        <v>0</v>
      </c>
      <c r="AK133" s="344">
        <f>+'[80]VENTAS TOTALES'!$G158</f>
        <v>1080000</v>
      </c>
      <c r="AL133" s="344">
        <f>+'[80]VENTAS TOTALES'!$H158</f>
        <v>1080000</v>
      </c>
      <c r="AM133" s="343">
        <f>+'[81]VENTAS TOTALES'!$F158</f>
        <v>0</v>
      </c>
      <c r="AN133" s="344">
        <f>+'[81]VENTAS TOTALES'!$G158</f>
        <v>621000</v>
      </c>
      <c r="AO133" s="344">
        <f>+'[81]VENTAS TOTALES'!$H158</f>
        <v>621000</v>
      </c>
      <c r="AP133" s="343">
        <f>+'[82]VENTAS TOTALES'!$F158</f>
        <v>0</v>
      </c>
      <c r="AQ133" s="344">
        <f>+'[82]VENTAS TOTALES'!$G158</f>
        <v>3216000</v>
      </c>
      <c r="AR133" s="344">
        <f>+'[82]VENTAS TOTALES'!$H158</f>
        <v>3216000</v>
      </c>
      <c r="AS133" s="343">
        <f>+'[83]VENTAS TOTALES'!$F158</f>
        <v>0</v>
      </c>
      <c r="AT133" s="344">
        <f>+'[83]VENTAS TOTALES'!$G158</f>
        <v>2097000</v>
      </c>
      <c r="AU133" s="344">
        <f>+'[83]VENTAS TOTALES'!$H158</f>
        <v>2097000</v>
      </c>
      <c r="AV133" s="343">
        <f>+'[84]VENTAS TOTALES'!$F158</f>
        <v>0</v>
      </c>
      <c r="AW133" s="344">
        <f>+'[84]VENTAS TOTALES'!$G158</f>
        <v>1580000</v>
      </c>
      <c r="AX133" s="344">
        <f>+'[84]VENTAS TOTALES'!$H158</f>
        <v>1580000</v>
      </c>
      <c r="AY133" s="343">
        <f>+'[85]VENTAS TOTALES'!$F158</f>
        <v>0</v>
      </c>
      <c r="AZ133" s="344">
        <f>+'[85]VENTAS TOTALES'!$G158</f>
        <v>1360000</v>
      </c>
      <c r="BA133" s="344">
        <f>+'[85]VENTAS TOTALES'!$H158</f>
        <v>1360000</v>
      </c>
      <c r="BB133" s="343">
        <f>+'[86]VENTAS TOTALES'!$F158</f>
        <v>0</v>
      </c>
      <c r="BC133" s="344">
        <f>+'[86]VENTAS TOTALES'!$G158</f>
        <v>1403000</v>
      </c>
      <c r="BD133" s="344">
        <f>+'[86]VENTAS TOTALES'!$H158</f>
        <v>1403000</v>
      </c>
      <c r="BE133" s="343">
        <f>+'[87]VENTAS TOTALES'!$F158</f>
        <v>0</v>
      </c>
      <c r="BF133" s="344">
        <f>+'[87]VENTAS TOTALES'!$G158</f>
        <v>1064000</v>
      </c>
      <c r="BG133" s="344">
        <f>+'[87]VENTAS TOTALES'!$H158</f>
        <v>1064000</v>
      </c>
      <c r="BH133" s="343">
        <f>+'[88]VENTAS TOTALES'!$F158</f>
        <v>0</v>
      </c>
      <c r="BI133" s="344">
        <f>+'[88]VENTAS TOTALES'!$G158</f>
        <v>622000</v>
      </c>
      <c r="BJ133" s="344">
        <f>+'[88]VENTAS TOTALES'!$H158</f>
        <v>622000</v>
      </c>
      <c r="BK133" s="343">
        <f>+'[89]VENTAS TOTALES'!$F158</f>
        <v>0</v>
      </c>
      <c r="BL133" s="344">
        <f>+'[89]VENTAS TOTALES'!$G158</f>
        <v>2166000</v>
      </c>
      <c r="BM133" s="344">
        <f>+'[89]VENTAS TOTALES'!$H158</f>
        <v>2166000</v>
      </c>
      <c r="BN133" s="343">
        <f>+'[90]VENTAS TOTALES'!$F158</f>
        <v>0</v>
      </c>
      <c r="BO133" s="344">
        <f>+'[90]VENTAS TOTALES'!$G158</f>
        <v>1186000</v>
      </c>
      <c r="BP133" s="344">
        <f>+'[90]VENTAS TOTALES'!$H158</f>
        <v>1186000</v>
      </c>
      <c r="BQ133" s="343">
        <f>+'[91]VENTAS TOTALES'!$F158</f>
        <v>0</v>
      </c>
      <c r="BR133" s="344">
        <f>+'[91]VENTAS TOTALES'!$G158</f>
        <v>1726000</v>
      </c>
      <c r="BS133" s="344">
        <f>+'[91]VENTAS TOTALES'!$H158</f>
        <v>1726000</v>
      </c>
      <c r="BT133" s="343">
        <f>+'[92]VENTAS TOTALES'!$F158</f>
        <v>0</v>
      </c>
      <c r="BU133" s="344">
        <f>+'[92]VENTAS TOTALES'!$G158</f>
        <v>1775000</v>
      </c>
      <c r="BV133" s="344">
        <f>+'[92]VENTAS TOTALES'!$H158</f>
        <v>1775000</v>
      </c>
      <c r="BW133" s="343">
        <f>+'[93]VENTAS TOTALES'!$F158</f>
        <v>0</v>
      </c>
      <c r="BX133" s="344">
        <f>+'[93]VENTAS TOTALES'!$G158</f>
        <v>1619000</v>
      </c>
      <c r="BY133" s="344">
        <f>+'[93]VENTAS TOTALES'!$H158</f>
        <v>1619000</v>
      </c>
      <c r="BZ133" s="343">
        <f>+'[94]VENTAS TOTALES'!$F158</f>
        <v>0</v>
      </c>
      <c r="CA133" s="344">
        <f>+'[94]VENTAS TOTALES'!$G158</f>
        <v>1208000</v>
      </c>
      <c r="CB133" s="344">
        <f>+'[94]VENTAS TOTALES'!$H158</f>
        <v>1208000</v>
      </c>
      <c r="CC133" s="343">
        <f>+'[95]VENTAS TOTALES'!$F158</f>
        <v>0</v>
      </c>
      <c r="CD133" s="344">
        <f>+'[95]VENTAS TOTALES'!$G158</f>
        <v>648000</v>
      </c>
      <c r="CE133" s="344">
        <f>+'[95]VENTAS TOTALES'!$H158</f>
        <v>648000</v>
      </c>
      <c r="CF133" s="343">
        <f>+'[96]VENTAS TOTALES'!$F158</f>
        <v>0</v>
      </c>
      <c r="CG133" s="344">
        <f>+'[96]VENTAS TOTALES'!$G158</f>
        <v>4107000</v>
      </c>
      <c r="CH133" s="344">
        <f>+'[96]VENTAS TOTALES'!$H158</f>
        <v>4107000</v>
      </c>
      <c r="CI133" s="343">
        <f>+'[97]VENTAS TOTALES'!$F158</f>
        <v>0</v>
      </c>
      <c r="CJ133" s="344">
        <f>+'[97]VENTAS TOTALES'!$G158</f>
        <v>3325000</v>
      </c>
      <c r="CK133" s="344">
        <f>+'[97]VENTAS TOTALES'!$H158</f>
        <v>3325000</v>
      </c>
      <c r="CL133" s="343">
        <f>+'[98]VENTAS TOTALES'!$F158</f>
        <v>0</v>
      </c>
      <c r="CM133" s="344">
        <f>+'[98]VENTAS TOTALES'!$G158</f>
        <v>1859000</v>
      </c>
      <c r="CN133" s="344">
        <f>+'[98]VENTAS TOTALES'!$H158</f>
        <v>1859000</v>
      </c>
      <c r="CO133" s="343">
        <f>+'[99]VENTAS TOTALES'!$F158</f>
        <v>0</v>
      </c>
      <c r="CP133" s="344">
        <f>+'[99]VENTAS TOTALES'!$G158</f>
        <v>1674000</v>
      </c>
      <c r="CQ133" s="344">
        <f>+'[99]VENTAS TOTALES'!$H158</f>
        <v>1674000</v>
      </c>
      <c r="CR133" s="343">
        <f>+'[100]VENTAS TOTALES'!$F158</f>
        <v>0</v>
      </c>
      <c r="CS133" s="344">
        <f>+'[100]VENTAS TOTALES'!$G158</f>
        <v>1420000</v>
      </c>
      <c r="CT133" s="344">
        <f>+'[100]VENTAS TOTALES'!$H158</f>
        <v>1420000</v>
      </c>
      <c r="CU133" s="343">
        <f>+'[101]VENTAS TOTALES'!$F158</f>
        <v>0</v>
      </c>
      <c r="CV133" s="344">
        <f>+'[101]VENTAS TOTALES'!$G158</f>
        <v>1065000</v>
      </c>
      <c r="CW133" s="344">
        <f>+'[101]VENTAS TOTALES'!$H158</f>
        <v>1065000</v>
      </c>
      <c r="CX133" s="343">
        <f>+'[102]VENTAS TOTALES'!$F158</f>
        <v>0</v>
      </c>
      <c r="CY133" s="344">
        <f>+'[102]VENTAS TOTALES'!$G158</f>
        <v>531000</v>
      </c>
      <c r="CZ133" s="344">
        <f>+'[102]VENTAS TOTALES'!$H158</f>
        <v>531000</v>
      </c>
    </row>
    <row r="134" spans="1:104" s="10" customFormat="1" ht="12" customHeight="1" thickBot="1" x14ac:dyDescent="0.25">
      <c r="A134" s="455"/>
      <c r="B134" s="345" t="s">
        <v>370</v>
      </c>
      <c r="C134" s="343">
        <f>+'[69]VENTAS TOTALES'!$F159</f>
        <v>0</v>
      </c>
      <c r="D134" s="344">
        <f>+'[69]VENTAS TOTALES'!$G159</f>
        <v>1940000</v>
      </c>
      <c r="E134" s="344">
        <f>+'[69]VENTAS TOTALES'!$H159</f>
        <v>1940000</v>
      </c>
      <c r="F134" s="343">
        <f>+'[70]VENTAS TOTALES'!$F159</f>
        <v>0</v>
      </c>
      <c r="G134" s="344">
        <f>+'[70]VENTAS TOTALES'!$G159</f>
        <v>2305000</v>
      </c>
      <c r="H134" s="344">
        <f>+'[70]VENTAS TOTALES'!$H159</f>
        <v>2305000</v>
      </c>
      <c r="I134" s="343">
        <f>+'[71]VENTAS TOTALES'!$F159</f>
        <v>0</v>
      </c>
      <c r="J134" s="344">
        <f>+'[71]VENTAS TOTALES'!$G159</f>
        <v>1759000</v>
      </c>
      <c r="K134" s="344">
        <f>+'[71]VENTAS TOTALES'!$H159</f>
        <v>1759000</v>
      </c>
      <c r="L134" s="343">
        <f>+'[72]VENTAS TOTALES'!$F159</f>
        <v>0</v>
      </c>
      <c r="M134" s="344">
        <f>+'[72]VENTAS TOTALES'!$G159</f>
        <v>1718000</v>
      </c>
      <c r="N134" s="344">
        <f>+'[72]VENTAS TOTALES'!$H159</f>
        <v>1718000</v>
      </c>
      <c r="O134" s="343">
        <f>+'[73]VENTAS TOTALES'!$F159</f>
        <v>0</v>
      </c>
      <c r="P134" s="344">
        <f>+'[73]VENTAS TOTALES'!$G159</f>
        <v>912000</v>
      </c>
      <c r="Q134" s="344">
        <f>+'[73]VENTAS TOTALES'!$H159</f>
        <v>912000</v>
      </c>
      <c r="R134" s="343">
        <f>+'[74]VENTAS TOTALES'!$F159</f>
        <v>0</v>
      </c>
      <c r="S134" s="344">
        <f>+'[74]VENTAS TOTALES'!$G159</f>
        <v>669000</v>
      </c>
      <c r="T134" s="344">
        <f>+'[74]VENTAS TOTALES'!$H159</f>
        <v>669000</v>
      </c>
      <c r="U134" s="343">
        <f>+'[75]VENTAS TOTALES'!$F159</f>
        <v>0</v>
      </c>
      <c r="V134" s="344">
        <f>+'[75]VENTAS TOTALES'!$G159</f>
        <v>2066000</v>
      </c>
      <c r="W134" s="344">
        <f>+'[75]VENTAS TOTALES'!$H159</f>
        <v>2066000</v>
      </c>
      <c r="X134" s="343">
        <f>+'[76]VENTAS TOTALES'!$F159</f>
        <v>0</v>
      </c>
      <c r="Y134" s="344">
        <f>+'[76]VENTAS TOTALES'!$G159</f>
        <v>2241000</v>
      </c>
      <c r="Z134" s="344">
        <f>+'[76]VENTAS TOTALES'!$H159</f>
        <v>2241000</v>
      </c>
      <c r="AA134" s="343">
        <f>+'[77]VENTAS TOTALES'!$F159</f>
        <v>0</v>
      </c>
      <c r="AB134" s="344">
        <f>+'[77]VENTAS TOTALES'!$G159</f>
        <v>1607000</v>
      </c>
      <c r="AC134" s="344">
        <f>+'[77]VENTAS TOTALES'!$H159</f>
        <v>1607000</v>
      </c>
      <c r="AD134" s="343">
        <f>+'[78]VENTAS TOTALES'!$F159</f>
        <v>0</v>
      </c>
      <c r="AE134" s="344">
        <f>+'[78]VENTAS TOTALES'!$G159</f>
        <v>457000</v>
      </c>
      <c r="AF134" s="344">
        <f>+'[78]VENTAS TOTALES'!$H159</f>
        <v>457000</v>
      </c>
      <c r="AG134" s="343">
        <f>+'[79]VENTAS TOTALES'!$F159</f>
        <v>0</v>
      </c>
      <c r="AH134" s="344">
        <f>+'[79]VENTAS TOTALES'!$G159</f>
        <v>1244000</v>
      </c>
      <c r="AI134" s="344">
        <f>+'[79]VENTAS TOTALES'!$H159</f>
        <v>1244000</v>
      </c>
      <c r="AJ134" s="343">
        <f>+'[80]VENTAS TOTALES'!$F159</f>
        <v>0</v>
      </c>
      <c r="AK134" s="344">
        <f>+'[80]VENTAS TOTALES'!$G159</f>
        <v>570000</v>
      </c>
      <c r="AL134" s="344">
        <f>+'[80]VENTAS TOTALES'!$H159</f>
        <v>570000</v>
      </c>
      <c r="AM134" s="343">
        <f>+'[81]VENTAS TOTALES'!$F159</f>
        <v>0</v>
      </c>
      <c r="AN134" s="344">
        <f>+'[81]VENTAS TOTALES'!$G159</f>
        <v>449000</v>
      </c>
      <c r="AO134" s="344">
        <f>+'[81]VENTAS TOTALES'!$H159</f>
        <v>449000</v>
      </c>
      <c r="AP134" s="343">
        <f>+'[82]VENTAS TOTALES'!$F159</f>
        <v>0</v>
      </c>
      <c r="AQ134" s="344">
        <f>+'[82]VENTAS TOTALES'!$G159</f>
        <v>3062000</v>
      </c>
      <c r="AR134" s="344">
        <f>+'[82]VENTAS TOTALES'!$H159</f>
        <v>3062000</v>
      </c>
      <c r="AS134" s="343">
        <f>+'[83]VENTAS TOTALES'!$F159</f>
        <v>0</v>
      </c>
      <c r="AT134" s="344">
        <f>+'[83]VENTAS TOTALES'!$G159</f>
        <v>2338000</v>
      </c>
      <c r="AU134" s="344">
        <f>+'[83]VENTAS TOTALES'!$H159</f>
        <v>2338000</v>
      </c>
      <c r="AV134" s="343">
        <f>+'[84]VENTAS TOTALES'!$F159</f>
        <v>0</v>
      </c>
      <c r="AW134" s="344">
        <f>+'[84]VENTAS TOTALES'!$G159</f>
        <v>1528000</v>
      </c>
      <c r="AX134" s="344">
        <f>+'[84]VENTAS TOTALES'!$H159</f>
        <v>1528000</v>
      </c>
      <c r="AY134" s="343">
        <f>+'[85]VENTAS TOTALES'!$F159</f>
        <v>0</v>
      </c>
      <c r="AZ134" s="344">
        <f>+'[85]VENTAS TOTALES'!$G159</f>
        <v>1735000</v>
      </c>
      <c r="BA134" s="344">
        <f>+'[85]VENTAS TOTALES'!$H159</f>
        <v>1735000</v>
      </c>
      <c r="BB134" s="343">
        <f>+'[86]VENTAS TOTALES'!$F159</f>
        <v>0</v>
      </c>
      <c r="BC134" s="344">
        <f>+'[86]VENTAS TOTALES'!$G159</f>
        <v>1681000</v>
      </c>
      <c r="BD134" s="344">
        <f>+'[86]VENTAS TOTALES'!$H159</f>
        <v>1681000</v>
      </c>
      <c r="BE134" s="343">
        <f>+'[87]VENTAS TOTALES'!$F159</f>
        <v>0</v>
      </c>
      <c r="BF134" s="344">
        <f>+'[87]VENTAS TOTALES'!$G159</f>
        <v>1358000</v>
      </c>
      <c r="BG134" s="344">
        <f>+'[87]VENTAS TOTALES'!$H159</f>
        <v>1358000</v>
      </c>
      <c r="BH134" s="343">
        <f>+'[88]VENTAS TOTALES'!$F159</f>
        <v>0</v>
      </c>
      <c r="BI134" s="344">
        <f>+'[88]VENTAS TOTALES'!$G159</f>
        <v>714000</v>
      </c>
      <c r="BJ134" s="344">
        <f>+'[88]VENTAS TOTALES'!$H159</f>
        <v>714000</v>
      </c>
      <c r="BK134" s="343">
        <f>+'[89]VENTAS TOTALES'!$F159</f>
        <v>0</v>
      </c>
      <c r="BL134" s="344">
        <f>+'[89]VENTAS TOTALES'!$G159</f>
        <v>2652000</v>
      </c>
      <c r="BM134" s="344">
        <f>+'[89]VENTAS TOTALES'!$H159</f>
        <v>2652000</v>
      </c>
      <c r="BN134" s="343">
        <f>+'[90]VENTAS TOTALES'!$F159</f>
        <v>0</v>
      </c>
      <c r="BO134" s="344">
        <f>+'[90]VENTAS TOTALES'!$G159</f>
        <v>1902000</v>
      </c>
      <c r="BP134" s="344">
        <f>+'[90]VENTAS TOTALES'!$H159</f>
        <v>1902000</v>
      </c>
      <c r="BQ134" s="343">
        <f>+'[91]VENTAS TOTALES'!$F159</f>
        <v>0</v>
      </c>
      <c r="BR134" s="344">
        <f>+'[91]VENTAS TOTALES'!$G159</f>
        <v>1756000</v>
      </c>
      <c r="BS134" s="344">
        <f>+'[91]VENTAS TOTALES'!$H159</f>
        <v>1756000</v>
      </c>
      <c r="BT134" s="343">
        <f>+'[92]VENTAS TOTALES'!$F159</f>
        <v>0</v>
      </c>
      <c r="BU134" s="344">
        <f>+'[92]VENTAS TOTALES'!$G159</f>
        <v>1329000</v>
      </c>
      <c r="BV134" s="344">
        <f>+'[92]VENTAS TOTALES'!$H159</f>
        <v>1329000</v>
      </c>
      <c r="BW134" s="343">
        <f>+'[93]VENTAS TOTALES'!$F159</f>
        <v>0</v>
      </c>
      <c r="BX134" s="344">
        <f>+'[93]VENTAS TOTALES'!$G159</f>
        <v>1497000</v>
      </c>
      <c r="BY134" s="344">
        <f>+'[93]VENTAS TOTALES'!$H159</f>
        <v>1497000</v>
      </c>
      <c r="BZ134" s="343">
        <f>+'[94]VENTAS TOTALES'!$F159</f>
        <v>0</v>
      </c>
      <c r="CA134" s="344">
        <f>+'[94]VENTAS TOTALES'!$G159</f>
        <v>1307000</v>
      </c>
      <c r="CB134" s="344">
        <f>+'[94]VENTAS TOTALES'!$H159</f>
        <v>1307000</v>
      </c>
      <c r="CC134" s="343">
        <f>+'[95]VENTAS TOTALES'!$F159</f>
        <v>0</v>
      </c>
      <c r="CD134" s="344">
        <f>+'[95]VENTAS TOTALES'!$G159</f>
        <v>714000</v>
      </c>
      <c r="CE134" s="344">
        <f>+'[95]VENTAS TOTALES'!$H159</f>
        <v>714000</v>
      </c>
      <c r="CF134" s="343">
        <f>+'[96]VENTAS TOTALES'!$F159</f>
        <v>0</v>
      </c>
      <c r="CG134" s="344">
        <f>+'[96]VENTAS TOTALES'!$G159</f>
        <v>3564000</v>
      </c>
      <c r="CH134" s="344">
        <f>+'[96]VENTAS TOTALES'!$H159</f>
        <v>3564000</v>
      </c>
      <c r="CI134" s="343">
        <f>+'[97]VENTAS TOTALES'!$F159</f>
        <v>0</v>
      </c>
      <c r="CJ134" s="344">
        <f>+'[97]VENTAS TOTALES'!$G159</f>
        <v>2872000</v>
      </c>
      <c r="CK134" s="344">
        <f>+'[97]VENTAS TOTALES'!$H159</f>
        <v>2872000</v>
      </c>
      <c r="CL134" s="343">
        <f>+'[98]VENTAS TOTALES'!$F159</f>
        <v>0</v>
      </c>
      <c r="CM134" s="344">
        <f>+'[98]VENTAS TOTALES'!$G159</f>
        <v>2671000</v>
      </c>
      <c r="CN134" s="344">
        <f>+'[98]VENTAS TOTALES'!$H159</f>
        <v>2671000</v>
      </c>
      <c r="CO134" s="343">
        <f>+'[99]VENTAS TOTALES'!$F159</f>
        <v>0</v>
      </c>
      <c r="CP134" s="344">
        <f>+'[99]VENTAS TOTALES'!$G159</f>
        <v>1394000</v>
      </c>
      <c r="CQ134" s="344">
        <f>+'[99]VENTAS TOTALES'!$H159</f>
        <v>1394000</v>
      </c>
      <c r="CR134" s="343">
        <f>+'[100]VENTAS TOTALES'!$F159</f>
        <v>0</v>
      </c>
      <c r="CS134" s="344">
        <f>+'[100]VENTAS TOTALES'!$G159</f>
        <v>1713000</v>
      </c>
      <c r="CT134" s="344">
        <f>+'[100]VENTAS TOTALES'!$H159</f>
        <v>1713000</v>
      </c>
      <c r="CU134" s="343">
        <f>+'[101]VENTAS TOTALES'!$F159</f>
        <v>0</v>
      </c>
      <c r="CV134" s="344">
        <f>+'[101]VENTAS TOTALES'!$G159</f>
        <v>1347000</v>
      </c>
      <c r="CW134" s="344">
        <f>+'[101]VENTAS TOTALES'!$H159</f>
        <v>1347000</v>
      </c>
      <c r="CX134" s="343">
        <f>+'[102]VENTAS TOTALES'!$F159</f>
        <v>0</v>
      </c>
      <c r="CY134" s="344">
        <f>+'[102]VENTAS TOTALES'!$G159</f>
        <v>639000</v>
      </c>
      <c r="CZ134" s="344">
        <f>+'[102]VENTAS TOTALES'!$H159</f>
        <v>639000</v>
      </c>
    </row>
    <row r="135" spans="1:104" s="10" customFormat="1" ht="12" customHeight="1" thickBot="1" x14ac:dyDescent="0.25">
      <c r="A135" s="455"/>
      <c r="B135" s="345" t="s">
        <v>371</v>
      </c>
      <c r="C135" s="343">
        <f>+'[69]VENTAS TOTALES'!$F160</f>
        <v>0</v>
      </c>
      <c r="D135" s="344">
        <f>+'[69]VENTAS TOTALES'!$G160</f>
        <v>2028000</v>
      </c>
      <c r="E135" s="344">
        <f>+'[69]VENTAS TOTALES'!$H160</f>
        <v>2028000</v>
      </c>
      <c r="F135" s="343">
        <f>+'[70]VENTAS TOTALES'!$F160</f>
        <v>0</v>
      </c>
      <c r="G135" s="344">
        <f>+'[70]VENTAS TOTALES'!$G160</f>
        <v>1831000</v>
      </c>
      <c r="H135" s="344">
        <f>+'[70]VENTAS TOTALES'!$H160</f>
        <v>1831000</v>
      </c>
      <c r="I135" s="343">
        <f>+'[71]VENTAS TOTALES'!$F160</f>
        <v>0</v>
      </c>
      <c r="J135" s="344">
        <f>+'[71]VENTAS TOTALES'!$G160</f>
        <v>1830000</v>
      </c>
      <c r="K135" s="344">
        <f>+'[71]VENTAS TOTALES'!$H160</f>
        <v>1830000</v>
      </c>
      <c r="L135" s="343">
        <f>+'[72]VENTAS TOTALES'!$F160</f>
        <v>0</v>
      </c>
      <c r="M135" s="344">
        <f>+'[72]VENTAS TOTALES'!$G160</f>
        <v>1467000</v>
      </c>
      <c r="N135" s="344">
        <f>+'[72]VENTAS TOTALES'!$H160</f>
        <v>1467000</v>
      </c>
      <c r="O135" s="343">
        <f>+'[73]VENTAS TOTALES'!$F160</f>
        <v>0</v>
      </c>
      <c r="P135" s="344">
        <f>+'[73]VENTAS TOTALES'!$G160</f>
        <v>1016000</v>
      </c>
      <c r="Q135" s="344">
        <f>+'[73]VENTAS TOTALES'!$H160</f>
        <v>1016000</v>
      </c>
      <c r="R135" s="343">
        <f>+'[74]VENTAS TOTALES'!$F160</f>
        <v>0</v>
      </c>
      <c r="S135" s="344">
        <f>+'[74]VENTAS TOTALES'!$G160</f>
        <v>349000</v>
      </c>
      <c r="T135" s="344">
        <f>+'[74]VENTAS TOTALES'!$H160</f>
        <v>349000</v>
      </c>
      <c r="U135" s="343">
        <f>+'[75]VENTAS TOTALES'!$F160</f>
        <v>0</v>
      </c>
      <c r="V135" s="344">
        <f>+'[75]VENTAS TOTALES'!$G160</f>
        <v>2755000</v>
      </c>
      <c r="W135" s="344">
        <f>+'[75]VENTAS TOTALES'!$H160</f>
        <v>2755000</v>
      </c>
      <c r="X135" s="343">
        <f>+'[76]VENTAS TOTALES'!$F160</f>
        <v>0</v>
      </c>
      <c r="Y135" s="344">
        <f>+'[76]VENTAS TOTALES'!$G160</f>
        <v>1392000</v>
      </c>
      <c r="Z135" s="344">
        <f>+'[76]VENTAS TOTALES'!$H160</f>
        <v>1392000</v>
      </c>
      <c r="AA135" s="343">
        <f>+'[77]VENTAS TOTALES'!$F160</f>
        <v>0</v>
      </c>
      <c r="AB135" s="344">
        <f>+'[77]VENTAS TOTALES'!$G160</f>
        <v>1419000</v>
      </c>
      <c r="AC135" s="344">
        <f>+'[77]VENTAS TOTALES'!$H160</f>
        <v>1419000</v>
      </c>
      <c r="AD135" s="343">
        <f>+'[78]VENTAS TOTALES'!$F160</f>
        <v>0</v>
      </c>
      <c r="AE135" s="344">
        <f>+'[78]VENTAS TOTALES'!$G160</f>
        <v>319000</v>
      </c>
      <c r="AF135" s="344">
        <f>+'[78]VENTAS TOTALES'!$H160</f>
        <v>319000</v>
      </c>
      <c r="AG135" s="343">
        <f>+'[79]VENTAS TOTALES'!$F160</f>
        <v>0</v>
      </c>
      <c r="AH135" s="344">
        <f>+'[79]VENTAS TOTALES'!$G160</f>
        <v>1541000</v>
      </c>
      <c r="AI135" s="344">
        <f>+'[79]VENTAS TOTALES'!$H160</f>
        <v>1541000</v>
      </c>
      <c r="AJ135" s="343">
        <f>+'[80]VENTAS TOTALES'!$F160</f>
        <v>0</v>
      </c>
      <c r="AK135" s="344">
        <f>+'[80]VENTAS TOTALES'!$G160</f>
        <v>652000</v>
      </c>
      <c r="AL135" s="344">
        <f>+'[80]VENTAS TOTALES'!$H160</f>
        <v>652000</v>
      </c>
      <c r="AM135" s="343">
        <f>+'[81]VENTAS TOTALES'!$F160</f>
        <v>0</v>
      </c>
      <c r="AN135" s="344">
        <f>+'[81]VENTAS TOTALES'!$G160</f>
        <v>251000</v>
      </c>
      <c r="AO135" s="344">
        <f>+'[81]VENTAS TOTALES'!$H160</f>
        <v>251000</v>
      </c>
      <c r="AP135" s="343">
        <f>+'[82]VENTAS TOTALES'!$F160</f>
        <v>0</v>
      </c>
      <c r="AQ135" s="344">
        <f>+'[82]VENTAS TOTALES'!$G160</f>
        <v>1692000</v>
      </c>
      <c r="AR135" s="344">
        <f>+'[82]VENTAS TOTALES'!$H160</f>
        <v>1692000</v>
      </c>
      <c r="AS135" s="343">
        <f>+'[83]VENTAS TOTALES'!$F160</f>
        <v>0</v>
      </c>
      <c r="AT135" s="344">
        <f>+'[83]VENTAS TOTALES'!$G160</f>
        <v>1166000</v>
      </c>
      <c r="AU135" s="344">
        <f>+'[83]VENTAS TOTALES'!$H160</f>
        <v>1166000</v>
      </c>
      <c r="AV135" s="343">
        <f>+'[84]VENTAS TOTALES'!$F160</f>
        <v>0</v>
      </c>
      <c r="AW135" s="344">
        <f>+'[84]VENTAS TOTALES'!$G160</f>
        <v>1638000</v>
      </c>
      <c r="AX135" s="344">
        <f>+'[84]VENTAS TOTALES'!$H160</f>
        <v>1638000</v>
      </c>
      <c r="AY135" s="343">
        <f>+'[85]VENTAS TOTALES'!$F160</f>
        <v>0</v>
      </c>
      <c r="AZ135" s="344">
        <f>+'[85]VENTAS TOTALES'!$G160</f>
        <v>1368000</v>
      </c>
      <c r="BA135" s="344">
        <f>+'[85]VENTAS TOTALES'!$H160</f>
        <v>1368000</v>
      </c>
      <c r="BB135" s="343">
        <f>+'[86]VENTAS TOTALES'!$F160</f>
        <v>0</v>
      </c>
      <c r="BC135" s="344">
        <f>+'[86]VENTAS TOTALES'!$G160</f>
        <v>1417000</v>
      </c>
      <c r="BD135" s="344">
        <f>+'[86]VENTAS TOTALES'!$H160</f>
        <v>1417000</v>
      </c>
      <c r="BE135" s="343">
        <f>+'[87]VENTAS TOTALES'!$F160</f>
        <v>0</v>
      </c>
      <c r="BF135" s="344">
        <f>+'[87]VENTAS TOTALES'!$G160</f>
        <v>862000</v>
      </c>
      <c r="BG135" s="344">
        <f>+'[87]VENTAS TOTALES'!$H160</f>
        <v>862000</v>
      </c>
      <c r="BH135" s="343">
        <f>+'[88]VENTAS TOTALES'!$F160</f>
        <v>0</v>
      </c>
      <c r="BI135" s="344">
        <f>+'[88]VENTAS TOTALES'!$G160</f>
        <v>306000</v>
      </c>
      <c r="BJ135" s="344">
        <f>+'[88]VENTAS TOTALES'!$H160</f>
        <v>306000</v>
      </c>
      <c r="BK135" s="343">
        <f>+'[89]VENTAS TOTALES'!$F160</f>
        <v>0</v>
      </c>
      <c r="BL135" s="344">
        <f>+'[89]VENTAS TOTALES'!$G160</f>
        <v>1297000</v>
      </c>
      <c r="BM135" s="344">
        <f>+'[89]VENTAS TOTALES'!$H160</f>
        <v>1297000</v>
      </c>
      <c r="BN135" s="343">
        <f>+'[90]VENTAS TOTALES'!$F160</f>
        <v>0</v>
      </c>
      <c r="BO135" s="344">
        <f>+'[90]VENTAS TOTALES'!$G160</f>
        <v>1428000</v>
      </c>
      <c r="BP135" s="344">
        <f>+'[90]VENTAS TOTALES'!$H160</f>
        <v>1428000</v>
      </c>
      <c r="BQ135" s="343">
        <f>+'[91]VENTAS TOTALES'!$F160</f>
        <v>0</v>
      </c>
      <c r="BR135" s="344">
        <f>+'[91]VENTAS TOTALES'!$G160</f>
        <v>1709000</v>
      </c>
      <c r="BS135" s="344">
        <f>+'[91]VENTAS TOTALES'!$H160</f>
        <v>1709000</v>
      </c>
      <c r="BT135" s="343">
        <f>+'[92]VENTAS TOTALES'!$F160</f>
        <v>0</v>
      </c>
      <c r="BU135" s="344">
        <f>+'[92]VENTAS TOTALES'!$G160</f>
        <v>1103000</v>
      </c>
      <c r="BV135" s="344">
        <f>+'[92]VENTAS TOTALES'!$H160</f>
        <v>1103000</v>
      </c>
      <c r="BW135" s="343">
        <f>+'[93]VENTAS TOTALES'!$F160</f>
        <v>0</v>
      </c>
      <c r="BX135" s="344">
        <f>+'[93]VENTAS TOTALES'!$G160</f>
        <v>1430000</v>
      </c>
      <c r="BY135" s="344">
        <f>+'[93]VENTAS TOTALES'!$H160</f>
        <v>1430000</v>
      </c>
      <c r="BZ135" s="343">
        <f>+'[94]VENTAS TOTALES'!$F160</f>
        <v>0</v>
      </c>
      <c r="CA135" s="344">
        <f>+'[94]VENTAS TOTALES'!$G160</f>
        <v>494000</v>
      </c>
      <c r="CB135" s="344">
        <f>+'[94]VENTAS TOTALES'!$H160</f>
        <v>494000</v>
      </c>
      <c r="CC135" s="343">
        <f>+'[95]VENTAS TOTALES'!$F160</f>
        <v>0</v>
      </c>
      <c r="CD135" s="344">
        <f>+'[95]VENTAS TOTALES'!$G160</f>
        <v>152000</v>
      </c>
      <c r="CE135" s="344">
        <f>+'[95]VENTAS TOTALES'!$H160</f>
        <v>152000</v>
      </c>
      <c r="CF135" s="343">
        <f>+'[96]VENTAS TOTALES'!$F160</f>
        <v>0</v>
      </c>
      <c r="CG135" s="344">
        <f>+'[96]VENTAS TOTALES'!$G160</f>
        <v>1982000</v>
      </c>
      <c r="CH135" s="344">
        <f>+'[96]VENTAS TOTALES'!$H160</f>
        <v>1982000</v>
      </c>
      <c r="CI135" s="343">
        <f>+'[97]VENTAS TOTALES'!$F160</f>
        <v>0</v>
      </c>
      <c r="CJ135" s="344">
        <f>+'[97]VENTAS TOTALES'!$G160</f>
        <v>1424000</v>
      </c>
      <c r="CK135" s="344">
        <f>+'[97]VENTAS TOTALES'!$H160</f>
        <v>1424000</v>
      </c>
      <c r="CL135" s="343">
        <f>+'[98]VENTAS TOTALES'!$F160</f>
        <v>0</v>
      </c>
      <c r="CM135" s="344">
        <f>+'[98]VENTAS TOTALES'!$G160</f>
        <v>1534000</v>
      </c>
      <c r="CN135" s="344">
        <f>+'[98]VENTAS TOTALES'!$H160</f>
        <v>1534000</v>
      </c>
      <c r="CO135" s="343">
        <f>+'[99]VENTAS TOTALES'!$F160</f>
        <v>0</v>
      </c>
      <c r="CP135" s="344">
        <f>+'[99]VENTAS TOTALES'!$G160</f>
        <v>1520000</v>
      </c>
      <c r="CQ135" s="344">
        <f>+'[99]VENTAS TOTALES'!$H160</f>
        <v>1520000</v>
      </c>
      <c r="CR135" s="343">
        <f>+'[100]VENTAS TOTALES'!$F160</f>
        <v>0</v>
      </c>
      <c r="CS135" s="344">
        <f>+'[100]VENTAS TOTALES'!$G160</f>
        <v>1308000</v>
      </c>
      <c r="CT135" s="344">
        <f>+'[100]VENTAS TOTALES'!$H160</f>
        <v>1308000</v>
      </c>
      <c r="CU135" s="343">
        <f>+'[101]VENTAS TOTALES'!$F160</f>
        <v>0</v>
      </c>
      <c r="CV135" s="344">
        <f>+'[101]VENTAS TOTALES'!$G160</f>
        <v>1196000</v>
      </c>
      <c r="CW135" s="344">
        <f>+'[101]VENTAS TOTALES'!$H160</f>
        <v>1196000</v>
      </c>
      <c r="CX135" s="343">
        <f>+'[102]VENTAS TOTALES'!$F160</f>
        <v>0</v>
      </c>
      <c r="CY135" s="344">
        <f>+'[102]VENTAS TOTALES'!$G160</f>
        <v>613000</v>
      </c>
      <c r="CZ135" s="344">
        <f>+'[102]VENTAS TOTALES'!$H160</f>
        <v>613000</v>
      </c>
    </row>
    <row r="136" spans="1:104" s="8" customFormat="1" ht="13.5" thickBot="1" x14ac:dyDescent="0.25">
      <c r="A136" s="455"/>
      <c r="B136" s="345" t="s">
        <v>361</v>
      </c>
      <c r="C136" s="343">
        <f>+'[69]VENTAS TOTALES'!$F161</f>
        <v>0</v>
      </c>
      <c r="D136" s="344">
        <f>+'[69]VENTAS TOTALES'!$G161</f>
        <v>2993000</v>
      </c>
      <c r="E136" s="344">
        <f>+'[69]VENTAS TOTALES'!$H161</f>
        <v>2993000</v>
      </c>
      <c r="F136" s="343">
        <f>+'[70]VENTAS TOTALES'!$F161</f>
        <v>0</v>
      </c>
      <c r="G136" s="344">
        <f>+'[70]VENTAS TOTALES'!$G161</f>
        <v>3588000</v>
      </c>
      <c r="H136" s="344">
        <f>+'[70]VENTAS TOTALES'!$H161</f>
        <v>3588000</v>
      </c>
      <c r="I136" s="343">
        <f>+'[71]VENTAS TOTALES'!$F161</f>
        <v>0</v>
      </c>
      <c r="J136" s="344">
        <f>+'[71]VENTAS TOTALES'!$G161</f>
        <v>2875000</v>
      </c>
      <c r="K136" s="344">
        <f>+'[71]VENTAS TOTALES'!$H161</f>
        <v>2875000</v>
      </c>
      <c r="L136" s="343">
        <f>+'[72]VENTAS TOTALES'!$F161</f>
        <v>0</v>
      </c>
      <c r="M136" s="344">
        <f>+'[72]VENTAS TOTALES'!$G161</f>
        <v>2549000</v>
      </c>
      <c r="N136" s="344">
        <f>+'[72]VENTAS TOTALES'!$H161</f>
        <v>2549000</v>
      </c>
      <c r="O136" s="343">
        <f>+'[73]VENTAS TOTALES'!$F161</f>
        <v>0</v>
      </c>
      <c r="P136" s="344">
        <f>+'[73]VENTAS TOTALES'!$G161</f>
        <v>1462000</v>
      </c>
      <c r="Q136" s="344">
        <f>+'[73]VENTAS TOTALES'!$H161</f>
        <v>1462000</v>
      </c>
      <c r="R136" s="343">
        <f>+'[74]VENTAS TOTALES'!$F161</f>
        <v>0</v>
      </c>
      <c r="S136" s="344">
        <f>+'[74]VENTAS TOTALES'!$G161</f>
        <v>910000</v>
      </c>
      <c r="T136" s="344">
        <f>+'[74]VENTAS TOTALES'!$H161</f>
        <v>910000</v>
      </c>
      <c r="U136" s="343">
        <f>+'[75]VENTAS TOTALES'!$F161</f>
        <v>0</v>
      </c>
      <c r="V136" s="344">
        <f>+'[75]VENTAS TOTALES'!$G161</f>
        <v>4342000</v>
      </c>
      <c r="W136" s="344">
        <f>+'[75]VENTAS TOTALES'!$H161</f>
        <v>4342000</v>
      </c>
      <c r="X136" s="343">
        <f>+'[76]VENTAS TOTALES'!$F161</f>
        <v>0</v>
      </c>
      <c r="Y136" s="344">
        <f>+'[76]VENTAS TOTALES'!$G161</f>
        <v>3484000</v>
      </c>
      <c r="Z136" s="344">
        <f>+'[76]VENTAS TOTALES'!$H161</f>
        <v>3484000</v>
      </c>
      <c r="AA136" s="343">
        <f>+'[77]VENTAS TOTALES'!$F161</f>
        <v>0</v>
      </c>
      <c r="AB136" s="344">
        <f>+'[77]VENTAS TOTALES'!$G161</f>
        <v>2073000</v>
      </c>
      <c r="AC136" s="344">
        <f>+'[77]VENTAS TOTALES'!$H161</f>
        <v>2073000</v>
      </c>
      <c r="AD136" s="343">
        <f>+'[78]VENTAS TOTALES'!$F161</f>
        <v>0</v>
      </c>
      <c r="AE136" s="344">
        <f>+'[78]VENTAS TOTALES'!$G161</f>
        <v>1460000</v>
      </c>
      <c r="AF136" s="344">
        <f>+'[78]VENTAS TOTALES'!$H161</f>
        <v>1460000</v>
      </c>
      <c r="AG136" s="343">
        <f>+'[79]VENTAS TOTALES'!$F161</f>
        <v>0</v>
      </c>
      <c r="AH136" s="344">
        <f>+'[79]VENTAS TOTALES'!$G161</f>
        <v>1516000</v>
      </c>
      <c r="AI136" s="344">
        <f>+'[79]VENTAS TOTALES'!$H161</f>
        <v>1516000</v>
      </c>
      <c r="AJ136" s="343">
        <f>+'[80]VENTAS TOTALES'!$F161</f>
        <v>0</v>
      </c>
      <c r="AK136" s="344">
        <f>+'[80]VENTAS TOTALES'!$G161</f>
        <v>1308000</v>
      </c>
      <c r="AL136" s="344">
        <f>+'[80]VENTAS TOTALES'!$H161</f>
        <v>1308000</v>
      </c>
      <c r="AM136" s="343">
        <f>+'[81]VENTAS TOTALES'!$F161</f>
        <v>0</v>
      </c>
      <c r="AN136" s="344">
        <f>+'[81]VENTAS TOTALES'!$G161</f>
        <v>584000</v>
      </c>
      <c r="AO136" s="344">
        <f>+'[81]VENTAS TOTALES'!$H161</f>
        <v>584000</v>
      </c>
      <c r="AP136" s="343">
        <f>+'[82]VENTAS TOTALES'!$F161</f>
        <v>0</v>
      </c>
      <c r="AQ136" s="344">
        <f>+'[82]VENTAS TOTALES'!$G161</f>
        <v>2981000</v>
      </c>
      <c r="AR136" s="344">
        <f>+'[82]VENTAS TOTALES'!$H161</f>
        <v>2981000</v>
      </c>
      <c r="AS136" s="343">
        <f>+'[83]VENTAS TOTALES'!$F161</f>
        <v>0</v>
      </c>
      <c r="AT136" s="344">
        <f>+'[83]VENTAS TOTALES'!$G161</f>
        <v>2925000</v>
      </c>
      <c r="AU136" s="344">
        <f>+'[83]VENTAS TOTALES'!$H161</f>
        <v>2925000</v>
      </c>
      <c r="AV136" s="343">
        <f>+'[84]VENTAS TOTALES'!$F161</f>
        <v>0</v>
      </c>
      <c r="AW136" s="344">
        <f>+'[84]VENTAS TOTALES'!$G161</f>
        <v>2352000</v>
      </c>
      <c r="AX136" s="344">
        <f>+'[84]VENTAS TOTALES'!$H161</f>
        <v>2352000</v>
      </c>
      <c r="AY136" s="343">
        <f>+'[85]VENTAS TOTALES'!$F161</f>
        <v>0</v>
      </c>
      <c r="AZ136" s="344">
        <f>+'[85]VENTAS TOTALES'!$G161</f>
        <v>2909000</v>
      </c>
      <c r="BA136" s="344">
        <f>+'[85]VENTAS TOTALES'!$H161</f>
        <v>2909000</v>
      </c>
      <c r="BB136" s="343">
        <f>+'[86]VENTAS TOTALES'!$F161</f>
        <v>0</v>
      </c>
      <c r="BC136" s="344">
        <f>+'[86]VENTAS TOTALES'!$G161</f>
        <v>2435000</v>
      </c>
      <c r="BD136" s="344">
        <f>+'[86]VENTAS TOTALES'!$H161</f>
        <v>2435000</v>
      </c>
      <c r="BE136" s="343">
        <f>+'[87]VENTAS TOTALES'!$F161</f>
        <v>0</v>
      </c>
      <c r="BF136" s="344">
        <f>+'[87]VENTAS TOTALES'!$G161</f>
        <v>1064000</v>
      </c>
      <c r="BG136" s="344">
        <f>+'[87]VENTAS TOTALES'!$H161</f>
        <v>1064000</v>
      </c>
      <c r="BH136" s="343">
        <f>+'[88]VENTAS TOTALES'!$F161</f>
        <v>0</v>
      </c>
      <c r="BI136" s="344">
        <f>+'[88]VENTAS TOTALES'!$G161</f>
        <v>666000</v>
      </c>
      <c r="BJ136" s="344">
        <f>+'[88]VENTAS TOTALES'!$H161</f>
        <v>666000</v>
      </c>
      <c r="BK136" s="343">
        <f>+'[89]VENTAS TOTALES'!$F161</f>
        <v>0</v>
      </c>
      <c r="BL136" s="344">
        <f>+'[89]VENTAS TOTALES'!$G161</f>
        <v>2265000</v>
      </c>
      <c r="BM136" s="344">
        <f>+'[89]VENTAS TOTALES'!$H161</f>
        <v>2265000</v>
      </c>
      <c r="BN136" s="343">
        <f>+'[90]VENTAS TOTALES'!$F161</f>
        <v>0</v>
      </c>
      <c r="BO136" s="344">
        <f>+'[90]VENTAS TOTALES'!$G161</f>
        <v>2251000</v>
      </c>
      <c r="BP136" s="344">
        <f>+'[90]VENTAS TOTALES'!$H161</f>
        <v>2251000</v>
      </c>
      <c r="BQ136" s="343">
        <f>+'[91]VENTAS TOTALES'!$F161</f>
        <v>0</v>
      </c>
      <c r="BR136" s="344">
        <f>+'[91]VENTAS TOTALES'!$G161</f>
        <v>2659000</v>
      </c>
      <c r="BS136" s="344">
        <f>+'[91]VENTAS TOTALES'!$H161</f>
        <v>2659000</v>
      </c>
      <c r="BT136" s="343">
        <f>+'[92]VENTAS TOTALES'!$F161</f>
        <v>0</v>
      </c>
      <c r="BU136" s="344">
        <f>+'[92]VENTAS TOTALES'!$G161</f>
        <v>1909000</v>
      </c>
      <c r="BV136" s="344">
        <f>+'[92]VENTAS TOTALES'!$H161</f>
        <v>1909000</v>
      </c>
      <c r="BW136" s="343">
        <f>+'[93]VENTAS TOTALES'!$F161</f>
        <v>0</v>
      </c>
      <c r="BX136" s="344">
        <f>+'[93]VENTAS TOTALES'!$G161</f>
        <v>2552000</v>
      </c>
      <c r="BY136" s="344">
        <f>+'[93]VENTAS TOTALES'!$H161</f>
        <v>2552000</v>
      </c>
      <c r="BZ136" s="343">
        <f>+'[94]VENTAS TOTALES'!$F161</f>
        <v>0</v>
      </c>
      <c r="CA136" s="344">
        <f>+'[94]VENTAS TOTALES'!$G161</f>
        <v>1197000</v>
      </c>
      <c r="CB136" s="344">
        <f>+'[94]VENTAS TOTALES'!$H161</f>
        <v>1197000</v>
      </c>
      <c r="CC136" s="343">
        <f>+'[95]VENTAS TOTALES'!$F161</f>
        <v>0</v>
      </c>
      <c r="CD136" s="344">
        <f>+'[95]VENTAS TOTALES'!$G161</f>
        <v>593000</v>
      </c>
      <c r="CE136" s="344">
        <f>+'[95]VENTAS TOTALES'!$H161</f>
        <v>593000</v>
      </c>
      <c r="CF136" s="343">
        <f>+'[96]VENTAS TOTALES'!$F161</f>
        <v>0</v>
      </c>
      <c r="CG136" s="344">
        <f>+'[96]VENTAS TOTALES'!$G161</f>
        <v>4314000</v>
      </c>
      <c r="CH136" s="344">
        <f>+'[96]VENTAS TOTALES'!$H161</f>
        <v>4314000</v>
      </c>
      <c r="CI136" s="343">
        <f>+'[97]VENTAS TOTALES'!$F161</f>
        <v>0</v>
      </c>
      <c r="CJ136" s="344">
        <f>+'[97]VENTAS TOTALES'!$G161</f>
        <v>3667000</v>
      </c>
      <c r="CK136" s="344">
        <f>+'[97]VENTAS TOTALES'!$H161</f>
        <v>3667000</v>
      </c>
      <c r="CL136" s="343">
        <f>+'[98]VENTAS TOTALES'!$F161</f>
        <v>0</v>
      </c>
      <c r="CM136" s="344">
        <f>+'[98]VENTAS TOTALES'!$G161</f>
        <v>2645000</v>
      </c>
      <c r="CN136" s="344">
        <f>+'[98]VENTAS TOTALES'!$H161</f>
        <v>2645000</v>
      </c>
      <c r="CO136" s="343">
        <f>+'[99]VENTAS TOTALES'!$F161</f>
        <v>0</v>
      </c>
      <c r="CP136" s="344">
        <f>+'[99]VENTAS TOTALES'!$G161</f>
        <v>2050000</v>
      </c>
      <c r="CQ136" s="344">
        <f>+'[99]VENTAS TOTALES'!$H161</f>
        <v>2050000</v>
      </c>
      <c r="CR136" s="343">
        <f>+'[100]VENTAS TOTALES'!$F161</f>
        <v>0</v>
      </c>
      <c r="CS136" s="344">
        <f>+'[100]VENTAS TOTALES'!$G161</f>
        <v>2184000</v>
      </c>
      <c r="CT136" s="344">
        <f>+'[100]VENTAS TOTALES'!$H161</f>
        <v>2184000</v>
      </c>
      <c r="CU136" s="343">
        <f>+'[101]VENTAS TOTALES'!$F161</f>
        <v>0</v>
      </c>
      <c r="CV136" s="344">
        <f>+'[101]VENTAS TOTALES'!$G161</f>
        <v>1372000</v>
      </c>
      <c r="CW136" s="344">
        <f>+'[101]VENTAS TOTALES'!$H161</f>
        <v>1372000</v>
      </c>
      <c r="CX136" s="343">
        <f>+'[102]VENTAS TOTALES'!$F161</f>
        <v>0</v>
      </c>
      <c r="CY136" s="344">
        <f>+'[102]VENTAS TOTALES'!$G161</f>
        <v>703000</v>
      </c>
      <c r="CZ136" s="344">
        <f>+'[102]VENTAS TOTALES'!$H161</f>
        <v>703000</v>
      </c>
    </row>
    <row r="137" spans="1:104" s="8" customFormat="1" ht="13.5" thickBot="1" x14ac:dyDescent="0.25">
      <c r="A137" s="455"/>
      <c r="B137" s="345" t="s">
        <v>389</v>
      </c>
      <c r="C137" s="343">
        <f>+'[69]VENTAS TOTALES'!$F162</f>
        <v>0</v>
      </c>
      <c r="D137" s="344">
        <f>+'[69]VENTAS TOTALES'!$G162</f>
        <v>1771000</v>
      </c>
      <c r="E137" s="344">
        <f>+'[69]VENTAS TOTALES'!$H162</f>
        <v>1771000</v>
      </c>
      <c r="F137" s="343">
        <f>+'[70]VENTAS TOTALES'!$F162</f>
        <v>0</v>
      </c>
      <c r="G137" s="344">
        <f>+'[70]VENTAS TOTALES'!$G162</f>
        <v>1293000</v>
      </c>
      <c r="H137" s="344">
        <f>+'[70]VENTAS TOTALES'!$H162</f>
        <v>1293000</v>
      </c>
      <c r="I137" s="343">
        <f>+'[71]VENTAS TOTALES'!$F162</f>
        <v>0</v>
      </c>
      <c r="J137" s="344">
        <f>+'[71]VENTAS TOTALES'!$G162</f>
        <v>1183000</v>
      </c>
      <c r="K137" s="344">
        <f>+'[71]VENTAS TOTALES'!$H162</f>
        <v>1183000</v>
      </c>
      <c r="L137" s="343">
        <f>+'[72]VENTAS TOTALES'!$F162</f>
        <v>0</v>
      </c>
      <c r="M137" s="344">
        <f>+'[72]VENTAS TOTALES'!$G162</f>
        <v>1085000</v>
      </c>
      <c r="N137" s="344">
        <f>+'[72]VENTAS TOTALES'!$H162</f>
        <v>1085000</v>
      </c>
      <c r="O137" s="343">
        <f>+'[73]VENTAS TOTALES'!$F162</f>
        <v>0</v>
      </c>
      <c r="P137" s="344">
        <f>+'[73]VENTAS TOTALES'!$G162</f>
        <v>615000</v>
      </c>
      <c r="Q137" s="344">
        <f>+'[73]VENTAS TOTALES'!$H162</f>
        <v>615000</v>
      </c>
      <c r="R137" s="343">
        <f>+'[74]VENTAS TOTALES'!$F162</f>
        <v>0</v>
      </c>
      <c r="S137" s="344">
        <f>+'[74]VENTAS TOTALES'!$G162</f>
        <v>419000</v>
      </c>
      <c r="T137" s="344">
        <f>+'[74]VENTAS TOTALES'!$H162</f>
        <v>419000</v>
      </c>
      <c r="U137" s="343">
        <f>+'[75]VENTAS TOTALES'!$F162</f>
        <v>0</v>
      </c>
      <c r="V137" s="344">
        <f>+'[75]VENTAS TOTALES'!$G162</f>
        <v>2030000</v>
      </c>
      <c r="W137" s="344">
        <f>+'[75]VENTAS TOTALES'!$H162</f>
        <v>2030000</v>
      </c>
      <c r="X137" s="343">
        <f>+'[76]VENTAS TOTALES'!$F162</f>
        <v>0</v>
      </c>
      <c r="Y137" s="344">
        <f>+'[76]VENTAS TOTALES'!$G162</f>
        <v>1403000</v>
      </c>
      <c r="Z137" s="344">
        <f>+'[76]VENTAS TOTALES'!$H162</f>
        <v>1403000</v>
      </c>
      <c r="AA137" s="343">
        <f>+'[77]VENTAS TOTALES'!$F162</f>
        <v>0</v>
      </c>
      <c r="AB137" s="344">
        <f>+'[77]VENTAS TOTALES'!$G162</f>
        <v>1059000</v>
      </c>
      <c r="AC137" s="344">
        <f>+'[77]VENTAS TOTALES'!$H162</f>
        <v>1059000</v>
      </c>
      <c r="AD137" s="343">
        <f>+'[78]VENTAS TOTALES'!$F162</f>
        <v>0</v>
      </c>
      <c r="AE137" s="344">
        <f>+'[78]VENTAS TOTALES'!$G162</f>
        <v>1292000</v>
      </c>
      <c r="AF137" s="344">
        <f>+'[78]VENTAS TOTALES'!$H162</f>
        <v>1292000</v>
      </c>
      <c r="AG137" s="343">
        <f>+'[79]VENTAS TOTALES'!$F162</f>
        <v>0</v>
      </c>
      <c r="AH137" s="344">
        <f>+'[79]VENTAS TOTALES'!$G162</f>
        <v>851000</v>
      </c>
      <c r="AI137" s="344">
        <f>+'[79]VENTAS TOTALES'!$H162</f>
        <v>851000</v>
      </c>
      <c r="AJ137" s="343">
        <f>+'[80]VENTAS TOTALES'!$F162</f>
        <v>0</v>
      </c>
      <c r="AK137" s="344">
        <f>+'[80]VENTAS TOTALES'!$G162</f>
        <v>673000</v>
      </c>
      <c r="AL137" s="344">
        <f>+'[80]VENTAS TOTALES'!$H162</f>
        <v>673000</v>
      </c>
      <c r="AM137" s="343">
        <f>+'[81]VENTAS TOTALES'!$F162</f>
        <v>0</v>
      </c>
      <c r="AN137" s="344">
        <f>+'[81]VENTAS TOTALES'!$G162</f>
        <v>102000</v>
      </c>
      <c r="AO137" s="344">
        <f>+'[81]VENTAS TOTALES'!$H162</f>
        <v>102000</v>
      </c>
      <c r="AP137" s="343">
        <f>+'[82]VENTAS TOTALES'!$F162</f>
        <v>0</v>
      </c>
      <c r="AQ137" s="344">
        <f>+'[82]VENTAS TOTALES'!$G162</f>
        <v>2316000</v>
      </c>
      <c r="AR137" s="344">
        <f>+'[82]VENTAS TOTALES'!$H162</f>
        <v>2316000</v>
      </c>
      <c r="AS137" s="343">
        <f>+'[83]VENTAS TOTALES'!$F162</f>
        <v>0</v>
      </c>
      <c r="AT137" s="344">
        <f>+'[83]VENTAS TOTALES'!$G162</f>
        <v>526000</v>
      </c>
      <c r="AU137" s="344">
        <f>+'[83]VENTAS TOTALES'!$H162</f>
        <v>526000</v>
      </c>
      <c r="AV137" s="343">
        <f>+'[84]VENTAS TOTALES'!$F162</f>
        <v>0</v>
      </c>
      <c r="AW137" s="344">
        <f>+'[84]VENTAS TOTALES'!$G162</f>
        <v>1463000</v>
      </c>
      <c r="AX137" s="344">
        <f>+'[84]VENTAS TOTALES'!$H162</f>
        <v>1463000</v>
      </c>
      <c r="AY137" s="343">
        <f>+'[85]VENTAS TOTALES'!$F162</f>
        <v>0</v>
      </c>
      <c r="AZ137" s="344">
        <f>+'[85]VENTAS TOTALES'!$G162</f>
        <v>1535000</v>
      </c>
      <c r="BA137" s="344">
        <f>+'[85]VENTAS TOTALES'!$H162</f>
        <v>1535000</v>
      </c>
      <c r="BB137" s="343">
        <f>+'[86]VENTAS TOTALES'!$F162</f>
        <v>0</v>
      </c>
      <c r="BC137" s="344">
        <f>+'[86]VENTAS TOTALES'!$G162</f>
        <v>1157000</v>
      </c>
      <c r="BD137" s="344">
        <f>+'[86]VENTAS TOTALES'!$H162</f>
        <v>1157000</v>
      </c>
      <c r="BE137" s="343">
        <f>+'[87]VENTAS TOTALES'!$F162</f>
        <v>0</v>
      </c>
      <c r="BF137" s="344">
        <f>+'[87]VENTAS TOTALES'!$G162</f>
        <v>887000</v>
      </c>
      <c r="BG137" s="344">
        <f>+'[87]VENTAS TOTALES'!$H162</f>
        <v>887000</v>
      </c>
      <c r="BH137" s="343">
        <f>+'[88]VENTAS TOTALES'!$F162</f>
        <v>0</v>
      </c>
      <c r="BI137" s="344">
        <f>+'[88]VENTAS TOTALES'!$G162</f>
        <v>325000</v>
      </c>
      <c r="BJ137" s="344">
        <f>+'[88]VENTAS TOTALES'!$H162</f>
        <v>325000</v>
      </c>
      <c r="BK137" s="343">
        <f>+'[89]VENTAS TOTALES'!$F162</f>
        <v>0</v>
      </c>
      <c r="BL137" s="344">
        <f>+'[89]VENTAS TOTALES'!$G162</f>
        <v>2258000</v>
      </c>
      <c r="BM137" s="344">
        <f>+'[89]VENTAS TOTALES'!$H162</f>
        <v>2258000</v>
      </c>
      <c r="BN137" s="343">
        <f>+'[90]VENTAS TOTALES'!$F162</f>
        <v>0</v>
      </c>
      <c r="BO137" s="344">
        <f>+'[90]VENTAS TOTALES'!$G162</f>
        <v>1393000</v>
      </c>
      <c r="BP137" s="344">
        <f>+'[90]VENTAS TOTALES'!$H162</f>
        <v>1393000</v>
      </c>
      <c r="BQ137" s="343">
        <f>+'[91]VENTAS TOTALES'!$F162</f>
        <v>0</v>
      </c>
      <c r="BR137" s="344">
        <f>+'[91]VENTAS TOTALES'!$G162</f>
        <v>200000</v>
      </c>
      <c r="BS137" s="344">
        <f>+'[91]VENTAS TOTALES'!$H162</f>
        <v>200000</v>
      </c>
      <c r="BT137" s="343">
        <f>+'[92]VENTAS TOTALES'!$F162</f>
        <v>0</v>
      </c>
      <c r="BU137" s="344">
        <f>+'[92]VENTAS TOTALES'!$G162</f>
        <v>1313000</v>
      </c>
      <c r="BV137" s="344">
        <f>+'[92]VENTAS TOTALES'!$H162</f>
        <v>1313000</v>
      </c>
      <c r="BW137" s="343">
        <f>+'[93]VENTAS TOTALES'!$F162</f>
        <v>0</v>
      </c>
      <c r="BX137" s="344">
        <f>+'[93]VENTAS TOTALES'!$G162</f>
        <v>415000</v>
      </c>
      <c r="BY137" s="344">
        <f>+'[93]VENTAS TOTALES'!$H162</f>
        <v>415000</v>
      </c>
      <c r="BZ137" s="343">
        <f>+'[94]VENTAS TOTALES'!$F162</f>
        <v>0</v>
      </c>
      <c r="CA137" s="344">
        <f>+'[94]VENTAS TOTALES'!$G162</f>
        <v>845000</v>
      </c>
      <c r="CB137" s="344">
        <f>+'[94]VENTAS TOTALES'!$H162</f>
        <v>845000</v>
      </c>
      <c r="CC137" s="343">
        <f>+'[95]VENTAS TOTALES'!$F162</f>
        <v>0</v>
      </c>
      <c r="CD137" s="344">
        <f>+'[95]VENTAS TOTALES'!$G162</f>
        <v>402000</v>
      </c>
      <c r="CE137" s="344">
        <f>+'[95]VENTAS TOTALES'!$H162</f>
        <v>402000</v>
      </c>
      <c r="CF137" s="343">
        <f>+'[96]VENTAS TOTALES'!$F162</f>
        <v>0</v>
      </c>
      <c r="CG137" s="344">
        <f>+'[96]VENTAS TOTALES'!$G162</f>
        <v>2776000</v>
      </c>
      <c r="CH137" s="344">
        <f>+'[96]VENTAS TOTALES'!$H162</f>
        <v>2776000</v>
      </c>
      <c r="CI137" s="343">
        <f>+'[97]VENTAS TOTALES'!$F162</f>
        <v>0</v>
      </c>
      <c r="CJ137" s="344">
        <f>+'[97]VENTAS TOTALES'!$G162</f>
        <v>1821000</v>
      </c>
      <c r="CK137" s="344">
        <f>+'[97]VENTAS TOTALES'!$H162</f>
        <v>1821000</v>
      </c>
      <c r="CL137" s="343">
        <f>+'[98]VENTAS TOTALES'!$F162</f>
        <v>0</v>
      </c>
      <c r="CM137" s="344">
        <f>+'[98]VENTAS TOTALES'!$G162</f>
        <v>1840000</v>
      </c>
      <c r="CN137" s="344">
        <f>+'[98]VENTAS TOTALES'!$H162</f>
        <v>1840000</v>
      </c>
      <c r="CO137" s="343">
        <f>+'[99]VENTAS TOTALES'!$F162</f>
        <v>0</v>
      </c>
      <c r="CP137" s="344">
        <f>+'[99]VENTAS TOTALES'!$G162</f>
        <v>571000</v>
      </c>
      <c r="CQ137" s="344">
        <f>+'[99]VENTAS TOTALES'!$H162</f>
        <v>571000</v>
      </c>
      <c r="CR137" s="343">
        <f>+'[100]VENTAS TOTALES'!$F162</f>
        <v>0</v>
      </c>
      <c r="CS137" s="344">
        <f>+'[100]VENTAS TOTALES'!$G162</f>
        <v>1089000</v>
      </c>
      <c r="CT137" s="344">
        <f>+'[100]VENTAS TOTALES'!$H162</f>
        <v>1089000</v>
      </c>
      <c r="CU137" s="343">
        <f>+'[101]VENTAS TOTALES'!$F162</f>
        <v>0</v>
      </c>
      <c r="CV137" s="344">
        <f>+'[101]VENTAS TOTALES'!$G162</f>
        <v>774000</v>
      </c>
      <c r="CW137" s="344">
        <f>+'[101]VENTAS TOTALES'!$H162</f>
        <v>774000</v>
      </c>
      <c r="CX137" s="343">
        <f>+'[102]VENTAS TOTALES'!$F162</f>
        <v>0</v>
      </c>
      <c r="CY137" s="344">
        <f>+'[102]VENTAS TOTALES'!$G162</f>
        <v>360000</v>
      </c>
      <c r="CZ137" s="344">
        <f>+'[102]VENTAS TOTALES'!$H162</f>
        <v>360000</v>
      </c>
    </row>
    <row r="138" spans="1:104" s="8" customFormat="1" ht="13.5" thickBot="1" x14ac:dyDescent="0.25">
      <c r="A138" s="455"/>
      <c r="B138" s="345" t="s">
        <v>390</v>
      </c>
      <c r="C138" s="343">
        <f>+'[69]VENTAS TOTALES'!$F163</f>
        <v>0</v>
      </c>
      <c r="D138" s="344">
        <f>+'[69]VENTAS TOTALES'!$G163</f>
        <v>1423000</v>
      </c>
      <c r="E138" s="344">
        <f>+'[69]VENTAS TOTALES'!$H163</f>
        <v>1423000</v>
      </c>
      <c r="F138" s="343">
        <f>+'[70]VENTAS TOTALES'!$F163</f>
        <v>0</v>
      </c>
      <c r="G138" s="344">
        <f>+'[70]VENTAS TOTALES'!$G163</f>
        <v>970000</v>
      </c>
      <c r="H138" s="344">
        <f>+'[70]VENTAS TOTALES'!$H163</f>
        <v>970000</v>
      </c>
      <c r="I138" s="343">
        <f>+'[71]VENTAS TOTALES'!$F163</f>
        <v>0</v>
      </c>
      <c r="J138" s="344">
        <f>+'[71]VENTAS TOTALES'!$G163</f>
        <v>1105000</v>
      </c>
      <c r="K138" s="344">
        <f>+'[71]VENTAS TOTALES'!$H163</f>
        <v>1105000</v>
      </c>
      <c r="L138" s="343">
        <f>+'[72]VENTAS TOTALES'!$F163</f>
        <v>0</v>
      </c>
      <c r="M138" s="344">
        <f>+'[72]VENTAS TOTALES'!$G163</f>
        <v>959000</v>
      </c>
      <c r="N138" s="344">
        <f>+'[72]VENTAS TOTALES'!$H163</f>
        <v>959000</v>
      </c>
      <c r="O138" s="343">
        <f>+'[73]VENTAS TOTALES'!$F163</f>
        <v>0</v>
      </c>
      <c r="P138" s="344">
        <f>+'[73]VENTAS TOTALES'!$G163</f>
        <v>721000</v>
      </c>
      <c r="Q138" s="344">
        <f>+'[73]VENTAS TOTALES'!$H163</f>
        <v>721000</v>
      </c>
      <c r="R138" s="343">
        <f>+'[74]VENTAS TOTALES'!$F163</f>
        <v>0</v>
      </c>
      <c r="S138" s="344">
        <f>+'[74]VENTAS TOTALES'!$G163</f>
        <v>259000</v>
      </c>
      <c r="T138" s="344">
        <f>+'[74]VENTAS TOTALES'!$H163</f>
        <v>259000</v>
      </c>
      <c r="U138" s="343">
        <f>+'[75]VENTAS TOTALES'!$F163</f>
        <v>0</v>
      </c>
      <c r="V138" s="344">
        <f>+'[75]VENTAS TOTALES'!$G163</f>
        <v>1804000</v>
      </c>
      <c r="W138" s="344">
        <f>+'[75]VENTAS TOTALES'!$H163</f>
        <v>1804000</v>
      </c>
      <c r="X138" s="343">
        <f>+'[76]VENTAS TOTALES'!$F163</f>
        <v>0</v>
      </c>
      <c r="Y138" s="344">
        <f>+'[76]VENTAS TOTALES'!$G163</f>
        <v>1333000</v>
      </c>
      <c r="Z138" s="344">
        <f>+'[76]VENTAS TOTALES'!$H163</f>
        <v>1333000</v>
      </c>
      <c r="AA138" s="343">
        <f>+'[77]VENTAS TOTALES'!$F163</f>
        <v>0</v>
      </c>
      <c r="AB138" s="344">
        <f>+'[77]VENTAS TOTALES'!$G163</f>
        <v>714000</v>
      </c>
      <c r="AC138" s="344">
        <f>+'[77]VENTAS TOTALES'!$H163</f>
        <v>714000</v>
      </c>
      <c r="AD138" s="343">
        <f>+'[78]VENTAS TOTALES'!$F163</f>
        <v>0</v>
      </c>
      <c r="AE138" s="344">
        <f>+'[78]VENTAS TOTALES'!$G163</f>
        <v>583000</v>
      </c>
      <c r="AF138" s="344">
        <f>+'[78]VENTAS TOTALES'!$H163</f>
        <v>583000</v>
      </c>
      <c r="AG138" s="343">
        <f>+'[79]VENTAS TOTALES'!$F163</f>
        <v>0</v>
      </c>
      <c r="AH138" s="344">
        <f>+'[79]VENTAS TOTALES'!$G163</f>
        <v>920000</v>
      </c>
      <c r="AI138" s="344">
        <f>+'[79]VENTAS TOTALES'!$H163</f>
        <v>920000</v>
      </c>
      <c r="AJ138" s="343">
        <f>+'[80]VENTAS TOTALES'!$F163</f>
        <v>0</v>
      </c>
      <c r="AK138" s="344">
        <f>+'[80]VENTAS TOTALES'!$G163</f>
        <v>638000</v>
      </c>
      <c r="AL138" s="344">
        <f>+'[80]VENTAS TOTALES'!$H163</f>
        <v>638000</v>
      </c>
      <c r="AM138" s="343">
        <f>+'[81]VENTAS TOTALES'!$F163</f>
        <v>0</v>
      </c>
      <c r="AN138" s="344">
        <f>+'[81]VENTAS TOTALES'!$G163</f>
        <v>214000</v>
      </c>
      <c r="AO138" s="344">
        <f>+'[81]VENTAS TOTALES'!$H163</f>
        <v>214000</v>
      </c>
      <c r="AP138" s="343">
        <f>+'[82]VENTAS TOTALES'!$F163</f>
        <v>0</v>
      </c>
      <c r="AQ138" s="344">
        <f>+'[82]VENTAS TOTALES'!$G163</f>
        <v>1510000</v>
      </c>
      <c r="AR138" s="344">
        <f>+'[82]VENTAS TOTALES'!$H163</f>
        <v>1510000</v>
      </c>
      <c r="AS138" s="343">
        <f>+'[83]VENTAS TOTALES'!$F163</f>
        <v>0</v>
      </c>
      <c r="AT138" s="344">
        <f>+'[83]VENTAS TOTALES'!$G163</f>
        <v>1293000</v>
      </c>
      <c r="AU138" s="344">
        <f>+'[83]VENTAS TOTALES'!$H163</f>
        <v>1293000</v>
      </c>
      <c r="AV138" s="343">
        <f>+'[84]VENTAS TOTALES'!$F163</f>
        <v>0</v>
      </c>
      <c r="AW138" s="344">
        <f>+'[84]VENTAS TOTALES'!$G163</f>
        <v>1260000</v>
      </c>
      <c r="AX138" s="344">
        <f>+'[84]VENTAS TOTALES'!$H163</f>
        <v>1260000</v>
      </c>
      <c r="AY138" s="343">
        <f>+'[85]VENTAS TOTALES'!$F163</f>
        <v>0</v>
      </c>
      <c r="AZ138" s="344">
        <f>+'[85]VENTAS TOTALES'!$G163</f>
        <v>1142000</v>
      </c>
      <c r="BA138" s="344">
        <f>+'[85]VENTAS TOTALES'!$H163</f>
        <v>1142000</v>
      </c>
      <c r="BB138" s="343">
        <f>+'[86]VENTAS TOTALES'!$F163</f>
        <v>0</v>
      </c>
      <c r="BC138" s="344">
        <f>+'[86]VENTAS TOTALES'!$G163</f>
        <v>863000</v>
      </c>
      <c r="BD138" s="344">
        <f>+'[86]VENTAS TOTALES'!$H163</f>
        <v>863000</v>
      </c>
      <c r="BE138" s="343">
        <f>+'[87]VENTAS TOTALES'!$F163</f>
        <v>0</v>
      </c>
      <c r="BF138" s="344">
        <f>+'[87]VENTAS TOTALES'!$G163</f>
        <v>779000</v>
      </c>
      <c r="BG138" s="344">
        <f>+'[87]VENTAS TOTALES'!$H163</f>
        <v>779000</v>
      </c>
      <c r="BH138" s="343">
        <f>+'[88]VENTAS TOTALES'!$F163</f>
        <v>0</v>
      </c>
      <c r="BI138" s="344">
        <f>+'[88]VENTAS TOTALES'!$G163</f>
        <v>306000</v>
      </c>
      <c r="BJ138" s="344">
        <f>+'[88]VENTAS TOTALES'!$H163</f>
        <v>306000</v>
      </c>
      <c r="BK138" s="343">
        <f>+'[89]VENTAS TOTALES'!$F163</f>
        <v>0</v>
      </c>
      <c r="BL138" s="344">
        <f>+'[89]VENTAS TOTALES'!$G163</f>
        <v>1818000</v>
      </c>
      <c r="BM138" s="344">
        <f>+'[89]VENTAS TOTALES'!$H163</f>
        <v>1818000</v>
      </c>
      <c r="BN138" s="343">
        <f>+'[90]VENTAS TOTALES'!$F163</f>
        <v>0</v>
      </c>
      <c r="BO138" s="344">
        <f>+'[90]VENTAS TOTALES'!$G163</f>
        <v>1130000</v>
      </c>
      <c r="BP138" s="344">
        <f>+'[90]VENTAS TOTALES'!$H163</f>
        <v>1130000</v>
      </c>
      <c r="BQ138" s="343">
        <f>+'[91]VENTAS TOTALES'!$F163</f>
        <v>0</v>
      </c>
      <c r="BR138" s="344">
        <f>+'[91]VENTAS TOTALES'!$G163</f>
        <v>911000</v>
      </c>
      <c r="BS138" s="344">
        <f>+'[91]VENTAS TOTALES'!$H163</f>
        <v>911000</v>
      </c>
      <c r="BT138" s="343">
        <f>+'[92]VENTAS TOTALES'!$F163</f>
        <v>0</v>
      </c>
      <c r="BU138" s="344">
        <f>+'[92]VENTAS TOTALES'!$G163</f>
        <v>403000</v>
      </c>
      <c r="BV138" s="344">
        <f>+'[92]VENTAS TOTALES'!$H163</f>
        <v>403000</v>
      </c>
      <c r="BW138" s="343">
        <f>+'[93]VENTAS TOTALES'!$F163</f>
        <v>0</v>
      </c>
      <c r="BX138" s="344">
        <f>+'[93]VENTAS TOTALES'!$G163</f>
        <v>849000</v>
      </c>
      <c r="BY138" s="344">
        <f>+'[93]VENTAS TOTALES'!$H163</f>
        <v>849000</v>
      </c>
      <c r="BZ138" s="343">
        <f>+'[94]VENTAS TOTALES'!$F163</f>
        <v>0</v>
      </c>
      <c r="CA138" s="344">
        <f>+'[94]VENTAS TOTALES'!$G163</f>
        <v>78000</v>
      </c>
      <c r="CB138" s="344">
        <f>+'[94]VENTAS TOTALES'!$H163</f>
        <v>78000</v>
      </c>
      <c r="CC138" s="343">
        <f>+'[95]VENTAS TOTALES'!$F163</f>
        <v>0</v>
      </c>
      <c r="CD138" s="344">
        <f>+'[95]VENTAS TOTALES'!$G163</f>
        <v>396000</v>
      </c>
      <c r="CE138" s="344">
        <f>+'[95]VENTAS TOTALES'!$H163</f>
        <v>396000</v>
      </c>
      <c r="CF138" s="343">
        <f>+'[96]VENTAS TOTALES'!$F163</f>
        <v>0</v>
      </c>
      <c r="CG138" s="344">
        <f>+'[96]VENTAS TOTALES'!$G163</f>
        <v>1851000</v>
      </c>
      <c r="CH138" s="344">
        <f>+'[96]VENTAS TOTALES'!$H163</f>
        <v>1851000</v>
      </c>
      <c r="CI138" s="343">
        <f>+'[97]VENTAS TOTALES'!$F163</f>
        <v>0</v>
      </c>
      <c r="CJ138" s="344">
        <f>+'[97]VENTAS TOTALES'!$G163</f>
        <v>1584000</v>
      </c>
      <c r="CK138" s="344">
        <f>+'[97]VENTAS TOTALES'!$H163</f>
        <v>1584000</v>
      </c>
      <c r="CL138" s="343">
        <f>+'[98]VENTAS TOTALES'!$F163</f>
        <v>0</v>
      </c>
      <c r="CM138" s="344">
        <f>+'[98]VENTAS TOTALES'!$G163</f>
        <v>1324000</v>
      </c>
      <c r="CN138" s="344">
        <f>+'[98]VENTAS TOTALES'!$H163</f>
        <v>1324000</v>
      </c>
      <c r="CO138" s="343">
        <f>+'[99]VENTAS TOTALES'!$F163</f>
        <v>0</v>
      </c>
      <c r="CP138" s="344">
        <f>+'[99]VENTAS TOTALES'!$G163</f>
        <v>1209000</v>
      </c>
      <c r="CQ138" s="344">
        <f>+'[99]VENTAS TOTALES'!$H163</f>
        <v>1209000</v>
      </c>
      <c r="CR138" s="343">
        <f>+'[100]VENTAS TOTALES'!$F163</f>
        <v>0</v>
      </c>
      <c r="CS138" s="344">
        <f>+'[100]VENTAS TOTALES'!$G163</f>
        <v>1058000</v>
      </c>
      <c r="CT138" s="344">
        <f>+'[100]VENTAS TOTALES'!$H163</f>
        <v>1058000</v>
      </c>
      <c r="CU138" s="343">
        <f>+'[101]VENTAS TOTALES'!$F163</f>
        <v>0</v>
      </c>
      <c r="CV138" s="344">
        <f>+'[101]VENTAS TOTALES'!$G163</f>
        <v>970000</v>
      </c>
      <c r="CW138" s="344">
        <f>+'[101]VENTAS TOTALES'!$H163</f>
        <v>970000</v>
      </c>
      <c r="CX138" s="343">
        <f>+'[102]VENTAS TOTALES'!$F163</f>
        <v>0</v>
      </c>
      <c r="CY138" s="344">
        <f>+'[102]VENTAS TOTALES'!$G163</f>
        <v>312000</v>
      </c>
      <c r="CZ138" s="344">
        <f>+'[102]VENTAS TOTALES'!$H163</f>
        <v>312000</v>
      </c>
    </row>
    <row r="139" spans="1:104" s="8" customFormat="1" ht="13.5" thickBot="1" x14ac:dyDescent="0.25">
      <c r="A139" s="455"/>
      <c r="B139" s="345" t="s">
        <v>362</v>
      </c>
      <c r="C139" s="343">
        <f>+'[69]VENTAS TOTALES'!$F164</f>
        <v>0</v>
      </c>
      <c r="D139" s="344">
        <f>+'[69]VENTAS TOTALES'!$G164</f>
        <v>518000</v>
      </c>
      <c r="E139" s="344">
        <f>+'[69]VENTAS TOTALES'!$H164</f>
        <v>518000</v>
      </c>
      <c r="F139" s="343">
        <f>+'[70]VENTAS TOTALES'!$F164</f>
        <v>0</v>
      </c>
      <c r="G139" s="344">
        <f>+'[70]VENTAS TOTALES'!$G164</f>
        <v>320000</v>
      </c>
      <c r="H139" s="344">
        <f>+'[70]VENTAS TOTALES'!$H164</f>
        <v>320000</v>
      </c>
      <c r="I139" s="343">
        <f>+'[71]VENTAS TOTALES'!$F164</f>
        <v>0</v>
      </c>
      <c r="J139" s="344">
        <f>+'[71]VENTAS TOTALES'!$G164</f>
        <v>249000</v>
      </c>
      <c r="K139" s="344">
        <f>+'[71]VENTAS TOTALES'!$H164</f>
        <v>249000</v>
      </c>
      <c r="L139" s="343">
        <f>+'[72]VENTAS TOTALES'!$F164</f>
        <v>0</v>
      </c>
      <c r="M139" s="344">
        <f>+'[72]VENTAS TOTALES'!$G164</f>
        <v>332000</v>
      </c>
      <c r="N139" s="344">
        <f>+'[72]VENTAS TOTALES'!$H164</f>
        <v>332000</v>
      </c>
      <c r="O139" s="343">
        <f>+'[73]VENTAS TOTALES'!$F164</f>
        <v>0</v>
      </c>
      <c r="P139" s="344">
        <f>+'[73]VENTAS TOTALES'!$G164</f>
        <v>159000</v>
      </c>
      <c r="Q139" s="344">
        <f>+'[73]VENTAS TOTALES'!$H164</f>
        <v>159000</v>
      </c>
      <c r="R139" s="343">
        <f>+'[74]VENTAS TOTALES'!$F164</f>
        <v>0</v>
      </c>
      <c r="S139" s="344">
        <f>+'[74]VENTAS TOTALES'!$G164</f>
        <v>44000</v>
      </c>
      <c r="T139" s="344">
        <f>+'[74]VENTAS TOTALES'!$H164</f>
        <v>44000</v>
      </c>
      <c r="U139" s="343">
        <f>+'[75]VENTAS TOTALES'!$F164</f>
        <v>0</v>
      </c>
      <c r="V139" s="344">
        <f>+'[75]VENTAS TOTALES'!$G164</f>
        <v>425000</v>
      </c>
      <c r="W139" s="344">
        <f>+'[75]VENTAS TOTALES'!$H164</f>
        <v>425000</v>
      </c>
      <c r="X139" s="343">
        <f>+'[76]VENTAS TOTALES'!$F164</f>
        <v>0</v>
      </c>
      <c r="Y139" s="344">
        <f>+'[76]VENTAS TOTALES'!$G164</f>
        <v>272000</v>
      </c>
      <c r="Z139" s="344">
        <f>+'[76]VENTAS TOTALES'!$H164</f>
        <v>272000</v>
      </c>
      <c r="AA139" s="343">
        <f>+'[77]VENTAS TOTALES'!$F164</f>
        <v>0</v>
      </c>
      <c r="AB139" s="344">
        <f>+'[77]VENTAS TOTALES'!$G164</f>
        <v>234000</v>
      </c>
      <c r="AC139" s="344">
        <f>+'[77]VENTAS TOTALES'!$H164</f>
        <v>234000</v>
      </c>
      <c r="AD139" s="343">
        <f>+'[78]VENTAS TOTALES'!$F164</f>
        <v>0</v>
      </c>
      <c r="AE139" s="344">
        <f>+'[78]VENTAS TOTALES'!$G164</f>
        <v>232000</v>
      </c>
      <c r="AF139" s="344">
        <f>+'[78]VENTAS TOTALES'!$H164</f>
        <v>232000</v>
      </c>
      <c r="AG139" s="343">
        <f>+'[79]VENTAS TOTALES'!$F164</f>
        <v>0</v>
      </c>
      <c r="AH139" s="344">
        <f>+'[79]VENTAS TOTALES'!$G164</f>
        <v>255000</v>
      </c>
      <c r="AI139" s="344">
        <f>+'[79]VENTAS TOTALES'!$H164</f>
        <v>255000</v>
      </c>
      <c r="AJ139" s="343">
        <f>+'[80]VENTAS TOTALES'!$F164</f>
        <v>0</v>
      </c>
      <c r="AK139" s="344">
        <f>+'[80]VENTAS TOTALES'!$G164</f>
        <v>106000</v>
      </c>
      <c r="AL139" s="344">
        <f>+'[80]VENTAS TOTALES'!$H164</f>
        <v>106000</v>
      </c>
      <c r="AM139" s="343">
        <f>+'[81]VENTAS TOTALES'!$F164</f>
        <v>0</v>
      </c>
      <c r="AN139" s="344">
        <f>+'[81]VENTAS TOTALES'!$G164</f>
        <v>32000</v>
      </c>
      <c r="AO139" s="344">
        <f>+'[81]VENTAS TOTALES'!$H164</f>
        <v>32000</v>
      </c>
      <c r="AP139" s="343">
        <f>+'[82]VENTAS TOTALES'!$F164</f>
        <v>0</v>
      </c>
      <c r="AQ139" s="344">
        <f>+'[82]VENTAS TOTALES'!$G164</f>
        <v>419000</v>
      </c>
      <c r="AR139" s="344">
        <f>+'[82]VENTAS TOTALES'!$H164</f>
        <v>419000</v>
      </c>
      <c r="AS139" s="343">
        <f>+'[83]VENTAS TOTALES'!$F164</f>
        <v>0</v>
      </c>
      <c r="AT139" s="344">
        <f>+'[83]VENTAS TOTALES'!$G164</f>
        <v>525000</v>
      </c>
      <c r="AU139" s="344">
        <f>+'[83]VENTAS TOTALES'!$H164</f>
        <v>525000</v>
      </c>
      <c r="AV139" s="343">
        <f>+'[84]VENTAS TOTALES'!$F164</f>
        <v>0</v>
      </c>
      <c r="AW139" s="344">
        <f>+'[84]VENTAS TOTALES'!$G164</f>
        <v>263000</v>
      </c>
      <c r="AX139" s="344">
        <f>+'[84]VENTAS TOTALES'!$H164</f>
        <v>263000</v>
      </c>
      <c r="AY139" s="343">
        <f>+'[85]VENTAS TOTALES'!$F164</f>
        <v>0</v>
      </c>
      <c r="AZ139" s="344">
        <f>+'[85]VENTAS TOTALES'!$G164</f>
        <v>317000</v>
      </c>
      <c r="BA139" s="344">
        <f>+'[85]VENTAS TOTALES'!$H164</f>
        <v>317000</v>
      </c>
      <c r="BB139" s="343">
        <f>+'[86]VENTAS TOTALES'!$F164</f>
        <v>0</v>
      </c>
      <c r="BC139" s="344">
        <f>+'[86]VENTAS TOTALES'!$G164</f>
        <v>236000</v>
      </c>
      <c r="BD139" s="344">
        <f>+'[86]VENTAS TOTALES'!$H164</f>
        <v>236000</v>
      </c>
      <c r="BE139" s="343">
        <f>+'[87]VENTAS TOTALES'!$F164</f>
        <v>0</v>
      </c>
      <c r="BF139" s="344">
        <f>+'[87]VENTAS TOTALES'!$G164</f>
        <v>164000</v>
      </c>
      <c r="BG139" s="344">
        <f>+'[87]VENTAS TOTALES'!$H164</f>
        <v>164000</v>
      </c>
      <c r="BH139" s="343">
        <f>+'[88]VENTAS TOTALES'!$F164</f>
        <v>0</v>
      </c>
      <c r="BI139" s="344">
        <f>+'[88]VENTAS TOTALES'!$G164</f>
        <v>22000</v>
      </c>
      <c r="BJ139" s="344">
        <f>+'[88]VENTAS TOTALES'!$H164</f>
        <v>22000</v>
      </c>
      <c r="BK139" s="343">
        <f>+'[89]VENTAS TOTALES'!$F164</f>
        <v>0</v>
      </c>
      <c r="BL139" s="344">
        <f>+'[89]VENTAS TOTALES'!$G164</f>
        <v>483000</v>
      </c>
      <c r="BM139" s="344">
        <f>+'[89]VENTAS TOTALES'!$H164</f>
        <v>483000</v>
      </c>
      <c r="BN139" s="343">
        <f>+'[90]VENTAS TOTALES'!$F164</f>
        <v>0</v>
      </c>
      <c r="BO139" s="344">
        <f>+'[90]VENTAS TOTALES'!$G164</f>
        <v>263000</v>
      </c>
      <c r="BP139" s="344">
        <f>+'[90]VENTAS TOTALES'!$H164</f>
        <v>263000</v>
      </c>
      <c r="BQ139" s="343">
        <f>+'[91]VENTAS TOTALES'!$F164</f>
        <v>0</v>
      </c>
      <c r="BR139" s="344">
        <f>+'[91]VENTAS TOTALES'!$G164</f>
        <v>266000</v>
      </c>
      <c r="BS139" s="344">
        <f>+'[91]VENTAS TOTALES'!$H164</f>
        <v>266000</v>
      </c>
      <c r="BT139" s="343">
        <f>+'[92]VENTAS TOTALES'!$F164</f>
        <v>0</v>
      </c>
      <c r="BU139" s="344">
        <f>+'[92]VENTAS TOTALES'!$G164</f>
        <v>196000</v>
      </c>
      <c r="BV139" s="344">
        <f>+'[92]VENTAS TOTALES'!$H164</f>
        <v>196000</v>
      </c>
      <c r="BW139" s="343">
        <f>+'[93]VENTAS TOTALES'!$F164</f>
        <v>0</v>
      </c>
      <c r="BX139" s="344">
        <f>+'[93]VENTAS TOTALES'!$G164</f>
        <v>197000</v>
      </c>
      <c r="BY139" s="344">
        <f>+'[93]VENTAS TOTALES'!$H164</f>
        <v>197000</v>
      </c>
      <c r="BZ139" s="343">
        <f>+'[94]VENTAS TOTALES'!$F164</f>
        <v>0</v>
      </c>
      <c r="CA139" s="344">
        <f>+'[94]VENTAS TOTALES'!$G164</f>
        <v>159000</v>
      </c>
      <c r="CB139" s="344">
        <f>+'[94]VENTAS TOTALES'!$H164</f>
        <v>159000</v>
      </c>
      <c r="CC139" s="343">
        <f>+'[95]VENTAS TOTALES'!$F164</f>
        <v>0</v>
      </c>
      <c r="CD139" s="344">
        <f>+'[95]VENTAS TOTALES'!$G164</f>
        <v>94000</v>
      </c>
      <c r="CE139" s="344">
        <f>+'[95]VENTAS TOTALES'!$H164</f>
        <v>94000</v>
      </c>
      <c r="CF139" s="343">
        <f>+'[96]VENTAS TOTALES'!$F164</f>
        <v>0</v>
      </c>
      <c r="CG139" s="344">
        <f>+'[96]VENTAS TOTALES'!$G164</f>
        <v>668000</v>
      </c>
      <c r="CH139" s="344">
        <f>+'[96]VENTAS TOTALES'!$H164</f>
        <v>668000</v>
      </c>
      <c r="CI139" s="343">
        <f>+'[97]VENTAS TOTALES'!$F164</f>
        <v>0</v>
      </c>
      <c r="CJ139" s="344">
        <f>+'[97]VENTAS TOTALES'!$G164</f>
        <v>612000</v>
      </c>
      <c r="CK139" s="344">
        <f>+'[97]VENTAS TOTALES'!$H164</f>
        <v>612000</v>
      </c>
      <c r="CL139" s="343">
        <f>+'[98]VENTAS TOTALES'!$F164</f>
        <v>0</v>
      </c>
      <c r="CM139" s="344">
        <f>+'[98]VENTAS TOTALES'!$G164</f>
        <v>492000</v>
      </c>
      <c r="CN139" s="344">
        <f>+'[98]VENTAS TOTALES'!$H164</f>
        <v>492000</v>
      </c>
      <c r="CO139" s="343">
        <f>+'[99]VENTAS TOTALES'!$F164</f>
        <v>0</v>
      </c>
      <c r="CP139" s="344">
        <f>+'[99]VENTAS TOTALES'!$G164</f>
        <v>346000</v>
      </c>
      <c r="CQ139" s="344">
        <f>+'[99]VENTAS TOTALES'!$H164</f>
        <v>346000</v>
      </c>
      <c r="CR139" s="343">
        <f>+'[100]VENTAS TOTALES'!$F164</f>
        <v>0</v>
      </c>
      <c r="CS139" s="344">
        <f>+'[100]VENTAS TOTALES'!$G164</f>
        <v>268000</v>
      </c>
      <c r="CT139" s="344">
        <f>+'[100]VENTAS TOTALES'!$H164</f>
        <v>268000</v>
      </c>
      <c r="CU139" s="343">
        <f>+'[101]VENTAS TOTALES'!$F164</f>
        <v>0</v>
      </c>
      <c r="CV139" s="344">
        <f>+'[101]VENTAS TOTALES'!$G164</f>
        <v>185000</v>
      </c>
      <c r="CW139" s="344">
        <f>+'[101]VENTAS TOTALES'!$H164</f>
        <v>185000</v>
      </c>
      <c r="CX139" s="343">
        <f>+'[102]VENTAS TOTALES'!$F164</f>
        <v>0</v>
      </c>
      <c r="CY139" s="344">
        <f>+'[102]VENTAS TOTALES'!$G164</f>
        <v>64000</v>
      </c>
      <c r="CZ139" s="344">
        <f>+'[102]VENTAS TOTALES'!$H164</f>
        <v>64000</v>
      </c>
    </row>
    <row r="140" spans="1:104" s="8" customFormat="1" ht="13.5" thickBot="1" x14ac:dyDescent="0.25">
      <c r="A140" s="455"/>
      <c r="B140" s="345" t="s">
        <v>363</v>
      </c>
      <c r="C140" s="343">
        <f>+'[69]VENTAS TOTALES'!$F165</f>
        <v>0</v>
      </c>
      <c r="D140" s="344">
        <f>+'[69]VENTAS TOTALES'!$G165</f>
        <v>1634000</v>
      </c>
      <c r="E140" s="344">
        <f>+'[69]VENTAS TOTALES'!$H165</f>
        <v>1634000</v>
      </c>
      <c r="F140" s="343">
        <f>+'[70]VENTAS TOTALES'!$F165</f>
        <v>0</v>
      </c>
      <c r="G140" s="344">
        <f>+'[70]VENTAS TOTALES'!$G165</f>
        <v>1107000</v>
      </c>
      <c r="H140" s="344">
        <f>+'[70]VENTAS TOTALES'!$H165</f>
        <v>1107000</v>
      </c>
      <c r="I140" s="343">
        <f>+'[71]VENTAS TOTALES'!$F165</f>
        <v>0</v>
      </c>
      <c r="J140" s="344">
        <f>+'[71]VENTAS TOTALES'!$G165</f>
        <v>265000</v>
      </c>
      <c r="K140" s="344">
        <f>+'[71]VENTAS TOTALES'!$H165</f>
        <v>265000</v>
      </c>
      <c r="L140" s="343">
        <f>+'[72]VENTAS TOTALES'!$F165</f>
        <v>0</v>
      </c>
      <c r="M140" s="344">
        <f>+'[72]VENTAS TOTALES'!$G165</f>
        <v>172000</v>
      </c>
      <c r="N140" s="344">
        <f>+'[72]VENTAS TOTALES'!$H165</f>
        <v>172000</v>
      </c>
      <c r="O140" s="343">
        <f>+'[73]VENTAS TOTALES'!$F165</f>
        <v>0</v>
      </c>
      <c r="P140" s="344">
        <f>+'[73]VENTAS TOTALES'!$G165</f>
        <v>413000</v>
      </c>
      <c r="Q140" s="344">
        <f>+'[73]VENTAS TOTALES'!$H165</f>
        <v>413000</v>
      </c>
      <c r="R140" s="343">
        <f>+'[74]VENTAS TOTALES'!$F165</f>
        <v>0</v>
      </c>
      <c r="S140" s="344">
        <f>+'[74]VENTAS TOTALES'!$G165</f>
        <v>191000</v>
      </c>
      <c r="T140" s="344">
        <f>+'[74]VENTAS TOTALES'!$H165</f>
        <v>191000</v>
      </c>
      <c r="U140" s="343">
        <f>+'[75]VENTAS TOTALES'!$F165</f>
        <v>0</v>
      </c>
      <c r="V140" s="344">
        <f>+'[75]VENTAS TOTALES'!$G165</f>
        <v>1214000</v>
      </c>
      <c r="W140" s="344">
        <f>+'[75]VENTAS TOTALES'!$H165</f>
        <v>1214000</v>
      </c>
      <c r="X140" s="343">
        <f>+'[76]VENTAS TOTALES'!$F165</f>
        <v>0</v>
      </c>
      <c r="Y140" s="344">
        <f>+'[76]VENTAS TOTALES'!$G165</f>
        <v>1017000</v>
      </c>
      <c r="Z140" s="344">
        <f>+'[76]VENTAS TOTALES'!$H165</f>
        <v>1017000</v>
      </c>
      <c r="AA140" s="343">
        <f>+'[77]VENTAS TOTALES'!$F165</f>
        <v>0</v>
      </c>
      <c r="AB140" s="344">
        <f>+'[77]VENTAS TOTALES'!$G165</f>
        <v>543000</v>
      </c>
      <c r="AC140" s="344">
        <f>+'[77]VENTAS TOTALES'!$H165</f>
        <v>543000</v>
      </c>
      <c r="AD140" s="343">
        <f>+'[78]VENTAS TOTALES'!$F165</f>
        <v>0</v>
      </c>
      <c r="AE140" s="344">
        <f>+'[78]VENTAS TOTALES'!$G165</f>
        <v>871000</v>
      </c>
      <c r="AF140" s="344">
        <f>+'[78]VENTAS TOTALES'!$H165</f>
        <v>871000</v>
      </c>
      <c r="AG140" s="343">
        <f>+'[79]VENTAS TOTALES'!$F165</f>
        <v>0</v>
      </c>
      <c r="AH140" s="344">
        <f>+'[79]VENTAS TOTALES'!$G165</f>
        <v>714000</v>
      </c>
      <c r="AI140" s="344">
        <f>+'[79]VENTAS TOTALES'!$H165</f>
        <v>714000</v>
      </c>
      <c r="AJ140" s="343">
        <f>+'[80]VENTAS TOTALES'!$F165</f>
        <v>0</v>
      </c>
      <c r="AK140" s="344">
        <f>+'[80]VENTAS TOTALES'!$G165</f>
        <v>636000</v>
      </c>
      <c r="AL140" s="344">
        <f>+'[80]VENTAS TOTALES'!$H165</f>
        <v>636000</v>
      </c>
      <c r="AM140" s="343">
        <f>+'[81]VENTAS TOTALES'!$F165</f>
        <v>0</v>
      </c>
      <c r="AN140" s="344">
        <f>+'[81]VENTAS TOTALES'!$G165</f>
        <v>300000</v>
      </c>
      <c r="AO140" s="344">
        <f>+'[81]VENTAS TOTALES'!$H165</f>
        <v>300000</v>
      </c>
      <c r="AP140" s="343">
        <f>+'[82]VENTAS TOTALES'!$F165</f>
        <v>0</v>
      </c>
      <c r="AQ140" s="344">
        <f>+'[82]VENTAS TOTALES'!$G165</f>
        <v>929000</v>
      </c>
      <c r="AR140" s="344">
        <f>+'[82]VENTAS TOTALES'!$H165</f>
        <v>929000</v>
      </c>
      <c r="AS140" s="343">
        <f>+'[83]VENTAS TOTALES'!$F165</f>
        <v>0</v>
      </c>
      <c r="AT140" s="344">
        <f>+'[83]VENTAS TOTALES'!$G165</f>
        <v>485000</v>
      </c>
      <c r="AU140" s="344">
        <f>+'[83]VENTAS TOTALES'!$H165</f>
        <v>485000</v>
      </c>
      <c r="AV140" s="343">
        <f>+'[84]VENTAS TOTALES'!$F165</f>
        <v>0</v>
      </c>
      <c r="AW140" s="344">
        <f>+'[84]VENTAS TOTALES'!$G165</f>
        <v>1077000</v>
      </c>
      <c r="AX140" s="344">
        <f>+'[84]VENTAS TOTALES'!$H165</f>
        <v>1077000</v>
      </c>
      <c r="AY140" s="343">
        <f>+'[85]VENTAS TOTALES'!$F165</f>
        <v>0</v>
      </c>
      <c r="AZ140" s="344">
        <f>+'[85]VENTAS TOTALES'!$G165</f>
        <v>143000</v>
      </c>
      <c r="BA140" s="344">
        <f>+'[85]VENTAS TOTALES'!$H165</f>
        <v>143000</v>
      </c>
      <c r="BB140" s="343">
        <f>+'[86]VENTAS TOTALES'!$F165</f>
        <v>0</v>
      </c>
      <c r="BC140" s="344">
        <f>+'[86]VENTAS TOTALES'!$G165</f>
        <v>643000</v>
      </c>
      <c r="BD140" s="344">
        <f>+'[86]VENTAS TOTALES'!$H165</f>
        <v>643000</v>
      </c>
      <c r="BE140" s="343">
        <f>+'[87]VENTAS TOTALES'!$F165</f>
        <v>0</v>
      </c>
      <c r="BF140" s="344">
        <f>+'[87]VENTAS TOTALES'!$G165</f>
        <v>616000</v>
      </c>
      <c r="BG140" s="344">
        <f>+'[87]VENTAS TOTALES'!$H165</f>
        <v>616000</v>
      </c>
      <c r="BH140" s="343">
        <f>+'[88]VENTAS TOTALES'!$F165</f>
        <v>0</v>
      </c>
      <c r="BI140" s="344">
        <f>+'[88]VENTAS TOTALES'!$G165</f>
        <v>104000</v>
      </c>
      <c r="BJ140" s="344">
        <f>+'[88]VENTAS TOTALES'!$H165</f>
        <v>104000</v>
      </c>
      <c r="BK140" s="343">
        <f>+'[89]VENTAS TOTALES'!$F165</f>
        <v>0</v>
      </c>
      <c r="BL140" s="344">
        <f>+'[89]VENTAS TOTALES'!$G165</f>
        <v>2071000</v>
      </c>
      <c r="BM140" s="344">
        <f>+'[89]VENTAS TOTALES'!$H165</f>
        <v>2071000</v>
      </c>
      <c r="BN140" s="343">
        <f>+'[90]VENTAS TOTALES'!$F165</f>
        <v>0</v>
      </c>
      <c r="BO140" s="344">
        <f>+'[90]VENTAS TOTALES'!$G165</f>
        <v>1233000</v>
      </c>
      <c r="BP140" s="344">
        <f>+'[90]VENTAS TOTALES'!$H165</f>
        <v>1233000</v>
      </c>
      <c r="BQ140" s="343">
        <f>+'[91]VENTAS TOTALES'!$F165</f>
        <v>0</v>
      </c>
      <c r="BR140" s="344">
        <f>+'[91]VENTAS TOTALES'!$G165</f>
        <v>542000</v>
      </c>
      <c r="BS140" s="344">
        <f>+'[91]VENTAS TOTALES'!$H165</f>
        <v>542000</v>
      </c>
      <c r="BT140" s="343">
        <f>+'[92]VENTAS TOTALES'!$F165</f>
        <v>0</v>
      </c>
      <c r="BU140" s="344">
        <f>+'[92]VENTAS TOTALES'!$G165</f>
        <v>224000</v>
      </c>
      <c r="BV140" s="344">
        <f>+'[92]VENTAS TOTALES'!$H165</f>
        <v>224000</v>
      </c>
      <c r="BW140" s="343">
        <f>+'[93]VENTAS TOTALES'!$F165</f>
        <v>0</v>
      </c>
      <c r="BX140" s="344">
        <f>+'[93]VENTAS TOTALES'!$G165</f>
        <v>970000</v>
      </c>
      <c r="BY140" s="344">
        <f>+'[93]VENTAS TOTALES'!$H165</f>
        <v>970000</v>
      </c>
      <c r="BZ140" s="343">
        <f>+'[94]VENTAS TOTALES'!$F165</f>
        <v>0</v>
      </c>
      <c r="CA140" s="344">
        <f>+'[94]VENTAS TOTALES'!$G165</f>
        <v>366000</v>
      </c>
      <c r="CB140" s="344">
        <f>+'[94]VENTAS TOTALES'!$H165</f>
        <v>366000</v>
      </c>
      <c r="CC140" s="343">
        <f>+'[95]VENTAS TOTALES'!$F165</f>
        <v>0</v>
      </c>
      <c r="CD140" s="344">
        <f>+'[95]VENTAS TOTALES'!$G165</f>
        <v>241000</v>
      </c>
      <c r="CE140" s="344">
        <f>+'[95]VENTAS TOTALES'!$H165</f>
        <v>241000</v>
      </c>
      <c r="CF140" s="343">
        <f>+'[96]VENTAS TOTALES'!$F165</f>
        <v>0</v>
      </c>
      <c r="CG140" s="344">
        <f>+'[96]VENTAS TOTALES'!$G165</f>
        <v>2225000</v>
      </c>
      <c r="CH140" s="344">
        <f>+'[96]VENTAS TOTALES'!$H165</f>
        <v>2225000</v>
      </c>
      <c r="CI140" s="343">
        <f>+'[97]VENTAS TOTALES'!$F165</f>
        <v>0</v>
      </c>
      <c r="CJ140" s="344">
        <f>+'[97]VENTAS TOTALES'!$G165</f>
        <v>1765000</v>
      </c>
      <c r="CK140" s="344">
        <f>+'[97]VENTAS TOTALES'!$H165</f>
        <v>1765000</v>
      </c>
      <c r="CL140" s="343">
        <f>+'[98]VENTAS TOTALES'!$F165</f>
        <v>0</v>
      </c>
      <c r="CM140" s="344">
        <f>+'[98]VENTAS TOTALES'!$G165</f>
        <v>1619000</v>
      </c>
      <c r="CN140" s="344">
        <f>+'[98]VENTAS TOTALES'!$H165</f>
        <v>1619000</v>
      </c>
      <c r="CO140" s="343">
        <f>+'[99]VENTAS TOTALES'!$F165</f>
        <v>0</v>
      </c>
      <c r="CP140" s="344">
        <f>+'[99]VENTAS TOTALES'!$G165</f>
        <v>1197000</v>
      </c>
      <c r="CQ140" s="344">
        <f>+'[99]VENTAS TOTALES'!$H165</f>
        <v>1197000</v>
      </c>
      <c r="CR140" s="343">
        <f>+'[100]VENTAS TOTALES'!$F165</f>
        <v>0</v>
      </c>
      <c r="CS140" s="344">
        <f>+'[100]VENTAS TOTALES'!$G165</f>
        <v>692000</v>
      </c>
      <c r="CT140" s="344">
        <f>+'[100]VENTAS TOTALES'!$H165</f>
        <v>692000</v>
      </c>
      <c r="CU140" s="343">
        <f>+'[101]VENTAS TOTALES'!$F165</f>
        <v>0</v>
      </c>
      <c r="CV140" s="344">
        <f>+'[101]VENTAS TOTALES'!$G165</f>
        <v>660000</v>
      </c>
      <c r="CW140" s="344">
        <f>+'[101]VENTAS TOTALES'!$H165</f>
        <v>660000</v>
      </c>
      <c r="CX140" s="343">
        <f>+'[102]VENTAS TOTALES'!$F165</f>
        <v>0</v>
      </c>
      <c r="CY140" s="344">
        <f>+'[102]VENTAS TOTALES'!$G165</f>
        <v>227000</v>
      </c>
      <c r="CZ140" s="344">
        <f>+'[102]VENTAS TOTALES'!$H165</f>
        <v>227000</v>
      </c>
    </row>
    <row r="141" spans="1:104" s="8" customFormat="1" ht="13.5" thickBot="1" x14ac:dyDescent="0.25">
      <c r="A141" s="455"/>
      <c r="B141" s="345" t="s">
        <v>364</v>
      </c>
      <c r="C141" s="343">
        <f>+'[69]VENTAS TOTALES'!$F166</f>
        <v>0</v>
      </c>
      <c r="D141" s="344">
        <f>+'[69]VENTAS TOTALES'!$G166</f>
        <v>89000</v>
      </c>
      <c r="E141" s="344">
        <f>+'[69]VENTAS TOTALES'!$H166</f>
        <v>89000</v>
      </c>
      <c r="F141" s="343">
        <f>+'[70]VENTAS TOTALES'!$F166</f>
        <v>0</v>
      </c>
      <c r="G141" s="344">
        <f>+'[70]VENTAS TOTALES'!$G166</f>
        <v>146000</v>
      </c>
      <c r="H141" s="344">
        <f>+'[70]VENTAS TOTALES'!$H166</f>
        <v>146000</v>
      </c>
      <c r="I141" s="343">
        <f>+'[71]VENTAS TOTALES'!$F166</f>
        <v>0</v>
      </c>
      <c r="J141" s="344">
        <f>+'[71]VENTAS TOTALES'!$G166</f>
        <v>82000</v>
      </c>
      <c r="K141" s="344">
        <f>+'[71]VENTAS TOTALES'!$H166</f>
        <v>82000</v>
      </c>
      <c r="L141" s="343">
        <f>+'[72]VENTAS TOTALES'!$F166</f>
        <v>0</v>
      </c>
      <c r="M141" s="344">
        <f>+'[72]VENTAS TOTALES'!$G166</f>
        <v>63000</v>
      </c>
      <c r="N141" s="344">
        <f>+'[72]VENTAS TOTALES'!$H166</f>
        <v>63000</v>
      </c>
      <c r="O141" s="343">
        <f>+'[73]VENTAS TOTALES'!$F166</f>
        <v>0</v>
      </c>
      <c r="P141" s="344">
        <f>+'[73]VENTAS TOTALES'!$G166</f>
        <v>51000</v>
      </c>
      <c r="Q141" s="344">
        <f>+'[73]VENTAS TOTALES'!$H166</f>
        <v>51000</v>
      </c>
      <c r="R141" s="343">
        <f>+'[74]VENTAS TOTALES'!$F166</f>
        <v>0</v>
      </c>
      <c r="S141" s="344">
        <f>+'[74]VENTAS TOTALES'!$G166</f>
        <v>16000</v>
      </c>
      <c r="T141" s="344">
        <f>+'[74]VENTAS TOTALES'!$H166</f>
        <v>16000</v>
      </c>
      <c r="U141" s="343">
        <f>+'[75]VENTAS TOTALES'!$F166</f>
        <v>0</v>
      </c>
      <c r="V141" s="344">
        <f>+'[75]VENTAS TOTALES'!$G166</f>
        <v>108000</v>
      </c>
      <c r="W141" s="344">
        <f>+'[75]VENTAS TOTALES'!$H166</f>
        <v>108000</v>
      </c>
      <c r="X141" s="343">
        <f>+'[76]VENTAS TOTALES'!$F166</f>
        <v>0</v>
      </c>
      <c r="Y141" s="344">
        <f>+'[76]VENTAS TOTALES'!$G166</f>
        <v>112000</v>
      </c>
      <c r="Z141" s="344">
        <f>+'[76]VENTAS TOTALES'!$H166</f>
        <v>112000</v>
      </c>
      <c r="AA141" s="343">
        <f>+'[77]VENTAS TOTALES'!$F166</f>
        <v>0</v>
      </c>
      <c r="AB141" s="344">
        <f>+'[77]VENTAS TOTALES'!$G166</f>
        <v>90000</v>
      </c>
      <c r="AC141" s="344">
        <f>+'[77]VENTAS TOTALES'!$H166</f>
        <v>90000</v>
      </c>
      <c r="AD141" s="343">
        <f>+'[78]VENTAS TOTALES'!$F166</f>
        <v>0</v>
      </c>
      <c r="AE141" s="344">
        <f>+'[78]VENTAS TOTALES'!$G166</f>
        <v>45000</v>
      </c>
      <c r="AF141" s="344">
        <f>+'[78]VENTAS TOTALES'!$H166</f>
        <v>45000</v>
      </c>
      <c r="AG141" s="343">
        <f>+'[79]VENTAS TOTALES'!$F166</f>
        <v>0</v>
      </c>
      <c r="AH141" s="344">
        <f>+'[79]VENTAS TOTALES'!$G166</f>
        <v>71000</v>
      </c>
      <c r="AI141" s="344">
        <f>+'[79]VENTAS TOTALES'!$H166</f>
        <v>71000</v>
      </c>
      <c r="AJ141" s="343">
        <f>+'[80]VENTAS TOTALES'!$F166</f>
        <v>0</v>
      </c>
      <c r="AK141" s="344">
        <f>+'[80]VENTAS TOTALES'!$G166</f>
        <v>12000</v>
      </c>
      <c r="AL141" s="344">
        <f>+'[80]VENTAS TOTALES'!$H166</f>
        <v>12000</v>
      </c>
      <c r="AM141" s="343">
        <f>+'[81]VENTAS TOTALES'!$F166</f>
        <v>0</v>
      </c>
      <c r="AN141" s="344">
        <f>+'[81]VENTAS TOTALES'!$G166</f>
        <v>20000</v>
      </c>
      <c r="AO141" s="344">
        <f>+'[81]VENTAS TOTALES'!$H166</f>
        <v>20000</v>
      </c>
      <c r="AP141" s="343">
        <f>+'[82]VENTAS TOTALES'!$F166</f>
        <v>0</v>
      </c>
      <c r="AQ141" s="344">
        <f>+'[82]VENTAS TOTALES'!$G166</f>
        <v>66000</v>
      </c>
      <c r="AR141" s="344">
        <f>+'[82]VENTAS TOTALES'!$H166</f>
        <v>66000</v>
      </c>
      <c r="AS141" s="343">
        <f>+'[83]VENTAS TOTALES'!$F166</f>
        <v>0</v>
      </c>
      <c r="AT141" s="344">
        <f>+'[83]VENTAS TOTALES'!$G166</f>
        <v>93000</v>
      </c>
      <c r="AU141" s="344">
        <f>+'[83]VENTAS TOTALES'!$H166</f>
        <v>93000</v>
      </c>
      <c r="AV141" s="343">
        <f>+'[84]VENTAS TOTALES'!$F166</f>
        <v>0</v>
      </c>
      <c r="AW141" s="344">
        <f>+'[84]VENTAS TOTALES'!$G166</f>
        <v>35000</v>
      </c>
      <c r="AX141" s="344">
        <f>+'[84]VENTAS TOTALES'!$H166</f>
        <v>35000</v>
      </c>
      <c r="AY141" s="343">
        <f>+'[85]VENTAS TOTALES'!$F166</f>
        <v>0</v>
      </c>
      <c r="AZ141" s="344">
        <f>+'[85]VENTAS TOTALES'!$G166</f>
        <v>135000</v>
      </c>
      <c r="BA141" s="344">
        <f>+'[85]VENTAS TOTALES'!$H166</f>
        <v>135000</v>
      </c>
      <c r="BB141" s="343">
        <f>+'[86]VENTAS TOTALES'!$F166</f>
        <v>0</v>
      </c>
      <c r="BC141" s="344">
        <f>+'[86]VENTAS TOTALES'!$G166</f>
        <v>121000</v>
      </c>
      <c r="BD141" s="344">
        <f>+'[86]VENTAS TOTALES'!$H166</f>
        <v>121000</v>
      </c>
      <c r="BE141" s="343">
        <f>+'[87]VENTAS TOTALES'!$F166</f>
        <v>0</v>
      </c>
      <c r="BF141" s="344">
        <f>+'[87]VENTAS TOTALES'!$G166</f>
        <v>38000</v>
      </c>
      <c r="BG141" s="344">
        <f>+'[87]VENTAS TOTALES'!$H166</f>
        <v>38000</v>
      </c>
      <c r="BH141" s="343">
        <f>+'[88]VENTAS TOTALES'!$F166</f>
        <v>0</v>
      </c>
      <c r="BI141" s="344">
        <f>+'[88]VENTAS TOTALES'!$G166</f>
        <v>36000</v>
      </c>
      <c r="BJ141" s="344">
        <f>+'[88]VENTAS TOTALES'!$H166</f>
        <v>36000</v>
      </c>
      <c r="BK141" s="343">
        <f>+'[89]VENTAS TOTALES'!$F166</f>
        <v>0</v>
      </c>
      <c r="BL141" s="344">
        <f>+'[89]VENTAS TOTALES'!$G166</f>
        <v>80000</v>
      </c>
      <c r="BM141" s="344">
        <f>+'[89]VENTAS TOTALES'!$H166</f>
        <v>80000</v>
      </c>
      <c r="BN141" s="343">
        <f>+'[90]VENTAS TOTALES'!$F166</f>
        <v>0</v>
      </c>
      <c r="BO141" s="344">
        <f>+'[90]VENTAS TOTALES'!$G166</f>
        <v>134000</v>
      </c>
      <c r="BP141" s="344">
        <f>+'[90]VENTAS TOTALES'!$H166</f>
        <v>134000</v>
      </c>
      <c r="BQ141" s="343">
        <f>+'[91]VENTAS TOTALES'!$F166</f>
        <v>0</v>
      </c>
      <c r="BR141" s="344">
        <f>+'[91]VENTAS TOTALES'!$G166</f>
        <v>109000</v>
      </c>
      <c r="BS141" s="344">
        <f>+'[91]VENTAS TOTALES'!$H166</f>
        <v>109000</v>
      </c>
      <c r="BT141" s="343">
        <f>+'[92]VENTAS TOTALES'!$F166</f>
        <v>0</v>
      </c>
      <c r="BU141" s="344">
        <f>+'[92]VENTAS TOTALES'!$G166</f>
        <v>53000</v>
      </c>
      <c r="BV141" s="344">
        <f>+'[92]VENTAS TOTALES'!$H166</f>
        <v>53000</v>
      </c>
      <c r="BW141" s="343">
        <f>+'[93]VENTAS TOTALES'!$F166</f>
        <v>0</v>
      </c>
      <c r="BX141" s="344">
        <f>+'[93]VENTAS TOTALES'!$G166</f>
        <v>72000</v>
      </c>
      <c r="BY141" s="344">
        <f>+'[93]VENTAS TOTALES'!$H166</f>
        <v>72000</v>
      </c>
      <c r="BZ141" s="343">
        <f>+'[94]VENTAS TOTALES'!$F166</f>
        <v>0</v>
      </c>
      <c r="CA141" s="344">
        <f>+'[94]VENTAS TOTALES'!$G166</f>
        <v>58000</v>
      </c>
      <c r="CB141" s="344">
        <f>+'[94]VENTAS TOTALES'!$H166</f>
        <v>58000</v>
      </c>
      <c r="CC141" s="343">
        <f>+'[95]VENTAS TOTALES'!$F166</f>
        <v>0</v>
      </c>
      <c r="CD141" s="344">
        <f>+'[95]VENTAS TOTALES'!$G166</f>
        <v>25000</v>
      </c>
      <c r="CE141" s="344">
        <f>+'[95]VENTAS TOTALES'!$H166</f>
        <v>25000</v>
      </c>
      <c r="CF141" s="343">
        <f>+'[96]VENTAS TOTALES'!$F166</f>
        <v>0</v>
      </c>
      <c r="CG141" s="344">
        <f>+'[96]VENTAS TOTALES'!$G166</f>
        <v>208000</v>
      </c>
      <c r="CH141" s="344">
        <f>+'[96]VENTAS TOTALES'!$H166</f>
        <v>208000</v>
      </c>
      <c r="CI141" s="343">
        <f>+'[97]VENTAS TOTALES'!$F166</f>
        <v>0</v>
      </c>
      <c r="CJ141" s="344">
        <f>+'[97]VENTAS TOTALES'!$G166</f>
        <v>200000</v>
      </c>
      <c r="CK141" s="344">
        <f>+'[97]VENTAS TOTALES'!$H166</f>
        <v>200000</v>
      </c>
      <c r="CL141" s="343">
        <f>+'[98]VENTAS TOTALES'!$F166</f>
        <v>0</v>
      </c>
      <c r="CM141" s="344">
        <f>+'[98]VENTAS TOTALES'!$G166</f>
        <v>223000</v>
      </c>
      <c r="CN141" s="344">
        <f>+'[98]VENTAS TOTALES'!$H166</f>
        <v>223000</v>
      </c>
      <c r="CO141" s="343">
        <f>+'[99]VENTAS TOTALES'!$F166</f>
        <v>0</v>
      </c>
      <c r="CP141" s="344">
        <f>+'[99]VENTAS TOTALES'!$G166</f>
        <v>167000</v>
      </c>
      <c r="CQ141" s="344">
        <f>+'[99]VENTAS TOTALES'!$H166</f>
        <v>167000</v>
      </c>
      <c r="CR141" s="343">
        <f>+'[100]VENTAS TOTALES'!$F166</f>
        <v>0</v>
      </c>
      <c r="CS141" s="344">
        <f>+'[100]VENTAS TOTALES'!$G166</f>
        <v>63000</v>
      </c>
      <c r="CT141" s="344">
        <f>+'[100]VENTAS TOTALES'!$H166</f>
        <v>63000</v>
      </c>
      <c r="CU141" s="343">
        <f>+'[101]VENTAS TOTALES'!$F166</f>
        <v>0</v>
      </c>
      <c r="CV141" s="344">
        <f>+'[101]VENTAS TOTALES'!$G166</f>
        <v>52000</v>
      </c>
      <c r="CW141" s="344">
        <f>+'[101]VENTAS TOTALES'!$H166</f>
        <v>52000</v>
      </c>
      <c r="CX141" s="343">
        <f>+'[102]VENTAS TOTALES'!$F166</f>
        <v>0</v>
      </c>
      <c r="CY141" s="344">
        <f>+'[102]VENTAS TOTALES'!$G166</f>
        <v>32000</v>
      </c>
      <c r="CZ141" s="344">
        <f>+'[102]VENTAS TOTALES'!$H166</f>
        <v>32000</v>
      </c>
    </row>
    <row r="142" spans="1:104" s="8" customFormat="1" ht="13.5" thickBot="1" x14ac:dyDescent="0.25">
      <c r="A142" s="455"/>
      <c r="B142" s="345" t="s">
        <v>365</v>
      </c>
      <c r="C142" s="343">
        <f>+'[69]VENTAS TOTALES'!$F167</f>
        <v>0</v>
      </c>
      <c r="D142" s="344">
        <f>+'[69]VENTAS TOTALES'!$G167</f>
        <v>317000</v>
      </c>
      <c r="E142" s="344">
        <f>+'[69]VENTAS TOTALES'!$H167</f>
        <v>317000</v>
      </c>
      <c r="F142" s="343">
        <f>+'[70]VENTAS TOTALES'!$F167</f>
        <v>0</v>
      </c>
      <c r="G142" s="344">
        <f>+'[70]VENTAS TOTALES'!$G167</f>
        <v>299000</v>
      </c>
      <c r="H142" s="344">
        <f>+'[70]VENTAS TOTALES'!$H167</f>
        <v>299000</v>
      </c>
      <c r="I142" s="343">
        <f>+'[71]VENTAS TOTALES'!$F167</f>
        <v>0</v>
      </c>
      <c r="J142" s="344">
        <f>+'[71]VENTAS TOTALES'!$G167</f>
        <v>216000</v>
      </c>
      <c r="K142" s="344">
        <f>+'[71]VENTAS TOTALES'!$H167</f>
        <v>216000</v>
      </c>
      <c r="L142" s="343">
        <f>+'[72]VENTAS TOTALES'!$F167</f>
        <v>0</v>
      </c>
      <c r="M142" s="344">
        <f>+'[72]VENTAS TOTALES'!$G167</f>
        <v>114000</v>
      </c>
      <c r="N142" s="344">
        <f>+'[72]VENTAS TOTALES'!$H167</f>
        <v>114000</v>
      </c>
      <c r="O142" s="343">
        <f>+'[73]VENTAS TOTALES'!$F167</f>
        <v>0</v>
      </c>
      <c r="P142" s="344">
        <f>+'[73]VENTAS TOTALES'!$G167</f>
        <v>179000</v>
      </c>
      <c r="Q142" s="344">
        <f>+'[73]VENTAS TOTALES'!$H167</f>
        <v>179000</v>
      </c>
      <c r="R142" s="343">
        <f>+'[74]VENTAS TOTALES'!$F167</f>
        <v>0</v>
      </c>
      <c r="S142" s="344">
        <f>+'[74]VENTAS TOTALES'!$G167</f>
        <v>20000</v>
      </c>
      <c r="T142" s="344">
        <f>+'[74]VENTAS TOTALES'!$H167</f>
        <v>20000</v>
      </c>
      <c r="U142" s="343">
        <f>+'[75]VENTAS TOTALES'!$F167</f>
        <v>0</v>
      </c>
      <c r="V142" s="344">
        <f>+'[75]VENTAS TOTALES'!$G167</f>
        <v>341000</v>
      </c>
      <c r="W142" s="344">
        <f>+'[75]VENTAS TOTALES'!$H167</f>
        <v>341000</v>
      </c>
      <c r="X142" s="343">
        <f>+'[76]VENTAS TOTALES'!$F167</f>
        <v>0</v>
      </c>
      <c r="Y142" s="344">
        <f>+'[76]VENTAS TOTALES'!$G167</f>
        <v>218000</v>
      </c>
      <c r="Z142" s="344">
        <f>+'[76]VENTAS TOTALES'!$H167</f>
        <v>218000</v>
      </c>
      <c r="AA142" s="343">
        <f>+'[77]VENTAS TOTALES'!$F167</f>
        <v>0</v>
      </c>
      <c r="AB142" s="344">
        <f>+'[77]VENTAS TOTALES'!$G167</f>
        <v>246000</v>
      </c>
      <c r="AC142" s="344">
        <f>+'[77]VENTAS TOTALES'!$H167</f>
        <v>246000</v>
      </c>
      <c r="AD142" s="343">
        <f>+'[78]VENTAS TOTALES'!$F167</f>
        <v>0</v>
      </c>
      <c r="AE142" s="344">
        <f>+'[78]VENTAS TOTALES'!$G167</f>
        <v>17000</v>
      </c>
      <c r="AF142" s="344">
        <f>+'[78]VENTAS TOTALES'!$H167</f>
        <v>17000</v>
      </c>
      <c r="AG142" s="343">
        <f>+'[79]VENTAS TOTALES'!$F167</f>
        <v>0</v>
      </c>
      <c r="AH142" s="344">
        <f>+'[79]VENTAS TOTALES'!$G167</f>
        <v>206000</v>
      </c>
      <c r="AI142" s="344">
        <f>+'[79]VENTAS TOTALES'!$H167</f>
        <v>206000</v>
      </c>
      <c r="AJ142" s="343">
        <f>+'[80]VENTAS TOTALES'!$F167</f>
        <v>0</v>
      </c>
      <c r="AK142" s="344">
        <f>+'[80]VENTAS TOTALES'!$G167</f>
        <v>17000</v>
      </c>
      <c r="AL142" s="344">
        <f>+'[80]VENTAS TOTALES'!$H167</f>
        <v>17000</v>
      </c>
      <c r="AM142" s="343">
        <f>+'[81]VENTAS TOTALES'!$F167</f>
        <v>0</v>
      </c>
      <c r="AN142" s="344">
        <f>+'[81]VENTAS TOTALES'!$G167</f>
        <v>59000</v>
      </c>
      <c r="AO142" s="344">
        <f>+'[81]VENTAS TOTALES'!$H167</f>
        <v>59000</v>
      </c>
      <c r="AP142" s="343">
        <f>+'[82]VENTAS TOTALES'!$F167</f>
        <v>0</v>
      </c>
      <c r="AQ142" s="344">
        <f>+'[82]VENTAS TOTALES'!$G167</f>
        <v>443000</v>
      </c>
      <c r="AR142" s="344">
        <f>+'[82]VENTAS TOTALES'!$H167</f>
        <v>443000</v>
      </c>
      <c r="AS142" s="343">
        <f>+'[83]VENTAS TOTALES'!$F167</f>
        <v>0</v>
      </c>
      <c r="AT142" s="344">
        <f>+'[83]VENTAS TOTALES'!$G167</f>
        <v>217000</v>
      </c>
      <c r="AU142" s="344">
        <f>+'[83]VENTAS TOTALES'!$H167</f>
        <v>217000</v>
      </c>
      <c r="AV142" s="343">
        <f>+'[84]VENTAS TOTALES'!$F167</f>
        <v>0</v>
      </c>
      <c r="AW142" s="344">
        <f>+'[84]VENTAS TOTALES'!$G167</f>
        <v>209000</v>
      </c>
      <c r="AX142" s="344">
        <f>+'[84]VENTAS TOTALES'!$H167</f>
        <v>209000</v>
      </c>
      <c r="AY142" s="343">
        <f>+'[85]VENTAS TOTALES'!$F167</f>
        <v>0</v>
      </c>
      <c r="AZ142" s="344">
        <f>+'[85]VENTAS TOTALES'!$G167</f>
        <v>170000</v>
      </c>
      <c r="BA142" s="344">
        <f>+'[85]VENTAS TOTALES'!$H167</f>
        <v>170000</v>
      </c>
      <c r="BB142" s="343">
        <f>+'[86]VENTAS TOTALES'!$F167</f>
        <v>0</v>
      </c>
      <c r="BC142" s="344">
        <f>+'[86]VENTAS TOTALES'!$G167</f>
        <v>247000</v>
      </c>
      <c r="BD142" s="344">
        <f>+'[86]VENTAS TOTALES'!$H167</f>
        <v>247000</v>
      </c>
      <c r="BE142" s="343">
        <f>+'[87]VENTAS TOTALES'!$F167</f>
        <v>0</v>
      </c>
      <c r="BF142" s="344">
        <f>+'[87]VENTAS TOTALES'!$G167</f>
        <v>155000</v>
      </c>
      <c r="BG142" s="344">
        <f>+'[87]VENTAS TOTALES'!$H167</f>
        <v>155000</v>
      </c>
      <c r="BH142" s="343">
        <f>+'[88]VENTAS TOTALES'!$F167</f>
        <v>0</v>
      </c>
      <c r="BI142" s="344">
        <f>+'[88]VENTAS TOTALES'!$G167</f>
        <v>47000</v>
      </c>
      <c r="BJ142" s="344">
        <f>+'[88]VENTAS TOTALES'!$H167</f>
        <v>47000</v>
      </c>
      <c r="BK142" s="343">
        <f>+'[89]VENTAS TOTALES'!$F167</f>
        <v>0</v>
      </c>
      <c r="BL142" s="344">
        <f>+'[89]VENTAS TOTALES'!$G167</f>
        <v>443000</v>
      </c>
      <c r="BM142" s="344">
        <f>+'[89]VENTAS TOTALES'!$H167</f>
        <v>443000</v>
      </c>
      <c r="BN142" s="343">
        <f>+'[90]VENTAS TOTALES'!$F167</f>
        <v>0</v>
      </c>
      <c r="BO142" s="344">
        <f>+'[90]VENTAS TOTALES'!$G167</f>
        <v>377000</v>
      </c>
      <c r="BP142" s="344">
        <f>+'[90]VENTAS TOTALES'!$H167</f>
        <v>377000</v>
      </c>
      <c r="BQ142" s="343">
        <f>+'[91]VENTAS TOTALES'!$F167</f>
        <v>0</v>
      </c>
      <c r="BR142" s="344">
        <f>+'[91]VENTAS TOTALES'!$G167</f>
        <v>201000</v>
      </c>
      <c r="BS142" s="344">
        <f>+'[91]VENTAS TOTALES'!$H167</f>
        <v>201000</v>
      </c>
      <c r="BT142" s="343">
        <f>+'[92]VENTAS TOTALES'!$F167</f>
        <v>0</v>
      </c>
      <c r="BU142" s="344">
        <f>+'[92]VENTAS TOTALES'!$G167</f>
        <v>208000</v>
      </c>
      <c r="BV142" s="344">
        <f>+'[92]VENTAS TOTALES'!$H167</f>
        <v>208000</v>
      </c>
      <c r="BW142" s="343">
        <f>+'[93]VENTAS TOTALES'!$F167</f>
        <v>0</v>
      </c>
      <c r="BX142" s="344">
        <f>+'[93]VENTAS TOTALES'!$G167</f>
        <v>263000</v>
      </c>
      <c r="BY142" s="344">
        <f>+'[93]VENTAS TOTALES'!$H167</f>
        <v>263000</v>
      </c>
      <c r="BZ142" s="343">
        <f>+'[94]VENTAS TOTALES'!$F167</f>
        <v>0</v>
      </c>
      <c r="CA142" s="344">
        <f>+'[94]VENTAS TOTALES'!$G167</f>
        <v>165000</v>
      </c>
      <c r="CB142" s="344">
        <f>+'[94]VENTAS TOTALES'!$H167</f>
        <v>165000</v>
      </c>
      <c r="CC142" s="343">
        <f>+'[95]VENTAS TOTALES'!$F167</f>
        <v>0</v>
      </c>
      <c r="CD142" s="344">
        <f>+'[95]VENTAS TOTALES'!$G167</f>
        <v>54000</v>
      </c>
      <c r="CE142" s="344">
        <f>+'[95]VENTAS TOTALES'!$H167</f>
        <v>54000</v>
      </c>
      <c r="CF142" s="343">
        <f>+'[96]VENTAS TOTALES'!$F167</f>
        <v>0</v>
      </c>
      <c r="CG142" s="344">
        <f>+'[96]VENTAS TOTALES'!$G167</f>
        <v>618000</v>
      </c>
      <c r="CH142" s="344">
        <f>+'[96]VENTAS TOTALES'!$H167</f>
        <v>618000</v>
      </c>
      <c r="CI142" s="343">
        <f>+'[97]VENTAS TOTALES'!$F167</f>
        <v>0</v>
      </c>
      <c r="CJ142" s="344">
        <f>+'[97]VENTAS TOTALES'!$G167</f>
        <v>436000</v>
      </c>
      <c r="CK142" s="344">
        <f>+'[97]VENTAS TOTALES'!$H167</f>
        <v>436000</v>
      </c>
      <c r="CL142" s="343">
        <f>+'[98]VENTAS TOTALES'!$F167</f>
        <v>0</v>
      </c>
      <c r="CM142" s="344">
        <f>+'[98]VENTAS TOTALES'!$G167</f>
        <v>379000</v>
      </c>
      <c r="CN142" s="344">
        <f>+'[98]VENTAS TOTALES'!$H167</f>
        <v>379000</v>
      </c>
      <c r="CO142" s="343">
        <f>+'[99]VENTAS TOTALES'!$F167</f>
        <v>0</v>
      </c>
      <c r="CP142" s="344">
        <f>+'[99]VENTAS TOTALES'!$G167</f>
        <v>284000</v>
      </c>
      <c r="CQ142" s="344">
        <f>+'[99]VENTAS TOTALES'!$H167</f>
        <v>284000</v>
      </c>
      <c r="CR142" s="343">
        <f>+'[100]VENTAS TOTALES'!$F167</f>
        <v>0</v>
      </c>
      <c r="CS142" s="344">
        <f>+'[100]VENTAS TOTALES'!$G167</f>
        <v>206000</v>
      </c>
      <c r="CT142" s="344">
        <f>+'[100]VENTAS TOTALES'!$H167</f>
        <v>206000</v>
      </c>
      <c r="CU142" s="343">
        <f>+'[101]VENTAS TOTALES'!$F167</f>
        <v>0</v>
      </c>
      <c r="CV142" s="344">
        <f>+'[101]VENTAS TOTALES'!$G167</f>
        <v>218000</v>
      </c>
      <c r="CW142" s="344">
        <f>+'[101]VENTAS TOTALES'!$H167</f>
        <v>218000</v>
      </c>
      <c r="CX142" s="343">
        <f>+'[102]VENTAS TOTALES'!$F167</f>
        <v>0</v>
      </c>
      <c r="CY142" s="344">
        <f>+'[102]VENTAS TOTALES'!$G167</f>
        <v>40000</v>
      </c>
      <c r="CZ142" s="344">
        <f>+'[102]VENTAS TOTALES'!$H167</f>
        <v>40000</v>
      </c>
    </row>
    <row r="143" spans="1:104" s="8" customFormat="1" ht="13.5" thickBot="1" x14ac:dyDescent="0.25">
      <c r="A143" s="455"/>
      <c r="B143" s="345" t="s">
        <v>372</v>
      </c>
      <c r="C143" s="343">
        <f>+'[69]VENTAS TOTALES'!$F168</f>
        <v>0</v>
      </c>
      <c r="D143" s="344">
        <f>+'[69]VENTAS TOTALES'!$G168</f>
        <v>42000</v>
      </c>
      <c r="E143" s="344">
        <f>+'[69]VENTAS TOTALES'!$H168</f>
        <v>42000</v>
      </c>
      <c r="F143" s="343">
        <f>+'[70]VENTAS TOTALES'!$F168</f>
        <v>0</v>
      </c>
      <c r="G143" s="344">
        <f>+'[70]VENTAS TOTALES'!$G168</f>
        <v>57000</v>
      </c>
      <c r="H143" s="344">
        <f>+'[70]VENTAS TOTALES'!$H168</f>
        <v>57000</v>
      </c>
      <c r="I143" s="343">
        <f>+'[71]VENTAS TOTALES'!$F168</f>
        <v>0</v>
      </c>
      <c r="J143" s="344">
        <f>+'[71]VENTAS TOTALES'!$G168</f>
        <v>46000</v>
      </c>
      <c r="K143" s="344">
        <f>+'[71]VENTAS TOTALES'!$H168</f>
        <v>46000</v>
      </c>
      <c r="L143" s="343">
        <f>+'[72]VENTAS TOTALES'!$F168</f>
        <v>0</v>
      </c>
      <c r="M143" s="344">
        <f>+'[72]VENTAS TOTALES'!$G168</f>
        <v>46000</v>
      </c>
      <c r="N143" s="344">
        <f>+'[72]VENTAS TOTALES'!$H168</f>
        <v>46000</v>
      </c>
      <c r="O143" s="343">
        <f>+'[73]VENTAS TOTALES'!$F168</f>
        <v>0</v>
      </c>
      <c r="P143" s="344">
        <f>+'[73]VENTAS TOTALES'!$G168</f>
        <v>10000</v>
      </c>
      <c r="Q143" s="344">
        <f>+'[73]VENTAS TOTALES'!$H168</f>
        <v>10000</v>
      </c>
      <c r="R143" s="343">
        <f>+'[74]VENTAS TOTALES'!$F168</f>
        <v>0</v>
      </c>
      <c r="S143" s="344">
        <f>+'[74]VENTAS TOTALES'!$G168</f>
        <v>0</v>
      </c>
      <c r="T143" s="344">
        <f>+'[74]VENTAS TOTALES'!$H168</f>
        <v>0</v>
      </c>
      <c r="U143" s="343">
        <f>+'[75]VENTAS TOTALES'!$F168</f>
        <v>0</v>
      </c>
      <c r="V143" s="344">
        <f>+'[75]VENTAS TOTALES'!$G168</f>
        <v>59000</v>
      </c>
      <c r="W143" s="344">
        <f>+'[75]VENTAS TOTALES'!$H168</f>
        <v>59000</v>
      </c>
      <c r="X143" s="343">
        <f>+'[76]VENTAS TOTALES'!$F168</f>
        <v>0</v>
      </c>
      <c r="Y143" s="344">
        <f>+'[76]VENTAS TOTALES'!$G168</f>
        <v>37000</v>
      </c>
      <c r="Z143" s="344">
        <f>+'[76]VENTAS TOTALES'!$H168</f>
        <v>37000</v>
      </c>
      <c r="AA143" s="343">
        <f>+'[77]VENTAS TOTALES'!$F168</f>
        <v>0</v>
      </c>
      <c r="AB143" s="344">
        <f>+'[77]VENTAS TOTALES'!$G168</f>
        <v>65000</v>
      </c>
      <c r="AC143" s="344">
        <f>+'[77]VENTAS TOTALES'!$H168</f>
        <v>65000</v>
      </c>
      <c r="AD143" s="343">
        <f>+'[78]VENTAS TOTALES'!$F168</f>
        <v>0</v>
      </c>
      <c r="AE143" s="344">
        <f>+'[78]VENTAS TOTALES'!$G168</f>
        <v>37000</v>
      </c>
      <c r="AF143" s="344">
        <f>+'[78]VENTAS TOTALES'!$H168</f>
        <v>37000</v>
      </c>
      <c r="AG143" s="343">
        <f>+'[79]VENTAS TOTALES'!$F168</f>
        <v>0</v>
      </c>
      <c r="AH143" s="344">
        <f>+'[79]VENTAS TOTALES'!$G168</f>
        <v>13000</v>
      </c>
      <c r="AI143" s="344">
        <f>+'[79]VENTAS TOTALES'!$H168</f>
        <v>13000</v>
      </c>
      <c r="AJ143" s="343">
        <f>+'[80]VENTAS TOTALES'!$F168</f>
        <v>0</v>
      </c>
      <c r="AK143" s="344">
        <f>+'[80]VENTAS TOTALES'!$G168</f>
        <v>0</v>
      </c>
      <c r="AL143" s="344">
        <f>+'[80]VENTAS TOTALES'!$H168</f>
        <v>0</v>
      </c>
      <c r="AM143" s="343">
        <f>+'[81]VENTAS TOTALES'!$F168</f>
        <v>0</v>
      </c>
      <c r="AN143" s="344">
        <f>+'[81]VENTAS TOTALES'!$G168</f>
        <v>0</v>
      </c>
      <c r="AO143" s="344">
        <f>+'[81]VENTAS TOTALES'!$H168</f>
        <v>0</v>
      </c>
      <c r="AP143" s="343">
        <f>+'[82]VENTAS TOTALES'!$F168</f>
        <v>0</v>
      </c>
      <c r="AQ143" s="344">
        <f>+'[82]VENTAS TOTALES'!$G168</f>
        <v>0</v>
      </c>
      <c r="AR143" s="344">
        <f>+'[82]VENTAS TOTALES'!$H168</f>
        <v>0</v>
      </c>
      <c r="AS143" s="343">
        <f>+'[83]VENTAS TOTALES'!$F168</f>
        <v>0</v>
      </c>
      <c r="AT143" s="344">
        <f>+'[83]VENTAS TOTALES'!$G168</f>
        <v>118000</v>
      </c>
      <c r="AU143" s="344">
        <f>+'[83]VENTAS TOTALES'!$H168</f>
        <v>118000</v>
      </c>
      <c r="AV143" s="343">
        <f>+'[84]VENTAS TOTALES'!$F168</f>
        <v>0</v>
      </c>
      <c r="AW143" s="344">
        <f>+'[84]VENTAS TOTALES'!$G168</f>
        <v>99000</v>
      </c>
      <c r="AX143" s="344">
        <f>+'[84]VENTAS TOTALES'!$H168</f>
        <v>99000</v>
      </c>
      <c r="AY143" s="343">
        <f>+'[85]VENTAS TOTALES'!$F168</f>
        <v>0</v>
      </c>
      <c r="AZ143" s="344">
        <f>+'[85]VENTAS TOTALES'!$G168</f>
        <v>62000</v>
      </c>
      <c r="BA143" s="344">
        <f>+'[85]VENTAS TOTALES'!$H168</f>
        <v>62000</v>
      </c>
      <c r="BB143" s="343">
        <f>+'[86]VENTAS TOTALES'!$F168</f>
        <v>0</v>
      </c>
      <c r="BC143" s="344">
        <f>+'[86]VENTAS TOTALES'!$G168</f>
        <v>70000</v>
      </c>
      <c r="BD143" s="344">
        <f>+'[86]VENTAS TOTALES'!$H168</f>
        <v>70000</v>
      </c>
      <c r="BE143" s="343">
        <f>+'[87]VENTAS TOTALES'!$F168</f>
        <v>0</v>
      </c>
      <c r="BF143" s="344">
        <f>+'[87]VENTAS TOTALES'!$G168</f>
        <v>4000</v>
      </c>
      <c r="BG143" s="344">
        <f>+'[87]VENTAS TOTALES'!$H168</f>
        <v>4000</v>
      </c>
      <c r="BH143" s="343">
        <f>+'[88]VENTAS TOTALES'!$F168</f>
        <v>0</v>
      </c>
      <c r="BI143" s="344">
        <f>+'[88]VENTAS TOTALES'!$G168</f>
        <v>0</v>
      </c>
      <c r="BJ143" s="344">
        <f>+'[88]VENTAS TOTALES'!$H168</f>
        <v>0</v>
      </c>
      <c r="BK143" s="343">
        <f>+'[89]VENTAS TOTALES'!$F168</f>
        <v>0</v>
      </c>
      <c r="BL143" s="344">
        <f>+'[89]VENTAS TOTALES'!$G168</f>
        <v>30000</v>
      </c>
      <c r="BM143" s="344">
        <f>+'[89]VENTAS TOTALES'!$H168</f>
        <v>30000</v>
      </c>
      <c r="BN143" s="343">
        <f>+'[90]VENTAS TOTALES'!$F168</f>
        <v>0</v>
      </c>
      <c r="BO143" s="344">
        <f>+'[90]VENTAS TOTALES'!$G168</f>
        <v>87000</v>
      </c>
      <c r="BP143" s="344">
        <f>+'[90]VENTAS TOTALES'!$H168</f>
        <v>87000</v>
      </c>
      <c r="BQ143" s="343">
        <f>+'[91]VENTAS TOTALES'!$F168</f>
        <v>0</v>
      </c>
      <c r="BR143" s="344">
        <f>+'[91]VENTAS TOTALES'!$G168</f>
        <v>51000</v>
      </c>
      <c r="BS143" s="344">
        <f>+'[91]VENTAS TOTALES'!$H168</f>
        <v>51000</v>
      </c>
      <c r="BT143" s="343">
        <f>+'[92]VENTAS TOTALES'!$F168</f>
        <v>0</v>
      </c>
      <c r="BU143" s="344">
        <f>+'[92]VENTAS TOTALES'!$G168</f>
        <v>66000</v>
      </c>
      <c r="BV143" s="344">
        <f>+'[92]VENTAS TOTALES'!$H168</f>
        <v>66000</v>
      </c>
      <c r="BW143" s="343">
        <f>+'[93]VENTAS TOTALES'!$F168</f>
        <v>0</v>
      </c>
      <c r="BX143" s="344">
        <f>+'[93]VENTAS TOTALES'!$G168</f>
        <v>52000</v>
      </c>
      <c r="BY143" s="344">
        <f>+'[93]VENTAS TOTALES'!$H168</f>
        <v>52000</v>
      </c>
      <c r="BZ143" s="343">
        <f>+'[94]VENTAS TOTALES'!$F168</f>
        <v>0</v>
      </c>
      <c r="CA143" s="344">
        <f>+'[94]VENTAS TOTALES'!$G168</f>
        <v>4000</v>
      </c>
      <c r="CB143" s="344">
        <f>+'[94]VENTAS TOTALES'!$H168</f>
        <v>4000</v>
      </c>
      <c r="CC143" s="343">
        <f>+'[95]VENTAS TOTALES'!$F168</f>
        <v>0</v>
      </c>
      <c r="CD143" s="344">
        <f>+'[95]VENTAS TOTALES'!$G168</f>
        <v>0</v>
      </c>
      <c r="CE143" s="344">
        <f>+'[95]VENTAS TOTALES'!$H168</f>
        <v>0</v>
      </c>
      <c r="CF143" s="343">
        <f>+'[96]VENTAS TOTALES'!$F168</f>
        <v>0</v>
      </c>
      <c r="CG143" s="344">
        <f>+'[96]VENTAS TOTALES'!$G168</f>
        <v>207000</v>
      </c>
      <c r="CH143" s="344">
        <f>+'[96]VENTAS TOTALES'!$H168</f>
        <v>207000</v>
      </c>
      <c r="CI143" s="343">
        <f>+'[97]VENTAS TOTALES'!$F168</f>
        <v>0</v>
      </c>
      <c r="CJ143" s="344">
        <f>+'[97]VENTAS TOTALES'!$G168</f>
        <v>101000</v>
      </c>
      <c r="CK143" s="344">
        <f>+'[97]VENTAS TOTALES'!$H168</f>
        <v>101000</v>
      </c>
      <c r="CL143" s="343">
        <f>+'[98]VENTAS TOTALES'!$F168</f>
        <v>0</v>
      </c>
      <c r="CM143" s="344">
        <f>+'[98]VENTAS TOTALES'!$G168</f>
        <v>102000</v>
      </c>
      <c r="CN143" s="344">
        <f>+'[98]VENTAS TOTALES'!$H168</f>
        <v>102000</v>
      </c>
      <c r="CO143" s="343">
        <f>+'[99]VENTAS TOTALES'!$F168</f>
        <v>0</v>
      </c>
      <c r="CP143" s="344">
        <f>+'[99]VENTAS TOTALES'!$G168</f>
        <v>58000</v>
      </c>
      <c r="CQ143" s="344">
        <f>+'[99]VENTAS TOTALES'!$H168</f>
        <v>58000</v>
      </c>
      <c r="CR143" s="343">
        <f>+'[100]VENTAS TOTALES'!$F168</f>
        <v>0</v>
      </c>
      <c r="CS143" s="344">
        <f>+'[100]VENTAS TOTALES'!$G168</f>
        <v>61000</v>
      </c>
      <c r="CT143" s="344">
        <f>+'[100]VENTAS TOTALES'!$H168</f>
        <v>61000</v>
      </c>
      <c r="CU143" s="343">
        <f>+'[101]VENTAS TOTALES'!$F168</f>
        <v>0</v>
      </c>
      <c r="CV143" s="344">
        <f>+'[101]VENTAS TOTALES'!$G168</f>
        <v>64000</v>
      </c>
      <c r="CW143" s="344">
        <f>+'[101]VENTAS TOTALES'!$H168</f>
        <v>64000</v>
      </c>
      <c r="CX143" s="343">
        <f>+'[102]VENTAS TOTALES'!$F168</f>
        <v>0</v>
      </c>
      <c r="CY143" s="344">
        <f>+'[102]VENTAS TOTALES'!$G168</f>
        <v>0</v>
      </c>
      <c r="CZ143" s="344">
        <f>+'[102]VENTAS TOTALES'!$H168</f>
        <v>0</v>
      </c>
    </row>
    <row r="144" spans="1:104" s="8" customFormat="1" ht="13.5" thickBot="1" x14ac:dyDescent="0.25">
      <c r="A144" s="455"/>
      <c r="B144" s="345" t="s">
        <v>373</v>
      </c>
      <c r="C144" s="343">
        <f>+'[69]VENTAS TOTALES'!$F169</f>
        <v>0</v>
      </c>
      <c r="D144" s="344">
        <f>+'[69]VENTAS TOTALES'!$G169</f>
        <v>106000</v>
      </c>
      <c r="E144" s="344">
        <f>+'[69]VENTAS TOTALES'!$H169</f>
        <v>106000</v>
      </c>
      <c r="F144" s="343">
        <f>+'[70]VENTAS TOTALES'!$F169</f>
        <v>0</v>
      </c>
      <c r="G144" s="344">
        <f>+'[70]VENTAS TOTALES'!$G169</f>
        <v>95000</v>
      </c>
      <c r="H144" s="344">
        <f>+'[70]VENTAS TOTALES'!$H169</f>
        <v>95000</v>
      </c>
      <c r="I144" s="343">
        <f>+'[71]VENTAS TOTALES'!$F169</f>
        <v>0</v>
      </c>
      <c r="J144" s="344">
        <f>+'[71]VENTAS TOTALES'!$G169</f>
        <v>84000</v>
      </c>
      <c r="K144" s="344">
        <f>+'[71]VENTAS TOTALES'!$H169</f>
        <v>84000</v>
      </c>
      <c r="L144" s="343">
        <f>+'[72]VENTAS TOTALES'!$F169</f>
        <v>0</v>
      </c>
      <c r="M144" s="344">
        <f>+'[72]VENTAS TOTALES'!$G169</f>
        <v>29000</v>
      </c>
      <c r="N144" s="344">
        <f>+'[72]VENTAS TOTALES'!$H169</f>
        <v>29000</v>
      </c>
      <c r="O144" s="343">
        <f>+'[73]VENTAS TOTALES'!$F169</f>
        <v>0</v>
      </c>
      <c r="P144" s="344">
        <f>+'[73]VENTAS TOTALES'!$G169</f>
        <v>0</v>
      </c>
      <c r="Q144" s="344">
        <f>+'[73]VENTAS TOTALES'!$H169</f>
        <v>0</v>
      </c>
      <c r="R144" s="343">
        <f>+'[74]VENTAS TOTALES'!$F169</f>
        <v>0</v>
      </c>
      <c r="S144" s="344">
        <f>+'[74]VENTAS TOTALES'!$G169</f>
        <v>0</v>
      </c>
      <c r="T144" s="344">
        <f>+'[74]VENTAS TOTALES'!$H169</f>
        <v>0</v>
      </c>
      <c r="U144" s="343">
        <f>+'[75]VENTAS TOTALES'!$F169</f>
        <v>0</v>
      </c>
      <c r="V144" s="344">
        <f>+'[75]VENTAS TOTALES'!$G169</f>
        <v>61000</v>
      </c>
      <c r="W144" s="344">
        <f>+'[75]VENTAS TOTALES'!$H169</f>
        <v>61000</v>
      </c>
      <c r="X144" s="343">
        <f>+'[76]VENTAS TOTALES'!$F169</f>
        <v>0</v>
      </c>
      <c r="Y144" s="344">
        <f>+'[76]VENTAS TOTALES'!$G169</f>
        <v>48000</v>
      </c>
      <c r="Z144" s="344">
        <f>+'[76]VENTAS TOTALES'!$H169</f>
        <v>48000</v>
      </c>
      <c r="AA144" s="343">
        <f>+'[77]VENTAS TOTALES'!$F169</f>
        <v>0</v>
      </c>
      <c r="AB144" s="344">
        <f>+'[77]VENTAS TOTALES'!$G169</f>
        <v>19000</v>
      </c>
      <c r="AC144" s="344">
        <f>+'[77]VENTAS TOTALES'!$H169</f>
        <v>19000</v>
      </c>
      <c r="AD144" s="343">
        <f>+'[78]VENTAS TOTALES'!$F169</f>
        <v>0</v>
      </c>
      <c r="AE144" s="344">
        <f>+'[78]VENTAS TOTALES'!$G169</f>
        <v>100000</v>
      </c>
      <c r="AF144" s="344">
        <f>+'[78]VENTAS TOTALES'!$H169</f>
        <v>100000</v>
      </c>
      <c r="AG144" s="343">
        <f>+'[79]VENTAS TOTALES'!$F169</f>
        <v>0</v>
      </c>
      <c r="AH144" s="344">
        <f>+'[79]VENTAS TOTALES'!$G169</f>
        <v>11000</v>
      </c>
      <c r="AI144" s="344">
        <f>+'[79]VENTAS TOTALES'!$H169</f>
        <v>11000</v>
      </c>
      <c r="AJ144" s="343">
        <f>+'[80]VENTAS TOTALES'!$F169</f>
        <v>0</v>
      </c>
      <c r="AK144" s="344">
        <f>+'[80]VENTAS TOTALES'!$G169</f>
        <v>0</v>
      </c>
      <c r="AL144" s="344">
        <f>+'[80]VENTAS TOTALES'!$H169</f>
        <v>0</v>
      </c>
      <c r="AM144" s="343">
        <f>+'[81]VENTAS TOTALES'!$F169</f>
        <v>0</v>
      </c>
      <c r="AN144" s="344">
        <f>+'[81]VENTAS TOTALES'!$G169</f>
        <v>0</v>
      </c>
      <c r="AO144" s="344">
        <f>+'[81]VENTAS TOTALES'!$H169</f>
        <v>0</v>
      </c>
      <c r="AP144" s="343">
        <f>+'[82]VENTAS TOTALES'!$F169</f>
        <v>0</v>
      </c>
      <c r="AQ144" s="344">
        <f>+'[82]VENTAS TOTALES'!$G169</f>
        <v>9000</v>
      </c>
      <c r="AR144" s="344">
        <f>+'[82]VENTAS TOTALES'!$H169</f>
        <v>9000</v>
      </c>
      <c r="AS144" s="343">
        <f>+'[83]VENTAS TOTALES'!$F169</f>
        <v>0</v>
      </c>
      <c r="AT144" s="344">
        <f>+'[83]VENTAS TOTALES'!$G169</f>
        <v>70000</v>
      </c>
      <c r="AU144" s="344">
        <f>+'[83]VENTAS TOTALES'!$H169</f>
        <v>70000</v>
      </c>
      <c r="AV144" s="343">
        <f>+'[84]VENTAS TOTALES'!$F169</f>
        <v>0</v>
      </c>
      <c r="AW144" s="344">
        <f>+'[84]VENTAS TOTALES'!$G169</f>
        <v>69000</v>
      </c>
      <c r="AX144" s="344">
        <f>+'[84]VENTAS TOTALES'!$H169</f>
        <v>69000</v>
      </c>
      <c r="AY144" s="343">
        <f>+'[85]VENTAS TOTALES'!$F169</f>
        <v>0</v>
      </c>
      <c r="AZ144" s="344">
        <f>+'[85]VENTAS TOTALES'!$G169</f>
        <v>55000</v>
      </c>
      <c r="BA144" s="344">
        <f>+'[85]VENTAS TOTALES'!$H169</f>
        <v>55000</v>
      </c>
      <c r="BB144" s="343">
        <f>+'[86]VENTAS TOTALES'!$F169</f>
        <v>0</v>
      </c>
      <c r="BC144" s="344">
        <f>+'[86]VENTAS TOTALES'!$G169</f>
        <v>10000</v>
      </c>
      <c r="BD144" s="344">
        <f>+'[86]VENTAS TOTALES'!$H169</f>
        <v>10000</v>
      </c>
      <c r="BE144" s="343">
        <f>+'[87]VENTAS TOTALES'!$F169</f>
        <v>0</v>
      </c>
      <c r="BF144" s="344">
        <f>+'[87]VENTAS TOTALES'!$G169</f>
        <v>0</v>
      </c>
      <c r="BG144" s="344">
        <f>+'[87]VENTAS TOTALES'!$H169</f>
        <v>0</v>
      </c>
      <c r="BH144" s="343">
        <f>+'[88]VENTAS TOTALES'!$F169</f>
        <v>0</v>
      </c>
      <c r="BI144" s="344">
        <f>+'[88]VENTAS TOTALES'!$G169</f>
        <v>0</v>
      </c>
      <c r="BJ144" s="344">
        <f>+'[88]VENTAS TOTALES'!$H169</f>
        <v>0</v>
      </c>
      <c r="BK144" s="343">
        <f>+'[89]VENTAS TOTALES'!$F169</f>
        <v>0</v>
      </c>
      <c r="BL144" s="344">
        <f>+'[89]VENTAS TOTALES'!$G169</f>
        <v>70000</v>
      </c>
      <c r="BM144" s="344">
        <f>+'[89]VENTAS TOTALES'!$H169</f>
        <v>70000</v>
      </c>
      <c r="BN144" s="343">
        <f>+'[90]VENTAS TOTALES'!$F169</f>
        <v>0</v>
      </c>
      <c r="BO144" s="344">
        <f>+'[90]VENTAS TOTALES'!$G169</f>
        <v>40000</v>
      </c>
      <c r="BP144" s="344">
        <f>+'[90]VENTAS TOTALES'!$H169</f>
        <v>40000</v>
      </c>
      <c r="BQ144" s="343">
        <f>+'[91]VENTAS TOTALES'!$F169</f>
        <v>0</v>
      </c>
      <c r="BR144" s="344">
        <f>+'[91]VENTAS TOTALES'!$G169</f>
        <v>22000</v>
      </c>
      <c r="BS144" s="344">
        <f>+'[91]VENTAS TOTALES'!$H169</f>
        <v>22000</v>
      </c>
      <c r="BT144" s="343">
        <f>+'[92]VENTAS TOTALES'!$F169</f>
        <v>0</v>
      </c>
      <c r="BU144" s="344">
        <f>+'[92]VENTAS TOTALES'!$G169</f>
        <v>60000</v>
      </c>
      <c r="BV144" s="344">
        <f>+'[92]VENTAS TOTALES'!$H169</f>
        <v>60000</v>
      </c>
      <c r="BW144" s="343">
        <f>+'[93]VENTAS TOTALES'!$F169</f>
        <v>0</v>
      </c>
      <c r="BX144" s="344">
        <f>+'[93]VENTAS TOTALES'!$G169</f>
        <v>28000</v>
      </c>
      <c r="BY144" s="344">
        <f>+'[93]VENTAS TOTALES'!$H169</f>
        <v>28000</v>
      </c>
      <c r="BZ144" s="343">
        <f>+'[94]VENTAS TOTALES'!$F169</f>
        <v>0</v>
      </c>
      <c r="CA144" s="344">
        <f>+'[94]VENTAS TOTALES'!$G169</f>
        <v>7000</v>
      </c>
      <c r="CB144" s="344">
        <f>+'[94]VENTAS TOTALES'!$H169</f>
        <v>7000</v>
      </c>
      <c r="CC144" s="343">
        <f>+'[95]VENTAS TOTALES'!$F169</f>
        <v>0</v>
      </c>
      <c r="CD144" s="344">
        <f>+'[95]VENTAS TOTALES'!$G169</f>
        <v>0</v>
      </c>
      <c r="CE144" s="344">
        <f>+'[95]VENTAS TOTALES'!$H169</f>
        <v>0</v>
      </c>
      <c r="CF144" s="343">
        <f>+'[96]VENTAS TOTALES'!$F169</f>
        <v>0</v>
      </c>
      <c r="CG144" s="344">
        <f>+'[96]VENTAS TOTALES'!$G169</f>
        <v>79000</v>
      </c>
      <c r="CH144" s="344">
        <f>+'[96]VENTAS TOTALES'!$H169</f>
        <v>79000</v>
      </c>
      <c r="CI144" s="343">
        <f>+'[97]VENTAS TOTALES'!$F169</f>
        <v>0</v>
      </c>
      <c r="CJ144" s="344">
        <f>+'[97]VENTAS TOTALES'!$G169</f>
        <v>41000</v>
      </c>
      <c r="CK144" s="344">
        <f>+'[97]VENTAS TOTALES'!$H169</f>
        <v>41000</v>
      </c>
      <c r="CL144" s="343">
        <f>+'[98]VENTAS TOTALES'!$F169</f>
        <v>0</v>
      </c>
      <c r="CM144" s="344">
        <f>+'[98]VENTAS TOTALES'!$G169</f>
        <v>57000</v>
      </c>
      <c r="CN144" s="344">
        <f>+'[98]VENTAS TOTALES'!$H169</f>
        <v>57000</v>
      </c>
      <c r="CO144" s="343">
        <f>+'[99]VENTAS TOTALES'!$F169</f>
        <v>0</v>
      </c>
      <c r="CP144" s="344">
        <f>+'[99]VENTAS TOTALES'!$G169</f>
        <v>50000</v>
      </c>
      <c r="CQ144" s="344">
        <f>+'[99]VENTAS TOTALES'!$H169</f>
        <v>50000</v>
      </c>
      <c r="CR144" s="343">
        <f>+'[100]VENTAS TOTALES'!$F169</f>
        <v>0</v>
      </c>
      <c r="CS144" s="344">
        <f>+'[100]VENTAS TOTALES'!$G169</f>
        <v>20000</v>
      </c>
      <c r="CT144" s="344">
        <f>+'[100]VENTAS TOTALES'!$H169</f>
        <v>20000</v>
      </c>
      <c r="CU144" s="343">
        <f>+'[101]VENTAS TOTALES'!$F169</f>
        <v>0</v>
      </c>
      <c r="CV144" s="344">
        <f>+'[101]VENTAS TOTALES'!$G169</f>
        <v>2000</v>
      </c>
      <c r="CW144" s="344">
        <f>+'[101]VENTAS TOTALES'!$H169</f>
        <v>2000</v>
      </c>
      <c r="CX144" s="343">
        <f>+'[102]VENTAS TOTALES'!$F169</f>
        <v>0</v>
      </c>
      <c r="CY144" s="344">
        <f>+'[102]VENTAS TOTALES'!$G169</f>
        <v>0</v>
      </c>
      <c r="CZ144" s="344">
        <f>+'[102]VENTAS TOTALES'!$H169</f>
        <v>0</v>
      </c>
    </row>
    <row r="145" spans="1:104" s="8" customFormat="1" ht="13.5" thickBot="1" x14ac:dyDescent="0.25">
      <c r="A145" s="455"/>
      <c r="B145" s="345" t="s">
        <v>366</v>
      </c>
      <c r="C145" s="343">
        <f>+'[69]VENTAS TOTALES'!$F170</f>
        <v>0</v>
      </c>
      <c r="D145" s="344">
        <f>+'[69]VENTAS TOTALES'!$G170</f>
        <v>148000</v>
      </c>
      <c r="E145" s="344">
        <f>+'[69]VENTAS TOTALES'!$H170</f>
        <v>148000</v>
      </c>
      <c r="F145" s="343">
        <f>+'[70]VENTAS TOTALES'!$F170</f>
        <v>0</v>
      </c>
      <c r="G145" s="344">
        <f>+'[70]VENTAS TOTALES'!$G170</f>
        <v>120000</v>
      </c>
      <c r="H145" s="344">
        <f>+'[70]VENTAS TOTALES'!$H170</f>
        <v>120000</v>
      </c>
      <c r="I145" s="343">
        <f>+'[71]VENTAS TOTALES'!$F170</f>
        <v>0</v>
      </c>
      <c r="J145" s="344">
        <f>+'[71]VENTAS TOTALES'!$G170</f>
        <v>54000</v>
      </c>
      <c r="K145" s="344">
        <f>+'[71]VENTAS TOTALES'!$H170</f>
        <v>54000</v>
      </c>
      <c r="L145" s="343">
        <f>+'[72]VENTAS TOTALES'!$F170</f>
        <v>0</v>
      </c>
      <c r="M145" s="344">
        <f>+'[72]VENTAS TOTALES'!$G170</f>
        <v>84000</v>
      </c>
      <c r="N145" s="344">
        <f>+'[72]VENTAS TOTALES'!$H170</f>
        <v>84000</v>
      </c>
      <c r="O145" s="343">
        <f>+'[73]VENTAS TOTALES'!$F170</f>
        <v>0</v>
      </c>
      <c r="P145" s="344">
        <f>+'[73]VENTAS TOTALES'!$G170</f>
        <v>43000</v>
      </c>
      <c r="Q145" s="344">
        <f>+'[73]VENTAS TOTALES'!$H170</f>
        <v>43000</v>
      </c>
      <c r="R145" s="343">
        <f>+'[74]VENTAS TOTALES'!$F170</f>
        <v>0</v>
      </c>
      <c r="S145" s="344">
        <f>+'[74]VENTAS TOTALES'!$G170</f>
        <v>9000</v>
      </c>
      <c r="T145" s="344">
        <f>+'[74]VENTAS TOTALES'!$H170</f>
        <v>9000</v>
      </c>
      <c r="U145" s="343">
        <f>+'[75]VENTAS TOTALES'!$F170</f>
        <v>0</v>
      </c>
      <c r="V145" s="344">
        <f>+'[75]VENTAS TOTALES'!$G170</f>
        <v>91000</v>
      </c>
      <c r="W145" s="344">
        <f>+'[75]VENTAS TOTALES'!$H170</f>
        <v>91000</v>
      </c>
      <c r="X145" s="343">
        <f>+'[76]VENTAS TOTALES'!$F170</f>
        <v>0</v>
      </c>
      <c r="Y145" s="344">
        <f>+'[76]VENTAS TOTALES'!$G170</f>
        <v>89000</v>
      </c>
      <c r="Z145" s="344">
        <f>+'[76]VENTAS TOTALES'!$H170</f>
        <v>89000</v>
      </c>
      <c r="AA145" s="343">
        <f>+'[77]VENTAS TOTALES'!$F170</f>
        <v>0</v>
      </c>
      <c r="AB145" s="344">
        <f>+'[77]VENTAS TOTALES'!$G170</f>
        <v>46000</v>
      </c>
      <c r="AC145" s="344">
        <f>+'[77]VENTAS TOTALES'!$H170</f>
        <v>46000</v>
      </c>
      <c r="AD145" s="343">
        <f>+'[78]VENTAS TOTALES'!$F170</f>
        <v>0</v>
      </c>
      <c r="AE145" s="344">
        <f>+'[78]VENTAS TOTALES'!$G170</f>
        <v>63000</v>
      </c>
      <c r="AF145" s="344">
        <f>+'[78]VENTAS TOTALES'!$H170</f>
        <v>63000</v>
      </c>
      <c r="AG145" s="343">
        <f>+'[79]VENTAS TOTALES'!$F170</f>
        <v>0</v>
      </c>
      <c r="AH145" s="344">
        <f>+'[79]VENTAS TOTALES'!$G170</f>
        <v>55000</v>
      </c>
      <c r="AI145" s="344">
        <f>+'[79]VENTAS TOTALES'!$H170</f>
        <v>55000</v>
      </c>
      <c r="AJ145" s="343">
        <f>+'[80]VENTAS TOTALES'!$F170</f>
        <v>0</v>
      </c>
      <c r="AK145" s="344">
        <f>+'[80]VENTAS TOTALES'!$G170</f>
        <v>18000</v>
      </c>
      <c r="AL145" s="344">
        <f>+'[80]VENTAS TOTALES'!$H170</f>
        <v>18000</v>
      </c>
      <c r="AM145" s="343">
        <f>+'[81]VENTAS TOTALES'!$F170</f>
        <v>0</v>
      </c>
      <c r="AN145" s="344">
        <f>+'[81]VENTAS TOTALES'!$G170</f>
        <v>20000</v>
      </c>
      <c r="AO145" s="344">
        <f>+'[81]VENTAS TOTALES'!$H170</f>
        <v>20000</v>
      </c>
      <c r="AP145" s="343">
        <f>+'[82]VENTAS TOTALES'!$F170</f>
        <v>0</v>
      </c>
      <c r="AQ145" s="344">
        <f>+'[82]VENTAS TOTALES'!$G170</f>
        <v>141000</v>
      </c>
      <c r="AR145" s="344">
        <f>+'[82]VENTAS TOTALES'!$H170</f>
        <v>141000</v>
      </c>
      <c r="AS145" s="343">
        <f>+'[83]VENTAS TOTALES'!$F170</f>
        <v>0</v>
      </c>
      <c r="AT145" s="344">
        <f>+'[83]VENTAS TOTALES'!$G170</f>
        <v>144000</v>
      </c>
      <c r="AU145" s="344">
        <f>+'[83]VENTAS TOTALES'!$H170</f>
        <v>144000</v>
      </c>
      <c r="AV145" s="343">
        <f>+'[84]VENTAS TOTALES'!$F170</f>
        <v>0</v>
      </c>
      <c r="AW145" s="344">
        <f>+'[84]VENTAS TOTALES'!$G170</f>
        <v>99000</v>
      </c>
      <c r="AX145" s="344">
        <f>+'[84]VENTAS TOTALES'!$H170</f>
        <v>99000</v>
      </c>
      <c r="AY145" s="343">
        <f>+'[85]VENTAS TOTALES'!$F170</f>
        <v>0</v>
      </c>
      <c r="AZ145" s="344">
        <f>+'[85]VENTAS TOTALES'!$G170</f>
        <v>97000</v>
      </c>
      <c r="BA145" s="344">
        <f>+'[85]VENTAS TOTALES'!$H170</f>
        <v>97000</v>
      </c>
      <c r="BB145" s="343">
        <f>+'[86]VENTAS TOTALES'!$F170</f>
        <v>0</v>
      </c>
      <c r="BC145" s="344">
        <f>+'[86]VENTAS TOTALES'!$G170</f>
        <v>53000</v>
      </c>
      <c r="BD145" s="344">
        <f>+'[86]VENTAS TOTALES'!$H170</f>
        <v>53000</v>
      </c>
      <c r="BE145" s="343">
        <f>+'[87]VENTAS TOTALES'!$F170</f>
        <v>0</v>
      </c>
      <c r="BF145" s="344">
        <f>+'[87]VENTAS TOTALES'!$G170</f>
        <v>39000</v>
      </c>
      <c r="BG145" s="344">
        <f>+'[87]VENTAS TOTALES'!$H170</f>
        <v>39000</v>
      </c>
      <c r="BH145" s="343">
        <f>+'[88]VENTAS TOTALES'!$F170</f>
        <v>0</v>
      </c>
      <c r="BI145" s="344">
        <f>+'[88]VENTAS TOTALES'!$G170</f>
        <v>21000</v>
      </c>
      <c r="BJ145" s="344">
        <f>+'[88]VENTAS TOTALES'!$H170</f>
        <v>21000</v>
      </c>
      <c r="BK145" s="343">
        <f>+'[89]VENTAS TOTALES'!$F170</f>
        <v>0</v>
      </c>
      <c r="BL145" s="344">
        <f>+'[89]VENTAS TOTALES'!$G170</f>
        <v>142000</v>
      </c>
      <c r="BM145" s="344">
        <f>+'[89]VENTAS TOTALES'!$H170</f>
        <v>142000</v>
      </c>
      <c r="BN145" s="343">
        <f>+'[90]VENTAS TOTALES'!$F170</f>
        <v>0</v>
      </c>
      <c r="BO145" s="344">
        <f>+'[90]VENTAS TOTALES'!$G170</f>
        <v>36000</v>
      </c>
      <c r="BP145" s="344">
        <f>+'[90]VENTAS TOTALES'!$H170</f>
        <v>36000</v>
      </c>
      <c r="BQ145" s="343">
        <f>+'[91]VENTAS TOTALES'!$F170</f>
        <v>0</v>
      </c>
      <c r="BR145" s="344">
        <f>+'[91]VENTAS TOTALES'!$G170</f>
        <v>82000</v>
      </c>
      <c r="BS145" s="344">
        <f>+'[91]VENTAS TOTALES'!$H170</f>
        <v>82000</v>
      </c>
      <c r="BT145" s="343">
        <f>+'[92]VENTAS TOTALES'!$F170</f>
        <v>0</v>
      </c>
      <c r="BU145" s="344">
        <f>+'[92]VENTAS TOTALES'!$G170</f>
        <v>93000</v>
      </c>
      <c r="BV145" s="344">
        <f>+'[92]VENTAS TOTALES'!$H170</f>
        <v>93000</v>
      </c>
      <c r="BW145" s="343">
        <f>+'[93]VENTAS TOTALES'!$F170</f>
        <v>0</v>
      </c>
      <c r="BX145" s="344">
        <f>+'[93]VENTAS TOTALES'!$G170</f>
        <v>24000</v>
      </c>
      <c r="BY145" s="344">
        <f>+'[93]VENTAS TOTALES'!$H170</f>
        <v>24000</v>
      </c>
      <c r="BZ145" s="343">
        <f>+'[94]VENTAS TOTALES'!$F170</f>
        <v>0</v>
      </c>
      <c r="CA145" s="344">
        <f>+'[94]VENTAS TOTALES'!$G170</f>
        <v>100000</v>
      </c>
      <c r="CB145" s="344">
        <f>+'[94]VENTAS TOTALES'!$H170</f>
        <v>100000</v>
      </c>
      <c r="CC145" s="343">
        <f>+'[95]VENTAS TOTALES'!$F170</f>
        <v>0</v>
      </c>
      <c r="CD145" s="344">
        <f>+'[95]VENTAS TOTALES'!$G170</f>
        <v>37000</v>
      </c>
      <c r="CE145" s="344">
        <f>+'[95]VENTAS TOTALES'!$H170</f>
        <v>37000</v>
      </c>
      <c r="CF145" s="343">
        <f>+'[96]VENTAS TOTALES'!$F170</f>
        <v>0</v>
      </c>
      <c r="CG145" s="344">
        <f>+'[96]VENTAS TOTALES'!$G170</f>
        <v>103000</v>
      </c>
      <c r="CH145" s="344">
        <f>+'[96]VENTAS TOTALES'!$H170</f>
        <v>103000</v>
      </c>
      <c r="CI145" s="343">
        <f>+'[97]VENTAS TOTALES'!$F170</f>
        <v>0</v>
      </c>
      <c r="CJ145" s="344">
        <f>+'[97]VENTAS TOTALES'!$G170</f>
        <v>113000</v>
      </c>
      <c r="CK145" s="344">
        <f>+'[97]VENTAS TOTALES'!$H170</f>
        <v>113000</v>
      </c>
      <c r="CL145" s="343">
        <f>+'[98]VENTAS TOTALES'!$F170</f>
        <v>0</v>
      </c>
      <c r="CM145" s="344">
        <f>+'[98]VENTAS TOTALES'!$G170</f>
        <v>190000</v>
      </c>
      <c r="CN145" s="344">
        <f>+'[98]VENTAS TOTALES'!$H170</f>
        <v>190000</v>
      </c>
      <c r="CO145" s="343">
        <f>+'[99]VENTAS TOTALES'!$F170</f>
        <v>0</v>
      </c>
      <c r="CP145" s="344">
        <f>+'[99]VENTAS TOTALES'!$G170</f>
        <v>90000</v>
      </c>
      <c r="CQ145" s="344">
        <f>+'[99]VENTAS TOTALES'!$H170</f>
        <v>90000</v>
      </c>
      <c r="CR145" s="343">
        <f>+'[100]VENTAS TOTALES'!$F170</f>
        <v>0</v>
      </c>
      <c r="CS145" s="344">
        <f>+'[100]VENTAS TOTALES'!$G170</f>
        <v>56000</v>
      </c>
      <c r="CT145" s="344">
        <f>+'[100]VENTAS TOTALES'!$H170</f>
        <v>56000</v>
      </c>
      <c r="CU145" s="343">
        <f>+'[101]VENTAS TOTALES'!$F170</f>
        <v>0</v>
      </c>
      <c r="CV145" s="344">
        <f>+'[101]VENTAS TOTALES'!$G170</f>
        <v>101000</v>
      </c>
      <c r="CW145" s="344">
        <f>+'[101]VENTAS TOTALES'!$H170</f>
        <v>101000</v>
      </c>
      <c r="CX145" s="343">
        <f>+'[102]VENTAS TOTALES'!$F170</f>
        <v>0</v>
      </c>
      <c r="CY145" s="344">
        <f>+'[102]VENTAS TOTALES'!$G170</f>
        <v>24000</v>
      </c>
      <c r="CZ145" s="344">
        <f>+'[102]VENTAS TOTALES'!$H170</f>
        <v>24000</v>
      </c>
    </row>
    <row r="146" spans="1:104" s="8" customFormat="1" ht="13.5" thickBot="1" x14ac:dyDescent="0.25">
      <c r="A146" s="455"/>
      <c r="B146" s="345" t="s">
        <v>367</v>
      </c>
      <c r="C146" s="343">
        <f>+'[69]VENTAS TOTALES'!$F171</f>
        <v>0</v>
      </c>
      <c r="D146" s="344">
        <f>+'[69]VENTAS TOTALES'!$G171</f>
        <v>104000</v>
      </c>
      <c r="E146" s="344">
        <f>+'[69]VENTAS TOTALES'!$H171</f>
        <v>104000</v>
      </c>
      <c r="F146" s="343">
        <f>+'[70]VENTAS TOTALES'!$F171</f>
        <v>0</v>
      </c>
      <c r="G146" s="344">
        <f>+'[70]VENTAS TOTALES'!$G171</f>
        <v>124000</v>
      </c>
      <c r="H146" s="344">
        <f>+'[70]VENTAS TOTALES'!$H171</f>
        <v>124000</v>
      </c>
      <c r="I146" s="343">
        <f>+'[71]VENTAS TOTALES'!$F171</f>
        <v>0</v>
      </c>
      <c r="J146" s="344">
        <f>+'[71]VENTAS TOTALES'!$G171</f>
        <v>177000</v>
      </c>
      <c r="K146" s="344">
        <f>+'[71]VENTAS TOTALES'!$H171</f>
        <v>177000</v>
      </c>
      <c r="L146" s="343">
        <f>+'[72]VENTAS TOTALES'!$F171</f>
        <v>0</v>
      </c>
      <c r="M146" s="344">
        <f>+'[72]VENTAS TOTALES'!$G171</f>
        <v>108000</v>
      </c>
      <c r="N146" s="344">
        <f>+'[72]VENTAS TOTALES'!$H171</f>
        <v>108000</v>
      </c>
      <c r="O146" s="343">
        <f>+'[73]VENTAS TOTALES'!$F171</f>
        <v>0</v>
      </c>
      <c r="P146" s="344">
        <f>+'[73]VENTAS TOTALES'!$G171</f>
        <v>70000</v>
      </c>
      <c r="Q146" s="344">
        <f>+'[73]VENTAS TOTALES'!$H171</f>
        <v>70000</v>
      </c>
      <c r="R146" s="343">
        <f>+'[74]VENTAS TOTALES'!$F171</f>
        <v>0</v>
      </c>
      <c r="S146" s="344">
        <f>+'[74]VENTAS TOTALES'!$G171</f>
        <v>0</v>
      </c>
      <c r="T146" s="344">
        <f>+'[74]VENTAS TOTALES'!$H171</f>
        <v>0</v>
      </c>
      <c r="U146" s="343">
        <f>+'[75]VENTAS TOTALES'!$F171</f>
        <v>0</v>
      </c>
      <c r="V146" s="344">
        <f>+'[75]VENTAS TOTALES'!$G171</f>
        <v>296000</v>
      </c>
      <c r="W146" s="344">
        <f>+'[75]VENTAS TOTALES'!$H171</f>
        <v>296000</v>
      </c>
      <c r="X146" s="343">
        <f>+'[76]VENTAS TOTALES'!$F171</f>
        <v>0</v>
      </c>
      <c r="Y146" s="344">
        <f>+'[76]VENTAS TOTALES'!$G171</f>
        <v>140000</v>
      </c>
      <c r="Z146" s="344">
        <f>+'[76]VENTAS TOTALES'!$H171</f>
        <v>140000</v>
      </c>
      <c r="AA146" s="343">
        <f>+'[77]VENTAS TOTALES'!$F171</f>
        <v>0</v>
      </c>
      <c r="AB146" s="344">
        <f>+'[77]VENTAS TOTALES'!$G171</f>
        <v>134000</v>
      </c>
      <c r="AC146" s="344">
        <f>+'[77]VENTAS TOTALES'!$H171</f>
        <v>134000</v>
      </c>
      <c r="AD146" s="343">
        <f>+'[78]VENTAS TOTALES'!$F171</f>
        <v>0</v>
      </c>
      <c r="AE146" s="344">
        <f>+'[78]VENTAS TOTALES'!$G171</f>
        <v>141000</v>
      </c>
      <c r="AF146" s="344">
        <f>+'[78]VENTAS TOTALES'!$H171</f>
        <v>141000</v>
      </c>
      <c r="AG146" s="343">
        <f>+'[79]VENTAS TOTALES'!$F171</f>
        <v>0</v>
      </c>
      <c r="AH146" s="344">
        <f>+'[79]VENTAS TOTALES'!$G171</f>
        <v>89000</v>
      </c>
      <c r="AI146" s="344">
        <f>+'[79]VENTAS TOTALES'!$H171</f>
        <v>89000</v>
      </c>
      <c r="AJ146" s="343">
        <f>+'[80]VENTAS TOTALES'!$F171</f>
        <v>0</v>
      </c>
      <c r="AK146" s="344">
        <f>+'[80]VENTAS TOTALES'!$G171</f>
        <v>22000</v>
      </c>
      <c r="AL146" s="344">
        <f>+'[80]VENTAS TOTALES'!$H171</f>
        <v>22000</v>
      </c>
      <c r="AM146" s="343">
        <f>+'[81]VENTAS TOTALES'!$F171</f>
        <v>0</v>
      </c>
      <c r="AN146" s="344">
        <f>+'[81]VENTAS TOTALES'!$G171</f>
        <v>0</v>
      </c>
      <c r="AO146" s="344">
        <f>+'[81]VENTAS TOTALES'!$H171</f>
        <v>0</v>
      </c>
      <c r="AP146" s="343">
        <f>+'[82]VENTAS TOTALES'!$F171</f>
        <v>0</v>
      </c>
      <c r="AQ146" s="344">
        <f>+'[82]VENTAS TOTALES'!$G171</f>
        <v>200000</v>
      </c>
      <c r="AR146" s="344">
        <f>+'[82]VENTAS TOTALES'!$H171</f>
        <v>200000</v>
      </c>
      <c r="AS146" s="343">
        <f>+'[83]VENTAS TOTALES'!$F171</f>
        <v>0</v>
      </c>
      <c r="AT146" s="344">
        <f>+'[83]VENTAS TOTALES'!$G171</f>
        <v>266000</v>
      </c>
      <c r="AU146" s="344">
        <f>+'[83]VENTAS TOTALES'!$H171</f>
        <v>266000</v>
      </c>
      <c r="AV146" s="343">
        <f>+'[84]VENTAS TOTALES'!$F171</f>
        <v>0</v>
      </c>
      <c r="AW146" s="344">
        <f>+'[84]VENTAS TOTALES'!$G171</f>
        <v>139000</v>
      </c>
      <c r="AX146" s="344">
        <f>+'[84]VENTAS TOTALES'!$H171</f>
        <v>139000</v>
      </c>
      <c r="AY146" s="343">
        <f>+'[85]VENTAS TOTALES'!$F171</f>
        <v>0</v>
      </c>
      <c r="AZ146" s="344">
        <f>+'[85]VENTAS TOTALES'!$G171</f>
        <v>164000</v>
      </c>
      <c r="BA146" s="344">
        <f>+'[85]VENTAS TOTALES'!$H171</f>
        <v>164000</v>
      </c>
      <c r="BB146" s="343">
        <f>+'[86]VENTAS TOTALES'!$F171</f>
        <v>0</v>
      </c>
      <c r="BC146" s="344">
        <f>+'[86]VENTAS TOTALES'!$G171</f>
        <v>69000</v>
      </c>
      <c r="BD146" s="344">
        <f>+'[86]VENTAS TOTALES'!$H171</f>
        <v>69000</v>
      </c>
      <c r="BE146" s="343">
        <f>+'[87]VENTAS TOTALES'!$F171</f>
        <v>0</v>
      </c>
      <c r="BF146" s="344">
        <f>+'[87]VENTAS TOTALES'!$G171</f>
        <v>69000</v>
      </c>
      <c r="BG146" s="344">
        <f>+'[87]VENTAS TOTALES'!$H171</f>
        <v>69000</v>
      </c>
      <c r="BH146" s="343">
        <f>+'[88]VENTAS TOTALES'!$F171</f>
        <v>0</v>
      </c>
      <c r="BI146" s="344">
        <f>+'[88]VENTAS TOTALES'!$G171</f>
        <v>0</v>
      </c>
      <c r="BJ146" s="344">
        <f>+'[88]VENTAS TOTALES'!$H171</f>
        <v>0</v>
      </c>
      <c r="BK146" s="343">
        <f>+'[89]VENTAS TOTALES'!$F171</f>
        <v>0</v>
      </c>
      <c r="BL146" s="344">
        <f>+'[89]VENTAS TOTALES'!$G171</f>
        <v>251000</v>
      </c>
      <c r="BM146" s="344">
        <f>+'[89]VENTAS TOTALES'!$H171</f>
        <v>251000</v>
      </c>
      <c r="BN146" s="343">
        <f>+'[90]VENTAS TOTALES'!$F171</f>
        <v>0</v>
      </c>
      <c r="BO146" s="344">
        <f>+'[90]VENTAS TOTALES'!$G171</f>
        <v>325000</v>
      </c>
      <c r="BP146" s="344">
        <f>+'[90]VENTAS TOTALES'!$H171</f>
        <v>325000</v>
      </c>
      <c r="BQ146" s="343">
        <f>+'[91]VENTAS TOTALES'!$F171</f>
        <v>0</v>
      </c>
      <c r="BR146" s="344">
        <f>+'[91]VENTAS TOTALES'!$G171</f>
        <v>153000</v>
      </c>
      <c r="BS146" s="344">
        <f>+'[91]VENTAS TOTALES'!$H171</f>
        <v>153000</v>
      </c>
      <c r="BT146" s="343">
        <f>+'[92]VENTAS TOTALES'!$F171</f>
        <v>0</v>
      </c>
      <c r="BU146" s="344">
        <f>+'[92]VENTAS TOTALES'!$G171</f>
        <v>138000</v>
      </c>
      <c r="BV146" s="344">
        <f>+'[92]VENTAS TOTALES'!$H171</f>
        <v>138000</v>
      </c>
      <c r="BW146" s="343">
        <f>+'[93]VENTAS TOTALES'!$F171</f>
        <v>0</v>
      </c>
      <c r="BX146" s="344">
        <f>+'[93]VENTAS TOTALES'!$G171</f>
        <v>111000</v>
      </c>
      <c r="BY146" s="344">
        <f>+'[93]VENTAS TOTALES'!$H171</f>
        <v>111000</v>
      </c>
      <c r="BZ146" s="343">
        <f>+'[94]VENTAS TOTALES'!$F171</f>
        <v>0</v>
      </c>
      <c r="CA146" s="344">
        <f>+'[94]VENTAS TOTALES'!$G171</f>
        <v>110000</v>
      </c>
      <c r="CB146" s="344">
        <f>+'[94]VENTAS TOTALES'!$H171</f>
        <v>110000</v>
      </c>
      <c r="CC146" s="343">
        <f>+'[95]VENTAS TOTALES'!$F171</f>
        <v>0</v>
      </c>
      <c r="CD146" s="344">
        <f>+'[95]VENTAS TOTALES'!$G171</f>
        <v>0</v>
      </c>
      <c r="CE146" s="344">
        <f>+'[95]VENTAS TOTALES'!$H171</f>
        <v>0</v>
      </c>
      <c r="CF146" s="343">
        <f>+'[96]VENTAS TOTALES'!$F171</f>
        <v>0</v>
      </c>
      <c r="CG146" s="344">
        <f>+'[96]VENTAS TOTALES'!$G171</f>
        <v>357000</v>
      </c>
      <c r="CH146" s="344">
        <f>+'[96]VENTAS TOTALES'!$H171</f>
        <v>357000</v>
      </c>
      <c r="CI146" s="343">
        <f>+'[97]VENTAS TOTALES'!$F171</f>
        <v>0</v>
      </c>
      <c r="CJ146" s="344">
        <f>+'[97]VENTAS TOTALES'!$G171</f>
        <v>325000</v>
      </c>
      <c r="CK146" s="344">
        <f>+'[97]VENTAS TOTALES'!$H171</f>
        <v>325000</v>
      </c>
      <c r="CL146" s="343">
        <f>+'[98]VENTAS TOTALES'!$F171</f>
        <v>0</v>
      </c>
      <c r="CM146" s="344">
        <f>+'[98]VENTAS TOTALES'!$G171</f>
        <v>189000</v>
      </c>
      <c r="CN146" s="344">
        <f>+'[98]VENTAS TOTALES'!$H171</f>
        <v>189000</v>
      </c>
      <c r="CO146" s="343">
        <f>+'[99]VENTAS TOTALES'!$F171</f>
        <v>0</v>
      </c>
      <c r="CP146" s="344">
        <f>+'[99]VENTAS TOTALES'!$G171</f>
        <v>151000</v>
      </c>
      <c r="CQ146" s="344">
        <f>+'[99]VENTAS TOTALES'!$H171</f>
        <v>151000</v>
      </c>
      <c r="CR146" s="343">
        <f>+'[100]VENTAS TOTALES'!$F171</f>
        <v>0</v>
      </c>
      <c r="CS146" s="344">
        <f>+'[100]VENTAS TOTALES'!$G171</f>
        <v>80000</v>
      </c>
      <c r="CT146" s="344">
        <f>+'[100]VENTAS TOTALES'!$H171</f>
        <v>80000</v>
      </c>
      <c r="CU146" s="343">
        <f>+'[101]VENTAS TOTALES'!$F171</f>
        <v>0</v>
      </c>
      <c r="CV146" s="344">
        <f>+'[101]VENTAS TOTALES'!$G171</f>
        <v>40000</v>
      </c>
      <c r="CW146" s="344">
        <f>+'[101]VENTAS TOTALES'!$H171</f>
        <v>40000</v>
      </c>
      <c r="CX146" s="343">
        <f>+'[102]VENTAS TOTALES'!$F171</f>
        <v>0</v>
      </c>
      <c r="CY146" s="344">
        <f>+'[102]VENTAS TOTALES'!$G171</f>
        <v>0</v>
      </c>
      <c r="CZ146" s="344">
        <f>+'[102]VENTAS TOTALES'!$H171</f>
        <v>0</v>
      </c>
    </row>
    <row r="147" spans="1:104" s="8" customFormat="1" ht="13.5" thickBot="1" x14ac:dyDescent="0.25">
      <c r="A147" s="455"/>
      <c r="B147" s="345" t="s">
        <v>374</v>
      </c>
      <c r="C147" s="343">
        <f>+'[69]VENTAS TOTALES'!$F172</f>
        <v>0</v>
      </c>
      <c r="D147" s="344">
        <f>+'[69]VENTAS TOTALES'!$G172</f>
        <v>137000</v>
      </c>
      <c r="E147" s="344">
        <f>+'[69]VENTAS TOTALES'!$H172</f>
        <v>137000</v>
      </c>
      <c r="F147" s="343">
        <f>+'[70]VENTAS TOTALES'!$F172</f>
        <v>0</v>
      </c>
      <c r="G147" s="344">
        <f>+'[70]VENTAS TOTALES'!$G172</f>
        <v>77000</v>
      </c>
      <c r="H147" s="344">
        <f>+'[70]VENTAS TOTALES'!$H172</f>
        <v>77000</v>
      </c>
      <c r="I147" s="343">
        <f>+'[71]VENTAS TOTALES'!$F172</f>
        <v>0</v>
      </c>
      <c r="J147" s="344">
        <f>+'[71]VENTAS TOTALES'!$G172</f>
        <v>80000</v>
      </c>
      <c r="K147" s="344">
        <f>+'[71]VENTAS TOTALES'!$H172</f>
        <v>80000</v>
      </c>
      <c r="L147" s="343">
        <f>+'[72]VENTAS TOTALES'!$F172</f>
        <v>0</v>
      </c>
      <c r="M147" s="344">
        <f>+'[72]VENTAS TOTALES'!$G172</f>
        <v>39000</v>
      </c>
      <c r="N147" s="344">
        <f>+'[72]VENTAS TOTALES'!$H172</f>
        <v>39000</v>
      </c>
      <c r="O147" s="343">
        <f>+'[73]VENTAS TOTALES'!$F172</f>
        <v>0</v>
      </c>
      <c r="P147" s="344">
        <f>+'[73]VENTAS TOTALES'!$G172</f>
        <v>21000</v>
      </c>
      <c r="Q147" s="344">
        <f>+'[73]VENTAS TOTALES'!$H172</f>
        <v>21000</v>
      </c>
      <c r="R147" s="343">
        <f>+'[74]VENTAS TOTALES'!$F172</f>
        <v>0</v>
      </c>
      <c r="S147" s="344">
        <f>+'[74]VENTAS TOTALES'!$G172</f>
        <v>40000</v>
      </c>
      <c r="T147" s="344">
        <f>+'[74]VENTAS TOTALES'!$H172</f>
        <v>40000</v>
      </c>
      <c r="U147" s="343">
        <f>+'[75]VENTAS TOTALES'!$F172</f>
        <v>0</v>
      </c>
      <c r="V147" s="344">
        <f>+'[75]VENTAS TOTALES'!$G172</f>
        <v>81000</v>
      </c>
      <c r="W147" s="344">
        <f>+'[75]VENTAS TOTALES'!$H172</f>
        <v>81000</v>
      </c>
      <c r="X147" s="343">
        <f>+'[76]VENTAS TOTALES'!$F172</f>
        <v>0</v>
      </c>
      <c r="Y147" s="344">
        <f>+'[76]VENTAS TOTALES'!$G172</f>
        <v>48000</v>
      </c>
      <c r="Z147" s="344">
        <f>+'[76]VENTAS TOTALES'!$H172</f>
        <v>48000</v>
      </c>
      <c r="AA147" s="343">
        <f>+'[77]VENTAS TOTALES'!$F172</f>
        <v>0</v>
      </c>
      <c r="AB147" s="344">
        <f>+'[77]VENTAS TOTALES'!$G172</f>
        <v>55000</v>
      </c>
      <c r="AC147" s="344">
        <f>+'[77]VENTAS TOTALES'!$H172</f>
        <v>55000</v>
      </c>
      <c r="AD147" s="343">
        <f>+'[78]VENTAS TOTALES'!$F172</f>
        <v>0</v>
      </c>
      <c r="AE147" s="344">
        <f>+'[78]VENTAS TOTALES'!$G172</f>
        <v>56000</v>
      </c>
      <c r="AF147" s="344">
        <f>+'[78]VENTAS TOTALES'!$H172</f>
        <v>56000</v>
      </c>
      <c r="AG147" s="343">
        <f>+'[79]VENTAS TOTALES'!$F172</f>
        <v>0</v>
      </c>
      <c r="AH147" s="344">
        <f>+'[79]VENTAS TOTALES'!$G172</f>
        <v>22000</v>
      </c>
      <c r="AI147" s="344">
        <f>+'[79]VENTAS TOTALES'!$H172</f>
        <v>22000</v>
      </c>
      <c r="AJ147" s="343">
        <f>+'[80]VENTAS TOTALES'!$F172</f>
        <v>0</v>
      </c>
      <c r="AK147" s="344">
        <f>+'[80]VENTAS TOTALES'!$G172</f>
        <v>28000</v>
      </c>
      <c r="AL147" s="344">
        <f>+'[80]VENTAS TOTALES'!$H172</f>
        <v>28000</v>
      </c>
      <c r="AM147" s="343">
        <f>+'[81]VENTAS TOTALES'!$F172</f>
        <v>0</v>
      </c>
      <c r="AN147" s="344">
        <f>+'[81]VENTAS TOTALES'!$G172</f>
        <v>22000</v>
      </c>
      <c r="AO147" s="344">
        <f>+'[81]VENTAS TOTALES'!$H172</f>
        <v>22000</v>
      </c>
      <c r="AP147" s="343">
        <f>+'[82]VENTAS TOTALES'!$F172</f>
        <v>0</v>
      </c>
      <c r="AQ147" s="344">
        <f>+'[82]VENTAS TOTALES'!$G172</f>
        <v>73000</v>
      </c>
      <c r="AR147" s="344">
        <f>+'[82]VENTAS TOTALES'!$H172</f>
        <v>73000</v>
      </c>
      <c r="AS147" s="343">
        <f>+'[83]VENTAS TOTALES'!$F172</f>
        <v>0</v>
      </c>
      <c r="AT147" s="344">
        <f>+'[83]VENTAS TOTALES'!$G172</f>
        <v>80000</v>
      </c>
      <c r="AU147" s="344">
        <f>+'[83]VENTAS TOTALES'!$H172</f>
        <v>80000</v>
      </c>
      <c r="AV147" s="343">
        <f>+'[84]VENTAS TOTALES'!$F172</f>
        <v>0</v>
      </c>
      <c r="AW147" s="344">
        <f>+'[84]VENTAS TOTALES'!$G172</f>
        <v>7000</v>
      </c>
      <c r="AX147" s="344">
        <f>+'[84]VENTAS TOTALES'!$H172</f>
        <v>7000</v>
      </c>
      <c r="AY147" s="343">
        <f>+'[85]VENTAS TOTALES'!$F172</f>
        <v>0</v>
      </c>
      <c r="AZ147" s="344">
        <f>+'[85]VENTAS TOTALES'!$G172</f>
        <v>63000</v>
      </c>
      <c r="BA147" s="344">
        <f>+'[85]VENTAS TOTALES'!$H172</f>
        <v>63000</v>
      </c>
      <c r="BB147" s="343">
        <f>+'[86]VENTAS TOTALES'!$F172</f>
        <v>0</v>
      </c>
      <c r="BC147" s="344">
        <f>+'[86]VENTAS TOTALES'!$G172</f>
        <v>59000</v>
      </c>
      <c r="BD147" s="344">
        <f>+'[86]VENTAS TOTALES'!$H172</f>
        <v>59000</v>
      </c>
      <c r="BE147" s="343">
        <f>+'[87]VENTAS TOTALES'!$F172</f>
        <v>0</v>
      </c>
      <c r="BF147" s="344">
        <f>+'[87]VENTAS TOTALES'!$G172</f>
        <v>14000</v>
      </c>
      <c r="BG147" s="344">
        <f>+'[87]VENTAS TOTALES'!$H172</f>
        <v>14000</v>
      </c>
      <c r="BH147" s="343">
        <f>+'[88]VENTAS TOTALES'!$F172</f>
        <v>0</v>
      </c>
      <c r="BI147" s="344">
        <f>+'[88]VENTAS TOTALES'!$G172</f>
        <v>32000</v>
      </c>
      <c r="BJ147" s="344">
        <f>+'[88]VENTAS TOTALES'!$H172</f>
        <v>32000</v>
      </c>
      <c r="BK147" s="343">
        <f>+'[89]VENTAS TOTALES'!$F172</f>
        <v>0</v>
      </c>
      <c r="BL147" s="344">
        <f>+'[89]VENTAS TOTALES'!$G172</f>
        <v>68000</v>
      </c>
      <c r="BM147" s="344">
        <f>+'[89]VENTAS TOTALES'!$H172</f>
        <v>68000</v>
      </c>
      <c r="BN147" s="343">
        <f>+'[90]VENTAS TOTALES'!$F172</f>
        <v>0</v>
      </c>
      <c r="BO147" s="344">
        <f>+'[90]VENTAS TOTALES'!$G172</f>
        <v>117000</v>
      </c>
      <c r="BP147" s="344">
        <f>+'[90]VENTAS TOTALES'!$H172</f>
        <v>117000</v>
      </c>
      <c r="BQ147" s="343">
        <f>+'[91]VENTAS TOTALES'!$F172</f>
        <v>0</v>
      </c>
      <c r="BR147" s="344">
        <f>+'[91]VENTAS TOTALES'!$G172</f>
        <v>14000</v>
      </c>
      <c r="BS147" s="344">
        <f>+'[91]VENTAS TOTALES'!$H172</f>
        <v>14000</v>
      </c>
      <c r="BT147" s="343">
        <f>+'[92]VENTAS TOTALES'!$F172</f>
        <v>0</v>
      </c>
      <c r="BU147" s="344">
        <f>+'[92]VENTAS TOTALES'!$G172</f>
        <v>39000</v>
      </c>
      <c r="BV147" s="344">
        <f>+'[92]VENTAS TOTALES'!$H172</f>
        <v>39000</v>
      </c>
      <c r="BW147" s="343">
        <f>+'[93]VENTAS TOTALES'!$F172</f>
        <v>0</v>
      </c>
      <c r="BX147" s="344">
        <f>+'[93]VENTAS TOTALES'!$G172</f>
        <v>15000</v>
      </c>
      <c r="BY147" s="344">
        <f>+'[93]VENTAS TOTALES'!$H172</f>
        <v>15000</v>
      </c>
      <c r="BZ147" s="343">
        <f>+'[94]VENTAS TOTALES'!$F172</f>
        <v>0</v>
      </c>
      <c r="CA147" s="344">
        <f>+'[94]VENTAS TOTALES'!$G172</f>
        <v>5000</v>
      </c>
      <c r="CB147" s="344">
        <f>+'[94]VENTAS TOTALES'!$H172</f>
        <v>5000</v>
      </c>
      <c r="CC147" s="343">
        <f>+'[95]VENTAS TOTALES'!$F172</f>
        <v>0</v>
      </c>
      <c r="CD147" s="344">
        <f>+'[95]VENTAS TOTALES'!$G172</f>
        <v>24000</v>
      </c>
      <c r="CE147" s="344">
        <f>+'[95]VENTAS TOTALES'!$H172</f>
        <v>24000</v>
      </c>
      <c r="CF147" s="343">
        <f>+'[96]VENTAS TOTALES'!$F172</f>
        <v>0</v>
      </c>
      <c r="CG147" s="344">
        <f>+'[96]VENTAS TOTALES'!$G172</f>
        <v>91000</v>
      </c>
      <c r="CH147" s="344">
        <f>+'[96]VENTAS TOTALES'!$H172</f>
        <v>91000</v>
      </c>
      <c r="CI147" s="343">
        <f>+'[97]VENTAS TOTALES'!$F172</f>
        <v>0</v>
      </c>
      <c r="CJ147" s="344">
        <f>+'[97]VENTAS TOTALES'!$G172</f>
        <v>140000</v>
      </c>
      <c r="CK147" s="344">
        <f>+'[97]VENTAS TOTALES'!$H172</f>
        <v>140000</v>
      </c>
      <c r="CL147" s="343">
        <f>+'[98]VENTAS TOTALES'!$F172</f>
        <v>0</v>
      </c>
      <c r="CM147" s="344">
        <f>+'[98]VENTAS TOTALES'!$G172</f>
        <v>43000</v>
      </c>
      <c r="CN147" s="344">
        <f>+'[98]VENTAS TOTALES'!$H172</f>
        <v>43000</v>
      </c>
      <c r="CO147" s="343">
        <f>+'[99]VENTAS TOTALES'!$F172</f>
        <v>0</v>
      </c>
      <c r="CP147" s="344">
        <f>+'[99]VENTAS TOTALES'!$G172</f>
        <v>90000</v>
      </c>
      <c r="CQ147" s="344">
        <f>+'[99]VENTAS TOTALES'!$H172</f>
        <v>90000</v>
      </c>
      <c r="CR147" s="343">
        <f>+'[100]VENTAS TOTALES'!$F172</f>
        <v>0</v>
      </c>
      <c r="CS147" s="344">
        <f>+'[100]VENTAS TOTALES'!$G172</f>
        <v>16000</v>
      </c>
      <c r="CT147" s="344">
        <f>+'[100]VENTAS TOTALES'!$H172</f>
        <v>16000</v>
      </c>
      <c r="CU147" s="343">
        <f>+'[101]VENTAS TOTALES'!$F172</f>
        <v>0</v>
      </c>
      <c r="CV147" s="344">
        <f>+'[101]VENTAS TOTALES'!$G172</f>
        <v>0</v>
      </c>
      <c r="CW147" s="344">
        <f>+'[101]VENTAS TOTALES'!$H172</f>
        <v>0</v>
      </c>
      <c r="CX147" s="343">
        <f>+'[102]VENTAS TOTALES'!$F172</f>
        <v>0</v>
      </c>
      <c r="CY147" s="344">
        <f>+'[102]VENTAS TOTALES'!$G172</f>
        <v>30000</v>
      </c>
      <c r="CZ147" s="344">
        <f>+'[102]VENTAS TOTALES'!$H172</f>
        <v>30000</v>
      </c>
    </row>
    <row r="148" spans="1:104" s="8" customFormat="1" ht="13.5" thickBot="1" x14ac:dyDescent="0.25">
      <c r="A148" s="455"/>
      <c r="B148" s="345" t="s">
        <v>375</v>
      </c>
      <c r="C148" s="343">
        <f>+'[69]VENTAS TOTALES'!$F173</f>
        <v>0</v>
      </c>
      <c r="D148" s="344">
        <f>+'[69]VENTAS TOTALES'!$G173</f>
        <v>85000</v>
      </c>
      <c r="E148" s="344">
        <f>+'[69]VENTAS TOTALES'!$H173</f>
        <v>85000</v>
      </c>
      <c r="F148" s="343">
        <f>+'[70]VENTAS TOTALES'!$F173</f>
        <v>0</v>
      </c>
      <c r="G148" s="344">
        <f>+'[70]VENTAS TOTALES'!$G173</f>
        <v>68000</v>
      </c>
      <c r="H148" s="344">
        <f>+'[70]VENTAS TOTALES'!$H173</f>
        <v>68000</v>
      </c>
      <c r="I148" s="343">
        <f>+'[71]VENTAS TOTALES'!$F173</f>
        <v>0</v>
      </c>
      <c r="J148" s="344">
        <f>+'[71]VENTAS TOTALES'!$G173</f>
        <v>19000</v>
      </c>
      <c r="K148" s="344">
        <f>+'[71]VENTAS TOTALES'!$H173</f>
        <v>19000</v>
      </c>
      <c r="L148" s="343">
        <f>+'[72]VENTAS TOTALES'!$F173</f>
        <v>0</v>
      </c>
      <c r="M148" s="344">
        <f>+'[72]VENTAS TOTALES'!$G173</f>
        <v>63000</v>
      </c>
      <c r="N148" s="344">
        <f>+'[72]VENTAS TOTALES'!$H173</f>
        <v>63000</v>
      </c>
      <c r="O148" s="343">
        <f>+'[73]VENTAS TOTALES'!$F173</f>
        <v>0</v>
      </c>
      <c r="P148" s="344">
        <f>+'[73]VENTAS TOTALES'!$G173</f>
        <v>13000</v>
      </c>
      <c r="Q148" s="344">
        <f>+'[73]VENTAS TOTALES'!$H173</f>
        <v>13000</v>
      </c>
      <c r="R148" s="343">
        <f>+'[74]VENTAS TOTALES'!$F173</f>
        <v>0</v>
      </c>
      <c r="S148" s="344">
        <f>+'[74]VENTAS TOTALES'!$G173</f>
        <v>2000</v>
      </c>
      <c r="T148" s="344">
        <f>+'[74]VENTAS TOTALES'!$H173</f>
        <v>2000</v>
      </c>
      <c r="U148" s="343">
        <f>+'[75]VENTAS TOTALES'!$F173</f>
        <v>0</v>
      </c>
      <c r="V148" s="344">
        <f>+'[75]VENTAS TOTALES'!$G173</f>
        <v>82000</v>
      </c>
      <c r="W148" s="344">
        <f>+'[75]VENTAS TOTALES'!$H173</f>
        <v>82000</v>
      </c>
      <c r="X148" s="343">
        <f>+'[76]VENTAS TOTALES'!$F173</f>
        <v>0</v>
      </c>
      <c r="Y148" s="344">
        <f>+'[76]VENTAS TOTALES'!$G173</f>
        <v>41000</v>
      </c>
      <c r="Z148" s="344">
        <f>+'[76]VENTAS TOTALES'!$H173</f>
        <v>41000</v>
      </c>
      <c r="AA148" s="343">
        <f>+'[77]VENTAS TOTALES'!$F173</f>
        <v>0</v>
      </c>
      <c r="AB148" s="344">
        <f>+'[77]VENTAS TOTALES'!$G173</f>
        <v>21000</v>
      </c>
      <c r="AC148" s="344">
        <f>+'[77]VENTAS TOTALES'!$H173</f>
        <v>21000</v>
      </c>
      <c r="AD148" s="343">
        <f>+'[78]VENTAS TOTALES'!$F173</f>
        <v>0</v>
      </c>
      <c r="AE148" s="344">
        <f>+'[78]VENTAS TOTALES'!$G173</f>
        <v>10000</v>
      </c>
      <c r="AF148" s="344">
        <f>+'[78]VENTAS TOTALES'!$H173</f>
        <v>10000</v>
      </c>
      <c r="AG148" s="343">
        <f>+'[79]VENTAS TOTALES'!$F173</f>
        <v>0</v>
      </c>
      <c r="AH148" s="344">
        <f>+'[79]VENTAS TOTALES'!$G173</f>
        <v>27000</v>
      </c>
      <c r="AI148" s="344">
        <f>+'[79]VENTAS TOTALES'!$H173</f>
        <v>27000</v>
      </c>
      <c r="AJ148" s="343">
        <f>+'[80]VENTAS TOTALES'!$F173</f>
        <v>0</v>
      </c>
      <c r="AK148" s="344">
        <f>+'[80]VENTAS TOTALES'!$G173</f>
        <v>0</v>
      </c>
      <c r="AL148" s="344">
        <f>+'[80]VENTAS TOTALES'!$H173</f>
        <v>0</v>
      </c>
      <c r="AM148" s="343">
        <f>+'[81]VENTAS TOTALES'!$F173</f>
        <v>0</v>
      </c>
      <c r="AN148" s="344">
        <f>+'[81]VENTAS TOTALES'!$G173</f>
        <v>18000</v>
      </c>
      <c r="AO148" s="344">
        <f>+'[81]VENTAS TOTALES'!$H173</f>
        <v>18000</v>
      </c>
      <c r="AP148" s="343">
        <f>+'[82]VENTAS TOTALES'!$F173</f>
        <v>0</v>
      </c>
      <c r="AQ148" s="344">
        <f>+'[82]VENTAS TOTALES'!$G173</f>
        <v>107000</v>
      </c>
      <c r="AR148" s="344">
        <f>+'[82]VENTAS TOTALES'!$H173</f>
        <v>107000</v>
      </c>
      <c r="AS148" s="343">
        <f>+'[83]VENTAS TOTALES'!$F173</f>
        <v>0</v>
      </c>
      <c r="AT148" s="344">
        <f>+'[83]VENTAS TOTALES'!$G173</f>
        <v>63000</v>
      </c>
      <c r="AU148" s="344">
        <f>+'[83]VENTAS TOTALES'!$H173</f>
        <v>63000</v>
      </c>
      <c r="AV148" s="343">
        <f>+'[84]VENTAS TOTALES'!$F173</f>
        <v>0</v>
      </c>
      <c r="AW148" s="344">
        <f>+'[84]VENTAS TOTALES'!$G173</f>
        <v>66000</v>
      </c>
      <c r="AX148" s="344">
        <f>+'[84]VENTAS TOTALES'!$H173</f>
        <v>66000</v>
      </c>
      <c r="AY148" s="343">
        <f>+'[85]VENTAS TOTALES'!$F173</f>
        <v>0</v>
      </c>
      <c r="AZ148" s="344">
        <f>+'[85]VENTAS TOTALES'!$G173</f>
        <v>56000</v>
      </c>
      <c r="BA148" s="344">
        <f>+'[85]VENTAS TOTALES'!$H173</f>
        <v>56000</v>
      </c>
      <c r="BB148" s="343">
        <f>+'[86]VENTAS TOTALES'!$F173</f>
        <v>0</v>
      </c>
      <c r="BC148" s="344">
        <f>+'[86]VENTAS TOTALES'!$G173</f>
        <v>18000</v>
      </c>
      <c r="BD148" s="344">
        <f>+'[86]VENTAS TOTALES'!$H173</f>
        <v>18000</v>
      </c>
      <c r="BE148" s="343">
        <f>+'[87]VENTAS TOTALES'!$F173</f>
        <v>0</v>
      </c>
      <c r="BF148" s="344">
        <f>+'[87]VENTAS TOTALES'!$G173</f>
        <v>18000</v>
      </c>
      <c r="BG148" s="344">
        <f>+'[87]VENTAS TOTALES'!$H173</f>
        <v>18000</v>
      </c>
      <c r="BH148" s="343">
        <f>+'[88]VENTAS TOTALES'!$F173</f>
        <v>0</v>
      </c>
      <c r="BI148" s="344">
        <f>+'[88]VENTAS TOTALES'!$G173</f>
        <v>14000</v>
      </c>
      <c r="BJ148" s="344">
        <f>+'[88]VENTAS TOTALES'!$H173</f>
        <v>14000</v>
      </c>
      <c r="BK148" s="343">
        <f>+'[89]VENTAS TOTALES'!$F173</f>
        <v>0</v>
      </c>
      <c r="BL148" s="344">
        <f>+'[89]VENTAS TOTALES'!$G173</f>
        <v>77000</v>
      </c>
      <c r="BM148" s="344">
        <f>+'[89]VENTAS TOTALES'!$H173</f>
        <v>77000</v>
      </c>
      <c r="BN148" s="343">
        <f>+'[90]VENTAS TOTALES'!$F173</f>
        <v>0</v>
      </c>
      <c r="BO148" s="344">
        <f>+'[90]VENTAS TOTALES'!$G173</f>
        <v>50000</v>
      </c>
      <c r="BP148" s="344">
        <f>+'[90]VENTAS TOTALES'!$H173</f>
        <v>50000</v>
      </c>
      <c r="BQ148" s="343">
        <f>+'[91]VENTAS TOTALES'!$F173</f>
        <v>0</v>
      </c>
      <c r="BR148" s="344">
        <f>+'[91]VENTAS TOTALES'!$G173</f>
        <v>34000</v>
      </c>
      <c r="BS148" s="344">
        <f>+'[91]VENTAS TOTALES'!$H173</f>
        <v>34000</v>
      </c>
      <c r="BT148" s="343">
        <f>+'[92]VENTAS TOTALES'!$F173</f>
        <v>0</v>
      </c>
      <c r="BU148" s="344">
        <f>+'[92]VENTAS TOTALES'!$G173</f>
        <v>46000</v>
      </c>
      <c r="BV148" s="344">
        <f>+'[92]VENTAS TOTALES'!$H173</f>
        <v>46000</v>
      </c>
      <c r="BW148" s="343">
        <f>+'[93]VENTAS TOTALES'!$F173</f>
        <v>0</v>
      </c>
      <c r="BX148" s="344">
        <f>+'[93]VENTAS TOTALES'!$G173</f>
        <v>13000</v>
      </c>
      <c r="BY148" s="344">
        <f>+'[93]VENTAS TOTALES'!$H173</f>
        <v>13000</v>
      </c>
      <c r="BZ148" s="343">
        <f>+'[94]VENTAS TOTALES'!$F173</f>
        <v>0</v>
      </c>
      <c r="CA148" s="344">
        <f>+'[94]VENTAS TOTALES'!$G173</f>
        <v>32000</v>
      </c>
      <c r="CB148" s="344">
        <f>+'[94]VENTAS TOTALES'!$H173</f>
        <v>32000</v>
      </c>
      <c r="CC148" s="343">
        <f>+'[95]VENTAS TOTALES'!$F173</f>
        <v>0</v>
      </c>
      <c r="CD148" s="344">
        <f>+'[95]VENTAS TOTALES'!$G173</f>
        <v>34000</v>
      </c>
      <c r="CE148" s="344">
        <f>+'[95]VENTAS TOTALES'!$H173</f>
        <v>34000</v>
      </c>
      <c r="CF148" s="343">
        <f>+'[96]VENTAS TOTALES'!$F173</f>
        <v>0</v>
      </c>
      <c r="CG148" s="344">
        <f>+'[96]VENTAS TOTALES'!$G173</f>
        <v>81000</v>
      </c>
      <c r="CH148" s="344">
        <f>+'[96]VENTAS TOTALES'!$H173</f>
        <v>81000</v>
      </c>
      <c r="CI148" s="343">
        <f>+'[97]VENTAS TOTALES'!$F173</f>
        <v>0</v>
      </c>
      <c r="CJ148" s="344">
        <f>+'[97]VENTAS TOTALES'!$G173</f>
        <v>71000</v>
      </c>
      <c r="CK148" s="344">
        <f>+'[97]VENTAS TOTALES'!$H173</f>
        <v>71000</v>
      </c>
      <c r="CL148" s="343">
        <f>+'[98]VENTAS TOTALES'!$F173</f>
        <v>0</v>
      </c>
      <c r="CM148" s="344">
        <f>+'[98]VENTAS TOTALES'!$G173</f>
        <v>22000</v>
      </c>
      <c r="CN148" s="344">
        <f>+'[98]VENTAS TOTALES'!$H173</f>
        <v>22000</v>
      </c>
      <c r="CO148" s="343">
        <f>+'[99]VENTAS TOTALES'!$F173</f>
        <v>0</v>
      </c>
      <c r="CP148" s="344">
        <f>+'[99]VENTAS TOTALES'!$G173</f>
        <v>43000</v>
      </c>
      <c r="CQ148" s="344">
        <f>+'[99]VENTAS TOTALES'!$H173</f>
        <v>43000</v>
      </c>
      <c r="CR148" s="343">
        <f>+'[100]VENTAS TOTALES'!$F173</f>
        <v>0</v>
      </c>
      <c r="CS148" s="344">
        <f>+'[100]VENTAS TOTALES'!$G173</f>
        <v>27000</v>
      </c>
      <c r="CT148" s="344">
        <f>+'[100]VENTAS TOTALES'!$H173</f>
        <v>27000</v>
      </c>
      <c r="CU148" s="343">
        <f>+'[101]VENTAS TOTALES'!$F173</f>
        <v>0</v>
      </c>
      <c r="CV148" s="344">
        <f>+'[101]VENTAS TOTALES'!$G173</f>
        <v>26000</v>
      </c>
      <c r="CW148" s="344">
        <f>+'[101]VENTAS TOTALES'!$H173</f>
        <v>26000</v>
      </c>
      <c r="CX148" s="343">
        <f>+'[102]VENTAS TOTALES'!$F173</f>
        <v>0</v>
      </c>
      <c r="CY148" s="344">
        <f>+'[102]VENTAS TOTALES'!$G173</f>
        <v>0</v>
      </c>
      <c r="CZ148" s="344">
        <f>+'[102]VENTAS TOTALES'!$H173</f>
        <v>0</v>
      </c>
    </row>
    <row r="149" spans="1:104" s="8" customFormat="1" ht="13.5" thickBot="1" x14ac:dyDescent="0.25">
      <c r="A149" s="455"/>
      <c r="B149" s="345" t="s">
        <v>376</v>
      </c>
      <c r="C149" s="343">
        <f>+'[69]VENTAS TOTALES'!$F174</f>
        <v>0</v>
      </c>
      <c r="D149" s="344">
        <f>+'[69]VENTAS TOTALES'!$G174</f>
        <v>4000</v>
      </c>
      <c r="E149" s="344">
        <f>+'[69]VENTAS TOTALES'!$H174</f>
        <v>4000</v>
      </c>
      <c r="F149" s="343">
        <f>+'[70]VENTAS TOTALES'!$F174</f>
        <v>0</v>
      </c>
      <c r="G149" s="344">
        <f>+'[70]VENTAS TOTALES'!$G174</f>
        <v>26000</v>
      </c>
      <c r="H149" s="344">
        <f>+'[70]VENTAS TOTALES'!$H174</f>
        <v>26000</v>
      </c>
      <c r="I149" s="343">
        <f>+'[71]VENTAS TOTALES'!$F174</f>
        <v>0</v>
      </c>
      <c r="J149" s="344">
        <f>+'[71]VENTAS TOTALES'!$G174</f>
        <v>19000</v>
      </c>
      <c r="K149" s="344">
        <f>+'[71]VENTAS TOTALES'!$H174</f>
        <v>19000</v>
      </c>
      <c r="L149" s="343">
        <f>+'[72]VENTAS TOTALES'!$F174</f>
        <v>0</v>
      </c>
      <c r="M149" s="344">
        <f>+'[72]VENTAS TOTALES'!$G174</f>
        <v>26000</v>
      </c>
      <c r="N149" s="344">
        <f>+'[72]VENTAS TOTALES'!$H174</f>
        <v>26000</v>
      </c>
      <c r="O149" s="343">
        <f>+'[73]VENTAS TOTALES'!$F174</f>
        <v>0</v>
      </c>
      <c r="P149" s="344">
        <f>+'[73]VENTAS TOTALES'!$G174</f>
        <v>0</v>
      </c>
      <c r="Q149" s="344">
        <f>+'[73]VENTAS TOTALES'!$H174</f>
        <v>0</v>
      </c>
      <c r="R149" s="343">
        <f>+'[74]VENTAS TOTALES'!$F174</f>
        <v>0</v>
      </c>
      <c r="S149" s="344">
        <f>+'[74]VENTAS TOTALES'!$G174</f>
        <v>0</v>
      </c>
      <c r="T149" s="344">
        <f>+'[74]VENTAS TOTALES'!$H174</f>
        <v>0</v>
      </c>
      <c r="U149" s="343">
        <f>+'[75]VENTAS TOTALES'!$F174</f>
        <v>0</v>
      </c>
      <c r="V149" s="344">
        <f>+'[75]VENTAS TOTALES'!$G174</f>
        <v>30000</v>
      </c>
      <c r="W149" s="344">
        <f>+'[75]VENTAS TOTALES'!$H174</f>
        <v>30000</v>
      </c>
      <c r="X149" s="343">
        <f>+'[76]VENTAS TOTALES'!$F174</f>
        <v>0</v>
      </c>
      <c r="Y149" s="344">
        <f>+'[76]VENTAS TOTALES'!$G174</f>
        <v>0</v>
      </c>
      <c r="Z149" s="344">
        <f>+'[76]VENTAS TOTALES'!$H174</f>
        <v>0</v>
      </c>
      <c r="AA149" s="343">
        <f>+'[77]VENTAS TOTALES'!$F174</f>
        <v>0</v>
      </c>
      <c r="AB149" s="344">
        <f>+'[77]VENTAS TOTALES'!$G174</f>
        <v>65000</v>
      </c>
      <c r="AC149" s="344">
        <f>+'[77]VENTAS TOTALES'!$H174</f>
        <v>65000</v>
      </c>
      <c r="AD149" s="343">
        <f>+'[78]VENTAS TOTALES'!$F174</f>
        <v>0</v>
      </c>
      <c r="AE149" s="344">
        <f>+'[78]VENTAS TOTALES'!$G174</f>
        <v>10000</v>
      </c>
      <c r="AF149" s="344">
        <f>+'[78]VENTAS TOTALES'!$H174</f>
        <v>10000</v>
      </c>
      <c r="AG149" s="343">
        <f>+'[79]VENTAS TOTALES'!$F174</f>
        <v>0</v>
      </c>
      <c r="AH149" s="344">
        <f>+'[79]VENTAS TOTALES'!$G174</f>
        <v>6000</v>
      </c>
      <c r="AI149" s="344">
        <f>+'[79]VENTAS TOTALES'!$H174</f>
        <v>6000</v>
      </c>
      <c r="AJ149" s="343">
        <f>+'[80]VENTAS TOTALES'!$F174</f>
        <v>0</v>
      </c>
      <c r="AK149" s="344">
        <f>+'[80]VENTAS TOTALES'!$G174</f>
        <v>1000</v>
      </c>
      <c r="AL149" s="344">
        <f>+'[80]VENTAS TOTALES'!$H174</f>
        <v>1000</v>
      </c>
      <c r="AM149" s="343">
        <f>+'[81]VENTAS TOTALES'!$F174</f>
        <v>0</v>
      </c>
      <c r="AN149" s="344">
        <f>+'[81]VENTAS TOTALES'!$G174</f>
        <v>0</v>
      </c>
      <c r="AO149" s="344">
        <f>+'[81]VENTAS TOTALES'!$H174</f>
        <v>0</v>
      </c>
      <c r="AP149" s="343">
        <f>+'[82]VENTAS TOTALES'!$F174</f>
        <v>0</v>
      </c>
      <c r="AQ149" s="344">
        <f>+'[82]VENTAS TOTALES'!$G174</f>
        <v>15000</v>
      </c>
      <c r="AR149" s="344">
        <f>+'[82]VENTAS TOTALES'!$H174</f>
        <v>15000</v>
      </c>
      <c r="AS149" s="343">
        <f>+'[83]VENTAS TOTALES'!$F174</f>
        <v>0</v>
      </c>
      <c r="AT149" s="344">
        <f>+'[83]VENTAS TOTALES'!$G174</f>
        <v>30000</v>
      </c>
      <c r="AU149" s="344">
        <f>+'[83]VENTAS TOTALES'!$H174</f>
        <v>30000</v>
      </c>
      <c r="AV149" s="343">
        <f>+'[84]VENTAS TOTALES'!$F174</f>
        <v>0</v>
      </c>
      <c r="AW149" s="344">
        <f>+'[84]VENTAS TOTALES'!$G174</f>
        <v>73000</v>
      </c>
      <c r="AX149" s="344">
        <f>+'[84]VENTAS TOTALES'!$H174</f>
        <v>73000</v>
      </c>
      <c r="AY149" s="343">
        <f>+'[85]VENTAS TOTALES'!$F174</f>
        <v>0</v>
      </c>
      <c r="AZ149" s="344">
        <f>+'[85]VENTAS TOTALES'!$G174</f>
        <v>4000</v>
      </c>
      <c r="BA149" s="344">
        <f>+'[85]VENTAS TOTALES'!$H174</f>
        <v>4000</v>
      </c>
      <c r="BB149" s="343">
        <f>+'[86]VENTAS TOTALES'!$F174</f>
        <v>0</v>
      </c>
      <c r="BC149" s="344">
        <f>+'[86]VENTAS TOTALES'!$G174</f>
        <v>2000</v>
      </c>
      <c r="BD149" s="344">
        <f>+'[86]VENTAS TOTALES'!$H174</f>
        <v>2000</v>
      </c>
      <c r="BE149" s="343">
        <f>+'[87]VENTAS TOTALES'!$F174</f>
        <v>0</v>
      </c>
      <c r="BF149" s="344">
        <f>+'[87]VENTAS TOTALES'!$G174</f>
        <v>28000</v>
      </c>
      <c r="BG149" s="344">
        <f>+'[87]VENTAS TOTALES'!$H174</f>
        <v>28000</v>
      </c>
      <c r="BH149" s="343">
        <f>+'[88]VENTAS TOTALES'!$F174</f>
        <v>0</v>
      </c>
      <c r="BI149" s="344">
        <f>+'[88]VENTAS TOTALES'!$G174</f>
        <v>0</v>
      </c>
      <c r="BJ149" s="344">
        <f>+'[88]VENTAS TOTALES'!$H174</f>
        <v>0</v>
      </c>
      <c r="BK149" s="343">
        <f>+'[89]VENTAS TOTALES'!$F174</f>
        <v>0</v>
      </c>
      <c r="BL149" s="344">
        <f>+'[89]VENTAS TOTALES'!$G174</f>
        <v>16000</v>
      </c>
      <c r="BM149" s="344">
        <f>+'[89]VENTAS TOTALES'!$H174</f>
        <v>16000</v>
      </c>
      <c r="BN149" s="343">
        <f>+'[90]VENTAS TOTALES'!$F174</f>
        <v>0</v>
      </c>
      <c r="BO149" s="344">
        <f>+'[90]VENTAS TOTALES'!$G174</f>
        <v>18000</v>
      </c>
      <c r="BP149" s="344">
        <f>+'[90]VENTAS TOTALES'!$H174</f>
        <v>18000</v>
      </c>
      <c r="BQ149" s="343">
        <f>+'[91]VENTAS TOTALES'!$F174</f>
        <v>0</v>
      </c>
      <c r="BR149" s="344">
        <f>+'[91]VENTAS TOTALES'!$G174</f>
        <v>31000</v>
      </c>
      <c r="BS149" s="344">
        <f>+'[91]VENTAS TOTALES'!$H174</f>
        <v>31000</v>
      </c>
      <c r="BT149" s="343">
        <f>+'[92]VENTAS TOTALES'!$F174</f>
        <v>0</v>
      </c>
      <c r="BU149" s="344">
        <f>+'[92]VENTAS TOTALES'!$G174</f>
        <v>3000</v>
      </c>
      <c r="BV149" s="344">
        <f>+'[92]VENTAS TOTALES'!$H174</f>
        <v>3000</v>
      </c>
      <c r="BW149" s="343">
        <f>+'[93]VENTAS TOTALES'!$F174</f>
        <v>0</v>
      </c>
      <c r="BX149" s="344">
        <f>+'[93]VENTAS TOTALES'!$G174</f>
        <v>11000</v>
      </c>
      <c r="BY149" s="344">
        <f>+'[93]VENTAS TOTALES'!$H174</f>
        <v>11000</v>
      </c>
      <c r="BZ149" s="343">
        <f>+'[94]VENTAS TOTALES'!$F174</f>
        <v>0</v>
      </c>
      <c r="CA149" s="344">
        <f>+'[94]VENTAS TOTALES'!$G174</f>
        <v>1000</v>
      </c>
      <c r="CB149" s="344">
        <f>+'[94]VENTAS TOTALES'!$H174</f>
        <v>1000</v>
      </c>
      <c r="CC149" s="343">
        <f>+'[95]VENTAS TOTALES'!$F174</f>
        <v>0</v>
      </c>
      <c r="CD149" s="344">
        <f>+'[95]VENTAS TOTALES'!$G174</f>
        <v>0</v>
      </c>
      <c r="CE149" s="344">
        <f>+'[95]VENTAS TOTALES'!$H174</f>
        <v>0</v>
      </c>
      <c r="CF149" s="343">
        <f>+'[96]VENTAS TOTALES'!$F174</f>
        <v>0</v>
      </c>
      <c r="CG149" s="344">
        <f>+'[96]VENTAS TOTALES'!$G174</f>
        <v>29000</v>
      </c>
      <c r="CH149" s="344">
        <f>+'[96]VENTAS TOTALES'!$H174</f>
        <v>29000</v>
      </c>
      <c r="CI149" s="343">
        <f>+'[97]VENTAS TOTALES'!$F174</f>
        <v>0</v>
      </c>
      <c r="CJ149" s="344">
        <f>+'[97]VENTAS TOTALES'!$G174</f>
        <v>12000</v>
      </c>
      <c r="CK149" s="344">
        <f>+'[97]VENTAS TOTALES'!$H174</f>
        <v>12000</v>
      </c>
      <c r="CL149" s="343">
        <f>+'[98]VENTAS TOTALES'!$F174</f>
        <v>0</v>
      </c>
      <c r="CM149" s="344">
        <f>+'[98]VENTAS TOTALES'!$G174</f>
        <v>0</v>
      </c>
      <c r="CN149" s="344">
        <f>+'[98]VENTAS TOTALES'!$H174</f>
        <v>0</v>
      </c>
      <c r="CO149" s="343">
        <f>+'[99]VENTAS TOTALES'!$F174</f>
        <v>0</v>
      </c>
      <c r="CP149" s="344">
        <f>+'[99]VENTAS TOTALES'!$G174</f>
        <v>10000</v>
      </c>
      <c r="CQ149" s="344">
        <f>+'[99]VENTAS TOTALES'!$H174</f>
        <v>10000</v>
      </c>
      <c r="CR149" s="343">
        <f>+'[100]VENTAS TOTALES'!$F174</f>
        <v>0</v>
      </c>
      <c r="CS149" s="344">
        <f>+'[100]VENTAS TOTALES'!$G174</f>
        <v>0</v>
      </c>
      <c r="CT149" s="344">
        <f>+'[100]VENTAS TOTALES'!$H174</f>
        <v>0</v>
      </c>
      <c r="CU149" s="343">
        <f>+'[101]VENTAS TOTALES'!$F174</f>
        <v>0</v>
      </c>
      <c r="CV149" s="344">
        <f>+'[101]VENTAS TOTALES'!$G174</f>
        <v>0</v>
      </c>
      <c r="CW149" s="344">
        <f>+'[101]VENTAS TOTALES'!$H174</f>
        <v>0</v>
      </c>
      <c r="CX149" s="343">
        <f>+'[102]VENTAS TOTALES'!$F174</f>
        <v>0</v>
      </c>
      <c r="CY149" s="344">
        <f>+'[102]VENTAS TOTALES'!$G174</f>
        <v>0</v>
      </c>
      <c r="CZ149" s="344">
        <f>+'[102]VENTAS TOTALES'!$H174</f>
        <v>0</v>
      </c>
    </row>
    <row r="150" spans="1:104" s="8" customFormat="1" ht="13.5" thickBot="1" x14ac:dyDescent="0.25">
      <c r="A150" s="455"/>
      <c r="B150" s="345" t="s">
        <v>377</v>
      </c>
      <c r="C150" s="343">
        <f>+'[69]VENTAS TOTALES'!$F175</f>
        <v>0</v>
      </c>
      <c r="D150" s="344">
        <f>+'[69]VENTAS TOTALES'!$G175</f>
        <v>187000</v>
      </c>
      <c r="E150" s="344">
        <f>+'[69]VENTAS TOTALES'!$H175</f>
        <v>187000</v>
      </c>
      <c r="F150" s="343">
        <f>+'[70]VENTAS TOTALES'!$F175</f>
        <v>0</v>
      </c>
      <c r="G150" s="344">
        <f>+'[70]VENTAS TOTALES'!$G175</f>
        <v>325000</v>
      </c>
      <c r="H150" s="344">
        <f>+'[70]VENTAS TOTALES'!$H175</f>
        <v>325000</v>
      </c>
      <c r="I150" s="343">
        <f>+'[71]VENTAS TOTALES'!$F175</f>
        <v>0</v>
      </c>
      <c r="J150" s="344">
        <f>+'[71]VENTAS TOTALES'!$G175</f>
        <v>134000</v>
      </c>
      <c r="K150" s="344">
        <f>+'[71]VENTAS TOTALES'!$H175</f>
        <v>134000</v>
      </c>
      <c r="L150" s="343">
        <f>+'[72]VENTAS TOTALES'!$F175</f>
        <v>0</v>
      </c>
      <c r="M150" s="344">
        <f>+'[72]VENTAS TOTALES'!$G175</f>
        <v>84000</v>
      </c>
      <c r="N150" s="344">
        <f>+'[72]VENTAS TOTALES'!$H175</f>
        <v>84000</v>
      </c>
      <c r="O150" s="343">
        <f>+'[73]VENTAS TOTALES'!$F175</f>
        <v>0</v>
      </c>
      <c r="P150" s="344">
        <f>+'[73]VENTAS TOTALES'!$G175</f>
        <v>35000</v>
      </c>
      <c r="Q150" s="344">
        <f>+'[73]VENTAS TOTALES'!$H175</f>
        <v>35000</v>
      </c>
      <c r="R150" s="343">
        <f>+'[74]VENTAS TOTALES'!$F175</f>
        <v>0</v>
      </c>
      <c r="S150" s="344">
        <f>+'[74]VENTAS TOTALES'!$G175</f>
        <v>41000</v>
      </c>
      <c r="T150" s="344">
        <f>+'[74]VENTAS TOTALES'!$H175</f>
        <v>41000</v>
      </c>
      <c r="U150" s="343">
        <f>+'[75]VENTAS TOTALES'!$F175</f>
        <v>0</v>
      </c>
      <c r="V150" s="344">
        <f>+'[75]VENTAS TOTALES'!$G175</f>
        <v>230000</v>
      </c>
      <c r="W150" s="344">
        <f>+'[75]VENTAS TOTALES'!$H175</f>
        <v>230000</v>
      </c>
      <c r="X150" s="343">
        <f>+'[76]VENTAS TOTALES'!$F175</f>
        <v>0</v>
      </c>
      <c r="Y150" s="344">
        <f>+'[76]VENTAS TOTALES'!$G175</f>
        <v>164000</v>
      </c>
      <c r="Z150" s="344">
        <f>+'[76]VENTAS TOTALES'!$H175</f>
        <v>164000</v>
      </c>
      <c r="AA150" s="343">
        <f>+'[77]VENTAS TOTALES'!$F175</f>
        <v>0</v>
      </c>
      <c r="AB150" s="344">
        <f>+'[77]VENTAS TOTALES'!$G175</f>
        <v>196000</v>
      </c>
      <c r="AC150" s="344">
        <f>+'[77]VENTAS TOTALES'!$H175</f>
        <v>196000</v>
      </c>
      <c r="AD150" s="343">
        <f>+'[78]VENTAS TOTALES'!$F175</f>
        <v>0</v>
      </c>
      <c r="AE150" s="344">
        <f>+'[78]VENTAS TOTALES'!$G175</f>
        <v>225000</v>
      </c>
      <c r="AF150" s="344">
        <f>+'[78]VENTAS TOTALES'!$H175</f>
        <v>225000</v>
      </c>
      <c r="AG150" s="343">
        <f>+'[79]VENTAS TOTALES'!$F175</f>
        <v>0</v>
      </c>
      <c r="AH150" s="344">
        <f>+'[79]VENTAS TOTALES'!$G175</f>
        <v>5000</v>
      </c>
      <c r="AI150" s="344">
        <f>+'[79]VENTAS TOTALES'!$H175</f>
        <v>5000</v>
      </c>
      <c r="AJ150" s="343">
        <f>+'[80]VENTAS TOTALES'!$F175</f>
        <v>0</v>
      </c>
      <c r="AK150" s="344">
        <f>+'[80]VENTAS TOTALES'!$G175</f>
        <v>31000</v>
      </c>
      <c r="AL150" s="344">
        <f>+'[80]VENTAS TOTALES'!$H175</f>
        <v>31000</v>
      </c>
      <c r="AM150" s="343">
        <f>+'[81]VENTAS TOTALES'!$F175</f>
        <v>0</v>
      </c>
      <c r="AN150" s="344">
        <f>+'[81]VENTAS TOTALES'!$G175</f>
        <v>0</v>
      </c>
      <c r="AO150" s="344">
        <f>+'[81]VENTAS TOTALES'!$H175</f>
        <v>0</v>
      </c>
      <c r="AP150" s="343">
        <f>+'[82]VENTAS TOTALES'!$F175</f>
        <v>0</v>
      </c>
      <c r="AQ150" s="344">
        <f>+'[82]VENTAS TOTALES'!$G175</f>
        <v>254000</v>
      </c>
      <c r="AR150" s="344">
        <f>+'[82]VENTAS TOTALES'!$H175</f>
        <v>254000</v>
      </c>
      <c r="AS150" s="343">
        <f>+'[83]VENTAS TOTALES'!$F175</f>
        <v>0</v>
      </c>
      <c r="AT150" s="344">
        <f>+'[83]VENTAS TOTALES'!$G175</f>
        <v>147000</v>
      </c>
      <c r="AU150" s="344">
        <f>+'[83]VENTAS TOTALES'!$H175</f>
        <v>147000</v>
      </c>
      <c r="AV150" s="343">
        <f>+'[84]VENTAS TOTALES'!$F175</f>
        <v>0</v>
      </c>
      <c r="AW150" s="344">
        <f>+'[84]VENTAS TOTALES'!$G175</f>
        <v>124000</v>
      </c>
      <c r="AX150" s="344">
        <f>+'[84]VENTAS TOTALES'!$H175</f>
        <v>124000</v>
      </c>
      <c r="AY150" s="343">
        <f>+'[85]VENTAS TOTALES'!$F175</f>
        <v>0</v>
      </c>
      <c r="AZ150" s="344">
        <f>+'[85]VENTAS TOTALES'!$G175</f>
        <v>164000</v>
      </c>
      <c r="BA150" s="344">
        <f>+'[85]VENTAS TOTALES'!$H175</f>
        <v>164000</v>
      </c>
      <c r="BB150" s="343">
        <f>+'[86]VENTAS TOTALES'!$F175</f>
        <v>0</v>
      </c>
      <c r="BC150" s="344">
        <f>+'[86]VENTAS TOTALES'!$G175</f>
        <v>199000</v>
      </c>
      <c r="BD150" s="344">
        <f>+'[86]VENTAS TOTALES'!$H175</f>
        <v>199000</v>
      </c>
      <c r="BE150" s="343">
        <f>+'[87]VENTAS TOTALES'!$F175</f>
        <v>0</v>
      </c>
      <c r="BF150" s="344">
        <f>+'[87]VENTAS TOTALES'!$G175</f>
        <v>152000</v>
      </c>
      <c r="BG150" s="344">
        <f>+'[87]VENTAS TOTALES'!$H175</f>
        <v>152000</v>
      </c>
      <c r="BH150" s="343">
        <f>+'[88]VENTAS TOTALES'!$F175</f>
        <v>0</v>
      </c>
      <c r="BI150" s="344">
        <f>+'[88]VENTAS TOTALES'!$G175</f>
        <v>0</v>
      </c>
      <c r="BJ150" s="344">
        <f>+'[88]VENTAS TOTALES'!$H175</f>
        <v>0</v>
      </c>
      <c r="BK150" s="343">
        <f>+'[89]VENTAS TOTALES'!$F175</f>
        <v>0</v>
      </c>
      <c r="BL150" s="344">
        <f>+'[89]VENTAS TOTALES'!$G175</f>
        <v>221000</v>
      </c>
      <c r="BM150" s="344">
        <f>+'[89]VENTAS TOTALES'!$H175</f>
        <v>221000</v>
      </c>
      <c r="BN150" s="343">
        <f>+'[90]VENTAS TOTALES'!$F175</f>
        <v>0</v>
      </c>
      <c r="BO150" s="344">
        <f>+'[90]VENTAS TOTALES'!$G175</f>
        <v>129000</v>
      </c>
      <c r="BP150" s="344">
        <f>+'[90]VENTAS TOTALES'!$H175</f>
        <v>129000</v>
      </c>
      <c r="BQ150" s="343">
        <f>+'[91]VENTAS TOTALES'!$F175</f>
        <v>0</v>
      </c>
      <c r="BR150" s="344">
        <f>+'[91]VENTAS TOTALES'!$G175</f>
        <v>157000</v>
      </c>
      <c r="BS150" s="344">
        <f>+'[91]VENTAS TOTALES'!$H175</f>
        <v>157000</v>
      </c>
      <c r="BT150" s="343">
        <f>+'[92]VENTAS TOTALES'!$F175</f>
        <v>0</v>
      </c>
      <c r="BU150" s="344">
        <f>+'[92]VENTAS TOTALES'!$G175</f>
        <v>154000</v>
      </c>
      <c r="BV150" s="344">
        <f>+'[92]VENTAS TOTALES'!$H175</f>
        <v>154000</v>
      </c>
      <c r="BW150" s="343">
        <f>+'[93]VENTAS TOTALES'!$F175</f>
        <v>0</v>
      </c>
      <c r="BX150" s="344">
        <f>+'[93]VENTAS TOTALES'!$G175</f>
        <v>88000</v>
      </c>
      <c r="BY150" s="344">
        <f>+'[93]VENTAS TOTALES'!$H175</f>
        <v>88000</v>
      </c>
      <c r="BZ150" s="343">
        <f>+'[94]VENTAS TOTALES'!$F175</f>
        <v>0</v>
      </c>
      <c r="CA150" s="344">
        <f>+'[94]VENTAS TOTALES'!$G175</f>
        <v>74000</v>
      </c>
      <c r="CB150" s="344">
        <f>+'[94]VENTAS TOTALES'!$H175</f>
        <v>74000</v>
      </c>
      <c r="CC150" s="343">
        <f>+'[95]VENTAS TOTALES'!$F175</f>
        <v>0</v>
      </c>
      <c r="CD150" s="344">
        <f>+'[95]VENTAS TOTALES'!$G175</f>
        <v>0</v>
      </c>
      <c r="CE150" s="344">
        <f>+'[95]VENTAS TOTALES'!$H175</f>
        <v>0</v>
      </c>
      <c r="CF150" s="343">
        <f>+'[96]VENTAS TOTALES'!$F175</f>
        <v>0</v>
      </c>
      <c r="CG150" s="344">
        <f>+'[96]VENTAS TOTALES'!$G175</f>
        <v>546000</v>
      </c>
      <c r="CH150" s="344">
        <f>+'[96]VENTAS TOTALES'!$H175</f>
        <v>546000</v>
      </c>
      <c r="CI150" s="343">
        <f>+'[97]VENTAS TOTALES'!$F175</f>
        <v>0</v>
      </c>
      <c r="CJ150" s="344">
        <f>+'[97]VENTAS TOTALES'!$G175</f>
        <v>230000</v>
      </c>
      <c r="CK150" s="344">
        <f>+'[97]VENTAS TOTALES'!$H175</f>
        <v>230000</v>
      </c>
      <c r="CL150" s="343">
        <f>+'[98]VENTAS TOTALES'!$F175</f>
        <v>0</v>
      </c>
      <c r="CM150" s="344">
        <f>+'[98]VENTAS TOTALES'!$G175</f>
        <v>251000</v>
      </c>
      <c r="CN150" s="344">
        <f>+'[98]VENTAS TOTALES'!$H175</f>
        <v>251000</v>
      </c>
      <c r="CO150" s="343">
        <f>+'[99]VENTAS TOTALES'!$F175</f>
        <v>0</v>
      </c>
      <c r="CP150" s="344">
        <f>+'[99]VENTAS TOTALES'!$G175</f>
        <v>148000</v>
      </c>
      <c r="CQ150" s="344">
        <f>+'[99]VENTAS TOTALES'!$H175</f>
        <v>148000</v>
      </c>
      <c r="CR150" s="343">
        <f>+'[100]VENTAS TOTALES'!$F175</f>
        <v>0</v>
      </c>
      <c r="CS150" s="344">
        <f>+'[100]VENTAS TOTALES'!$G175</f>
        <v>96000</v>
      </c>
      <c r="CT150" s="344">
        <f>+'[100]VENTAS TOTALES'!$H175</f>
        <v>96000</v>
      </c>
      <c r="CU150" s="343">
        <f>+'[101]VENTAS TOTALES'!$F175</f>
        <v>0</v>
      </c>
      <c r="CV150" s="344">
        <f>+'[101]VENTAS TOTALES'!$G175</f>
        <v>50000</v>
      </c>
      <c r="CW150" s="344">
        <f>+'[101]VENTAS TOTALES'!$H175</f>
        <v>50000</v>
      </c>
      <c r="CX150" s="343">
        <f>+'[102]VENTAS TOTALES'!$F175</f>
        <v>0</v>
      </c>
      <c r="CY150" s="344">
        <f>+'[102]VENTAS TOTALES'!$G175</f>
        <v>3000</v>
      </c>
      <c r="CZ150" s="344">
        <f>+'[102]VENTAS TOTALES'!$H175</f>
        <v>3000</v>
      </c>
    </row>
    <row r="151" spans="1:104" s="8" customFormat="1" ht="13.5" thickBot="1" x14ac:dyDescent="0.25">
      <c r="A151" s="455"/>
      <c r="B151" s="345" t="s">
        <v>378</v>
      </c>
      <c r="C151" s="343">
        <f>+'[69]VENTAS TOTALES'!$F176</f>
        <v>0</v>
      </c>
      <c r="D151" s="344">
        <f>+'[69]VENTAS TOTALES'!$G176</f>
        <v>41000</v>
      </c>
      <c r="E151" s="344">
        <f>+'[69]VENTAS TOTALES'!$H176</f>
        <v>41000</v>
      </c>
      <c r="F151" s="343">
        <f>+'[70]VENTAS TOTALES'!$F176</f>
        <v>0</v>
      </c>
      <c r="G151" s="344">
        <f>+'[70]VENTAS TOTALES'!$G176</f>
        <v>53000</v>
      </c>
      <c r="H151" s="344">
        <f>+'[70]VENTAS TOTALES'!$H176</f>
        <v>53000</v>
      </c>
      <c r="I151" s="343">
        <f>+'[71]VENTAS TOTALES'!$F176</f>
        <v>0</v>
      </c>
      <c r="J151" s="344">
        <f>+'[71]VENTAS TOTALES'!$G176</f>
        <v>28000</v>
      </c>
      <c r="K151" s="344">
        <f>+'[71]VENTAS TOTALES'!$H176</f>
        <v>28000</v>
      </c>
      <c r="L151" s="343">
        <f>+'[72]VENTAS TOTALES'!$F176</f>
        <v>0</v>
      </c>
      <c r="M151" s="344">
        <f>+'[72]VENTAS TOTALES'!$G176</f>
        <v>21000</v>
      </c>
      <c r="N151" s="344">
        <f>+'[72]VENTAS TOTALES'!$H176</f>
        <v>21000</v>
      </c>
      <c r="O151" s="343">
        <f>+'[73]VENTAS TOTALES'!$F176</f>
        <v>0</v>
      </c>
      <c r="P151" s="344">
        <f>+'[73]VENTAS TOTALES'!$G176</f>
        <v>2000</v>
      </c>
      <c r="Q151" s="344">
        <f>+'[73]VENTAS TOTALES'!$H176</f>
        <v>2000</v>
      </c>
      <c r="R151" s="343">
        <f>+'[74]VENTAS TOTALES'!$F176</f>
        <v>0</v>
      </c>
      <c r="S151" s="344">
        <f>+'[74]VENTAS TOTALES'!$G176</f>
        <v>0</v>
      </c>
      <c r="T151" s="344">
        <f>+'[74]VENTAS TOTALES'!$H176</f>
        <v>0</v>
      </c>
      <c r="U151" s="343">
        <f>+'[75]VENTAS TOTALES'!$F176</f>
        <v>0</v>
      </c>
      <c r="V151" s="344">
        <f>+'[75]VENTAS TOTALES'!$G176</f>
        <v>208000</v>
      </c>
      <c r="W151" s="344">
        <f>+'[75]VENTAS TOTALES'!$H176</f>
        <v>208000</v>
      </c>
      <c r="X151" s="343">
        <f>+'[76]VENTAS TOTALES'!$F176</f>
        <v>0</v>
      </c>
      <c r="Y151" s="344">
        <f>+'[76]VENTAS TOTALES'!$G176</f>
        <v>102000</v>
      </c>
      <c r="Z151" s="344">
        <f>+'[76]VENTAS TOTALES'!$H176</f>
        <v>102000</v>
      </c>
      <c r="AA151" s="343">
        <f>+'[77]VENTAS TOTALES'!$F176</f>
        <v>0</v>
      </c>
      <c r="AB151" s="344">
        <f>+'[77]VENTAS TOTALES'!$G176</f>
        <v>65000</v>
      </c>
      <c r="AC151" s="344">
        <f>+'[77]VENTAS TOTALES'!$H176</f>
        <v>65000</v>
      </c>
      <c r="AD151" s="343">
        <f>+'[78]VENTAS TOTALES'!$F176</f>
        <v>0</v>
      </c>
      <c r="AE151" s="344">
        <f>+'[78]VENTAS TOTALES'!$G176</f>
        <v>58000</v>
      </c>
      <c r="AF151" s="344">
        <f>+'[78]VENTAS TOTALES'!$H176</f>
        <v>58000</v>
      </c>
      <c r="AG151" s="343">
        <f>+'[79]VENTAS TOTALES'!$F176</f>
        <v>0</v>
      </c>
      <c r="AH151" s="344">
        <f>+'[79]VENTAS TOTALES'!$G176</f>
        <v>42000</v>
      </c>
      <c r="AI151" s="344">
        <f>+'[79]VENTAS TOTALES'!$H176</f>
        <v>42000</v>
      </c>
      <c r="AJ151" s="343">
        <f>+'[80]VENTAS TOTALES'!$F176</f>
        <v>0</v>
      </c>
      <c r="AK151" s="344">
        <f>+'[80]VENTAS TOTALES'!$G176</f>
        <v>37000</v>
      </c>
      <c r="AL151" s="344">
        <f>+'[80]VENTAS TOTALES'!$H176</f>
        <v>37000</v>
      </c>
      <c r="AM151" s="343">
        <f>+'[81]VENTAS TOTALES'!$F176</f>
        <v>0</v>
      </c>
      <c r="AN151" s="344">
        <f>+'[81]VENTAS TOTALES'!$G176</f>
        <v>0</v>
      </c>
      <c r="AO151" s="344">
        <f>+'[81]VENTAS TOTALES'!$H176</f>
        <v>0</v>
      </c>
      <c r="AP151" s="343">
        <f>+'[82]VENTAS TOTALES'!$F176</f>
        <v>0</v>
      </c>
      <c r="AQ151" s="344">
        <f>+'[82]VENTAS TOTALES'!$G176</f>
        <v>177000</v>
      </c>
      <c r="AR151" s="344">
        <f>+'[82]VENTAS TOTALES'!$H176</f>
        <v>177000</v>
      </c>
      <c r="AS151" s="343">
        <f>+'[83]VENTAS TOTALES'!$F176</f>
        <v>0</v>
      </c>
      <c r="AT151" s="344">
        <f>+'[83]VENTAS TOTALES'!$G176</f>
        <v>108000</v>
      </c>
      <c r="AU151" s="344">
        <f>+'[83]VENTAS TOTALES'!$H176</f>
        <v>108000</v>
      </c>
      <c r="AV151" s="343">
        <f>+'[84]VENTAS TOTALES'!$F176</f>
        <v>0</v>
      </c>
      <c r="AW151" s="344">
        <f>+'[84]VENTAS TOTALES'!$G176</f>
        <v>31000</v>
      </c>
      <c r="AX151" s="344">
        <f>+'[84]VENTAS TOTALES'!$H176</f>
        <v>31000</v>
      </c>
      <c r="AY151" s="343">
        <f>+'[85]VENTAS TOTALES'!$F176</f>
        <v>0</v>
      </c>
      <c r="AZ151" s="344">
        <f>+'[85]VENTAS TOTALES'!$G176</f>
        <v>74000</v>
      </c>
      <c r="BA151" s="344">
        <f>+'[85]VENTAS TOTALES'!$H176</f>
        <v>74000</v>
      </c>
      <c r="BB151" s="343">
        <f>+'[86]VENTAS TOTALES'!$F176</f>
        <v>0</v>
      </c>
      <c r="BC151" s="344">
        <f>+'[86]VENTAS TOTALES'!$G176</f>
        <v>42000</v>
      </c>
      <c r="BD151" s="344">
        <f>+'[86]VENTAS TOTALES'!$H176</f>
        <v>42000</v>
      </c>
      <c r="BE151" s="343">
        <f>+'[87]VENTAS TOTALES'!$F176</f>
        <v>0</v>
      </c>
      <c r="BF151" s="344">
        <f>+'[87]VENTAS TOTALES'!$G176</f>
        <v>4000</v>
      </c>
      <c r="BG151" s="344">
        <f>+'[87]VENTAS TOTALES'!$H176</f>
        <v>4000</v>
      </c>
      <c r="BH151" s="343">
        <f>+'[88]VENTAS TOTALES'!$F176</f>
        <v>0</v>
      </c>
      <c r="BI151" s="344">
        <f>+'[88]VENTAS TOTALES'!$G176</f>
        <v>0</v>
      </c>
      <c r="BJ151" s="344">
        <f>+'[88]VENTAS TOTALES'!$H176</f>
        <v>0</v>
      </c>
      <c r="BK151" s="343">
        <f>+'[89]VENTAS TOTALES'!$F176</f>
        <v>0</v>
      </c>
      <c r="BL151" s="344">
        <f>+'[89]VENTAS TOTALES'!$G176</f>
        <v>121000</v>
      </c>
      <c r="BM151" s="344">
        <f>+'[89]VENTAS TOTALES'!$H176</f>
        <v>121000</v>
      </c>
      <c r="BN151" s="343">
        <f>+'[90]VENTAS TOTALES'!$F176</f>
        <v>0</v>
      </c>
      <c r="BO151" s="344">
        <f>+'[90]VENTAS TOTALES'!$G176</f>
        <v>50000</v>
      </c>
      <c r="BP151" s="344">
        <f>+'[90]VENTAS TOTALES'!$H176</f>
        <v>50000</v>
      </c>
      <c r="BQ151" s="343">
        <f>+'[91]VENTAS TOTALES'!$F176</f>
        <v>0</v>
      </c>
      <c r="BR151" s="344">
        <f>+'[91]VENTAS TOTALES'!$G176</f>
        <v>62000</v>
      </c>
      <c r="BS151" s="344">
        <f>+'[91]VENTAS TOTALES'!$H176</f>
        <v>62000</v>
      </c>
      <c r="BT151" s="343">
        <f>+'[92]VENTAS TOTALES'!$F176</f>
        <v>0</v>
      </c>
      <c r="BU151" s="344">
        <f>+'[92]VENTAS TOTALES'!$G176</f>
        <v>116000</v>
      </c>
      <c r="BV151" s="344">
        <f>+'[92]VENTAS TOTALES'!$H176</f>
        <v>116000</v>
      </c>
      <c r="BW151" s="343">
        <f>+'[93]VENTAS TOTALES'!$F176</f>
        <v>0</v>
      </c>
      <c r="BX151" s="344">
        <f>+'[93]VENTAS TOTALES'!$G176</f>
        <v>120000</v>
      </c>
      <c r="BY151" s="344">
        <f>+'[93]VENTAS TOTALES'!$H176</f>
        <v>120000</v>
      </c>
      <c r="BZ151" s="343">
        <f>+'[94]VENTAS TOTALES'!$F176</f>
        <v>0</v>
      </c>
      <c r="CA151" s="344">
        <f>+'[94]VENTAS TOTALES'!$G176</f>
        <v>25000</v>
      </c>
      <c r="CB151" s="344">
        <f>+'[94]VENTAS TOTALES'!$H176</f>
        <v>25000</v>
      </c>
      <c r="CC151" s="343">
        <f>+'[95]VENTAS TOTALES'!$F176</f>
        <v>0</v>
      </c>
      <c r="CD151" s="344">
        <f>+'[95]VENTAS TOTALES'!$G176</f>
        <v>0</v>
      </c>
      <c r="CE151" s="344">
        <f>+'[95]VENTAS TOTALES'!$H176</f>
        <v>0</v>
      </c>
      <c r="CF151" s="343">
        <f>+'[96]VENTAS TOTALES'!$F176</f>
        <v>0</v>
      </c>
      <c r="CG151" s="344">
        <f>+'[96]VENTAS TOTALES'!$G176</f>
        <v>333000</v>
      </c>
      <c r="CH151" s="344">
        <f>+'[96]VENTAS TOTALES'!$H176</f>
        <v>333000</v>
      </c>
      <c r="CI151" s="343">
        <f>+'[97]VENTAS TOTALES'!$F176</f>
        <v>0</v>
      </c>
      <c r="CJ151" s="344">
        <f>+'[97]VENTAS TOTALES'!$G176</f>
        <v>220000</v>
      </c>
      <c r="CK151" s="344">
        <f>+'[97]VENTAS TOTALES'!$H176</f>
        <v>220000</v>
      </c>
      <c r="CL151" s="343">
        <f>+'[98]VENTAS TOTALES'!$F176</f>
        <v>0</v>
      </c>
      <c r="CM151" s="344">
        <f>+'[98]VENTAS TOTALES'!$G176</f>
        <v>43000</v>
      </c>
      <c r="CN151" s="344">
        <f>+'[98]VENTAS TOTALES'!$H176</f>
        <v>43000</v>
      </c>
      <c r="CO151" s="343">
        <f>+'[99]VENTAS TOTALES'!$F176</f>
        <v>0</v>
      </c>
      <c r="CP151" s="344">
        <f>+'[99]VENTAS TOTALES'!$G176</f>
        <v>46000</v>
      </c>
      <c r="CQ151" s="344">
        <f>+'[99]VENTAS TOTALES'!$H176</f>
        <v>46000</v>
      </c>
      <c r="CR151" s="343">
        <f>+'[100]VENTAS TOTALES'!$F176</f>
        <v>0</v>
      </c>
      <c r="CS151" s="344">
        <f>+'[100]VENTAS TOTALES'!$G176</f>
        <v>44000</v>
      </c>
      <c r="CT151" s="344">
        <f>+'[100]VENTAS TOTALES'!$H176</f>
        <v>44000</v>
      </c>
      <c r="CU151" s="343">
        <f>+'[101]VENTAS TOTALES'!$F176</f>
        <v>0</v>
      </c>
      <c r="CV151" s="344">
        <f>+'[101]VENTAS TOTALES'!$G176</f>
        <v>46000</v>
      </c>
      <c r="CW151" s="344">
        <f>+'[101]VENTAS TOTALES'!$H176</f>
        <v>46000</v>
      </c>
      <c r="CX151" s="343">
        <f>+'[102]VENTAS TOTALES'!$F176</f>
        <v>0</v>
      </c>
      <c r="CY151" s="344">
        <f>+'[102]VENTAS TOTALES'!$G176</f>
        <v>0</v>
      </c>
      <c r="CZ151" s="344">
        <f>+'[102]VENTAS TOTALES'!$H176</f>
        <v>0</v>
      </c>
    </row>
    <row r="152" spans="1:104" s="8" customFormat="1" ht="13.5" thickBot="1" x14ac:dyDescent="0.25">
      <c r="A152" s="455"/>
      <c r="B152" s="345" t="s">
        <v>383</v>
      </c>
      <c r="C152" s="343">
        <f>+'[69]VENTAS TOTALES'!$F177</f>
        <v>0</v>
      </c>
      <c r="D152" s="344">
        <f>+'[69]VENTAS TOTALES'!$G177</f>
        <v>446000</v>
      </c>
      <c r="E152" s="344">
        <f>+'[69]VENTAS TOTALES'!$H177</f>
        <v>446000</v>
      </c>
      <c r="F152" s="343">
        <f>+'[70]VENTAS TOTALES'!$F177</f>
        <v>0</v>
      </c>
      <c r="G152" s="344">
        <f>+'[70]VENTAS TOTALES'!$G177</f>
        <v>603000</v>
      </c>
      <c r="H152" s="344">
        <f>+'[70]VENTAS TOTALES'!$H177</f>
        <v>603000</v>
      </c>
      <c r="I152" s="343">
        <f>+'[71]VENTAS TOTALES'!$F177</f>
        <v>0</v>
      </c>
      <c r="J152" s="344">
        <f>+'[71]VENTAS TOTALES'!$G177</f>
        <v>432000</v>
      </c>
      <c r="K152" s="344">
        <f>+'[71]VENTAS TOTALES'!$H177</f>
        <v>432000</v>
      </c>
      <c r="L152" s="343">
        <f>+'[72]VENTAS TOTALES'!$F177</f>
        <v>0</v>
      </c>
      <c r="M152" s="344">
        <f>+'[72]VENTAS TOTALES'!$G177</f>
        <v>308000</v>
      </c>
      <c r="N152" s="344">
        <f>+'[72]VENTAS TOTALES'!$H177</f>
        <v>308000</v>
      </c>
      <c r="O152" s="343">
        <f>+'[73]VENTAS TOTALES'!$F177</f>
        <v>0</v>
      </c>
      <c r="P152" s="344">
        <f>+'[73]VENTAS TOTALES'!$G177</f>
        <v>262000</v>
      </c>
      <c r="Q152" s="344">
        <f>+'[73]VENTAS TOTALES'!$H177</f>
        <v>262000</v>
      </c>
      <c r="R152" s="343">
        <f>+'[74]VENTAS TOTALES'!$F177</f>
        <v>0</v>
      </c>
      <c r="S152" s="344">
        <f>+'[74]VENTAS TOTALES'!$G177</f>
        <v>136000</v>
      </c>
      <c r="T152" s="344">
        <f>+'[74]VENTAS TOTALES'!$H177</f>
        <v>136000</v>
      </c>
      <c r="U152" s="343">
        <f>+'[75]VENTAS TOTALES'!$F177</f>
        <v>0</v>
      </c>
      <c r="V152" s="344">
        <f>+'[75]VENTAS TOTALES'!$G177</f>
        <v>685000</v>
      </c>
      <c r="W152" s="344">
        <f>+'[75]VENTAS TOTALES'!$H177</f>
        <v>685000</v>
      </c>
      <c r="X152" s="343">
        <f>+'[76]VENTAS TOTALES'!$F177</f>
        <v>0</v>
      </c>
      <c r="Y152" s="344">
        <f>+'[76]VENTAS TOTALES'!$G177</f>
        <v>427000</v>
      </c>
      <c r="Z152" s="344">
        <f>+'[76]VENTAS TOTALES'!$H177</f>
        <v>427000</v>
      </c>
      <c r="AA152" s="343">
        <f>+'[77]VENTAS TOTALES'!$F177</f>
        <v>0</v>
      </c>
      <c r="AB152" s="344">
        <f>+'[77]VENTAS TOTALES'!$G177</f>
        <v>425000</v>
      </c>
      <c r="AC152" s="344">
        <f>+'[77]VENTAS TOTALES'!$H177</f>
        <v>425000</v>
      </c>
      <c r="AD152" s="343">
        <f>+'[78]VENTAS TOTALES'!$F177</f>
        <v>0</v>
      </c>
      <c r="AE152" s="344">
        <f>+'[78]VENTAS TOTALES'!$G177</f>
        <v>334000</v>
      </c>
      <c r="AF152" s="344">
        <f>+'[78]VENTAS TOTALES'!$H177</f>
        <v>334000</v>
      </c>
      <c r="AG152" s="343">
        <f>+'[79]VENTAS TOTALES'!$F177</f>
        <v>0</v>
      </c>
      <c r="AH152" s="344">
        <f>+'[79]VENTAS TOTALES'!$G177</f>
        <v>360000</v>
      </c>
      <c r="AI152" s="344">
        <f>+'[79]VENTAS TOTALES'!$H177</f>
        <v>360000</v>
      </c>
      <c r="AJ152" s="343">
        <f>+'[80]VENTAS TOTALES'!$F177</f>
        <v>0</v>
      </c>
      <c r="AK152" s="344">
        <f>+'[80]VENTAS TOTALES'!$G177</f>
        <v>249000</v>
      </c>
      <c r="AL152" s="344">
        <f>+'[80]VENTAS TOTALES'!$H177</f>
        <v>249000</v>
      </c>
      <c r="AM152" s="343">
        <f>+'[81]VENTAS TOTALES'!$F177</f>
        <v>0</v>
      </c>
      <c r="AN152" s="344">
        <f>+'[81]VENTAS TOTALES'!$G177</f>
        <v>111000</v>
      </c>
      <c r="AO152" s="344">
        <f>+'[81]VENTAS TOTALES'!$H177</f>
        <v>111000</v>
      </c>
      <c r="AP152" s="343">
        <f>+'[82]VENTAS TOTALES'!$F177</f>
        <v>0</v>
      </c>
      <c r="AQ152" s="344">
        <f>+'[82]VENTAS TOTALES'!$G177</f>
        <v>759000</v>
      </c>
      <c r="AR152" s="344">
        <f>+'[82]VENTAS TOTALES'!$H177</f>
        <v>759000</v>
      </c>
      <c r="AS152" s="343">
        <f>+'[83]VENTAS TOTALES'!$F177</f>
        <v>0</v>
      </c>
      <c r="AT152" s="344">
        <f>+'[83]VENTAS TOTALES'!$G177</f>
        <v>493000</v>
      </c>
      <c r="AU152" s="344">
        <f>+'[83]VENTAS TOTALES'!$H177</f>
        <v>493000</v>
      </c>
      <c r="AV152" s="343">
        <f>+'[84]VENTAS TOTALES'!$F177</f>
        <v>0</v>
      </c>
      <c r="AW152" s="344">
        <f>+'[84]VENTAS TOTALES'!$G177</f>
        <v>303000</v>
      </c>
      <c r="AX152" s="344">
        <f>+'[84]VENTAS TOTALES'!$H177</f>
        <v>303000</v>
      </c>
      <c r="AY152" s="343">
        <f>+'[85]VENTAS TOTALES'!$F177</f>
        <v>0</v>
      </c>
      <c r="AZ152" s="344">
        <f>+'[85]VENTAS TOTALES'!$G177</f>
        <v>354000</v>
      </c>
      <c r="BA152" s="344">
        <f>+'[85]VENTAS TOTALES'!$H177</f>
        <v>354000</v>
      </c>
      <c r="BB152" s="343">
        <f>+'[86]VENTAS TOTALES'!$F177</f>
        <v>0</v>
      </c>
      <c r="BC152" s="344">
        <f>+'[86]VENTAS TOTALES'!$G177</f>
        <v>202000</v>
      </c>
      <c r="BD152" s="344">
        <f>+'[86]VENTAS TOTALES'!$H177</f>
        <v>202000</v>
      </c>
      <c r="BE152" s="343">
        <f>+'[87]VENTAS TOTALES'!$F177</f>
        <v>0</v>
      </c>
      <c r="BF152" s="344">
        <f>+'[87]VENTAS TOTALES'!$G177</f>
        <v>206000</v>
      </c>
      <c r="BG152" s="344">
        <f>+'[87]VENTAS TOTALES'!$H177</f>
        <v>206000</v>
      </c>
      <c r="BH152" s="343">
        <f>+'[88]VENTAS TOTALES'!$F177</f>
        <v>0</v>
      </c>
      <c r="BI152" s="344">
        <f>+'[88]VENTAS TOTALES'!$G177</f>
        <v>156000</v>
      </c>
      <c r="BJ152" s="344">
        <f>+'[88]VENTAS TOTALES'!$H177</f>
        <v>156000</v>
      </c>
      <c r="BK152" s="343">
        <f>+'[89]VENTAS TOTALES'!$F177</f>
        <v>0</v>
      </c>
      <c r="BL152" s="344">
        <f>+'[89]VENTAS TOTALES'!$G177</f>
        <v>834000</v>
      </c>
      <c r="BM152" s="344">
        <f>+'[89]VENTAS TOTALES'!$H177</f>
        <v>834000</v>
      </c>
      <c r="BN152" s="343">
        <f>+'[90]VENTAS TOTALES'!$F177</f>
        <v>0</v>
      </c>
      <c r="BO152" s="344">
        <f>+'[90]VENTAS TOTALES'!$G177</f>
        <v>533000</v>
      </c>
      <c r="BP152" s="344">
        <f>+'[90]VENTAS TOTALES'!$H177</f>
        <v>533000</v>
      </c>
      <c r="BQ152" s="343">
        <f>+'[91]VENTAS TOTALES'!$F177</f>
        <v>0</v>
      </c>
      <c r="BR152" s="344">
        <f>+'[91]VENTAS TOTALES'!$G177</f>
        <v>393000</v>
      </c>
      <c r="BS152" s="344">
        <f>+'[91]VENTAS TOTALES'!$H177</f>
        <v>393000</v>
      </c>
      <c r="BT152" s="343">
        <f>+'[92]VENTAS TOTALES'!$F177</f>
        <v>0</v>
      </c>
      <c r="BU152" s="344">
        <f>+'[92]VENTAS TOTALES'!$G177</f>
        <v>399000</v>
      </c>
      <c r="BV152" s="344">
        <f>+'[92]VENTAS TOTALES'!$H177</f>
        <v>399000</v>
      </c>
      <c r="BW152" s="343">
        <f>+'[93]VENTAS TOTALES'!$F177</f>
        <v>0</v>
      </c>
      <c r="BX152" s="344">
        <f>+'[93]VENTAS TOTALES'!$G177</f>
        <v>374000</v>
      </c>
      <c r="BY152" s="344">
        <f>+'[93]VENTAS TOTALES'!$H177</f>
        <v>374000</v>
      </c>
      <c r="BZ152" s="343">
        <f>+'[94]VENTAS TOTALES'!$F177</f>
        <v>0</v>
      </c>
      <c r="CA152" s="344">
        <f>+'[94]VENTAS TOTALES'!$G177</f>
        <v>328000</v>
      </c>
      <c r="CB152" s="344">
        <f>+'[94]VENTAS TOTALES'!$H177</f>
        <v>328000</v>
      </c>
      <c r="CC152" s="343">
        <f>+'[95]VENTAS TOTALES'!$F177</f>
        <v>0</v>
      </c>
      <c r="CD152" s="344">
        <f>+'[95]VENTAS TOTALES'!$G177</f>
        <v>125000</v>
      </c>
      <c r="CE152" s="344">
        <f>+'[95]VENTAS TOTALES'!$H177</f>
        <v>125000</v>
      </c>
      <c r="CF152" s="343">
        <f>+'[96]VENTAS TOTALES'!$F177</f>
        <v>0</v>
      </c>
      <c r="CG152" s="344">
        <f>+'[96]VENTAS TOTALES'!$G177</f>
        <v>1012000</v>
      </c>
      <c r="CH152" s="344">
        <f>+'[96]VENTAS TOTALES'!$H177</f>
        <v>1012000</v>
      </c>
      <c r="CI152" s="343">
        <f>+'[97]VENTAS TOTALES'!$F177</f>
        <v>0</v>
      </c>
      <c r="CJ152" s="344">
        <f>+'[97]VENTAS TOTALES'!$G177</f>
        <v>667000</v>
      </c>
      <c r="CK152" s="344">
        <f>+'[97]VENTAS TOTALES'!$H177</f>
        <v>667000</v>
      </c>
      <c r="CL152" s="343">
        <f>+'[98]VENTAS TOTALES'!$F177</f>
        <v>0</v>
      </c>
      <c r="CM152" s="344">
        <f>+'[98]VENTAS TOTALES'!$G177</f>
        <v>652000</v>
      </c>
      <c r="CN152" s="344">
        <f>+'[98]VENTAS TOTALES'!$H177</f>
        <v>652000</v>
      </c>
      <c r="CO152" s="343">
        <f>+'[99]VENTAS TOTALES'!$F177</f>
        <v>0</v>
      </c>
      <c r="CP152" s="344">
        <f>+'[99]VENTAS TOTALES'!$G177</f>
        <v>600000</v>
      </c>
      <c r="CQ152" s="344">
        <f>+'[99]VENTAS TOTALES'!$H177</f>
        <v>600000</v>
      </c>
      <c r="CR152" s="343">
        <f>+'[100]VENTAS TOTALES'!$F177</f>
        <v>0</v>
      </c>
      <c r="CS152" s="344">
        <f>+'[100]VENTAS TOTALES'!$G177</f>
        <v>434000</v>
      </c>
      <c r="CT152" s="344">
        <f>+'[100]VENTAS TOTALES'!$H177</f>
        <v>434000</v>
      </c>
      <c r="CU152" s="343">
        <f>+'[101]VENTAS TOTALES'!$F177</f>
        <v>0</v>
      </c>
      <c r="CV152" s="344">
        <f>+'[101]VENTAS TOTALES'!$G177</f>
        <v>236000</v>
      </c>
      <c r="CW152" s="344">
        <f>+'[101]VENTAS TOTALES'!$H177</f>
        <v>236000</v>
      </c>
      <c r="CX152" s="343">
        <f>+'[102]VENTAS TOTALES'!$F177</f>
        <v>0</v>
      </c>
      <c r="CY152" s="344">
        <f>+'[102]VENTAS TOTALES'!$G177</f>
        <v>122000</v>
      </c>
      <c r="CZ152" s="344">
        <f>+'[102]VENTAS TOTALES'!$H177</f>
        <v>122000</v>
      </c>
    </row>
    <row r="153" spans="1:104" s="8" customFormat="1" ht="14.25" customHeight="1" thickBot="1" x14ac:dyDescent="0.25">
      <c r="A153" s="455"/>
      <c r="B153" s="345" t="s">
        <v>384</v>
      </c>
      <c r="C153" s="343">
        <f>+'[69]VENTAS TOTALES'!$F178</f>
        <v>0</v>
      </c>
      <c r="D153" s="344">
        <f>+'[69]VENTAS TOTALES'!$G178</f>
        <v>472000</v>
      </c>
      <c r="E153" s="344">
        <f>+'[69]VENTAS TOTALES'!$H178</f>
        <v>472000</v>
      </c>
      <c r="F153" s="343">
        <f>+'[70]VENTAS TOTALES'!$F178</f>
        <v>0</v>
      </c>
      <c r="G153" s="344">
        <f>+'[70]VENTAS TOTALES'!$G178</f>
        <v>291000</v>
      </c>
      <c r="H153" s="344">
        <f>+'[70]VENTAS TOTALES'!$H178</f>
        <v>291000</v>
      </c>
      <c r="I153" s="343">
        <f>+'[71]VENTAS TOTALES'!$F178</f>
        <v>0</v>
      </c>
      <c r="J153" s="344">
        <f>+'[71]VENTAS TOTALES'!$G178</f>
        <v>355000</v>
      </c>
      <c r="K153" s="344">
        <f>+'[71]VENTAS TOTALES'!$H178</f>
        <v>355000</v>
      </c>
      <c r="L153" s="343">
        <f>+'[72]VENTAS TOTALES'!$F178</f>
        <v>0</v>
      </c>
      <c r="M153" s="344">
        <f>+'[72]VENTAS TOTALES'!$G178</f>
        <v>355000</v>
      </c>
      <c r="N153" s="344">
        <f>+'[72]VENTAS TOTALES'!$H178</f>
        <v>355000</v>
      </c>
      <c r="O153" s="343">
        <f>+'[73]VENTAS TOTALES'!$F178</f>
        <v>0</v>
      </c>
      <c r="P153" s="344">
        <f>+'[73]VENTAS TOTALES'!$G178</f>
        <v>322000</v>
      </c>
      <c r="Q153" s="344">
        <f>+'[73]VENTAS TOTALES'!$H178</f>
        <v>322000</v>
      </c>
      <c r="R153" s="343">
        <f>+'[74]VENTAS TOTALES'!$F178</f>
        <v>0</v>
      </c>
      <c r="S153" s="344">
        <f>+'[74]VENTAS TOTALES'!$G178</f>
        <v>90000</v>
      </c>
      <c r="T153" s="344">
        <f>+'[74]VENTAS TOTALES'!$H178</f>
        <v>90000</v>
      </c>
      <c r="U153" s="343">
        <f>+'[75]VENTAS TOTALES'!$F178</f>
        <v>0</v>
      </c>
      <c r="V153" s="344">
        <f>+'[75]VENTAS TOTALES'!$G178</f>
        <v>858000</v>
      </c>
      <c r="W153" s="344">
        <f>+'[75]VENTAS TOTALES'!$H178</f>
        <v>858000</v>
      </c>
      <c r="X153" s="343">
        <f>+'[76]VENTAS TOTALES'!$F178</f>
        <v>0</v>
      </c>
      <c r="Y153" s="344">
        <f>+'[76]VENTAS TOTALES'!$G178</f>
        <v>446000</v>
      </c>
      <c r="Z153" s="344">
        <f>+'[76]VENTAS TOTALES'!$H178</f>
        <v>446000</v>
      </c>
      <c r="AA153" s="343">
        <f>+'[77]VENTAS TOTALES'!$F178</f>
        <v>0</v>
      </c>
      <c r="AB153" s="344">
        <f>+'[77]VENTAS TOTALES'!$G178</f>
        <v>377000</v>
      </c>
      <c r="AC153" s="344">
        <f>+'[77]VENTAS TOTALES'!$H178</f>
        <v>377000</v>
      </c>
      <c r="AD153" s="343">
        <f>+'[78]VENTAS TOTALES'!$F178</f>
        <v>0</v>
      </c>
      <c r="AE153" s="344">
        <f>+'[78]VENTAS TOTALES'!$G178</f>
        <v>530000</v>
      </c>
      <c r="AF153" s="344">
        <f>+'[78]VENTAS TOTALES'!$H178</f>
        <v>530000</v>
      </c>
      <c r="AG153" s="343">
        <f>+'[79]VENTAS TOTALES'!$F178</f>
        <v>0</v>
      </c>
      <c r="AH153" s="344">
        <f>+'[79]VENTAS TOTALES'!$G178</f>
        <v>355000</v>
      </c>
      <c r="AI153" s="344">
        <f>+'[79]VENTAS TOTALES'!$H178</f>
        <v>355000</v>
      </c>
      <c r="AJ153" s="343">
        <f>+'[80]VENTAS TOTALES'!$F178</f>
        <v>0</v>
      </c>
      <c r="AK153" s="344">
        <f>+'[80]VENTAS TOTALES'!$G178</f>
        <v>215000</v>
      </c>
      <c r="AL153" s="344">
        <f>+'[80]VENTAS TOTALES'!$H178</f>
        <v>215000</v>
      </c>
      <c r="AM153" s="343">
        <f>+'[81]VENTAS TOTALES'!$F178</f>
        <v>0</v>
      </c>
      <c r="AN153" s="344">
        <f>+'[81]VENTAS TOTALES'!$G178</f>
        <v>118000</v>
      </c>
      <c r="AO153" s="344">
        <f>+'[81]VENTAS TOTALES'!$H178</f>
        <v>118000</v>
      </c>
      <c r="AP153" s="343">
        <f>+'[82]VENTAS TOTALES'!$F178</f>
        <v>0</v>
      </c>
      <c r="AQ153" s="344">
        <f>+'[82]VENTAS TOTALES'!$G178</f>
        <v>260000</v>
      </c>
      <c r="AR153" s="344">
        <f>+'[82]VENTAS TOTALES'!$H178</f>
        <v>260000</v>
      </c>
      <c r="AS153" s="343">
        <f>+'[83]VENTAS TOTALES'!$F178</f>
        <v>0</v>
      </c>
      <c r="AT153" s="344">
        <f>+'[83]VENTAS TOTALES'!$G178</f>
        <v>415000</v>
      </c>
      <c r="AU153" s="344">
        <f>+'[83]VENTAS TOTALES'!$H178</f>
        <v>415000</v>
      </c>
      <c r="AV153" s="343">
        <f>+'[84]VENTAS TOTALES'!$F178</f>
        <v>0</v>
      </c>
      <c r="AW153" s="344">
        <f>+'[84]VENTAS TOTALES'!$G178</f>
        <v>538000</v>
      </c>
      <c r="AX153" s="344">
        <f>+'[84]VENTAS TOTALES'!$H178</f>
        <v>538000</v>
      </c>
      <c r="AY153" s="343">
        <f>+'[85]VENTAS TOTALES'!$F178</f>
        <v>0</v>
      </c>
      <c r="AZ153" s="344">
        <f>+'[85]VENTAS TOTALES'!$G178</f>
        <v>726000</v>
      </c>
      <c r="BA153" s="344">
        <f>+'[85]VENTAS TOTALES'!$H178</f>
        <v>726000</v>
      </c>
      <c r="BB153" s="343">
        <f>+'[86]VENTAS TOTALES'!$F178</f>
        <v>0</v>
      </c>
      <c r="BC153" s="344">
        <f>+'[86]VENTAS TOTALES'!$G178</f>
        <v>505000</v>
      </c>
      <c r="BD153" s="344">
        <f>+'[86]VENTAS TOTALES'!$H178</f>
        <v>505000</v>
      </c>
      <c r="BE153" s="343">
        <f>+'[87]VENTAS TOTALES'!$F178</f>
        <v>0</v>
      </c>
      <c r="BF153" s="344">
        <f>+'[87]VENTAS TOTALES'!$G178</f>
        <v>72000</v>
      </c>
      <c r="BG153" s="344">
        <f>+'[87]VENTAS TOTALES'!$H178</f>
        <v>72000</v>
      </c>
      <c r="BH153" s="343">
        <f>+'[88]VENTAS TOTALES'!$F178</f>
        <v>0</v>
      </c>
      <c r="BI153" s="344">
        <f>+'[88]VENTAS TOTALES'!$G178</f>
        <v>95000</v>
      </c>
      <c r="BJ153" s="344">
        <f>+'[88]VENTAS TOTALES'!$H178</f>
        <v>95000</v>
      </c>
      <c r="BK153" s="343">
        <f>+'[89]VENTAS TOTALES'!$F178</f>
        <v>0</v>
      </c>
      <c r="BL153" s="344">
        <f>+'[89]VENTAS TOTALES'!$G178</f>
        <v>810000</v>
      </c>
      <c r="BM153" s="344">
        <f>+'[89]VENTAS TOTALES'!$H178</f>
        <v>810000</v>
      </c>
      <c r="BN153" s="343">
        <f>+'[90]VENTAS TOTALES'!$F178</f>
        <v>0</v>
      </c>
      <c r="BO153" s="344">
        <f>+'[90]VENTAS TOTALES'!$G178</f>
        <v>568000</v>
      </c>
      <c r="BP153" s="344">
        <f>+'[90]VENTAS TOTALES'!$H178</f>
        <v>568000</v>
      </c>
      <c r="BQ153" s="343">
        <f>+'[91]VENTAS TOTALES'!$F178</f>
        <v>0</v>
      </c>
      <c r="BR153" s="344">
        <f>+'[91]VENTAS TOTALES'!$G178</f>
        <v>368000</v>
      </c>
      <c r="BS153" s="344">
        <f>+'[91]VENTAS TOTALES'!$H178</f>
        <v>368000</v>
      </c>
      <c r="BT153" s="343">
        <f>+'[92]VENTAS TOTALES'!$F178</f>
        <v>0</v>
      </c>
      <c r="BU153" s="344">
        <f>+'[92]VENTAS TOTALES'!$G178</f>
        <v>319000</v>
      </c>
      <c r="BV153" s="344">
        <f>+'[92]VENTAS TOTALES'!$H178</f>
        <v>319000</v>
      </c>
      <c r="BW153" s="343">
        <f>+'[93]VENTAS TOTALES'!$F178</f>
        <v>0</v>
      </c>
      <c r="BX153" s="344">
        <f>+'[93]VENTAS TOTALES'!$G178</f>
        <v>417000</v>
      </c>
      <c r="BY153" s="344">
        <f>+'[93]VENTAS TOTALES'!$H178</f>
        <v>417000</v>
      </c>
      <c r="BZ153" s="343">
        <f>+'[94]VENTAS TOTALES'!$F178</f>
        <v>0</v>
      </c>
      <c r="CA153" s="344">
        <f>+'[94]VENTAS TOTALES'!$G178</f>
        <v>275000</v>
      </c>
      <c r="CB153" s="344">
        <f>+'[94]VENTAS TOTALES'!$H178</f>
        <v>275000</v>
      </c>
      <c r="CC153" s="343">
        <f>+'[95]VENTAS TOTALES'!$F178</f>
        <v>0</v>
      </c>
      <c r="CD153" s="344">
        <f>+'[95]VENTAS TOTALES'!$G178</f>
        <v>68000</v>
      </c>
      <c r="CE153" s="344">
        <f>+'[95]VENTAS TOTALES'!$H178</f>
        <v>68000</v>
      </c>
      <c r="CF153" s="343">
        <f>+'[96]VENTAS TOTALES'!$F178</f>
        <v>0</v>
      </c>
      <c r="CG153" s="344">
        <f>+'[96]VENTAS TOTALES'!$G178</f>
        <v>997000</v>
      </c>
      <c r="CH153" s="344">
        <f>+'[96]VENTAS TOTALES'!$H178</f>
        <v>997000</v>
      </c>
      <c r="CI153" s="343">
        <f>+'[97]VENTAS TOTALES'!$F178</f>
        <v>0</v>
      </c>
      <c r="CJ153" s="344">
        <f>+'[97]VENTAS TOTALES'!$G178</f>
        <v>801000</v>
      </c>
      <c r="CK153" s="344">
        <f>+'[97]VENTAS TOTALES'!$H178</f>
        <v>801000</v>
      </c>
      <c r="CL153" s="343">
        <f>+'[98]VENTAS TOTALES'!$F178</f>
        <v>0</v>
      </c>
      <c r="CM153" s="344">
        <f>+'[98]VENTAS TOTALES'!$G178</f>
        <v>614000</v>
      </c>
      <c r="CN153" s="344">
        <f>+'[98]VENTAS TOTALES'!$H178</f>
        <v>614000</v>
      </c>
      <c r="CO153" s="343">
        <f>+'[99]VENTAS TOTALES'!$F178</f>
        <v>0</v>
      </c>
      <c r="CP153" s="344">
        <f>+'[99]VENTAS TOTALES'!$G178</f>
        <v>652000</v>
      </c>
      <c r="CQ153" s="344">
        <f>+'[99]VENTAS TOTALES'!$H178</f>
        <v>652000</v>
      </c>
      <c r="CR153" s="343">
        <f>+'[100]VENTAS TOTALES'!$F178</f>
        <v>0</v>
      </c>
      <c r="CS153" s="344">
        <f>+'[100]VENTAS TOTALES'!$G178</f>
        <v>434000</v>
      </c>
      <c r="CT153" s="344">
        <f>+'[100]VENTAS TOTALES'!$H178</f>
        <v>434000</v>
      </c>
      <c r="CU153" s="343">
        <f>+'[101]VENTAS TOTALES'!$F178</f>
        <v>0</v>
      </c>
      <c r="CV153" s="344">
        <f>+'[101]VENTAS TOTALES'!$G178</f>
        <v>285000</v>
      </c>
      <c r="CW153" s="344">
        <f>+'[101]VENTAS TOTALES'!$H178</f>
        <v>285000</v>
      </c>
      <c r="CX153" s="343">
        <f>+'[102]VENTAS TOTALES'!$F178</f>
        <v>0</v>
      </c>
      <c r="CY153" s="344">
        <f>+'[102]VENTAS TOTALES'!$G178</f>
        <v>106000</v>
      </c>
      <c r="CZ153" s="344">
        <f>+'[102]VENTAS TOTALES'!$H178</f>
        <v>106000</v>
      </c>
    </row>
    <row r="154" spans="1:104" s="8" customFormat="1" ht="14.25" customHeight="1" thickBot="1" x14ac:dyDescent="0.25">
      <c r="A154" s="455"/>
      <c r="B154" s="345" t="s">
        <v>391</v>
      </c>
      <c r="C154" s="343">
        <f>+'[69]VENTAS TOTALES'!$F179</f>
        <v>0</v>
      </c>
      <c r="D154" s="344">
        <f>+'[69]VENTAS TOTALES'!$G179</f>
        <v>0</v>
      </c>
      <c r="E154" s="344">
        <f>+'[69]VENTAS TOTALES'!$H179</f>
        <v>0</v>
      </c>
      <c r="F154" s="343">
        <f>+'[70]VENTAS TOTALES'!$F179</f>
        <v>0</v>
      </c>
      <c r="G154" s="344">
        <f>+'[70]VENTAS TOTALES'!$G179</f>
        <v>0</v>
      </c>
      <c r="H154" s="344">
        <f>+'[70]VENTAS TOTALES'!$H179</f>
        <v>0</v>
      </c>
      <c r="I154" s="343">
        <f>+'[71]VENTAS TOTALES'!$F179</f>
        <v>0</v>
      </c>
      <c r="J154" s="344">
        <f>+'[71]VENTAS TOTALES'!$G179</f>
        <v>0</v>
      </c>
      <c r="K154" s="344">
        <f>+'[71]VENTAS TOTALES'!$H179</f>
        <v>0</v>
      </c>
      <c r="L154" s="343">
        <f>+'[72]VENTAS TOTALES'!$F179</f>
        <v>0</v>
      </c>
      <c r="M154" s="344">
        <f>+'[72]VENTAS TOTALES'!$G179</f>
        <v>0</v>
      </c>
      <c r="N154" s="344">
        <f>+'[72]VENTAS TOTALES'!$H179</f>
        <v>0</v>
      </c>
      <c r="O154" s="343">
        <f>+'[73]VENTAS TOTALES'!$F179</f>
        <v>0</v>
      </c>
      <c r="P154" s="344">
        <f>+'[73]VENTAS TOTALES'!$G179</f>
        <v>0</v>
      </c>
      <c r="Q154" s="344">
        <f>+'[73]VENTAS TOTALES'!$H179</f>
        <v>0</v>
      </c>
      <c r="R154" s="343">
        <f>+'[74]VENTAS TOTALES'!$F179</f>
        <v>0</v>
      </c>
      <c r="S154" s="344">
        <f>+'[74]VENTAS TOTALES'!$G179</f>
        <v>0</v>
      </c>
      <c r="T154" s="344">
        <f>+'[74]VENTAS TOTALES'!$H179</f>
        <v>0</v>
      </c>
      <c r="U154" s="343">
        <f>+'[75]VENTAS TOTALES'!$F179</f>
        <v>0</v>
      </c>
      <c r="V154" s="344">
        <f>+'[75]VENTAS TOTALES'!$G179</f>
        <v>0</v>
      </c>
      <c r="W154" s="344">
        <f>+'[75]VENTAS TOTALES'!$H179</f>
        <v>0</v>
      </c>
      <c r="X154" s="343">
        <f>+'[76]VENTAS TOTALES'!$F179</f>
        <v>0</v>
      </c>
      <c r="Y154" s="344">
        <f>+'[76]VENTAS TOTALES'!$G179</f>
        <v>0</v>
      </c>
      <c r="Z154" s="344">
        <f>+'[76]VENTAS TOTALES'!$H179</f>
        <v>0</v>
      </c>
      <c r="AA154" s="343">
        <f>+'[77]VENTAS TOTALES'!$F179</f>
        <v>0</v>
      </c>
      <c r="AB154" s="344">
        <f>+'[77]VENTAS TOTALES'!$G179</f>
        <v>0</v>
      </c>
      <c r="AC154" s="344">
        <f>+'[77]VENTAS TOTALES'!$H179</f>
        <v>0</v>
      </c>
      <c r="AD154" s="343">
        <f>+'[78]VENTAS TOTALES'!$F179</f>
        <v>0</v>
      </c>
      <c r="AE154" s="344">
        <f>+'[78]VENTAS TOTALES'!$G179</f>
        <v>0</v>
      </c>
      <c r="AF154" s="344">
        <f>+'[78]VENTAS TOTALES'!$H179</f>
        <v>0</v>
      </c>
      <c r="AG154" s="343">
        <f>+'[79]VENTAS TOTALES'!$F179</f>
        <v>0</v>
      </c>
      <c r="AH154" s="344">
        <f>+'[79]VENTAS TOTALES'!$G179</f>
        <v>0</v>
      </c>
      <c r="AI154" s="344">
        <f>+'[79]VENTAS TOTALES'!$H179</f>
        <v>0</v>
      </c>
      <c r="AJ154" s="343">
        <f>+'[80]VENTAS TOTALES'!$F179</f>
        <v>0</v>
      </c>
      <c r="AK154" s="344">
        <f>+'[80]VENTAS TOTALES'!$G179</f>
        <v>0</v>
      </c>
      <c r="AL154" s="344">
        <f>+'[80]VENTAS TOTALES'!$H179</f>
        <v>0</v>
      </c>
      <c r="AM154" s="343">
        <f>+'[81]VENTAS TOTALES'!$F179</f>
        <v>0</v>
      </c>
      <c r="AN154" s="344">
        <f>+'[81]VENTAS TOTALES'!$G179</f>
        <v>0</v>
      </c>
      <c r="AO154" s="344">
        <f>+'[81]VENTAS TOTALES'!$H179</f>
        <v>0</v>
      </c>
      <c r="AP154" s="343">
        <f>+'[82]VENTAS TOTALES'!$F179</f>
        <v>0</v>
      </c>
      <c r="AQ154" s="344">
        <f>+'[82]VENTAS TOTALES'!$G179</f>
        <v>0</v>
      </c>
      <c r="AR154" s="344">
        <f>+'[82]VENTAS TOTALES'!$H179</f>
        <v>0</v>
      </c>
      <c r="AS154" s="343">
        <f>+'[83]VENTAS TOTALES'!$F179</f>
        <v>0</v>
      </c>
      <c r="AT154" s="344">
        <f>+'[83]VENTAS TOTALES'!$G179</f>
        <v>0</v>
      </c>
      <c r="AU154" s="344">
        <f>+'[83]VENTAS TOTALES'!$H179</f>
        <v>0</v>
      </c>
      <c r="AV154" s="343">
        <f>+'[84]VENTAS TOTALES'!$F179</f>
        <v>0</v>
      </c>
      <c r="AW154" s="344">
        <f>+'[84]VENTAS TOTALES'!$G179</f>
        <v>0</v>
      </c>
      <c r="AX154" s="344">
        <f>+'[84]VENTAS TOTALES'!$H179</f>
        <v>0</v>
      </c>
      <c r="AY154" s="343">
        <f>+'[85]VENTAS TOTALES'!$F179</f>
        <v>0</v>
      </c>
      <c r="AZ154" s="344">
        <f>+'[85]VENTAS TOTALES'!$G179</f>
        <v>0</v>
      </c>
      <c r="BA154" s="344">
        <f>+'[85]VENTAS TOTALES'!$H179</f>
        <v>0</v>
      </c>
      <c r="BB154" s="343">
        <f>+'[86]VENTAS TOTALES'!$F179</f>
        <v>0</v>
      </c>
      <c r="BC154" s="344">
        <f>+'[86]VENTAS TOTALES'!$G179</f>
        <v>0</v>
      </c>
      <c r="BD154" s="344">
        <f>+'[86]VENTAS TOTALES'!$H179</f>
        <v>0</v>
      </c>
      <c r="BE154" s="343">
        <f>+'[87]VENTAS TOTALES'!$F179</f>
        <v>0</v>
      </c>
      <c r="BF154" s="344">
        <f>+'[87]VENTAS TOTALES'!$G179</f>
        <v>0</v>
      </c>
      <c r="BG154" s="344">
        <f>+'[87]VENTAS TOTALES'!$H179</f>
        <v>0</v>
      </c>
      <c r="BH154" s="343">
        <f>+'[88]VENTAS TOTALES'!$F179</f>
        <v>0</v>
      </c>
      <c r="BI154" s="344">
        <f>+'[88]VENTAS TOTALES'!$G179</f>
        <v>0</v>
      </c>
      <c r="BJ154" s="344">
        <f>+'[88]VENTAS TOTALES'!$H179</f>
        <v>0</v>
      </c>
      <c r="BK154" s="343">
        <f>+'[89]VENTAS TOTALES'!$F179</f>
        <v>0</v>
      </c>
      <c r="BL154" s="344">
        <f>+'[89]VENTAS TOTALES'!$G179</f>
        <v>0</v>
      </c>
      <c r="BM154" s="344">
        <f>+'[89]VENTAS TOTALES'!$H179</f>
        <v>0</v>
      </c>
      <c r="BN154" s="343">
        <f>+'[90]VENTAS TOTALES'!$F179</f>
        <v>0</v>
      </c>
      <c r="BO154" s="344">
        <f>+'[90]VENTAS TOTALES'!$G179</f>
        <v>0</v>
      </c>
      <c r="BP154" s="344">
        <f>+'[90]VENTAS TOTALES'!$H179</f>
        <v>0</v>
      </c>
      <c r="BQ154" s="343">
        <f>+'[91]VENTAS TOTALES'!$F179</f>
        <v>0</v>
      </c>
      <c r="BR154" s="344">
        <f>+'[91]VENTAS TOTALES'!$G179</f>
        <v>0</v>
      </c>
      <c r="BS154" s="344">
        <f>+'[91]VENTAS TOTALES'!$H179</f>
        <v>0</v>
      </c>
      <c r="BT154" s="343">
        <f>+'[92]VENTAS TOTALES'!$F179</f>
        <v>0</v>
      </c>
      <c r="BU154" s="344">
        <f>+'[92]VENTAS TOTALES'!$G179</f>
        <v>0</v>
      </c>
      <c r="BV154" s="344">
        <f>+'[92]VENTAS TOTALES'!$H179</f>
        <v>0</v>
      </c>
      <c r="BW154" s="343">
        <f>+'[93]VENTAS TOTALES'!$F179</f>
        <v>0</v>
      </c>
      <c r="BX154" s="344">
        <f>+'[93]VENTAS TOTALES'!$G179</f>
        <v>0</v>
      </c>
      <c r="BY154" s="344">
        <f>+'[93]VENTAS TOTALES'!$H179</f>
        <v>0</v>
      </c>
      <c r="BZ154" s="343">
        <f>+'[94]VENTAS TOTALES'!$F179</f>
        <v>0</v>
      </c>
      <c r="CA154" s="344">
        <f>+'[94]VENTAS TOTALES'!$G179</f>
        <v>0</v>
      </c>
      <c r="CB154" s="344">
        <f>+'[94]VENTAS TOTALES'!$H179</f>
        <v>0</v>
      </c>
      <c r="CC154" s="343">
        <f>+'[95]VENTAS TOTALES'!$F179</f>
        <v>0</v>
      </c>
      <c r="CD154" s="344">
        <f>+'[95]VENTAS TOTALES'!$G179</f>
        <v>0</v>
      </c>
      <c r="CE154" s="344">
        <f>+'[95]VENTAS TOTALES'!$H179</f>
        <v>0</v>
      </c>
      <c r="CF154" s="343">
        <f>+'[96]VENTAS TOTALES'!$F179</f>
        <v>0</v>
      </c>
      <c r="CG154" s="344">
        <f>+'[96]VENTAS TOTALES'!$G179</f>
        <v>0</v>
      </c>
      <c r="CH154" s="344">
        <f>+'[96]VENTAS TOTALES'!$H179</f>
        <v>0</v>
      </c>
      <c r="CI154" s="343">
        <f>+'[97]VENTAS TOTALES'!$F179</f>
        <v>0</v>
      </c>
      <c r="CJ154" s="344">
        <f>+'[97]VENTAS TOTALES'!$G179</f>
        <v>0</v>
      </c>
      <c r="CK154" s="344">
        <f>+'[97]VENTAS TOTALES'!$H179</f>
        <v>0</v>
      </c>
      <c r="CL154" s="343">
        <f>+'[98]VENTAS TOTALES'!$F179</f>
        <v>0</v>
      </c>
      <c r="CM154" s="344">
        <f>+'[98]VENTAS TOTALES'!$G179</f>
        <v>0</v>
      </c>
      <c r="CN154" s="344">
        <f>+'[98]VENTAS TOTALES'!$H179</f>
        <v>0</v>
      </c>
      <c r="CO154" s="343">
        <f>+'[99]VENTAS TOTALES'!$F179</f>
        <v>0</v>
      </c>
      <c r="CP154" s="344">
        <f>+'[99]VENTAS TOTALES'!$G179</f>
        <v>0</v>
      </c>
      <c r="CQ154" s="344">
        <f>+'[99]VENTAS TOTALES'!$H179</f>
        <v>0</v>
      </c>
      <c r="CR154" s="343">
        <f>+'[100]VENTAS TOTALES'!$F179</f>
        <v>0</v>
      </c>
      <c r="CS154" s="344">
        <f>+'[100]VENTAS TOTALES'!$G179</f>
        <v>0</v>
      </c>
      <c r="CT154" s="344">
        <f>+'[100]VENTAS TOTALES'!$H179</f>
        <v>0</v>
      </c>
      <c r="CU154" s="343">
        <f>+'[101]VENTAS TOTALES'!$F179</f>
        <v>0</v>
      </c>
      <c r="CV154" s="344">
        <f>+'[101]VENTAS TOTALES'!$G179</f>
        <v>0</v>
      </c>
      <c r="CW154" s="344">
        <f>+'[101]VENTAS TOTALES'!$H179</f>
        <v>0</v>
      </c>
      <c r="CX154" s="343">
        <f>+'[102]VENTAS TOTALES'!$F179</f>
        <v>0</v>
      </c>
      <c r="CY154" s="344">
        <f>+'[102]VENTAS TOTALES'!$G179</f>
        <v>0</v>
      </c>
      <c r="CZ154" s="344">
        <f>+'[102]VENTAS TOTALES'!$H179</f>
        <v>0</v>
      </c>
    </row>
    <row r="155" spans="1:104" s="8" customFormat="1" ht="14.25" customHeight="1" thickBot="1" x14ac:dyDescent="0.25">
      <c r="A155" s="455"/>
      <c r="B155" s="345" t="s">
        <v>392</v>
      </c>
      <c r="C155" s="343">
        <f>+'[69]VENTAS TOTALES'!$F180</f>
        <v>0</v>
      </c>
      <c r="D155" s="344">
        <f>+'[69]VENTAS TOTALES'!$G180</f>
        <v>0</v>
      </c>
      <c r="E155" s="344">
        <f>+'[69]VENTAS TOTALES'!$H180</f>
        <v>0</v>
      </c>
      <c r="F155" s="343">
        <f>+'[70]VENTAS TOTALES'!$F180</f>
        <v>0</v>
      </c>
      <c r="G155" s="344">
        <f>+'[70]VENTAS TOTALES'!$G180</f>
        <v>42000</v>
      </c>
      <c r="H155" s="344">
        <f>+'[70]VENTAS TOTALES'!$H180</f>
        <v>42000</v>
      </c>
      <c r="I155" s="343">
        <f>+'[71]VENTAS TOTALES'!$F180</f>
        <v>0</v>
      </c>
      <c r="J155" s="344">
        <f>+'[71]VENTAS TOTALES'!$G180</f>
        <v>15000</v>
      </c>
      <c r="K155" s="344">
        <f>+'[71]VENTAS TOTALES'!$H180</f>
        <v>15000</v>
      </c>
      <c r="L155" s="343">
        <f>+'[72]VENTAS TOTALES'!$F180</f>
        <v>0</v>
      </c>
      <c r="M155" s="344">
        <f>+'[72]VENTAS TOTALES'!$G180</f>
        <v>2000</v>
      </c>
      <c r="N155" s="344">
        <f>+'[72]VENTAS TOTALES'!$H180</f>
        <v>2000</v>
      </c>
      <c r="O155" s="343">
        <f>+'[73]VENTAS TOTALES'!$F180</f>
        <v>0</v>
      </c>
      <c r="P155" s="344">
        <f>+'[73]VENTAS TOTALES'!$G180</f>
        <v>4000</v>
      </c>
      <c r="Q155" s="344">
        <f>+'[73]VENTAS TOTALES'!$H180</f>
        <v>4000</v>
      </c>
      <c r="R155" s="343">
        <f>+'[74]VENTAS TOTALES'!$F180</f>
        <v>0</v>
      </c>
      <c r="S155" s="344">
        <f>+'[74]VENTAS TOTALES'!$G180</f>
        <v>1000</v>
      </c>
      <c r="T155" s="344">
        <f>+'[74]VENTAS TOTALES'!$H180</f>
        <v>1000</v>
      </c>
      <c r="U155" s="343">
        <f>+'[75]VENTAS TOTALES'!$F180</f>
        <v>0</v>
      </c>
      <c r="V155" s="344">
        <f>+'[75]VENTAS TOTALES'!$G180</f>
        <v>2000</v>
      </c>
      <c r="W155" s="344">
        <f>+'[75]VENTAS TOTALES'!$H180</f>
        <v>2000</v>
      </c>
      <c r="X155" s="343">
        <f>+'[76]VENTAS TOTALES'!$F180</f>
        <v>0</v>
      </c>
      <c r="Y155" s="344">
        <f>+'[76]VENTAS TOTALES'!$G180</f>
        <v>9000</v>
      </c>
      <c r="Z155" s="344">
        <f>+'[76]VENTAS TOTALES'!$H180</f>
        <v>9000</v>
      </c>
      <c r="AA155" s="343">
        <f>+'[77]VENTAS TOTALES'!$F180</f>
        <v>0</v>
      </c>
      <c r="AB155" s="344">
        <f>+'[77]VENTAS TOTALES'!$G180</f>
        <v>2000</v>
      </c>
      <c r="AC155" s="344">
        <f>+'[77]VENTAS TOTALES'!$H180</f>
        <v>2000</v>
      </c>
      <c r="AD155" s="343">
        <f>+'[78]VENTAS TOTALES'!$F180</f>
        <v>0</v>
      </c>
      <c r="AE155" s="344">
        <f>+'[78]VENTAS TOTALES'!$G180</f>
        <v>5000</v>
      </c>
      <c r="AF155" s="344">
        <f>+'[78]VENTAS TOTALES'!$H180</f>
        <v>5000</v>
      </c>
      <c r="AG155" s="343">
        <f>+'[79]VENTAS TOTALES'!$F180</f>
        <v>0</v>
      </c>
      <c r="AH155" s="344">
        <f>+'[79]VENTAS TOTALES'!$G180</f>
        <v>5000</v>
      </c>
      <c r="AI155" s="344">
        <f>+'[79]VENTAS TOTALES'!$H180</f>
        <v>5000</v>
      </c>
      <c r="AJ155" s="343">
        <f>+'[80]VENTAS TOTALES'!$F180</f>
        <v>0</v>
      </c>
      <c r="AK155" s="344">
        <f>+'[80]VENTAS TOTALES'!$G180</f>
        <v>10000</v>
      </c>
      <c r="AL155" s="344">
        <f>+'[80]VENTAS TOTALES'!$H180</f>
        <v>10000</v>
      </c>
      <c r="AM155" s="343">
        <f>+'[81]VENTAS TOTALES'!$F180</f>
        <v>0</v>
      </c>
      <c r="AN155" s="344">
        <f>+'[81]VENTAS TOTALES'!$G180</f>
        <v>0</v>
      </c>
      <c r="AO155" s="344">
        <f>+'[81]VENTAS TOTALES'!$H180</f>
        <v>0</v>
      </c>
      <c r="AP155" s="343">
        <f>+'[82]VENTAS TOTALES'!$F180</f>
        <v>0</v>
      </c>
      <c r="AQ155" s="344">
        <f>+'[82]VENTAS TOTALES'!$G180</f>
        <v>15000</v>
      </c>
      <c r="AR155" s="344">
        <f>+'[82]VENTAS TOTALES'!$H180</f>
        <v>15000</v>
      </c>
      <c r="AS155" s="343">
        <f>+'[83]VENTAS TOTALES'!$F180</f>
        <v>0</v>
      </c>
      <c r="AT155" s="344">
        <f>+'[83]VENTAS TOTALES'!$G180</f>
        <v>12000</v>
      </c>
      <c r="AU155" s="344">
        <f>+'[83]VENTAS TOTALES'!$H180</f>
        <v>12000</v>
      </c>
      <c r="AV155" s="343">
        <f>+'[84]VENTAS TOTALES'!$F180</f>
        <v>0</v>
      </c>
      <c r="AW155" s="344">
        <f>+'[84]VENTAS TOTALES'!$G180</f>
        <v>40000</v>
      </c>
      <c r="AX155" s="344">
        <f>+'[84]VENTAS TOTALES'!$H180</f>
        <v>40000</v>
      </c>
      <c r="AY155" s="343">
        <f>+'[85]VENTAS TOTALES'!$F180</f>
        <v>0</v>
      </c>
      <c r="AZ155" s="344">
        <f>+'[85]VENTAS TOTALES'!$G180</f>
        <v>2000</v>
      </c>
      <c r="BA155" s="344">
        <f>+'[85]VENTAS TOTALES'!$H180</f>
        <v>2000</v>
      </c>
      <c r="BB155" s="343">
        <f>+'[86]VENTAS TOTALES'!$F180</f>
        <v>0</v>
      </c>
      <c r="BC155" s="344">
        <f>+'[86]VENTAS TOTALES'!$G180</f>
        <v>31000</v>
      </c>
      <c r="BD155" s="344">
        <f>+'[86]VENTAS TOTALES'!$H180</f>
        <v>31000</v>
      </c>
      <c r="BE155" s="343">
        <f>+'[87]VENTAS TOTALES'!$F180</f>
        <v>0</v>
      </c>
      <c r="BF155" s="344">
        <f>+'[87]VENTAS TOTALES'!$G180</f>
        <v>0</v>
      </c>
      <c r="BG155" s="344">
        <f>+'[87]VENTAS TOTALES'!$H180</f>
        <v>0</v>
      </c>
      <c r="BH155" s="343">
        <f>+'[88]VENTAS TOTALES'!$F180</f>
        <v>0</v>
      </c>
      <c r="BI155" s="344">
        <f>+'[88]VENTAS TOTALES'!$G180</f>
        <v>0</v>
      </c>
      <c r="BJ155" s="344">
        <f>+'[88]VENTAS TOTALES'!$H180</f>
        <v>0</v>
      </c>
      <c r="BK155" s="343">
        <f>+'[89]VENTAS TOTALES'!$F180</f>
        <v>0</v>
      </c>
      <c r="BL155" s="344">
        <f>+'[89]VENTAS TOTALES'!$G180</f>
        <v>2000</v>
      </c>
      <c r="BM155" s="344">
        <f>+'[89]VENTAS TOTALES'!$H180</f>
        <v>2000</v>
      </c>
      <c r="BN155" s="343">
        <f>+'[90]VENTAS TOTALES'!$F180</f>
        <v>0</v>
      </c>
      <c r="BO155" s="344">
        <f>+'[90]VENTAS TOTALES'!$G180</f>
        <v>7000</v>
      </c>
      <c r="BP155" s="344">
        <f>+'[90]VENTAS TOTALES'!$H180</f>
        <v>7000</v>
      </c>
      <c r="BQ155" s="343">
        <f>+'[91]VENTAS TOTALES'!$F180</f>
        <v>0</v>
      </c>
      <c r="BR155" s="344">
        <f>+'[91]VENTAS TOTALES'!$G180</f>
        <v>14000</v>
      </c>
      <c r="BS155" s="344">
        <f>+'[91]VENTAS TOTALES'!$H180</f>
        <v>14000</v>
      </c>
      <c r="BT155" s="343">
        <f>+'[92]VENTAS TOTALES'!$F180</f>
        <v>0</v>
      </c>
      <c r="BU155" s="344">
        <f>+'[92]VENTAS TOTALES'!$G180</f>
        <v>2000</v>
      </c>
      <c r="BV155" s="344">
        <f>+'[92]VENTAS TOTALES'!$H180</f>
        <v>2000</v>
      </c>
      <c r="BW155" s="343">
        <f>+'[93]VENTAS TOTALES'!$F180</f>
        <v>0</v>
      </c>
      <c r="BX155" s="344">
        <f>+'[93]VENTAS TOTALES'!$G180</f>
        <v>9000</v>
      </c>
      <c r="BY155" s="344">
        <f>+'[93]VENTAS TOTALES'!$H180</f>
        <v>9000</v>
      </c>
      <c r="BZ155" s="343">
        <f>+'[94]VENTAS TOTALES'!$F180</f>
        <v>0</v>
      </c>
      <c r="CA155" s="344">
        <f>+'[94]VENTAS TOTALES'!$G180</f>
        <v>0</v>
      </c>
      <c r="CB155" s="344">
        <f>+'[94]VENTAS TOTALES'!$H180</f>
        <v>0</v>
      </c>
      <c r="CC155" s="343">
        <f>+'[95]VENTAS TOTALES'!$F180</f>
        <v>0</v>
      </c>
      <c r="CD155" s="344">
        <f>+'[95]VENTAS TOTALES'!$G180</f>
        <v>0</v>
      </c>
      <c r="CE155" s="344">
        <f>+'[95]VENTAS TOTALES'!$H180</f>
        <v>0</v>
      </c>
      <c r="CF155" s="343">
        <f>+'[96]VENTAS TOTALES'!$F180</f>
        <v>0</v>
      </c>
      <c r="CG155" s="344">
        <f>+'[96]VENTAS TOTALES'!$G180</f>
        <v>9000</v>
      </c>
      <c r="CH155" s="344">
        <f>+'[96]VENTAS TOTALES'!$H180</f>
        <v>9000</v>
      </c>
      <c r="CI155" s="343">
        <f>+'[97]VENTAS TOTALES'!$F180</f>
        <v>0</v>
      </c>
      <c r="CJ155" s="344">
        <f>+'[97]VENTAS TOTALES'!$G180</f>
        <v>13000</v>
      </c>
      <c r="CK155" s="344">
        <f>+'[97]VENTAS TOTALES'!$H180</f>
        <v>13000</v>
      </c>
      <c r="CL155" s="343">
        <f>+'[98]VENTAS TOTALES'!$F180</f>
        <v>0</v>
      </c>
      <c r="CM155" s="344">
        <f>+'[98]VENTAS TOTALES'!$G180</f>
        <v>3000</v>
      </c>
      <c r="CN155" s="344">
        <f>+'[98]VENTAS TOTALES'!$H180</f>
        <v>3000</v>
      </c>
      <c r="CO155" s="343">
        <f>+'[99]VENTAS TOTALES'!$F180</f>
        <v>0</v>
      </c>
      <c r="CP155" s="344">
        <f>+'[99]VENTAS TOTALES'!$G180</f>
        <v>20000</v>
      </c>
      <c r="CQ155" s="344">
        <f>+'[99]VENTAS TOTALES'!$H180</f>
        <v>20000</v>
      </c>
      <c r="CR155" s="343">
        <f>+'[100]VENTAS TOTALES'!$F180</f>
        <v>0</v>
      </c>
      <c r="CS155" s="344">
        <f>+'[100]VENTAS TOTALES'!$G180</f>
        <v>1000</v>
      </c>
      <c r="CT155" s="344">
        <f>+'[100]VENTAS TOTALES'!$H180</f>
        <v>1000</v>
      </c>
      <c r="CU155" s="343">
        <f>+'[101]VENTAS TOTALES'!$F180</f>
        <v>0</v>
      </c>
      <c r="CV155" s="344">
        <f>+'[101]VENTAS TOTALES'!$G180</f>
        <v>3000</v>
      </c>
      <c r="CW155" s="344">
        <f>+'[101]VENTAS TOTALES'!$H180</f>
        <v>3000</v>
      </c>
      <c r="CX155" s="343">
        <f>+'[102]VENTAS TOTALES'!$F180</f>
        <v>0</v>
      </c>
      <c r="CY155" s="344">
        <f>+'[102]VENTAS TOTALES'!$G180</f>
        <v>0</v>
      </c>
      <c r="CZ155" s="344">
        <f>+'[102]VENTAS TOTALES'!$H180</f>
        <v>0</v>
      </c>
    </row>
    <row r="156" spans="1:104" s="8" customFormat="1" ht="14.25" customHeight="1" thickBot="1" x14ac:dyDescent="0.25">
      <c r="A156" s="455"/>
      <c r="B156" s="345" t="s">
        <v>393</v>
      </c>
      <c r="C156" s="343">
        <f>+'[69]VENTAS TOTALES'!$F181</f>
        <v>0</v>
      </c>
      <c r="D156" s="344">
        <f>+'[69]VENTAS TOTALES'!$G181</f>
        <v>78000</v>
      </c>
      <c r="E156" s="344">
        <f>+'[69]VENTAS TOTALES'!$H181</f>
        <v>78000</v>
      </c>
      <c r="F156" s="343">
        <f>+'[70]VENTAS TOTALES'!$F181</f>
        <v>0</v>
      </c>
      <c r="G156" s="344">
        <f>+'[70]VENTAS TOTALES'!$G181</f>
        <v>0</v>
      </c>
      <c r="H156" s="344">
        <f>+'[70]VENTAS TOTALES'!$H181</f>
        <v>0</v>
      </c>
      <c r="I156" s="343">
        <f>+'[71]VENTAS TOTALES'!$F181</f>
        <v>0</v>
      </c>
      <c r="J156" s="344">
        <f>+'[71]VENTAS TOTALES'!$G181</f>
        <v>0</v>
      </c>
      <c r="K156" s="344">
        <f>+'[71]VENTAS TOTALES'!$H181</f>
        <v>0</v>
      </c>
      <c r="L156" s="343">
        <f>+'[72]VENTAS TOTALES'!$F181</f>
        <v>0</v>
      </c>
      <c r="M156" s="344">
        <f>+'[72]VENTAS TOTALES'!$G181</f>
        <v>4000</v>
      </c>
      <c r="N156" s="344">
        <f>+'[72]VENTAS TOTALES'!$H181</f>
        <v>4000</v>
      </c>
      <c r="O156" s="343">
        <f>+'[73]VENTAS TOTALES'!$F181</f>
        <v>0</v>
      </c>
      <c r="P156" s="344">
        <f>+'[73]VENTAS TOTALES'!$G181</f>
        <v>9000</v>
      </c>
      <c r="Q156" s="344">
        <f>+'[73]VENTAS TOTALES'!$H181</f>
        <v>9000</v>
      </c>
      <c r="R156" s="343">
        <f>+'[74]VENTAS TOTALES'!$F181</f>
        <v>0</v>
      </c>
      <c r="S156" s="344">
        <f>+'[74]VENTAS TOTALES'!$G181</f>
        <v>2000</v>
      </c>
      <c r="T156" s="344">
        <f>+'[74]VENTAS TOTALES'!$H181</f>
        <v>2000</v>
      </c>
      <c r="U156" s="343">
        <f>+'[75]VENTAS TOTALES'!$F181</f>
        <v>0</v>
      </c>
      <c r="V156" s="344">
        <f>+'[75]VENTAS TOTALES'!$G181</f>
        <v>51000</v>
      </c>
      <c r="W156" s="344">
        <f>+'[75]VENTAS TOTALES'!$H181</f>
        <v>51000</v>
      </c>
      <c r="X156" s="343">
        <f>+'[76]VENTAS TOTALES'!$F181</f>
        <v>0</v>
      </c>
      <c r="Y156" s="344">
        <f>+'[76]VENTAS TOTALES'!$G181</f>
        <v>10000</v>
      </c>
      <c r="Z156" s="344">
        <f>+'[76]VENTAS TOTALES'!$H181</f>
        <v>10000</v>
      </c>
      <c r="AA156" s="343">
        <f>+'[77]VENTAS TOTALES'!$F181</f>
        <v>0</v>
      </c>
      <c r="AB156" s="344">
        <f>+'[77]VENTAS TOTALES'!$G181</f>
        <v>10000</v>
      </c>
      <c r="AC156" s="344">
        <f>+'[77]VENTAS TOTALES'!$H181</f>
        <v>10000</v>
      </c>
      <c r="AD156" s="343">
        <f>+'[78]VENTAS TOTALES'!$F181</f>
        <v>0</v>
      </c>
      <c r="AE156" s="344">
        <f>+'[78]VENTAS TOTALES'!$G181</f>
        <v>9000</v>
      </c>
      <c r="AF156" s="344">
        <f>+'[78]VENTAS TOTALES'!$H181</f>
        <v>9000</v>
      </c>
      <c r="AG156" s="343">
        <f>+'[79]VENTAS TOTALES'!$F181</f>
        <v>0</v>
      </c>
      <c r="AH156" s="344">
        <f>+'[79]VENTAS TOTALES'!$G181</f>
        <v>21000</v>
      </c>
      <c r="AI156" s="344">
        <f>+'[79]VENTAS TOTALES'!$H181</f>
        <v>21000</v>
      </c>
      <c r="AJ156" s="343">
        <f>+'[80]VENTAS TOTALES'!$F181</f>
        <v>0</v>
      </c>
      <c r="AK156" s="344">
        <f>+'[80]VENTAS TOTALES'!$G181</f>
        <v>0</v>
      </c>
      <c r="AL156" s="344">
        <f>+'[80]VENTAS TOTALES'!$H181</f>
        <v>0</v>
      </c>
      <c r="AM156" s="343">
        <f>+'[81]VENTAS TOTALES'!$F181</f>
        <v>0</v>
      </c>
      <c r="AN156" s="344">
        <f>+'[81]VENTAS TOTALES'!$G181</f>
        <v>0</v>
      </c>
      <c r="AO156" s="344">
        <f>+'[81]VENTAS TOTALES'!$H181</f>
        <v>0</v>
      </c>
      <c r="AP156" s="343">
        <f>+'[82]VENTAS TOTALES'!$F181</f>
        <v>0</v>
      </c>
      <c r="AQ156" s="344">
        <f>+'[82]VENTAS TOTALES'!$G181</f>
        <v>23000</v>
      </c>
      <c r="AR156" s="344">
        <f>+'[82]VENTAS TOTALES'!$H181</f>
        <v>23000</v>
      </c>
      <c r="AS156" s="343">
        <f>+'[83]VENTAS TOTALES'!$F181</f>
        <v>0</v>
      </c>
      <c r="AT156" s="344">
        <f>+'[83]VENTAS TOTALES'!$G181</f>
        <v>14000</v>
      </c>
      <c r="AU156" s="344">
        <f>+'[83]VENTAS TOTALES'!$H181</f>
        <v>14000</v>
      </c>
      <c r="AV156" s="343">
        <f>+'[84]VENTAS TOTALES'!$F181</f>
        <v>0</v>
      </c>
      <c r="AW156" s="344">
        <f>+'[84]VENTAS TOTALES'!$G181</f>
        <v>36000</v>
      </c>
      <c r="AX156" s="344">
        <f>+'[84]VENTAS TOTALES'!$H181</f>
        <v>36000</v>
      </c>
      <c r="AY156" s="343">
        <f>+'[85]VENTAS TOTALES'!$F181</f>
        <v>0</v>
      </c>
      <c r="AZ156" s="344">
        <f>+'[85]VENTAS TOTALES'!$G181</f>
        <v>5000</v>
      </c>
      <c r="BA156" s="344">
        <f>+'[85]VENTAS TOTALES'!$H181</f>
        <v>5000</v>
      </c>
      <c r="BB156" s="343">
        <f>+'[86]VENTAS TOTALES'!$F181</f>
        <v>0</v>
      </c>
      <c r="BC156" s="344">
        <f>+'[86]VENTAS TOTALES'!$G181</f>
        <v>20000</v>
      </c>
      <c r="BD156" s="344">
        <f>+'[86]VENTAS TOTALES'!$H181</f>
        <v>20000</v>
      </c>
      <c r="BE156" s="343">
        <f>+'[87]VENTAS TOTALES'!$F181</f>
        <v>0</v>
      </c>
      <c r="BF156" s="344">
        <f>+'[87]VENTAS TOTALES'!$G181</f>
        <v>9000</v>
      </c>
      <c r="BG156" s="344">
        <f>+'[87]VENTAS TOTALES'!$H181</f>
        <v>9000</v>
      </c>
      <c r="BH156" s="343">
        <f>+'[88]VENTAS TOTALES'!$F181</f>
        <v>0</v>
      </c>
      <c r="BI156" s="344">
        <f>+'[88]VENTAS TOTALES'!$G181</f>
        <v>2000</v>
      </c>
      <c r="BJ156" s="344">
        <f>+'[88]VENTAS TOTALES'!$H181</f>
        <v>2000</v>
      </c>
      <c r="BK156" s="343">
        <f>+'[89]VENTAS TOTALES'!$F181</f>
        <v>0</v>
      </c>
      <c r="BL156" s="344">
        <f>+'[89]VENTAS TOTALES'!$G181</f>
        <v>23000</v>
      </c>
      <c r="BM156" s="344">
        <f>+'[89]VENTAS TOTALES'!$H181</f>
        <v>23000</v>
      </c>
      <c r="BN156" s="343">
        <f>+'[90]VENTAS TOTALES'!$F181</f>
        <v>0</v>
      </c>
      <c r="BO156" s="344">
        <f>+'[90]VENTAS TOTALES'!$G181</f>
        <v>26000</v>
      </c>
      <c r="BP156" s="344">
        <f>+'[90]VENTAS TOTALES'!$H181</f>
        <v>26000</v>
      </c>
      <c r="BQ156" s="343">
        <f>+'[91]VENTAS TOTALES'!$F181</f>
        <v>0</v>
      </c>
      <c r="BR156" s="344">
        <f>+'[91]VENTAS TOTALES'!$G181</f>
        <v>10000</v>
      </c>
      <c r="BS156" s="344">
        <f>+'[91]VENTAS TOTALES'!$H181</f>
        <v>10000</v>
      </c>
      <c r="BT156" s="343">
        <f>+'[92]VENTAS TOTALES'!$F181</f>
        <v>0</v>
      </c>
      <c r="BU156" s="344">
        <f>+'[92]VENTAS TOTALES'!$G181</f>
        <v>15000</v>
      </c>
      <c r="BV156" s="344">
        <f>+'[92]VENTAS TOTALES'!$H181</f>
        <v>15000</v>
      </c>
      <c r="BW156" s="343">
        <f>+'[93]VENTAS TOTALES'!$F181</f>
        <v>0</v>
      </c>
      <c r="BX156" s="344">
        <f>+'[93]VENTAS TOTALES'!$G181</f>
        <v>37000</v>
      </c>
      <c r="BY156" s="344">
        <f>+'[93]VENTAS TOTALES'!$H181</f>
        <v>37000</v>
      </c>
      <c r="BZ156" s="343">
        <f>+'[94]VENTAS TOTALES'!$F181</f>
        <v>0</v>
      </c>
      <c r="CA156" s="344">
        <f>+'[94]VENTAS TOTALES'!$G181</f>
        <v>16000</v>
      </c>
      <c r="CB156" s="344">
        <f>+'[94]VENTAS TOTALES'!$H181</f>
        <v>16000</v>
      </c>
      <c r="CC156" s="343">
        <f>+'[95]VENTAS TOTALES'!$F181</f>
        <v>0</v>
      </c>
      <c r="CD156" s="344">
        <f>+'[95]VENTAS TOTALES'!$G181</f>
        <v>5000</v>
      </c>
      <c r="CE156" s="344">
        <f>+'[95]VENTAS TOTALES'!$H181</f>
        <v>5000</v>
      </c>
      <c r="CF156" s="343">
        <f>+'[96]VENTAS TOTALES'!$F181</f>
        <v>0</v>
      </c>
      <c r="CG156" s="344">
        <f>+'[96]VENTAS TOTALES'!$G181</f>
        <v>70000</v>
      </c>
      <c r="CH156" s="344">
        <f>+'[96]VENTAS TOTALES'!$H181</f>
        <v>70000</v>
      </c>
      <c r="CI156" s="343">
        <f>+'[97]VENTAS TOTALES'!$F181</f>
        <v>0</v>
      </c>
      <c r="CJ156" s="344">
        <f>+'[97]VENTAS TOTALES'!$G181</f>
        <v>75000</v>
      </c>
      <c r="CK156" s="344">
        <f>+'[97]VENTAS TOTALES'!$H181</f>
        <v>75000</v>
      </c>
      <c r="CL156" s="343">
        <f>+'[98]VENTAS TOTALES'!$F181</f>
        <v>0</v>
      </c>
      <c r="CM156" s="344">
        <f>+'[98]VENTAS TOTALES'!$G181</f>
        <v>38000</v>
      </c>
      <c r="CN156" s="344">
        <f>+'[98]VENTAS TOTALES'!$H181</f>
        <v>38000</v>
      </c>
      <c r="CO156" s="343">
        <f>+'[99]VENTAS TOTALES'!$F181</f>
        <v>0</v>
      </c>
      <c r="CP156" s="344">
        <f>+'[99]VENTAS TOTALES'!$G181</f>
        <v>12000</v>
      </c>
      <c r="CQ156" s="344">
        <f>+'[99]VENTAS TOTALES'!$H181</f>
        <v>12000</v>
      </c>
      <c r="CR156" s="343">
        <f>+'[100]VENTAS TOTALES'!$F181</f>
        <v>0</v>
      </c>
      <c r="CS156" s="344">
        <f>+'[100]VENTAS TOTALES'!$G181</f>
        <v>16000</v>
      </c>
      <c r="CT156" s="344">
        <f>+'[100]VENTAS TOTALES'!$H181</f>
        <v>16000</v>
      </c>
      <c r="CU156" s="343">
        <f>+'[101]VENTAS TOTALES'!$F181</f>
        <v>0</v>
      </c>
      <c r="CV156" s="344">
        <f>+'[101]VENTAS TOTALES'!$G181</f>
        <v>11000</v>
      </c>
      <c r="CW156" s="344">
        <f>+'[101]VENTAS TOTALES'!$H181</f>
        <v>11000</v>
      </c>
      <c r="CX156" s="343">
        <f>+'[102]VENTAS TOTALES'!$F181</f>
        <v>0</v>
      </c>
      <c r="CY156" s="344">
        <f>+'[102]VENTAS TOTALES'!$G181</f>
        <v>10000</v>
      </c>
      <c r="CZ156" s="344">
        <f>+'[102]VENTAS TOTALES'!$H181</f>
        <v>10000</v>
      </c>
    </row>
    <row r="157" spans="1:104" s="8" customFormat="1" ht="14.25" customHeight="1" thickBot="1" x14ac:dyDescent="0.25">
      <c r="A157" s="455"/>
      <c r="B157" s="345" t="s">
        <v>420</v>
      </c>
      <c r="C157" s="343">
        <f>+'[69]VENTAS TOTALES'!$F182</f>
        <v>0</v>
      </c>
      <c r="D157" s="344">
        <f>+'[69]VENTAS TOTALES'!$G182</f>
        <v>65000</v>
      </c>
      <c r="E157" s="344">
        <f>+'[69]VENTAS TOTALES'!$H182</f>
        <v>65000</v>
      </c>
      <c r="F157" s="343">
        <f>+'[70]VENTAS TOTALES'!$F182</f>
        <v>0</v>
      </c>
      <c r="G157" s="344">
        <f>+'[70]VENTAS TOTALES'!$G182</f>
        <v>44000</v>
      </c>
      <c r="H157" s="344">
        <f>+'[70]VENTAS TOTALES'!$H182</f>
        <v>44000</v>
      </c>
      <c r="I157" s="343">
        <f>+'[71]VENTAS TOTALES'!$F182</f>
        <v>0</v>
      </c>
      <c r="J157" s="344">
        <f>+'[71]VENTAS TOTALES'!$G182</f>
        <v>39000</v>
      </c>
      <c r="K157" s="344">
        <f>+'[71]VENTAS TOTALES'!$H182</f>
        <v>39000</v>
      </c>
      <c r="L157" s="343">
        <f>+'[72]VENTAS TOTALES'!$F182</f>
        <v>0</v>
      </c>
      <c r="M157" s="344">
        <f>+'[72]VENTAS TOTALES'!$G182</f>
        <v>29000</v>
      </c>
      <c r="N157" s="344">
        <f>+'[72]VENTAS TOTALES'!$H182</f>
        <v>29000</v>
      </c>
      <c r="O157" s="343">
        <f>+'[73]VENTAS TOTALES'!$F182</f>
        <v>0</v>
      </c>
      <c r="P157" s="344">
        <f>+'[73]VENTAS TOTALES'!$G182</f>
        <v>5000</v>
      </c>
      <c r="Q157" s="344">
        <f>+'[73]VENTAS TOTALES'!$H182</f>
        <v>5000</v>
      </c>
      <c r="R157" s="343">
        <f>+'[74]VENTAS TOTALES'!$F182</f>
        <v>0</v>
      </c>
      <c r="S157" s="344">
        <f>+'[74]VENTAS TOTALES'!$G182</f>
        <v>0</v>
      </c>
      <c r="T157" s="344">
        <f>+'[74]VENTAS TOTALES'!$H182</f>
        <v>0</v>
      </c>
      <c r="U157" s="343">
        <f>+'[75]VENTAS TOTALES'!$F182</f>
        <v>0</v>
      </c>
      <c r="V157" s="344">
        <f>+'[75]VENTAS TOTALES'!$G182</f>
        <v>32000</v>
      </c>
      <c r="W157" s="344">
        <f>+'[75]VENTAS TOTALES'!$H182</f>
        <v>32000</v>
      </c>
      <c r="X157" s="343">
        <f>+'[76]VENTAS TOTALES'!$F182</f>
        <v>0</v>
      </c>
      <c r="Y157" s="344">
        <f>+'[76]VENTAS TOTALES'!$G182</f>
        <v>5000</v>
      </c>
      <c r="Z157" s="344">
        <f>+'[76]VENTAS TOTALES'!$H182</f>
        <v>5000</v>
      </c>
      <c r="AA157" s="343">
        <f>+'[77]VENTAS TOTALES'!$F182</f>
        <v>0</v>
      </c>
      <c r="AB157" s="344">
        <f>+'[77]VENTAS TOTALES'!$G182</f>
        <v>0</v>
      </c>
      <c r="AC157" s="344">
        <f>+'[77]VENTAS TOTALES'!$H182</f>
        <v>0</v>
      </c>
      <c r="AD157" s="343">
        <f>+'[78]VENTAS TOTALES'!$F182</f>
        <v>0</v>
      </c>
      <c r="AE157" s="344">
        <f>+'[78]VENTAS TOTALES'!$G182</f>
        <v>29000</v>
      </c>
      <c r="AF157" s="344">
        <f>+'[78]VENTAS TOTALES'!$H182</f>
        <v>29000</v>
      </c>
      <c r="AG157" s="343">
        <f>+'[79]VENTAS TOTALES'!$F182</f>
        <v>0</v>
      </c>
      <c r="AH157" s="344">
        <f>+'[79]VENTAS TOTALES'!$G182</f>
        <v>37000</v>
      </c>
      <c r="AI157" s="344">
        <f>+'[79]VENTAS TOTALES'!$H182</f>
        <v>37000</v>
      </c>
      <c r="AJ157" s="343">
        <f>+'[80]VENTAS TOTALES'!$F182</f>
        <v>0</v>
      </c>
      <c r="AK157" s="344">
        <f>+'[80]VENTAS TOTALES'!$G182</f>
        <v>0</v>
      </c>
      <c r="AL157" s="344">
        <f>+'[80]VENTAS TOTALES'!$H182</f>
        <v>0</v>
      </c>
      <c r="AM157" s="343">
        <f>+'[81]VENTAS TOTALES'!$F182</f>
        <v>0</v>
      </c>
      <c r="AN157" s="344">
        <f>+'[81]VENTAS TOTALES'!$G182</f>
        <v>0</v>
      </c>
      <c r="AO157" s="344">
        <f>+'[81]VENTAS TOTALES'!$H182</f>
        <v>0</v>
      </c>
      <c r="AP157" s="343">
        <f>+'[82]VENTAS TOTALES'!$F182</f>
        <v>0</v>
      </c>
      <c r="AQ157" s="344">
        <f>+'[82]VENTAS TOTALES'!$G182</f>
        <v>0</v>
      </c>
      <c r="AR157" s="344">
        <f>+'[82]VENTAS TOTALES'!$H182</f>
        <v>0</v>
      </c>
      <c r="AS157" s="343">
        <f>+'[83]VENTAS TOTALES'!$F182</f>
        <v>0</v>
      </c>
      <c r="AT157" s="344">
        <f>+'[83]VENTAS TOTALES'!$G182</f>
        <v>34000</v>
      </c>
      <c r="AU157" s="344">
        <f>+'[83]VENTAS TOTALES'!$H182</f>
        <v>34000</v>
      </c>
      <c r="AV157" s="343">
        <f>+'[84]VENTAS TOTALES'!$F182</f>
        <v>0</v>
      </c>
      <c r="AW157" s="344">
        <f>+'[84]VENTAS TOTALES'!$G182</f>
        <v>0</v>
      </c>
      <c r="AX157" s="344">
        <f>+'[84]VENTAS TOTALES'!$H182</f>
        <v>0</v>
      </c>
      <c r="AY157" s="343">
        <f>+'[85]VENTAS TOTALES'!$F182</f>
        <v>0</v>
      </c>
      <c r="AZ157" s="344">
        <f>+'[85]VENTAS TOTALES'!$G182</f>
        <v>16000</v>
      </c>
      <c r="BA157" s="344">
        <f>+'[85]VENTAS TOTALES'!$H182</f>
        <v>16000</v>
      </c>
      <c r="BB157" s="343">
        <f>+'[86]VENTAS TOTALES'!$F182</f>
        <v>0</v>
      </c>
      <c r="BC157" s="344">
        <f>+'[86]VENTAS TOTALES'!$G182</f>
        <v>17000</v>
      </c>
      <c r="BD157" s="344">
        <f>+'[86]VENTAS TOTALES'!$H182</f>
        <v>17000</v>
      </c>
      <c r="BE157" s="343">
        <f>+'[87]VENTAS TOTALES'!$F182</f>
        <v>0</v>
      </c>
      <c r="BF157" s="344">
        <f>+'[87]VENTAS TOTALES'!$G182</f>
        <v>0</v>
      </c>
      <c r="BG157" s="344">
        <f>+'[87]VENTAS TOTALES'!$H182</f>
        <v>0</v>
      </c>
      <c r="BH157" s="343">
        <f>+'[88]VENTAS TOTALES'!$F182</f>
        <v>0</v>
      </c>
      <c r="BI157" s="344">
        <f>+'[88]VENTAS TOTALES'!$G182</f>
        <v>0</v>
      </c>
      <c r="BJ157" s="344">
        <f>+'[88]VENTAS TOTALES'!$H182</f>
        <v>0</v>
      </c>
      <c r="BK157" s="343">
        <f>+'[89]VENTAS TOTALES'!$F182</f>
        <v>0</v>
      </c>
      <c r="BL157" s="344">
        <f>+'[89]VENTAS TOTALES'!$G182</f>
        <v>91000</v>
      </c>
      <c r="BM157" s="344">
        <f>+'[89]VENTAS TOTALES'!$H182</f>
        <v>91000</v>
      </c>
      <c r="BN157" s="343">
        <f>+'[90]VENTAS TOTALES'!$F182</f>
        <v>0</v>
      </c>
      <c r="BO157" s="344">
        <f>+'[90]VENTAS TOTALES'!$G182</f>
        <v>99000</v>
      </c>
      <c r="BP157" s="344">
        <f>+'[90]VENTAS TOTALES'!$H182</f>
        <v>99000</v>
      </c>
      <c r="BQ157" s="343">
        <f>+'[91]VENTAS TOTALES'!$F182</f>
        <v>0</v>
      </c>
      <c r="BR157" s="344">
        <f>+'[91]VENTAS TOTALES'!$G182</f>
        <v>33000</v>
      </c>
      <c r="BS157" s="344">
        <f>+'[91]VENTAS TOTALES'!$H182</f>
        <v>33000</v>
      </c>
      <c r="BT157" s="343">
        <f>+'[92]VENTAS TOTALES'!$F182</f>
        <v>0</v>
      </c>
      <c r="BU157" s="344">
        <f>+'[92]VENTAS TOTALES'!$G182</f>
        <v>34000</v>
      </c>
      <c r="BV157" s="344">
        <f>+'[92]VENTAS TOTALES'!$H182</f>
        <v>34000</v>
      </c>
      <c r="BW157" s="343">
        <f>+'[93]VENTAS TOTALES'!$F182</f>
        <v>0</v>
      </c>
      <c r="BX157" s="344">
        <f>+'[93]VENTAS TOTALES'!$G182</f>
        <v>39000</v>
      </c>
      <c r="BY157" s="344">
        <f>+'[93]VENTAS TOTALES'!$H182</f>
        <v>39000</v>
      </c>
      <c r="BZ157" s="343">
        <f>+'[94]VENTAS TOTALES'!$F182</f>
        <v>0</v>
      </c>
      <c r="CA157" s="344">
        <f>+'[94]VENTAS TOTALES'!$G182</f>
        <v>117000</v>
      </c>
      <c r="CB157" s="344">
        <f>+'[94]VENTAS TOTALES'!$H182</f>
        <v>117000</v>
      </c>
      <c r="CC157" s="343">
        <f>+'[95]VENTAS TOTALES'!$F182</f>
        <v>0</v>
      </c>
      <c r="CD157" s="344">
        <f>+'[95]VENTAS TOTALES'!$G182</f>
        <v>0</v>
      </c>
      <c r="CE157" s="344">
        <f>+'[95]VENTAS TOTALES'!$H182</f>
        <v>0</v>
      </c>
      <c r="CF157" s="343">
        <f>+'[96]VENTAS TOTALES'!$F182</f>
        <v>0</v>
      </c>
      <c r="CG157" s="344">
        <f>+'[96]VENTAS TOTALES'!$G182</f>
        <v>151000</v>
      </c>
      <c r="CH157" s="344">
        <f>+'[96]VENTAS TOTALES'!$H182</f>
        <v>151000</v>
      </c>
      <c r="CI157" s="343">
        <f>+'[97]VENTAS TOTALES'!$F182</f>
        <v>0</v>
      </c>
      <c r="CJ157" s="344">
        <f>+'[97]VENTAS TOTALES'!$G182</f>
        <v>57000</v>
      </c>
      <c r="CK157" s="344">
        <f>+'[97]VENTAS TOTALES'!$H182</f>
        <v>57000</v>
      </c>
      <c r="CL157" s="343">
        <f>+'[98]VENTAS TOTALES'!$F182</f>
        <v>0</v>
      </c>
      <c r="CM157" s="344">
        <f>+'[98]VENTAS TOTALES'!$G182</f>
        <v>24000</v>
      </c>
      <c r="CN157" s="344">
        <f>+'[98]VENTAS TOTALES'!$H182</f>
        <v>24000</v>
      </c>
      <c r="CO157" s="343">
        <f>+'[99]VENTAS TOTALES'!$F182</f>
        <v>0</v>
      </c>
      <c r="CP157" s="344">
        <f>+'[99]VENTAS TOTALES'!$G182</f>
        <v>35000</v>
      </c>
      <c r="CQ157" s="344">
        <f>+'[99]VENTAS TOTALES'!$H182</f>
        <v>35000</v>
      </c>
      <c r="CR157" s="343">
        <f>+'[100]VENTAS TOTALES'!$F182</f>
        <v>0</v>
      </c>
      <c r="CS157" s="344">
        <f>+'[100]VENTAS TOTALES'!$G182</f>
        <v>34000</v>
      </c>
      <c r="CT157" s="344">
        <f>+'[100]VENTAS TOTALES'!$H182</f>
        <v>34000</v>
      </c>
      <c r="CU157" s="343">
        <f>+'[101]VENTAS TOTALES'!$F182</f>
        <v>0</v>
      </c>
      <c r="CV157" s="344">
        <f>+'[101]VENTAS TOTALES'!$G182</f>
        <v>2000</v>
      </c>
      <c r="CW157" s="344">
        <f>+'[101]VENTAS TOTALES'!$H182</f>
        <v>2000</v>
      </c>
      <c r="CX157" s="343">
        <f>+'[102]VENTAS TOTALES'!$F182</f>
        <v>0</v>
      </c>
      <c r="CY157" s="344">
        <f>+'[102]VENTAS TOTALES'!$G182</f>
        <v>0</v>
      </c>
      <c r="CZ157" s="344">
        <f>+'[102]VENTAS TOTALES'!$H182</f>
        <v>0</v>
      </c>
    </row>
    <row r="158" spans="1:104" s="8" customFormat="1" ht="14.25" customHeight="1" thickBot="1" x14ac:dyDescent="0.25">
      <c r="A158" s="455"/>
      <c r="B158" s="345" t="s">
        <v>411</v>
      </c>
      <c r="C158" s="343">
        <f>+'[69]VENTAS TOTALES'!$F183</f>
        <v>0</v>
      </c>
      <c r="D158" s="344">
        <f>+'[69]VENTAS TOTALES'!$G183</f>
        <v>414000</v>
      </c>
      <c r="E158" s="344">
        <f>+'[69]VENTAS TOTALES'!$H183</f>
        <v>414000</v>
      </c>
      <c r="F158" s="343">
        <f>+'[70]VENTAS TOTALES'!$F183</f>
        <v>0</v>
      </c>
      <c r="G158" s="344">
        <f>+'[70]VENTAS TOTALES'!$G183</f>
        <v>270000</v>
      </c>
      <c r="H158" s="344">
        <f>+'[70]VENTAS TOTALES'!$H183</f>
        <v>270000</v>
      </c>
      <c r="I158" s="343">
        <f>+'[71]VENTAS TOTALES'!$F183</f>
        <v>0</v>
      </c>
      <c r="J158" s="344">
        <f>+'[71]VENTAS TOTALES'!$G183</f>
        <v>177000</v>
      </c>
      <c r="K158" s="344">
        <f>+'[71]VENTAS TOTALES'!$H183</f>
        <v>177000</v>
      </c>
      <c r="L158" s="343">
        <f>+'[72]VENTAS TOTALES'!$F183</f>
        <v>0</v>
      </c>
      <c r="M158" s="344">
        <f>+'[72]VENTAS TOTALES'!$G183</f>
        <v>183000</v>
      </c>
      <c r="N158" s="344">
        <f>+'[72]VENTAS TOTALES'!$H183</f>
        <v>183000</v>
      </c>
      <c r="O158" s="343">
        <f>+'[73]VENTAS TOTALES'!$F183</f>
        <v>0</v>
      </c>
      <c r="P158" s="344">
        <f>+'[73]VENTAS TOTALES'!$G183</f>
        <v>71000</v>
      </c>
      <c r="Q158" s="344">
        <f>+'[73]VENTAS TOTALES'!$H183</f>
        <v>71000</v>
      </c>
      <c r="R158" s="343">
        <f>+'[74]VENTAS TOTALES'!$F183</f>
        <v>0</v>
      </c>
      <c r="S158" s="344">
        <f>+'[74]VENTAS TOTALES'!$G183</f>
        <v>0</v>
      </c>
      <c r="T158" s="344">
        <f>+'[74]VENTAS TOTALES'!$H183</f>
        <v>0</v>
      </c>
      <c r="U158" s="343">
        <f>+'[75]VENTAS TOTALES'!$F183</f>
        <v>0</v>
      </c>
      <c r="V158" s="344">
        <f>+'[75]VENTAS TOTALES'!$G183</f>
        <v>265000</v>
      </c>
      <c r="W158" s="344">
        <f>+'[75]VENTAS TOTALES'!$H183</f>
        <v>265000</v>
      </c>
      <c r="X158" s="343">
        <f>+'[76]VENTAS TOTALES'!$F183</f>
        <v>0</v>
      </c>
      <c r="Y158" s="344">
        <f>+'[76]VENTAS TOTALES'!$G183</f>
        <v>25000</v>
      </c>
      <c r="Z158" s="344">
        <f>+'[76]VENTAS TOTALES'!$H183</f>
        <v>25000</v>
      </c>
      <c r="AA158" s="343">
        <f>+'[77]VENTAS TOTALES'!$F183</f>
        <v>0</v>
      </c>
      <c r="AB158" s="344">
        <f>+'[77]VENTAS TOTALES'!$G183</f>
        <v>7000</v>
      </c>
      <c r="AC158" s="344">
        <f>+'[77]VENTAS TOTALES'!$H183</f>
        <v>7000</v>
      </c>
      <c r="AD158" s="343">
        <f>+'[78]VENTAS TOTALES'!$F183</f>
        <v>0</v>
      </c>
      <c r="AE158" s="344">
        <f>+'[78]VENTAS TOTALES'!$G183</f>
        <v>198000</v>
      </c>
      <c r="AF158" s="344">
        <f>+'[78]VENTAS TOTALES'!$H183</f>
        <v>198000</v>
      </c>
      <c r="AG158" s="343">
        <f>+'[79]VENTAS TOTALES'!$F183</f>
        <v>0</v>
      </c>
      <c r="AH158" s="344">
        <f>+'[79]VENTAS TOTALES'!$G183</f>
        <v>262000</v>
      </c>
      <c r="AI158" s="344">
        <f>+'[79]VENTAS TOTALES'!$H183</f>
        <v>262000</v>
      </c>
      <c r="AJ158" s="343">
        <f>+'[80]VENTAS TOTALES'!$F183</f>
        <v>0</v>
      </c>
      <c r="AK158" s="344">
        <f>+'[80]VENTAS TOTALES'!$G183</f>
        <v>15000</v>
      </c>
      <c r="AL158" s="344">
        <f>+'[80]VENTAS TOTALES'!$H183</f>
        <v>15000</v>
      </c>
      <c r="AM158" s="343">
        <f>+'[81]VENTAS TOTALES'!$F183</f>
        <v>0</v>
      </c>
      <c r="AN158" s="344">
        <f>+'[81]VENTAS TOTALES'!$G183</f>
        <v>0</v>
      </c>
      <c r="AO158" s="344">
        <f>+'[81]VENTAS TOTALES'!$H183</f>
        <v>0</v>
      </c>
      <c r="AP158" s="343">
        <f>+'[82]VENTAS TOTALES'!$F183</f>
        <v>0</v>
      </c>
      <c r="AQ158" s="344">
        <f>+'[82]VENTAS TOTALES'!$G183</f>
        <v>402000</v>
      </c>
      <c r="AR158" s="344">
        <f>+'[82]VENTAS TOTALES'!$H183</f>
        <v>402000</v>
      </c>
      <c r="AS158" s="343">
        <f>+'[83]VENTAS TOTALES'!$F183</f>
        <v>0</v>
      </c>
      <c r="AT158" s="344">
        <f>+'[83]VENTAS TOTALES'!$G183</f>
        <v>328000</v>
      </c>
      <c r="AU158" s="344">
        <f>+'[83]VENTAS TOTALES'!$H183</f>
        <v>328000</v>
      </c>
      <c r="AV158" s="343">
        <f>+'[84]VENTAS TOTALES'!$F183</f>
        <v>0</v>
      </c>
      <c r="AW158" s="344">
        <f>+'[84]VENTAS TOTALES'!$G183</f>
        <v>338000</v>
      </c>
      <c r="AX158" s="344">
        <f>+'[84]VENTAS TOTALES'!$H183</f>
        <v>338000</v>
      </c>
      <c r="AY158" s="343">
        <f>+'[85]VENTAS TOTALES'!$F183</f>
        <v>0</v>
      </c>
      <c r="AZ158" s="344">
        <f>+'[85]VENTAS TOTALES'!$G183</f>
        <v>283000</v>
      </c>
      <c r="BA158" s="344">
        <f>+'[85]VENTAS TOTALES'!$H183</f>
        <v>283000</v>
      </c>
      <c r="BB158" s="343">
        <f>+'[86]VENTAS TOTALES'!$F183</f>
        <v>0</v>
      </c>
      <c r="BC158" s="344">
        <f>+'[86]VENTAS TOTALES'!$G183</f>
        <v>286000</v>
      </c>
      <c r="BD158" s="344">
        <f>+'[86]VENTAS TOTALES'!$H183</f>
        <v>286000</v>
      </c>
      <c r="BE158" s="343">
        <f>+'[87]VENTAS TOTALES'!$F183</f>
        <v>0</v>
      </c>
      <c r="BF158" s="344">
        <f>+'[87]VENTAS TOTALES'!$G183</f>
        <v>15000</v>
      </c>
      <c r="BG158" s="344">
        <f>+'[87]VENTAS TOTALES'!$H183</f>
        <v>15000</v>
      </c>
      <c r="BH158" s="343">
        <f>+'[88]VENTAS TOTALES'!$F183</f>
        <v>0</v>
      </c>
      <c r="BI158" s="344">
        <f>+'[88]VENTAS TOTALES'!$G183</f>
        <v>0</v>
      </c>
      <c r="BJ158" s="344">
        <f>+'[88]VENTAS TOTALES'!$H183</f>
        <v>0</v>
      </c>
      <c r="BK158" s="343">
        <f>+'[89]VENTAS TOTALES'!$F183</f>
        <v>0</v>
      </c>
      <c r="BL158" s="344">
        <f>+'[89]VENTAS TOTALES'!$G183</f>
        <v>463000</v>
      </c>
      <c r="BM158" s="344">
        <f>+'[89]VENTAS TOTALES'!$H183</f>
        <v>463000</v>
      </c>
      <c r="BN158" s="343">
        <f>+'[90]VENTAS TOTALES'!$F183</f>
        <v>0</v>
      </c>
      <c r="BO158" s="344">
        <f>+'[90]VENTAS TOTALES'!$G183</f>
        <v>394000</v>
      </c>
      <c r="BP158" s="344">
        <f>+'[90]VENTAS TOTALES'!$H183</f>
        <v>394000</v>
      </c>
      <c r="BQ158" s="343">
        <f>+'[91]VENTAS TOTALES'!$F183</f>
        <v>0</v>
      </c>
      <c r="BR158" s="344">
        <f>+'[91]VENTAS TOTALES'!$G183</f>
        <v>285000</v>
      </c>
      <c r="BS158" s="344">
        <f>+'[91]VENTAS TOTALES'!$H183</f>
        <v>285000</v>
      </c>
      <c r="BT158" s="343">
        <f>+'[92]VENTAS TOTALES'!$F183</f>
        <v>0</v>
      </c>
      <c r="BU158" s="344">
        <f>+'[92]VENTAS TOTALES'!$G183</f>
        <v>200000</v>
      </c>
      <c r="BV158" s="344">
        <f>+'[92]VENTAS TOTALES'!$H183</f>
        <v>200000</v>
      </c>
      <c r="BW158" s="343">
        <f>+'[93]VENTAS TOTALES'!$F183</f>
        <v>0</v>
      </c>
      <c r="BX158" s="344">
        <f>+'[93]VENTAS TOTALES'!$G183</f>
        <v>0</v>
      </c>
      <c r="BY158" s="344">
        <f>+'[93]VENTAS TOTALES'!$H183</f>
        <v>0</v>
      </c>
      <c r="BZ158" s="343">
        <f>+'[94]VENTAS TOTALES'!$F183</f>
        <v>0</v>
      </c>
      <c r="CA158" s="344">
        <f>+'[94]VENTAS TOTALES'!$G183</f>
        <v>0</v>
      </c>
      <c r="CB158" s="344">
        <f>+'[94]VENTAS TOTALES'!$H183</f>
        <v>0</v>
      </c>
      <c r="CC158" s="343">
        <f>+'[95]VENTAS TOTALES'!$F183</f>
        <v>0</v>
      </c>
      <c r="CD158" s="344">
        <f>+'[95]VENTAS TOTALES'!$G183</f>
        <v>0</v>
      </c>
      <c r="CE158" s="344">
        <f>+'[95]VENTAS TOTALES'!$H183</f>
        <v>0</v>
      </c>
      <c r="CF158" s="343">
        <f>+'[96]VENTAS TOTALES'!$F183</f>
        <v>0</v>
      </c>
      <c r="CG158" s="344">
        <f>+'[96]VENTAS TOTALES'!$G183</f>
        <v>0</v>
      </c>
      <c r="CH158" s="344">
        <f>+'[96]VENTAS TOTALES'!$H183</f>
        <v>0</v>
      </c>
      <c r="CI158" s="343">
        <f>+'[97]VENTAS TOTALES'!$F183</f>
        <v>0</v>
      </c>
      <c r="CJ158" s="344">
        <f>+'[97]VENTAS TOTALES'!$G183</f>
        <v>257000</v>
      </c>
      <c r="CK158" s="344">
        <f>+'[97]VENTAS TOTALES'!$H183</f>
        <v>257000</v>
      </c>
      <c r="CL158" s="343">
        <f>+'[98]VENTAS TOTALES'!$F183</f>
        <v>0</v>
      </c>
      <c r="CM158" s="344">
        <f>+'[98]VENTAS TOTALES'!$G183</f>
        <v>565000</v>
      </c>
      <c r="CN158" s="344">
        <f>+'[98]VENTAS TOTALES'!$H183</f>
        <v>565000</v>
      </c>
      <c r="CO158" s="343">
        <f>+'[99]VENTAS TOTALES'!$F183</f>
        <v>0</v>
      </c>
      <c r="CP158" s="344">
        <f>+'[99]VENTAS TOTALES'!$G183</f>
        <v>347000</v>
      </c>
      <c r="CQ158" s="344">
        <f>+'[99]VENTAS TOTALES'!$H183</f>
        <v>347000</v>
      </c>
      <c r="CR158" s="343">
        <f>+'[100]VENTAS TOTALES'!$F183</f>
        <v>0</v>
      </c>
      <c r="CS158" s="344">
        <f>+'[100]VENTAS TOTALES'!$G183</f>
        <v>218000</v>
      </c>
      <c r="CT158" s="344">
        <f>+'[100]VENTAS TOTALES'!$H183</f>
        <v>218000</v>
      </c>
      <c r="CU158" s="343">
        <f>+'[101]VENTAS TOTALES'!$F183</f>
        <v>0</v>
      </c>
      <c r="CV158" s="344">
        <f>+'[101]VENTAS TOTALES'!$G183</f>
        <v>78000</v>
      </c>
      <c r="CW158" s="344">
        <f>+'[101]VENTAS TOTALES'!$H183</f>
        <v>78000</v>
      </c>
      <c r="CX158" s="343">
        <f>+'[102]VENTAS TOTALES'!$F183</f>
        <v>0</v>
      </c>
      <c r="CY158" s="344">
        <f>+'[102]VENTAS TOTALES'!$G183</f>
        <v>0</v>
      </c>
      <c r="CZ158" s="344">
        <f>+'[102]VENTAS TOTALES'!$H183</f>
        <v>0</v>
      </c>
    </row>
    <row r="159" spans="1:104" s="8" customFormat="1" ht="14.25" customHeight="1" thickBot="1" x14ac:dyDescent="0.25">
      <c r="A159" s="455"/>
      <c r="B159" s="345" t="s">
        <v>421</v>
      </c>
      <c r="C159" s="343">
        <f>+'[69]VENTAS TOTALES'!$F184</f>
        <v>0</v>
      </c>
      <c r="D159" s="344">
        <f>+'[69]VENTAS TOTALES'!$G184</f>
        <v>0</v>
      </c>
      <c r="E159" s="344">
        <f>+'[69]VENTAS TOTALES'!$H184</f>
        <v>0</v>
      </c>
      <c r="F159" s="343">
        <f>+'[70]VENTAS TOTALES'!$F184</f>
        <v>0</v>
      </c>
      <c r="G159" s="344">
        <f>+'[70]VENTAS TOTALES'!$G184</f>
        <v>0</v>
      </c>
      <c r="H159" s="344">
        <f>+'[70]VENTAS TOTALES'!$H184</f>
        <v>0</v>
      </c>
      <c r="I159" s="343">
        <f>+'[71]VENTAS TOTALES'!$F184</f>
        <v>0</v>
      </c>
      <c r="J159" s="344">
        <f>+'[71]VENTAS TOTALES'!$G184</f>
        <v>0</v>
      </c>
      <c r="K159" s="344">
        <f>+'[71]VENTAS TOTALES'!$H184</f>
        <v>0</v>
      </c>
      <c r="L159" s="343">
        <f>+'[72]VENTAS TOTALES'!$F184</f>
        <v>0</v>
      </c>
      <c r="M159" s="344">
        <f>+'[72]VENTAS TOTALES'!$G184</f>
        <v>0</v>
      </c>
      <c r="N159" s="344">
        <f>+'[72]VENTAS TOTALES'!$H184</f>
        <v>0</v>
      </c>
      <c r="O159" s="343">
        <f>+'[73]VENTAS TOTALES'!$F184</f>
        <v>0</v>
      </c>
      <c r="P159" s="344">
        <f>+'[73]VENTAS TOTALES'!$G184</f>
        <v>0</v>
      </c>
      <c r="Q159" s="344">
        <f>+'[73]VENTAS TOTALES'!$H184</f>
        <v>0</v>
      </c>
      <c r="R159" s="343">
        <f>+'[74]VENTAS TOTALES'!$F184</f>
        <v>0</v>
      </c>
      <c r="S159" s="344">
        <f>+'[74]VENTAS TOTALES'!$G184</f>
        <v>0</v>
      </c>
      <c r="T159" s="344">
        <f>+'[74]VENTAS TOTALES'!$H184</f>
        <v>0</v>
      </c>
      <c r="U159" s="343">
        <f>+'[75]VENTAS TOTALES'!$F184</f>
        <v>0</v>
      </c>
      <c r="V159" s="344">
        <f>+'[75]VENTAS TOTALES'!$G184</f>
        <v>0</v>
      </c>
      <c r="W159" s="344">
        <f>+'[75]VENTAS TOTALES'!$H184</f>
        <v>0</v>
      </c>
      <c r="X159" s="343">
        <f>+'[76]VENTAS TOTALES'!$F184</f>
        <v>0</v>
      </c>
      <c r="Y159" s="344">
        <f>+'[76]VENTAS TOTALES'!$G184</f>
        <v>0</v>
      </c>
      <c r="Z159" s="344">
        <f>+'[76]VENTAS TOTALES'!$H184</f>
        <v>0</v>
      </c>
      <c r="AA159" s="343">
        <f>+'[77]VENTAS TOTALES'!$F184</f>
        <v>0</v>
      </c>
      <c r="AB159" s="344">
        <f>+'[77]VENTAS TOTALES'!$G184</f>
        <v>0</v>
      </c>
      <c r="AC159" s="344">
        <f>+'[77]VENTAS TOTALES'!$H184</f>
        <v>0</v>
      </c>
      <c r="AD159" s="343">
        <f>+'[78]VENTAS TOTALES'!$F184</f>
        <v>0</v>
      </c>
      <c r="AE159" s="344">
        <f>+'[78]VENTAS TOTALES'!$G184</f>
        <v>0</v>
      </c>
      <c r="AF159" s="344">
        <f>+'[78]VENTAS TOTALES'!$H184</f>
        <v>0</v>
      </c>
      <c r="AG159" s="343">
        <f>+'[79]VENTAS TOTALES'!$F184</f>
        <v>0</v>
      </c>
      <c r="AH159" s="344">
        <f>+'[79]VENTAS TOTALES'!$G184</f>
        <v>0</v>
      </c>
      <c r="AI159" s="344">
        <f>+'[79]VENTAS TOTALES'!$H184</f>
        <v>0</v>
      </c>
      <c r="AJ159" s="343">
        <f>+'[80]VENTAS TOTALES'!$F184</f>
        <v>0</v>
      </c>
      <c r="AK159" s="344">
        <f>+'[80]VENTAS TOTALES'!$G184</f>
        <v>0</v>
      </c>
      <c r="AL159" s="344">
        <f>+'[80]VENTAS TOTALES'!$H184</f>
        <v>0</v>
      </c>
      <c r="AM159" s="343">
        <f>+'[81]VENTAS TOTALES'!$F184</f>
        <v>0</v>
      </c>
      <c r="AN159" s="344">
        <f>+'[81]VENTAS TOTALES'!$G184</f>
        <v>0</v>
      </c>
      <c r="AO159" s="344">
        <f>+'[81]VENTAS TOTALES'!$H184</f>
        <v>0</v>
      </c>
      <c r="AP159" s="343">
        <f>+'[82]VENTAS TOTALES'!$F184</f>
        <v>0</v>
      </c>
      <c r="AQ159" s="344">
        <f>+'[82]VENTAS TOTALES'!$G184</f>
        <v>41000</v>
      </c>
      <c r="AR159" s="344">
        <f>+'[82]VENTAS TOTALES'!$H184</f>
        <v>41000</v>
      </c>
      <c r="AS159" s="343">
        <f>+'[83]VENTAS TOTALES'!$F184</f>
        <v>0</v>
      </c>
      <c r="AT159" s="344">
        <f>+'[83]VENTAS TOTALES'!$G184</f>
        <v>0</v>
      </c>
      <c r="AU159" s="344">
        <f>+'[83]VENTAS TOTALES'!$H184</f>
        <v>0</v>
      </c>
      <c r="AV159" s="343">
        <f>+'[84]VENTAS TOTALES'!$F184</f>
        <v>0</v>
      </c>
      <c r="AW159" s="344">
        <f>+'[84]VENTAS TOTALES'!$G184</f>
        <v>36000</v>
      </c>
      <c r="AX159" s="344">
        <f>+'[84]VENTAS TOTALES'!$H184</f>
        <v>36000</v>
      </c>
      <c r="AY159" s="343">
        <f>+'[85]VENTAS TOTALES'!$F184</f>
        <v>0</v>
      </c>
      <c r="AZ159" s="344">
        <f>+'[85]VENTAS TOTALES'!$G184</f>
        <v>0</v>
      </c>
      <c r="BA159" s="344">
        <f>+'[85]VENTAS TOTALES'!$H184</f>
        <v>0</v>
      </c>
      <c r="BB159" s="343">
        <f>+'[86]VENTAS TOTALES'!$F184</f>
        <v>0</v>
      </c>
      <c r="BC159" s="344">
        <f>+'[86]VENTAS TOTALES'!$G184</f>
        <v>0</v>
      </c>
      <c r="BD159" s="344">
        <f>+'[86]VENTAS TOTALES'!$H184</f>
        <v>0</v>
      </c>
      <c r="BE159" s="343">
        <f>+'[87]VENTAS TOTALES'!$F184</f>
        <v>0</v>
      </c>
      <c r="BF159" s="344">
        <f>+'[87]VENTAS TOTALES'!$G184</f>
        <v>0</v>
      </c>
      <c r="BG159" s="344">
        <f>+'[87]VENTAS TOTALES'!$H184</f>
        <v>0</v>
      </c>
      <c r="BH159" s="343">
        <f>+'[88]VENTAS TOTALES'!$F184</f>
        <v>0</v>
      </c>
      <c r="BI159" s="344">
        <f>+'[88]VENTAS TOTALES'!$G184</f>
        <v>0</v>
      </c>
      <c r="BJ159" s="344">
        <f>+'[88]VENTAS TOTALES'!$H184</f>
        <v>0</v>
      </c>
      <c r="BK159" s="343">
        <f>+'[89]VENTAS TOTALES'!$F184</f>
        <v>0</v>
      </c>
      <c r="BL159" s="344">
        <f>+'[89]VENTAS TOTALES'!$G184</f>
        <v>33000</v>
      </c>
      <c r="BM159" s="344">
        <f>+'[89]VENTAS TOTALES'!$H184</f>
        <v>33000</v>
      </c>
      <c r="BN159" s="343">
        <f>+'[90]VENTAS TOTALES'!$F184</f>
        <v>0</v>
      </c>
      <c r="BO159" s="344">
        <f>+'[90]VENTAS TOTALES'!$G184</f>
        <v>0</v>
      </c>
      <c r="BP159" s="344">
        <f>+'[90]VENTAS TOTALES'!$H184</f>
        <v>0</v>
      </c>
      <c r="BQ159" s="343">
        <f>+'[91]VENTAS TOTALES'!$F184</f>
        <v>0</v>
      </c>
      <c r="BR159" s="344">
        <f>+'[91]VENTAS TOTALES'!$G184</f>
        <v>17000</v>
      </c>
      <c r="BS159" s="344">
        <f>+'[91]VENTAS TOTALES'!$H184</f>
        <v>17000</v>
      </c>
      <c r="BT159" s="343">
        <f>+'[92]VENTAS TOTALES'!$F184</f>
        <v>0</v>
      </c>
      <c r="BU159" s="344">
        <f>+'[92]VENTAS TOTALES'!$G184</f>
        <v>10000</v>
      </c>
      <c r="BV159" s="344">
        <f>+'[92]VENTAS TOTALES'!$H184</f>
        <v>10000</v>
      </c>
      <c r="BW159" s="343">
        <f>+'[93]VENTAS TOTALES'!$F184</f>
        <v>0</v>
      </c>
      <c r="BX159" s="344">
        <f>+'[93]VENTAS TOTALES'!$G184</f>
        <v>6000</v>
      </c>
      <c r="BY159" s="344">
        <f>+'[93]VENTAS TOTALES'!$H184</f>
        <v>6000</v>
      </c>
      <c r="BZ159" s="343">
        <f>+'[94]VENTAS TOTALES'!$F184</f>
        <v>0</v>
      </c>
      <c r="CA159" s="344">
        <f>+'[94]VENTAS TOTALES'!$G184</f>
        <v>0</v>
      </c>
      <c r="CB159" s="344">
        <f>+'[94]VENTAS TOTALES'!$H184</f>
        <v>0</v>
      </c>
      <c r="CC159" s="343">
        <f>+'[95]VENTAS TOTALES'!$F184</f>
        <v>0</v>
      </c>
      <c r="CD159" s="344">
        <f>+'[95]VENTAS TOTALES'!$G184</f>
        <v>0</v>
      </c>
      <c r="CE159" s="344">
        <f>+'[95]VENTAS TOTALES'!$H184</f>
        <v>0</v>
      </c>
      <c r="CF159" s="343">
        <f>+'[96]VENTAS TOTALES'!$F184</f>
        <v>0</v>
      </c>
      <c r="CG159" s="344">
        <f>+'[96]VENTAS TOTALES'!$G184</f>
        <v>50000</v>
      </c>
      <c r="CH159" s="344">
        <f>+'[96]VENTAS TOTALES'!$H184</f>
        <v>50000</v>
      </c>
      <c r="CI159" s="343">
        <f>+'[97]VENTAS TOTALES'!$F184</f>
        <v>0</v>
      </c>
      <c r="CJ159" s="344">
        <f>+'[97]VENTAS TOTALES'!$G184</f>
        <v>12000</v>
      </c>
      <c r="CK159" s="344">
        <f>+'[97]VENTAS TOTALES'!$H184</f>
        <v>12000</v>
      </c>
      <c r="CL159" s="343">
        <f>+'[98]VENTAS TOTALES'!$F184</f>
        <v>0</v>
      </c>
      <c r="CM159" s="344">
        <f>+'[98]VENTAS TOTALES'!$G184</f>
        <v>36000</v>
      </c>
      <c r="CN159" s="344">
        <f>+'[98]VENTAS TOTALES'!$H184</f>
        <v>36000</v>
      </c>
      <c r="CO159" s="343">
        <f>+'[99]VENTAS TOTALES'!$F184</f>
        <v>0</v>
      </c>
      <c r="CP159" s="344">
        <f>+'[99]VENTAS TOTALES'!$G184</f>
        <v>20000</v>
      </c>
      <c r="CQ159" s="344">
        <f>+'[99]VENTAS TOTALES'!$H184</f>
        <v>20000</v>
      </c>
      <c r="CR159" s="343">
        <f>+'[100]VENTAS TOTALES'!$F184</f>
        <v>0</v>
      </c>
      <c r="CS159" s="344">
        <f>+'[100]VENTAS TOTALES'!$G184</f>
        <v>26000</v>
      </c>
      <c r="CT159" s="344">
        <f>+'[100]VENTAS TOTALES'!$H184</f>
        <v>26000</v>
      </c>
      <c r="CU159" s="343">
        <f>+'[101]VENTAS TOTALES'!$F184</f>
        <v>0</v>
      </c>
      <c r="CV159" s="344">
        <f>+'[101]VENTAS TOTALES'!$G184</f>
        <v>0</v>
      </c>
      <c r="CW159" s="344">
        <f>+'[101]VENTAS TOTALES'!$H184</f>
        <v>0</v>
      </c>
      <c r="CX159" s="343">
        <f>+'[102]VENTAS TOTALES'!$F184</f>
        <v>0</v>
      </c>
      <c r="CY159" s="344">
        <f>+'[102]VENTAS TOTALES'!$G184</f>
        <v>0</v>
      </c>
      <c r="CZ159" s="344">
        <f>+'[102]VENTAS TOTALES'!$H184</f>
        <v>0</v>
      </c>
    </row>
    <row r="160" spans="1:104" s="8" customFormat="1" ht="14.25" customHeight="1" thickBot="1" x14ac:dyDescent="0.25">
      <c r="A160" s="455"/>
      <c r="B160" s="345" t="s">
        <v>419</v>
      </c>
      <c r="C160" s="343">
        <f>+'[69]VENTAS TOTALES'!$F185</f>
        <v>0</v>
      </c>
      <c r="D160" s="344">
        <f>+'[69]VENTAS TOTALES'!$G185</f>
        <v>0</v>
      </c>
      <c r="E160" s="344">
        <f>+'[69]VENTAS TOTALES'!$H185</f>
        <v>0</v>
      </c>
      <c r="F160" s="343">
        <f>+'[70]VENTAS TOTALES'!$F185</f>
        <v>0</v>
      </c>
      <c r="G160" s="344">
        <f>+'[70]VENTAS TOTALES'!$G185</f>
        <v>2000</v>
      </c>
      <c r="H160" s="344">
        <f>+'[70]VENTAS TOTALES'!$H185</f>
        <v>2000</v>
      </c>
      <c r="I160" s="343">
        <f>+'[71]VENTAS TOTALES'!$F185</f>
        <v>0</v>
      </c>
      <c r="J160" s="344">
        <f>+'[71]VENTAS TOTALES'!$G185</f>
        <v>40000</v>
      </c>
      <c r="K160" s="344">
        <f>+'[71]VENTAS TOTALES'!$H185</f>
        <v>40000</v>
      </c>
      <c r="L160" s="343">
        <f>+'[72]VENTAS TOTALES'!$F185</f>
        <v>0</v>
      </c>
      <c r="M160" s="344">
        <f>+'[72]VENTAS TOTALES'!$G185</f>
        <v>0</v>
      </c>
      <c r="N160" s="344">
        <f>+'[72]VENTAS TOTALES'!$H185</f>
        <v>0</v>
      </c>
      <c r="O160" s="343">
        <f>+'[73]VENTAS TOTALES'!$F185</f>
        <v>0</v>
      </c>
      <c r="P160" s="344">
        <f>+'[73]VENTAS TOTALES'!$G185</f>
        <v>0</v>
      </c>
      <c r="Q160" s="344">
        <f>+'[73]VENTAS TOTALES'!$H185</f>
        <v>0</v>
      </c>
      <c r="R160" s="343">
        <f>+'[74]VENTAS TOTALES'!$F185</f>
        <v>0</v>
      </c>
      <c r="S160" s="344">
        <f>+'[74]VENTAS TOTALES'!$G185</f>
        <v>0</v>
      </c>
      <c r="T160" s="344">
        <f>+'[74]VENTAS TOTALES'!$H185</f>
        <v>0</v>
      </c>
      <c r="U160" s="343">
        <f>+'[75]VENTAS TOTALES'!$F185</f>
        <v>0</v>
      </c>
      <c r="V160" s="344">
        <f>+'[75]VENTAS TOTALES'!$G185</f>
        <v>163000</v>
      </c>
      <c r="W160" s="344">
        <f>+'[75]VENTAS TOTALES'!$H185</f>
        <v>163000</v>
      </c>
      <c r="X160" s="343">
        <f>+'[76]VENTAS TOTALES'!$F185</f>
        <v>0</v>
      </c>
      <c r="Y160" s="344">
        <f>+'[76]VENTAS TOTALES'!$G185</f>
        <v>207000</v>
      </c>
      <c r="Z160" s="344">
        <f>+'[76]VENTAS TOTALES'!$H185</f>
        <v>207000</v>
      </c>
      <c r="AA160" s="343">
        <f>+'[77]VENTAS TOTALES'!$F185</f>
        <v>0</v>
      </c>
      <c r="AB160" s="344">
        <f>+'[77]VENTAS TOTALES'!$G185</f>
        <v>240000</v>
      </c>
      <c r="AC160" s="344">
        <f>+'[77]VENTAS TOTALES'!$H185</f>
        <v>240000</v>
      </c>
      <c r="AD160" s="343">
        <f>+'[78]VENTAS TOTALES'!$F185</f>
        <v>0</v>
      </c>
      <c r="AE160" s="344">
        <f>+'[78]VENTAS TOTALES'!$G185</f>
        <v>143000</v>
      </c>
      <c r="AF160" s="344">
        <f>+'[78]VENTAS TOTALES'!$H185</f>
        <v>143000</v>
      </c>
      <c r="AG160" s="343">
        <f>+'[79]VENTAS TOTALES'!$F185</f>
        <v>0</v>
      </c>
      <c r="AH160" s="344">
        <f>+'[79]VENTAS TOTALES'!$G185</f>
        <v>160000</v>
      </c>
      <c r="AI160" s="344">
        <f>+'[79]VENTAS TOTALES'!$H185</f>
        <v>160000</v>
      </c>
      <c r="AJ160" s="343">
        <f>+'[80]VENTAS TOTALES'!$F185</f>
        <v>0</v>
      </c>
      <c r="AK160" s="344">
        <f>+'[80]VENTAS TOTALES'!$G185</f>
        <v>5000</v>
      </c>
      <c r="AL160" s="344">
        <f>+'[80]VENTAS TOTALES'!$H185</f>
        <v>5000</v>
      </c>
      <c r="AM160" s="343">
        <f>+'[81]VENTAS TOTALES'!$F185</f>
        <v>0</v>
      </c>
      <c r="AN160" s="344">
        <f>+'[81]VENTAS TOTALES'!$G185</f>
        <v>0</v>
      </c>
      <c r="AO160" s="344">
        <f>+'[81]VENTAS TOTALES'!$H185</f>
        <v>0</v>
      </c>
      <c r="AP160" s="343">
        <f>+'[82]VENTAS TOTALES'!$F185</f>
        <v>0</v>
      </c>
      <c r="AQ160" s="344">
        <f>+'[82]VENTAS TOTALES'!$G185</f>
        <v>622000</v>
      </c>
      <c r="AR160" s="344">
        <f>+'[82]VENTAS TOTALES'!$H185</f>
        <v>622000</v>
      </c>
      <c r="AS160" s="343">
        <f>+'[83]VENTAS TOTALES'!$F185</f>
        <v>0</v>
      </c>
      <c r="AT160" s="344">
        <f>+'[83]VENTAS TOTALES'!$G185</f>
        <v>429000</v>
      </c>
      <c r="AU160" s="344">
        <f>+'[83]VENTAS TOTALES'!$H185</f>
        <v>429000</v>
      </c>
      <c r="AV160" s="343">
        <f>+'[84]VENTAS TOTALES'!$F185</f>
        <v>0</v>
      </c>
      <c r="AW160" s="344">
        <f>+'[84]VENTAS TOTALES'!$G185</f>
        <v>281000</v>
      </c>
      <c r="AX160" s="344">
        <f>+'[84]VENTAS TOTALES'!$H185</f>
        <v>281000</v>
      </c>
      <c r="AY160" s="343">
        <f>+'[85]VENTAS TOTALES'!$F185</f>
        <v>0</v>
      </c>
      <c r="AZ160" s="344">
        <f>+'[85]VENTAS TOTALES'!$G185</f>
        <v>245000</v>
      </c>
      <c r="BA160" s="344">
        <f>+'[85]VENTAS TOTALES'!$H185</f>
        <v>245000</v>
      </c>
      <c r="BB160" s="343">
        <f>+'[86]VENTAS TOTALES'!$F185</f>
        <v>0</v>
      </c>
      <c r="BC160" s="344">
        <f>+'[86]VENTAS TOTALES'!$G185</f>
        <v>234000</v>
      </c>
      <c r="BD160" s="344">
        <f>+'[86]VENTAS TOTALES'!$H185</f>
        <v>234000</v>
      </c>
      <c r="BE160" s="343">
        <f>+'[87]VENTAS TOTALES'!$F185</f>
        <v>0</v>
      </c>
      <c r="BF160" s="344">
        <f>+'[87]VENTAS TOTALES'!$G185</f>
        <v>62000</v>
      </c>
      <c r="BG160" s="344">
        <f>+'[87]VENTAS TOTALES'!$H185</f>
        <v>62000</v>
      </c>
      <c r="BH160" s="343">
        <f>+'[88]VENTAS TOTALES'!$F185</f>
        <v>0</v>
      </c>
      <c r="BI160" s="344">
        <f>+'[88]VENTAS TOTALES'!$G185</f>
        <v>0</v>
      </c>
      <c r="BJ160" s="344">
        <f>+'[88]VENTAS TOTALES'!$H185</f>
        <v>0</v>
      </c>
      <c r="BK160" s="343">
        <f>+'[89]VENTAS TOTALES'!$F185</f>
        <v>0</v>
      </c>
      <c r="BL160" s="344">
        <f>+'[89]VENTAS TOTALES'!$G185</f>
        <v>572000</v>
      </c>
      <c r="BM160" s="344">
        <f>+'[89]VENTAS TOTALES'!$H185</f>
        <v>572000</v>
      </c>
      <c r="BN160" s="343">
        <f>+'[90]VENTAS TOTALES'!$F185</f>
        <v>0</v>
      </c>
      <c r="BO160" s="344">
        <f>+'[90]VENTAS TOTALES'!$G185</f>
        <v>401000</v>
      </c>
      <c r="BP160" s="344">
        <f>+'[90]VENTAS TOTALES'!$H185</f>
        <v>401000</v>
      </c>
      <c r="BQ160" s="343">
        <f>+'[91]VENTAS TOTALES'!$F185</f>
        <v>0</v>
      </c>
      <c r="BR160" s="344">
        <f>+'[91]VENTAS TOTALES'!$G185</f>
        <v>374000</v>
      </c>
      <c r="BS160" s="344">
        <f>+'[91]VENTAS TOTALES'!$H185</f>
        <v>374000</v>
      </c>
      <c r="BT160" s="343">
        <f>+'[92]VENTAS TOTALES'!$F185</f>
        <v>0</v>
      </c>
      <c r="BU160" s="344">
        <f>+'[92]VENTAS TOTALES'!$G185</f>
        <v>59000</v>
      </c>
      <c r="BV160" s="344">
        <f>+'[92]VENTAS TOTALES'!$H185</f>
        <v>59000</v>
      </c>
      <c r="BW160" s="343">
        <f>+'[93]VENTAS TOTALES'!$F185</f>
        <v>0</v>
      </c>
      <c r="BX160" s="344">
        <f>+'[93]VENTAS TOTALES'!$G185</f>
        <v>0</v>
      </c>
      <c r="BY160" s="344">
        <f>+'[93]VENTAS TOTALES'!$H185</f>
        <v>0</v>
      </c>
      <c r="BZ160" s="343">
        <f>+'[94]VENTAS TOTALES'!$F185</f>
        <v>0</v>
      </c>
      <c r="CA160" s="344">
        <f>+'[94]VENTAS TOTALES'!$G185</f>
        <v>0</v>
      </c>
      <c r="CB160" s="344">
        <f>+'[94]VENTAS TOTALES'!$H185</f>
        <v>0</v>
      </c>
      <c r="CC160" s="343">
        <f>+'[95]VENTAS TOTALES'!$F185</f>
        <v>0</v>
      </c>
      <c r="CD160" s="344">
        <f>+'[95]VENTAS TOTALES'!$G185</f>
        <v>0</v>
      </c>
      <c r="CE160" s="344">
        <f>+'[95]VENTAS TOTALES'!$H185</f>
        <v>0</v>
      </c>
      <c r="CF160" s="343">
        <f>+'[96]VENTAS TOTALES'!$F185</f>
        <v>0</v>
      </c>
      <c r="CG160" s="344">
        <f>+'[96]VENTAS TOTALES'!$G185</f>
        <v>0</v>
      </c>
      <c r="CH160" s="344">
        <f>+'[96]VENTAS TOTALES'!$H185</f>
        <v>0</v>
      </c>
      <c r="CI160" s="343">
        <f>+'[97]VENTAS TOTALES'!$F185</f>
        <v>0</v>
      </c>
      <c r="CJ160" s="344">
        <f>+'[97]VENTAS TOTALES'!$G185</f>
        <v>3000</v>
      </c>
      <c r="CK160" s="344">
        <f>+'[97]VENTAS TOTALES'!$H185</f>
        <v>3000</v>
      </c>
      <c r="CL160" s="343">
        <f>+'[98]VENTAS TOTALES'!$F185</f>
        <v>0</v>
      </c>
      <c r="CM160" s="344">
        <f>+'[98]VENTAS TOTALES'!$G185</f>
        <v>204000</v>
      </c>
      <c r="CN160" s="344">
        <f>+'[98]VENTAS TOTALES'!$H185</f>
        <v>204000</v>
      </c>
      <c r="CO160" s="343">
        <f>+'[99]VENTAS TOTALES'!$F185</f>
        <v>0</v>
      </c>
      <c r="CP160" s="344">
        <f>+'[99]VENTAS TOTALES'!$G185</f>
        <v>88000</v>
      </c>
      <c r="CQ160" s="344">
        <f>+'[99]VENTAS TOTALES'!$H185</f>
        <v>88000</v>
      </c>
      <c r="CR160" s="343">
        <f>+'[100]VENTAS TOTALES'!$F185</f>
        <v>0</v>
      </c>
      <c r="CS160" s="344">
        <f>+'[100]VENTAS TOTALES'!$G185</f>
        <v>76000</v>
      </c>
      <c r="CT160" s="344">
        <f>+'[100]VENTAS TOTALES'!$H185</f>
        <v>76000</v>
      </c>
      <c r="CU160" s="343">
        <f>+'[101]VENTAS TOTALES'!$F185</f>
        <v>0</v>
      </c>
      <c r="CV160" s="344">
        <f>+'[101]VENTAS TOTALES'!$G185</f>
        <v>33000</v>
      </c>
      <c r="CW160" s="344">
        <f>+'[101]VENTAS TOTALES'!$H185</f>
        <v>33000</v>
      </c>
      <c r="CX160" s="343">
        <f>+'[102]VENTAS TOTALES'!$F185</f>
        <v>0</v>
      </c>
      <c r="CY160" s="344">
        <f>+'[102]VENTAS TOTALES'!$G185</f>
        <v>12000</v>
      </c>
      <c r="CZ160" s="344">
        <f>+'[102]VENTAS TOTALES'!$H185</f>
        <v>12000</v>
      </c>
    </row>
    <row r="161" spans="1:104" s="8" customFormat="1" ht="13.5" thickBot="1" x14ac:dyDescent="0.25">
      <c r="A161" s="455"/>
      <c r="B161" s="345" t="s">
        <v>412</v>
      </c>
      <c r="C161" s="343">
        <f>+'[69]VENTAS TOTALES'!$F186</f>
        <v>0</v>
      </c>
      <c r="D161" s="344">
        <f>+'[69]VENTAS TOTALES'!$G186</f>
        <v>81000</v>
      </c>
      <c r="E161" s="344">
        <f>+'[69]VENTAS TOTALES'!$H186</f>
        <v>81000</v>
      </c>
      <c r="F161" s="343">
        <f>+'[70]VENTAS TOTALES'!$F186</f>
        <v>0</v>
      </c>
      <c r="G161" s="344">
        <f>+'[70]VENTAS TOTALES'!$G186</f>
        <v>79000</v>
      </c>
      <c r="H161" s="344">
        <f>+'[70]VENTAS TOTALES'!$H186</f>
        <v>79000</v>
      </c>
      <c r="I161" s="343">
        <f>+'[71]VENTAS TOTALES'!$F186</f>
        <v>0</v>
      </c>
      <c r="J161" s="344">
        <f>+'[71]VENTAS TOTALES'!$G186</f>
        <v>55000</v>
      </c>
      <c r="K161" s="344">
        <f>+'[71]VENTAS TOTALES'!$H186</f>
        <v>55000</v>
      </c>
      <c r="L161" s="343">
        <f>+'[72]VENTAS TOTALES'!$F186</f>
        <v>0</v>
      </c>
      <c r="M161" s="344">
        <f>+'[72]VENTAS TOTALES'!$G186</f>
        <v>96000</v>
      </c>
      <c r="N161" s="344">
        <f>+'[72]VENTAS TOTALES'!$H186</f>
        <v>96000</v>
      </c>
      <c r="O161" s="343">
        <f>+'[73]VENTAS TOTALES'!$F186</f>
        <v>0</v>
      </c>
      <c r="P161" s="344">
        <f>+'[73]VENTAS TOTALES'!$G186</f>
        <v>20000</v>
      </c>
      <c r="Q161" s="344">
        <f>+'[73]VENTAS TOTALES'!$H186</f>
        <v>20000</v>
      </c>
      <c r="R161" s="343">
        <f>+'[74]VENTAS TOTALES'!$F186</f>
        <v>0</v>
      </c>
      <c r="S161" s="344">
        <f>+'[74]VENTAS TOTALES'!$G186</f>
        <v>0</v>
      </c>
      <c r="T161" s="344">
        <f>+'[74]VENTAS TOTALES'!$H186</f>
        <v>0</v>
      </c>
      <c r="U161" s="343">
        <f>+'[75]VENTAS TOTALES'!$F186</f>
        <v>0</v>
      </c>
      <c r="V161" s="344">
        <f>+'[75]VENTAS TOTALES'!$G186</f>
        <v>87000</v>
      </c>
      <c r="W161" s="344">
        <f>+'[75]VENTAS TOTALES'!$H186</f>
        <v>87000</v>
      </c>
      <c r="X161" s="343">
        <f>+'[76]VENTAS TOTALES'!$F186</f>
        <v>0</v>
      </c>
      <c r="Y161" s="344">
        <f>+'[76]VENTAS TOTALES'!$G186</f>
        <v>0</v>
      </c>
      <c r="Z161" s="344">
        <f>+'[76]VENTAS TOTALES'!$H186</f>
        <v>0</v>
      </c>
      <c r="AA161" s="343">
        <f>+'[77]VENTAS TOTALES'!$F186</f>
        <v>0</v>
      </c>
      <c r="AB161" s="344">
        <f>+'[77]VENTAS TOTALES'!$G186</f>
        <v>52000</v>
      </c>
      <c r="AC161" s="344">
        <f>+'[77]VENTAS TOTALES'!$H186</f>
        <v>52000</v>
      </c>
      <c r="AD161" s="343">
        <f>+'[78]VENTAS TOTALES'!$F186</f>
        <v>0</v>
      </c>
      <c r="AE161" s="344">
        <f>+'[78]VENTAS TOTALES'!$G186</f>
        <v>6000</v>
      </c>
      <c r="AF161" s="344">
        <f>+'[78]VENTAS TOTALES'!$H186</f>
        <v>6000</v>
      </c>
      <c r="AG161" s="343">
        <f>+'[79]VENTAS TOTALES'!$F186</f>
        <v>0</v>
      </c>
      <c r="AH161" s="344">
        <f>+'[79]VENTAS TOTALES'!$G186</f>
        <v>1000</v>
      </c>
      <c r="AI161" s="344">
        <f>+'[79]VENTAS TOTALES'!$H186</f>
        <v>1000</v>
      </c>
      <c r="AJ161" s="343">
        <f>+'[80]VENTAS TOTALES'!$F186</f>
        <v>0</v>
      </c>
      <c r="AK161" s="344">
        <f>+'[80]VENTAS TOTALES'!$G186</f>
        <v>0</v>
      </c>
      <c r="AL161" s="344">
        <f>+'[80]VENTAS TOTALES'!$H186</f>
        <v>0</v>
      </c>
      <c r="AM161" s="343">
        <f>+'[81]VENTAS TOTALES'!$F186</f>
        <v>0</v>
      </c>
      <c r="AN161" s="344">
        <f>+'[81]VENTAS TOTALES'!$G186</f>
        <v>0</v>
      </c>
      <c r="AO161" s="344">
        <f>+'[81]VENTAS TOTALES'!$H186</f>
        <v>0</v>
      </c>
      <c r="AP161" s="343">
        <f>+'[82]VENTAS TOTALES'!$F186</f>
        <v>0</v>
      </c>
      <c r="AQ161" s="344">
        <f>+'[82]VENTAS TOTALES'!$G186</f>
        <v>83000</v>
      </c>
      <c r="AR161" s="344">
        <f>+'[82]VENTAS TOTALES'!$H186</f>
        <v>83000</v>
      </c>
      <c r="AS161" s="343">
        <f>+'[83]VENTAS TOTALES'!$F186</f>
        <v>0</v>
      </c>
      <c r="AT161" s="344">
        <f>+'[83]VENTAS TOTALES'!$G186</f>
        <v>74000</v>
      </c>
      <c r="AU161" s="344">
        <f>+'[83]VENTAS TOTALES'!$H186</f>
        <v>74000</v>
      </c>
      <c r="AV161" s="343">
        <f>+'[84]VENTAS TOTALES'!$F186</f>
        <v>0</v>
      </c>
      <c r="AW161" s="344">
        <f>+'[84]VENTAS TOTALES'!$G186</f>
        <v>58000</v>
      </c>
      <c r="AX161" s="344">
        <f>+'[84]VENTAS TOTALES'!$H186</f>
        <v>58000</v>
      </c>
      <c r="AY161" s="343">
        <f>+'[85]VENTAS TOTALES'!$F186</f>
        <v>0</v>
      </c>
      <c r="AZ161" s="344">
        <f>+'[85]VENTAS TOTALES'!$G186</f>
        <v>38000</v>
      </c>
      <c r="BA161" s="344">
        <f>+'[85]VENTAS TOTALES'!$H186</f>
        <v>38000</v>
      </c>
      <c r="BB161" s="343">
        <f>+'[86]VENTAS TOTALES'!$F186</f>
        <v>0</v>
      </c>
      <c r="BC161" s="344">
        <f>+'[86]VENTAS TOTALES'!$G186</f>
        <v>43000</v>
      </c>
      <c r="BD161" s="344">
        <f>+'[86]VENTAS TOTALES'!$H186</f>
        <v>43000</v>
      </c>
      <c r="BE161" s="343">
        <f>+'[87]VENTAS TOTALES'!$F186</f>
        <v>0</v>
      </c>
      <c r="BF161" s="344">
        <f>+'[87]VENTAS TOTALES'!$G186</f>
        <v>35000</v>
      </c>
      <c r="BG161" s="344">
        <f>+'[87]VENTAS TOTALES'!$H186</f>
        <v>35000</v>
      </c>
      <c r="BH161" s="343">
        <f>+'[88]VENTAS TOTALES'!$F186</f>
        <v>0</v>
      </c>
      <c r="BI161" s="344">
        <f>+'[88]VENTAS TOTALES'!$G186</f>
        <v>0</v>
      </c>
      <c r="BJ161" s="344">
        <f>+'[88]VENTAS TOTALES'!$H186</f>
        <v>0</v>
      </c>
      <c r="BK161" s="343">
        <f>+'[89]VENTAS TOTALES'!$F186</f>
        <v>0</v>
      </c>
      <c r="BL161" s="344">
        <f>+'[89]VENTAS TOTALES'!$G186</f>
        <v>135000</v>
      </c>
      <c r="BM161" s="344">
        <f>+'[89]VENTAS TOTALES'!$H186</f>
        <v>135000</v>
      </c>
      <c r="BN161" s="343">
        <f>+'[90]VENTAS TOTALES'!$F186</f>
        <v>0</v>
      </c>
      <c r="BO161" s="344">
        <f>+'[90]VENTAS TOTALES'!$G186</f>
        <v>88000</v>
      </c>
      <c r="BP161" s="344">
        <f>+'[90]VENTAS TOTALES'!$H186</f>
        <v>88000</v>
      </c>
      <c r="BQ161" s="343">
        <f>+'[91]VENTAS TOTALES'!$F186</f>
        <v>0</v>
      </c>
      <c r="BR161" s="344">
        <f>+'[91]VENTAS TOTALES'!$G186</f>
        <v>74000</v>
      </c>
      <c r="BS161" s="344">
        <f>+'[91]VENTAS TOTALES'!$H186</f>
        <v>74000</v>
      </c>
      <c r="BT161" s="343">
        <f>+'[92]VENTAS TOTALES'!$F186</f>
        <v>0</v>
      </c>
      <c r="BU161" s="344">
        <f>+'[92]VENTAS TOTALES'!$G186</f>
        <v>8000</v>
      </c>
      <c r="BV161" s="344">
        <f>+'[92]VENTAS TOTALES'!$H186</f>
        <v>8000</v>
      </c>
      <c r="BW161" s="343">
        <f>+'[93]VENTAS TOTALES'!$F186</f>
        <v>0</v>
      </c>
      <c r="BX161" s="344">
        <f>+'[93]VENTAS TOTALES'!$G186</f>
        <v>27000</v>
      </c>
      <c r="BY161" s="344">
        <f>+'[93]VENTAS TOTALES'!$H186</f>
        <v>27000</v>
      </c>
      <c r="BZ161" s="343">
        <f>+'[94]VENTAS TOTALES'!$F186</f>
        <v>0</v>
      </c>
      <c r="CA161" s="344">
        <f>+'[94]VENTAS TOTALES'!$G186</f>
        <v>26000</v>
      </c>
      <c r="CB161" s="344">
        <f>+'[94]VENTAS TOTALES'!$H186</f>
        <v>26000</v>
      </c>
      <c r="CC161" s="343">
        <f>+'[95]VENTAS TOTALES'!$F186</f>
        <v>0</v>
      </c>
      <c r="CD161" s="344">
        <f>+'[95]VENTAS TOTALES'!$G186</f>
        <v>0</v>
      </c>
      <c r="CE161" s="344">
        <f>+'[95]VENTAS TOTALES'!$H186</f>
        <v>0</v>
      </c>
      <c r="CF161" s="343">
        <f>+'[96]VENTAS TOTALES'!$F186</f>
        <v>0</v>
      </c>
      <c r="CG161" s="344">
        <f>+'[96]VENTAS TOTALES'!$G186</f>
        <v>42000</v>
      </c>
      <c r="CH161" s="344">
        <f>+'[96]VENTAS TOTALES'!$H186</f>
        <v>42000</v>
      </c>
      <c r="CI161" s="343">
        <f>+'[97]VENTAS TOTALES'!$F186</f>
        <v>0</v>
      </c>
      <c r="CJ161" s="344">
        <f>+'[97]VENTAS TOTALES'!$G186</f>
        <v>113000</v>
      </c>
      <c r="CK161" s="344">
        <f>+'[97]VENTAS TOTALES'!$H186</f>
        <v>113000</v>
      </c>
      <c r="CL161" s="343">
        <f>+'[98]VENTAS TOTALES'!$F186</f>
        <v>0</v>
      </c>
      <c r="CM161" s="344">
        <f>+'[98]VENTAS TOTALES'!$G186</f>
        <v>60000</v>
      </c>
      <c r="CN161" s="344">
        <f>+'[98]VENTAS TOTALES'!$H186</f>
        <v>60000</v>
      </c>
      <c r="CO161" s="343">
        <f>+'[99]VENTAS TOTALES'!$F186</f>
        <v>0</v>
      </c>
      <c r="CP161" s="344">
        <f>+'[99]VENTAS TOTALES'!$G186</f>
        <v>10000</v>
      </c>
      <c r="CQ161" s="344">
        <f>+'[99]VENTAS TOTALES'!$H186</f>
        <v>10000</v>
      </c>
      <c r="CR161" s="343">
        <f>+'[100]VENTAS TOTALES'!$F186</f>
        <v>0</v>
      </c>
      <c r="CS161" s="344">
        <f>+'[100]VENTAS TOTALES'!$G186</f>
        <v>69000</v>
      </c>
      <c r="CT161" s="344">
        <f>+'[100]VENTAS TOTALES'!$H186</f>
        <v>69000</v>
      </c>
      <c r="CU161" s="343">
        <f>+'[101]VENTAS TOTALES'!$F186</f>
        <v>0</v>
      </c>
      <c r="CV161" s="344">
        <f>+'[101]VENTAS TOTALES'!$G186</f>
        <v>0</v>
      </c>
      <c r="CW161" s="344">
        <f>+'[101]VENTAS TOTALES'!$H186</f>
        <v>0</v>
      </c>
      <c r="CX161" s="343">
        <f>+'[102]VENTAS TOTALES'!$F186</f>
        <v>0</v>
      </c>
      <c r="CY161" s="344">
        <f>+'[102]VENTAS TOTALES'!$G186</f>
        <v>2000</v>
      </c>
      <c r="CZ161" s="344">
        <f>+'[102]VENTAS TOTALES'!$H186</f>
        <v>2000</v>
      </c>
    </row>
    <row r="162" spans="1:104" s="8" customFormat="1" ht="14.25" customHeight="1" thickBot="1" x14ac:dyDescent="0.25">
      <c r="A162" s="455"/>
      <c r="B162" s="345" t="s">
        <v>413</v>
      </c>
      <c r="C162" s="343">
        <f>+'[69]VENTAS TOTALES'!$F187</f>
        <v>0</v>
      </c>
      <c r="D162" s="344">
        <f>+'[69]VENTAS TOTALES'!$G187</f>
        <v>431000</v>
      </c>
      <c r="E162" s="344">
        <f>+'[69]VENTAS TOTALES'!$H187</f>
        <v>431000</v>
      </c>
      <c r="F162" s="343">
        <f>+'[70]VENTAS TOTALES'!$F187</f>
        <v>0</v>
      </c>
      <c r="G162" s="344">
        <f>+'[70]VENTAS TOTALES'!$G187</f>
        <v>488000</v>
      </c>
      <c r="H162" s="344">
        <f>+'[70]VENTAS TOTALES'!$H187</f>
        <v>488000</v>
      </c>
      <c r="I162" s="343">
        <f>+'[71]VENTAS TOTALES'!$F187</f>
        <v>0</v>
      </c>
      <c r="J162" s="344">
        <f>+'[71]VENTAS TOTALES'!$G187</f>
        <v>290000</v>
      </c>
      <c r="K162" s="344">
        <f>+'[71]VENTAS TOTALES'!$H187</f>
        <v>290000</v>
      </c>
      <c r="L162" s="343">
        <f>+'[72]VENTAS TOTALES'!$F187</f>
        <v>0</v>
      </c>
      <c r="M162" s="344">
        <f>+'[72]VENTAS TOTALES'!$G187</f>
        <v>272000</v>
      </c>
      <c r="N162" s="344">
        <f>+'[72]VENTAS TOTALES'!$H187</f>
        <v>272000</v>
      </c>
      <c r="O162" s="343">
        <f>+'[73]VENTAS TOTALES'!$F187</f>
        <v>0</v>
      </c>
      <c r="P162" s="344">
        <f>+'[73]VENTAS TOTALES'!$G187</f>
        <v>22000</v>
      </c>
      <c r="Q162" s="344">
        <f>+'[73]VENTAS TOTALES'!$H187</f>
        <v>22000</v>
      </c>
      <c r="R162" s="343">
        <f>+'[74]VENTAS TOTALES'!$F187</f>
        <v>0</v>
      </c>
      <c r="S162" s="344">
        <f>+'[74]VENTAS TOTALES'!$G187</f>
        <v>0</v>
      </c>
      <c r="T162" s="344">
        <f>+'[74]VENTAS TOTALES'!$H187</f>
        <v>0</v>
      </c>
      <c r="U162" s="343">
        <f>+'[75]VENTAS TOTALES'!$F187</f>
        <v>0</v>
      </c>
      <c r="V162" s="344">
        <f>+'[75]VENTAS TOTALES'!$G187</f>
        <v>776000</v>
      </c>
      <c r="W162" s="344">
        <f>+'[75]VENTAS TOTALES'!$H187</f>
        <v>776000</v>
      </c>
      <c r="X162" s="343">
        <f>+'[76]VENTAS TOTALES'!$F187</f>
        <v>0</v>
      </c>
      <c r="Y162" s="344">
        <f>+'[76]VENTAS TOTALES'!$G187</f>
        <v>492000</v>
      </c>
      <c r="Z162" s="344">
        <f>+'[76]VENTAS TOTALES'!$H187</f>
        <v>492000</v>
      </c>
      <c r="AA162" s="343">
        <f>+'[77]VENTAS TOTALES'!$F187</f>
        <v>0</v>
      </c>
      <c r="AB162" s="344">
        <f>+'[77]VENTAS TOTALES'!$G187</f>
        <v>315000</v>
      </c>
      <c r="AC162" s="344">
        <f>+'[77]VENTAS TOTALES'!$H187</f>
        <v>315000</v>
      </c>
      <c r="AD162" s="343">
        <f>+'[78]VENTAS TOTALES'!$F187</f>
        <v>0</v>
      </c>
      <c r="AE162" s="344">
        <f>+'[78]VENTAS TOTALES'!$G187</f>
        <v>440000</v>
      </c>
      <c r="AF162" s="344">
        <f>+'[78]VENTAS TOTALES'!$H187</f>
        <v>440000</v>
      </c>
      <c r="AG162" s="343">
        <f>+'[79]VENTAS TOTALES'!$F187</f>
        <v>0</v>
      </c>
      <c r="AH162" s="344">
        <f>+'[79]VENTAS TOTALES'!$G187</f>
        <v>406000</v>
      </c>
      <c r="AI162" s="344">
        <f>+'[79]VENTAS TOTALES'!$H187</f>
        <v>406000</v>
      </c>
      <c r="AJ162" s="343">
        <f>+'[80]VENTAS TOTALES'!$F187</f>
        <v>0</v>
      </c>
      <c r="AK162" s="344">
        <f>+'[80]VENTAS TOTALES'!$G187</f>
        <v>40000</v>
      </c>
      <c r="AL162" s="344">
        <f>+'[80]VENTAS TOTALES'!$H187</f>
        <v>40000</v>
      </c>
      <c r="AM162" s="343">
        <f>+'[81]VENTAS TOTALES'!$F187</f>
        <v>0</v>
      </c>
      <c r="AN162" s="344">
        <f>+'[81]VENTAS TOTALES'!$G187</f>
        <v>0</v>
      </c>
      <c r="AO162" s="344">
        <f>+'[81]VENTAS TOTALES'!$H187</f>
        <v>0</v>
      </c>
      <c r="AP162" s="343">
        <f>+'[82]VENTAS TOTALES'!$F187</f>
        <v>0</v>
      </c>
      <c r="AQ162" s="344">
        <f>+'[82]VENTAS TOTALES'!$G187</f>
        <v>252000</v>
      </c>
      <c r="AR162" s="344">
        <f>+'[82]VENTAS TOTALES'!$H187</f>
        <v>252000</v>
      </c>
      <c r="AS162" s="343">
        <f>+'[83]VENTAS TOTALES'!$F187</f>
        <v>0</v>
      </c>
      <c r="AT162" s="344">
        <f>+'[83]VENTAS TOTALES'!$G187</f>
        <v>413000</v>
      </c>
      <c r="AU162" s="344">
        <f>+'[83]VENTAS TOTALES'!$H187</f>
        <v>413000</v>
      </c>
      <c r="AV162" s="343">
        <f>+'[84]VENTAS TOTALES'!$F187</f>
        <v>0</v>
      </c>
      <c r="AW162" s="344">
        <f>+'[84]VENTAS TOTALES'!$G187</f>
        <v>359000</v>
      </c>
      <c r="AX162" s="344">
        <f>+'[84]VENTAS TOTALES'!$H187</f>
        <v>359000</v>
      </c>
      <c r="AY162" s="343">
        <f>+'[85]VENTAS TOTALES'!$F187</f>
        <v>0</v>
      </c>
      <c r="AZ162" s="344">
        <f>+'[85]VENTAS TOTALES'!$G187</f>
        <v>356000</v>
      </c>
      <c r="BA162" s="344">
        <f>+'[85]VENTAS TOTALES'!$H187</f>
        <v>356000</v>
      </c>
      <c r="BB162" s="343">
        <f>+'[86]VENTAS TOTALES'!$F187</f>
        <v>0</v>
      </c>
      <c r="BC162" s="344">
        <f>+'[86]VENTAS TOTALES'!$G187</f>
        <v>412000</v>
      </c>
      <c r="BD162" s="344">
        <f>+'[86]VENTAS TOTALES'!$H187</f>
        <v>412000</v>
      </c>
      <c r="BE162" s="343">
        <f>+'[87]VENTAS TOTALES'!$F187</f>
        <v>0</v>
      </c>
      <c r="BF162" s="344">
        <f>+'[87]VENTAS TOTALES'!$G187</f>
        <v>39000</v>
      </c>
      <c r="BG162" s="344">
        <f>+'[87]VENTAS TOTALES'!$H187</f>
        <v>39000</v>
      </c>
      <c r="BH162" s="343">
        <f>+'[88]VENTAS TOTALES'!$F187</f>
        <v>0</v>
      </c>
      <c r="BI162" s="344">
        <f>+'[88]VENTAS TOTALES'!$G187</f>
        <v>0</v>
      </c>
      <c r="BJ162" s="344">
        <f>+'[88]VENTAS TOTALES'!$H187</f>
        <v>0</v>
      </c>
      <c r="BK162" s="343">
        <f>+'[89]VENTAS TOTALES'!$F187</f>
        <v>0</v>
      </c>
      <c r="BL162" s="344">
        <f>+'[89]VENTAS TOTALES'!$G187</f>
        <v>645000</v>
      </c>
      <c r="BM162" s="344">
        <f>+'[89]VENTAS TOTALES'!$H187</f>
        <v>645000</v>
      </c>
      <c r="BN162" s="343">
        <f>+'[90]VENTAS TOTALES'!$F187</f>
        <v>0</v>
      </c>
      <c r="BO162" s="344">
        <f>+'[90]VENTAS TOTALES'!$G187</f>
        <v>477000</v>
      </c>
      <c r="BP162" s="344">
        <f>+'[90]VENTAS TOTALES'!$H187</f>
        <v>477000</v>
      </c>
      <c r="BQ162" s="343">
        <f>+'[91]VENTAS TOTALES'!$F187</f>
        <v>0</v>
      </c>
      <c r="BR162" s="344">
        <f>+'[91]VENTAS TOTALES'!$G187</f>
        <v>319000</v>
      </c>
      <c r="BS162" s="344">
        <f>+'[91]VENTAS TOTALES'!$H187</f>
        <v>319000</v>
      </c>
      <c r="BT162" s="343">
        <f>+'[92]VENTAS TOTALES'!$F187</f>
        <v>0</v>
      </c>
      <c r="BU162" s="344">
        <f>+'[92]VENTAS TOTALES'!$G187</f>
        <v>378000</v>
      </c>
      <c r="BV162" s="344">
        <f>+'[92]VENTAS TOTALES'!$H187</f>
        <v>378000</v>
      </c>
      <c r="BW162" s="343">
        <f>+'[93]VENTAS TOTALES'!$F187</f>
        <v>0</v>
      </c>
      <c r="BX162" s="344">
        <f>+'[93]VENTAS TOTALES'!$G187</f>
        <v>329000</v>
      </c>
      <c r="BY162" s="344">
        <f>+'[93]VENTAS TOTALES'!$H187</f>
        <v>329000</v>
      </c>
      <c r="BZ162" s="343">
        <f>+'[94]VENTAS TOTALES'!$F187</f>
        <v>0</v>
      </c>
      <c r="CA162" s="344">
        <f>+'[94]VENTAS TOTALES'!$G187</f>
        <v>46000</v>
      </c>
      <c r="CB162" s="344">
        <f>+'[94]VENTAS TOTALES'!$H187</f>
        <v>46000</v>
      </c>
      <c r="CC162" s="343">
        <f>+'[95]VENTAS TOTALES'!$F187</f>
        <v>0</v>
      </c>
      <c r="CD162" s="344">
        <f>+'[95]VENTAS TOTALES'!$G187</f>
        <v>0</v>
      </c>
      <c r="CE162" s="344">
        <f>+'[95]VENTAS TOTALES'!$H187</f>
        <v>0</v>
      </c>
      <c r="CF162" s="343">
        <f>+'[96]VENTAS TOTALES'!$F187</f>
        <v>0</v>
      </c>
      <c r="CG162" s="344">
        <f>+'[96]VENTAS TOTALES'!$G187</f>
        <v>753000</v>
      </c>
      <c r="CH162" s="344">
        <f>+'[96]VENTAS TOTALES'!$H187</f>
        <v>753000</v>
      </c>
      <c r="CI162" s="343">
        <f>+'[97]VENTAS TOTALES'!$F187</f>
        <v>0</v>
      </c>
      <c r="CJ162" s="344">
        <f>+'[97]VENTAS TOTALES'!$G187</f>
        <v>616000</v>
      </c>
      <c r="CK162" s="344">
        <f>+'[97]VENTAS TOTALES'!$H187</f>
        <v>616000</v>
      </c>
      <c r="CL162" s="343">
        <f>+'[98]VENTAS TOTALES'!$F187</f>
        <v>0</v>
      </c>
      <c r="CM162" s="344">
        <f>+'[98]VENTAS TOTALES'!$G187</f>
        <v>0</v>
      </c>
      <c r="CN162" s="344">
        <f>+'[98]VENTAS TOTALES'!$H187</f>
        <v>0</v>
      </c>
      <c r="CO162" s="343">
        <f>+'[99]VENTAS TOTALES'!$F187</f>
        <v>0</v>
      </c>
      <c r="CP162" s="344">
        <f>+'[99]VENTAS TOTALES'!$G187</f>
        <v>458000</v>
      </c>
      <c r="CQ162" s="344">
        <f>+'[99]VENTAS TOTALES'!$H187</f>
        <v>458000</v>
      </c>
      <c r="CR162" s="343">
        <f>+'[100]VENTAS TOTALES'!$F187</f>
        <v>0</v>
      </c>
      <c r="CS162" s="344">
        <f>+'[100]VENTAS TOTALES'!$G187</f>
        <v>391000</v>
      </c>
      <c r="CT162" s="344">
        <f>+'[100]VENTAS TOTALES'!$H187</f>
        <v>391000</v>
      </c>
      <c r="CU162" s="343">
        <f>+'[101]VENTAS TOTALES'!$F187</f>
        <v>0</v>
      </c>
      <c r="CV162" s="344">
        <f>+'[101]VENTAS TOTALES'!$G187</f>
        <v>87000</v>
      </c>
      <c r="CW162" s="344">
        <f>+'[101]VENTAS TOTALES'!$H187</f>
        <v>87000</v>
      </c>
      <c r="CX162" s="343">
        <f>+'[102]VENTAS TOTALES'!$F187</f>
        <v>0</v>
      </c>
      <c r="CY162" s="344">
        <f>+'[102]VENTAS TOTALES'!$G187</f>
        <v>0</v>
      </c>
      <c r="CZ162" s="344">
        <f>+'[102]VENTAS TOTALES'!$H187</f>
        <v>0</v>
      </c>
    </row>
    <row r="163" spans="1:104" s="8" customFormat="1" ht="13.5" thickBot="1" x14ac:dyDescent="0.25">
      <c r="A163" s="455"/>
      <c r="B163" s="345" t="s">
        <v>414</v>
      </c>
      <c r="C163" s="343">
        <f>+'[69]VENTAS TOTALES'!$F188</f>
        <v>0</v>
      </c>
      <c r="D163" s="344">
        <f>+'[69]VENTAS TOTALES'!$G188</f>
        <v>5000</v>
      </c>
      <c r="E163" s="344">
        <f>+'[69]VENTAS TOTALES'!$H188</f>
        <v>5000</v>
      </c>
      <c r="F163" s="343">
        <f>+'[70]VENTAS TOTALES'!$F188</f>
        <v>0</v>
      </c>
      <c r="G163" s="344">
        <f>+'[70]VENTAS TOTALES'!$G188</f>
        <v>40000</v>
      </c>
      <c r="H163" s="344">
        <f>+'[70]VENTAS TOTALES'!$H188</f>
        <v>40000</v>
      </c>
      <c r="I163" s="343">
        <f>+'[71]VENTAS TOTALES'!$F188</f>
        <v>0</v>
      </c>
      <c r="J163" s="344">
        <f>+'[71]VENTAS TOTALES'!$G188</f>
        <v>10000</v>
      </c>
      <c r="K163" s="344">
        <f>+'[71]VENTAS TOTALES'!$H188</f>
        <v>10000</v>
      </c>
      <c r="L163" s="343">
        <f>+'[72]VENTAS TOTALES'!$F188</f>
        <v>0</v>
      </c>
      <c r="M163" s="344">
        <f>+'[72]VENTAS TOTALES'!$G188</f>
        <v>5000</v>
      </c>
      <c r="N163" s="344">
        <f>+'[72]VENTAS TOTALES'!$H188</f>
        <v>5000</v>
      </c>
      <c r="O163" s="343">
        <f>+'[73]VENTAS TOTALES'!$F188</f>
        <v>0</v>
      </c>
      <c r="P163" s="344">
        <f>+'[73]VENTAS TOTALES'!$G188</f>
        <v>54000</v>
      </c>
      <c r="Q163" s="344">
        <f>+'[73]VENTAS TOTALES'!$H188</f>
        <v>54000</v>
      </c>
      <c r="R163" s="343">
        <f>+'[74]VENTAS TOTALES'!$F188</f>
        <v>0</v>
      </c>
      <c r="S163" s="344">
        <f>+'[74]VENTAS TOTALES'!$G188</f>
        <v>9000</v>
      </c>
      <c r="T163" s="344">
        <f>+'[74]VENTAS TOTALES'!$H188</f>
        <v>9000</v>
      </c>
      <c r="U163" s="343">
        <f>+'[75]VENTAS TOTALES'!$F188</f>
        <v>0</v>
      </c>
      <c r="V163" s="344">
        <f>+'[75]VENTAS TOTALES'!$G188</f>
        <v>40000</v>
      </c>
      <c r="W163" s="344">
        <f>+'[75]VENTAS TOTALES'!$H188</f>
        <v>40000</v>
      </c>
      <c r="X163" s="343">
        <f>+'[76]VENTAS TOTALES'!$F188</f>
        <v>0</v>
      </c>
      <c r="Y163" s="344">
        <f>+'[76]VENTAS TOTALES'!$G188</f>
        <v>12000</v>
      </c>
      <c r="Z163" s="344">
        <f>+'[76]VENTAS TOTALES'!$H188</f>
        <v>12000</v>
      </c>
      <c r="AA163" s="343">
        <f>+'[77]VENTAS TOTALES'!$F188</f>
        <v>0</v>
      </c>
      <c r="AB163" s="344">
        <f>+'[77]VENTAS TOTALES'!$G188</f>
        <v>3000</v>
      </c>
      <c r="AC163" s="344">
        <f>+'[77]VENTAS TOTALES'!$H188</f>
        <v>3000</v>
      </c>
      <c r="AD163" s="343">
        <f>+'[78]VENTAS TOTALES'!$F188</f>
        <v>0</v>
      </c>
      <c r="AE163" s="344">
        <f>+'[78]VENTAS TOTALES'!$G188</f>
        <v>0</v>
      </c>
      <c r="AF163" s="344">
        <f>+'[78]VENTAS TOTALES'!$H188</f>
        <v>0</v>
      </c>
      <c r="AG163" s="343">
        <f>+'[79]VENTAS TOTALES'!$F188</f>
        <v>0</v>
      </c>
      <c r="AH163" s="344">
        <f>+'[79]VENTAS TOTALES'!$G188</f>
        <v>5000</v>
      </c>
      <c r="AI163" s="344">
        <f>+'[79]VENTAS TOTALES'!$H188</f>
        <v>5000</v>
      </c>
      <c r="AJ163" s="343">
        <f>+'[80]VENTAS TOTALES'!$F188</f>
        <v>0</v>
      </c>
      <c r="AK163" s="344">
        <f>+'[80]VENTAS TOTALES'!$G188</f>
        <v>10000</v>
      </c>
      <c r="AL163" s="344">
        <f>+'[80]VENTAS TOTALES'!$H188</f>
        <v>10000</v>
      </c>
      <c r="AM163" s="343">
        <f>+'[81]VENTAS TOTALES'!$F188</f>
        <v>0</v>
      </c>
      <c r="AN163" s="344">
        <f>+'[81]VENTAS TOTALES'!$G188</f>
        <v>41000</v>
      </c>
      <c r="AO163" s="344">
        <f>+'[81]VENTAS TOTALES'!$H188</f>
        <v>41000</v>
      </c>
      <c r="AP163" s="343">
        <f>+'[82]VENTAS TOTALES'!$F188</f>
        <v>0</v>
      </c>
      <c r="AQ163" s="344">
        <f>+'[82]VENTAS TOTALES'!$G188</f>
        <v>2000</v>
      </c>
      <c r="AR163" s="344">
        <f>+'[82]VENTAS TOTALES'!$H188</f>
        <v>2000</v>
      </c>
      <c r="AS163" s="343">
        <f>+'[83]VENTAS TOTALES'!$F188</f>
        <v>0</v>
      </c>
      <c r="AT163" s="344">
        <f>+'[83]VENTAS TOTALES'!$G188</f>
        <v>33000</v>
      </c>
      <c r="AU163" s="344">
        <f>+'[83]VENTAS TOTALES'!$H188</f>
        <v>33000</v>
      </c>
      <c r="AV163" s="343">
        <f>+'[84]VENTAS TOTALES'!$F188</f>
        <v>0</v>
      </c>
      <c r="AW163" s="344">
        <f>+'[84]VENTAS TOTALES'!$G188</f>
        <v>2000</v>
      </c>
      <c r="AX163" s="344">
        <f>+'[84]VENTAS TOTALES'!$H188</f>
        <v>2000</v>
      </c>
      <c r="AY163" s="343">
        <f>+'[85]VENTAS TOTALES'!$F188</f>
        <v>0</v>
      </c>
      <c r="AZ163" s="344">
        <f>+'[85]VENTAS TOTALES'!$G188</f>
        <v>33000</v>
      </c>
      <c r="BA163" s="344">
        <f>+'[85]VENTAS TOTALES'!$H188</f>
        <v>33000</v>
      </c>
      <c r="BB163" s="343">
        <f>+'[86]VENTAS TOTALES'!$F188</f>
        <v>0</v>
      </c>
      <c r="BC163" s="344">
        <f>+'[86]VENTAS TOTALES'!$G188</f>
        <v>0</v>
      </c>
      <c r="BD163" s="344">
        <f>+'[86]VENTAS TOTALES'!$H188</f>
        <v>0</v>
      </c>
      <c r="BE163" s="343">
        <f>+'[87]VENTAS TOTALES'!$F188</f>
        <v>0</v>
      </c>
      <c r="BF163" s="344">
        <f>+'[87]VENTAS TOTALES'!$G188</f>
        <v>20000</v>
      </c>
      <c r="BG163" s="344">
        <f>+'[87]VENTAS TOTALES'!$H188</f>
        <v>20000</v>
      </c>
      <c r="BH163" s="343">
        <f>+'[88]VENTAS TOTALES'!$F188</f>
        <v>0</v>
      </c>
      <c r="BI163" s="344">
        <f>+'[88]VENTAS TOTALES'!$G188</f>
        <v>3000</v>
      </c>
      <c r="BJ163" s="344">
        <f>+'[88]VENTAS TOTALES'!$H188</f>
        <v>3000</v>
      </c>
      <c r="BK163" s="343">
        <f>+'[89]VENTAS TOTALES'!$F188</f>
        <v>0</v>
      </c>
      <c r="BL163" s="344">
        <f>+'[89]VENTAS TOTALES'!$G188</f>
        <v>32000</v>
      </c>
      <c r="BM163" s="344">
        <f>+'[89]VENTAS TOTALES'!$H188</f>
        <v>32000</v>
      </c>
      <c r="BN163" s="343">
        <f>+'[90]VENTAS TOTALES'!$F188</f>
        <v>0</v>
      </c>
      <c r="BO163" s="344">
        <f>+'[90]VENTAS TOTALES'!$G188</f>
        <v>13000</v>
      </c>
      <c r="BP163" s="344">
        <f>+'[90]VENTAS TOTALES'!$H188</f>
        <v>13000</v>
      </c>
      <c r="BQ163" s="343">
        <f>+'[91]VENTAS TOTALES'!$F188</f>
        <v>0</v>
      </c>
      <c r="BR163" s="344">
        <f>+'[91]VENTAS TOTALES'!$G188</f>
        <v>10000</v>
      </c>
      <c r="BS163" s="344">
        <f>+'[91]VENTAS TOTALES'!$H188</f>
        <v>10000</v>
      </c>
      <c r="BT163" s="343">
        <f>+'[92]VENTAS TOTALES'!$F188</f>
        <v>0</v>
      </c>
      <c r="BU163" s="344">
        <f>+'[92]VENTAS TOTALES'!$G188</f>
        <v>16000</v>
      </c>
      <c r="BV163" s="344">
        <f>+'[92]VENTAS TOTALES'!$H188</f>
        <v>16000</v>
      </c>
      <c r="BW163" s="343">
        <f>+'[93]VENTAS TOTALES'!$F188</f>
        <v>0</v>
      </c>
      <c r="BX163" s="344">
        <f>+'[93]VENTAS TOTALES'!$G188</f>
        <v>10000</v>
      </c>
      <c r="BY163" s="344">
        <f>+'[93]VENTAS TOTALES'!$H188</f>
        <v>10000</v>
      </c>
      <c r="BZ163" s="343">
        <f>+'[94]VENTAS TOTALES'!$F188</f>
        <v>0</v>
      </c>
      <c r="CA163" s="344">
        <f>+'[94]VENTAS TOTALES'!$G188</f>
        <v>0</v>
      </c>
      <c r="CB163" s="344">
        <f>+'[94]VENTAS TOTALES'!$H188</f>
        <v>0</v>
      </c>
      <c r="CC163" s="343">
        <f>+'[95]VENTAS TOTALES'!$F188</f>
        <v>0</v>
      </c>
      <c r="CD163" s="344">
        <f>+'[95]VENTAS TOTALES'!$G188</f>
        <v>74000</v>
      </c>
      <c r="CE163" s="344">
        <f>+'[95]VENTAS TOTALES'!$H188</f>
        <v>74000</v>
      </c>
      <c r="CF163" s="343">
        <f>+'[96]VENTAS TOTALES'!$F188</f>
        <v>0</v>
      </c>
      <c r="CG163" s="344">
        <f>+'[96]VENTAS TOTALES'!$G188</f>
        <v>15000</v>
      </c>
      <c r="CH163" s="344">
        <f>+'[96]VENTAS TOTALES'!$H188</f>
        <v>15000</v>
      </c>
      <c r="CI163" s="343">
        <f>+'[97]VENTAS TOTALES'!$F188</f>
        <v>0</v>
      </c>
      <c r="CJ163" s="344">
        <f>+'[97]VENTAS TOTALES'!$G188</f>
        <v>16000</v>
      </c>
      <c r="CK163" s="344">
        <f>+'[97]VENTAS TOTALES'!$H188</f>
        <v>16000</v>
      </c>
      <c r="CL163" s="343">
        <f>+'[98]VENTAS TOTALES'!$F188</f>
        <v>0</v>
      </c>
      <c r="CM163" s="344">
        <f>+'[98]VENTAS TOTALES'!$G188</f>
        <v>18000</v>
      </c>
      <c r="CN163" s="344">
        <f>+'[98]VENTAS TOTALES'!$H188</f>
        <v>18000</v>
      </c>
      <c r="CO163" s="343">
        <f>+'[99]VENTAS TOTALES'!$F188</f>
        <v>0</v>
      </c>
      <c r="CP163" s="344">
        <f>+'[99]VENTAS TOTALES'!$G188</f>
        <v>18000</v>
      </c>
      <c r="CQ163" s="344">
        <f>+'[99]VENTAS TOTALES'!$H188</f>
        <v>18000</v>
      </c>
      <c r="CR163" s="343">
        <f>+'[100]VENTAS TOTALES'!$F188</f>
        <v>0</v>
      </c>
      <c r="CS163" s="344">
        <f>+'[100]VENTAS TOTALES'!$G188</f>
        <v>12000</v>
      </c>
      <c r="CT163" s="344">
        <f>+'[100]VENTAS TOTALES'!$H188</f>
        <v>12000</v>
      </c>
      <c r="CU163" s="343">
        <f>+'[101]VENTAS TOTALES'!$F188</f>
        <v>0</v>
      </c>
      <c r="CV163" s="344">
        <f>+'[101]VENTAS TOTALES'!$G188</f>
        <v>0</v>
      </c>
      <c r="CW163" s="344">
        <f>+'[101]VENTAS TOTALES'!$H188</f>
        <v>0</v>
      </c>
      <c r="CX163" s="343">
        <f>+'[102]VENTAS TOTALES'!$F188</f>
        <v>0</v>
      </c>
      <c r="CY163" s="344">
        <f>+'[102]VENTAS TOTALES'!$G188</f>
        <v>50000</v>
      </c>
      <c r="CZ163" s="344">
        <f>+'[102]VENTAS TOTALES'!$H188</f>
        <v>50000</v>
      </c>
    </row>
    <row r="164" spans="1:104" s="8" customFormat="1" ht="14.25" customHeight="1" thickBot="1" x14ac:dyDescent="0.25">
      <c r="A164" s="455"/>
      <c r="B164" s="345" t="s">
        <v>415</v>
      </c>
      <c r="C164" s="343">
        <f>+'[69]VENTAS TOTALES'!$F189</f>
        <v>0</v>
      </c>
      <c r="D164" s="344">
        <f>+'[69]VENTAS TOTALES'!$G189</f>
        <v>176000</v>
      </c>
      <c r="E164" s="344">
        <f>+'[69]VENTAS TOTALES'!$H189</f>
        <v>176000</v>
      </c>
      <c r="F164" s="343">
        <f>+'[70]VENTAS TOTALES'!$F189</f>
        <v>0</v>
      </c>
      <c r="G164" s="344">
        <f>+'[70]VENTAS TOTALES'!$G189</f>
        <v>118000</v>
      </c>
      <c r="H164" s="344">
        <f>+'[70]VENTAS TOTALES'!$H189</f>
        <v>118000</v>
      </c>
      <c r="I164" s="343">
        <f>+'[71]VENTAS TOTALES'!$F189</f>
        <v>0</v>
      </c>
      <c r="J164" s="344">
        <f>+'[71]VENTAS TOTALES'!$G189</f>
        <v>100000</v>
      </c>
      <c r="K164" s="344">
        <f>+'[71]VENTAS TOTALES'!$H189</f>
        <v>100000</v>
      </c>
      <c r="L164" s="343">
        <f>+'[72]VENTAS TOTALES'!$F189</f>
        <v>0</v>
      </c>
      <c r="M164" s="344">
        <f>+'[72]VENTAS TOTALES'!$G189</f>
        <v>61000</v>
      </c>
      <c r="N164" s="344">
        <f>+'[72]VENTAS TOTALES'!$H189</f>
        <v>61000</v>
      </c>
      <c r="O164" s="343">
        <f>+'[73]VENTAS TOTALES'!$F189</f>
        <v>0</v>
      </c>
      <c r="P164" s="344">
        <f>+'[73]VENTAS TOTALES'!$G189</f>
        <v>48000</v>
      </c>
      <c r="Q164" s="344">
        <f>+'[73]VENTAS TOTALES'!$H189</f>
        <v>48000</v>
      </c>
      <c r="R164" s="343">
        <f>+'[74]VENTAS TOTALES'!$F189</f>
        <v>0</v>
      </c>
      <c r="S164" s="344">
        <f>+'[74]VENTAS TOTALES'!$G189</f>
        <v>32000</v>
      </c>
      <c r="T164" s="344">
        <f>+'[74]VENTAS TOTALES'!$H189</f>
        <v>32000</v>
      </c>
      <c r="U164" s="343">
        <f>+'[75]VENTAS TOTALES'!$F189</f>
        <v>0</v>
      </c>
      <c r="V164" s="344">
        <f>+'[75]VENTAS TOTALES'!$G189</f>
        <v>123000</v>
      </c>
      <c r="W164" s="344">
        <f>+'[75]VENTAS TOTALES'!$H189</f>
        <v>123000</v>
      </c>
      <c r="X164" s="343">
        <f>+'[76]VENTAS TOTALES'!$F189</f>
        <v>0</v>
      </c>
      <c r="Y164" s="344">
        <f>+'[76]VENTAS TOTALES'!$G189</f>
        <v>127000</v>
      </c>
      <c r="Z164" s="344">
        <f>+'[76]VENTAS TOTALES'!$H189</f>
        <v>127000</v>
      </c>
      <c r="AA164" s="343">
        <f>+'[77]VENTAS TOTALES'!$F189</f>
        <v>0</v>
      </c>
      <c r="AB164" s="344">
        <f>+'[77]VENTAS TOTALES'!$G189</f>
        <v>47000</v>
      </c>
      <c r="AC164" s="344">
        <f>+'[77]VENTAS TOTALES'!$H189</f>
        <v>47000</v>
      </c>
      <c r="AD164" s="343">
        <f>+'[78]VENTAS TOTALES'!$F189</f>
        <v>0</v>
      </c>
      <c r="AE164" s="344">
        <f>+'[78]VENTAS TOTALES'!$G189</f>
        <v>90000</v>
      </c>
      <c r="AF164" s="344">
        <f>+'[78]VENTAS TOTALES'!$H189</f>
        <v>90000</v>
      </c>
      <c r="AG164" s="343">
        <f>+'[79]VENTAS TOTALES'!$F189</f>
        <v>0</v>
      </c>
      <c r="AH164" s="344">
        <f>+'[79]VENTAS TOTALES'!$G189</f>
        <v>39000</v>
      </c>
      <c r="AI164" s="344">
        <f>+'[79]VENTAS TOTALES'!$H189</f>
        <v>39000</v>
      </c>
      <c r="AJ164" s="343">
        <f>+'[80]VENTAS TOTALES'!$F189</f>
        <v>0</v>
      </c>
      <c r="AK164" s="344">
        <f>+'[80]VENTAS TOTALES'!$G189</f>
        <v>46000</v>
      </c>
      <c r="AL164" s="344">
        <f>+'[80]VENTAS TOTALES'!$H189</f>
        <v>46000</v>
      </c>
      <c r="AM164" s="343">
        <f>+'[81]VENTAS TOTALES'!$F189</f>
        <v>0</v>
      </c>
      <c r="AN164" s="344">
        <f>+'[81]VENTAS TOTALES'!$G189</f>
        <v>144000</v>
      </c>
      <c r="AO164" s="344">
        <f>+'[81]VENTAS TOTALES'!$H189</f>
        <v>144000</v>
      </c>
      <c r="AP164" s="343">
        <f>+'[82]VENTAS TOTALES'!$F189</f>
        <v>0</v>
      </c>
      <c r="AQ164" s="344">
        <f>+'[82]VENTAS TOTALES'!$G189</f>
        <v>107000</v>
      </c>
      <c r="AR164" s="344">
        <f>+'[82]VENTAS TOTALES'!$H189</f>
        <v>107000</v>
      </c>
      <c r="AS164" s="343">
        <f>+'[83]VENTAS TOTALES'!$F189</f>
        <v>0</v>
      </c>
      <c r="AT164" s="344">
        <f>+'[83]VENTAS TOTALES'!$G189</f>
        <v>97000</v>
      </c>
      <c r="AU164" s="344">
        <f>+'[83]VENTAS TOTALES'!$H189</f>
        <v>97000</v>
      </c>
      <c r="AV164" s="343">
        <f>+'[84]VENTAS TOTALES'!$F189</f>
        <v>0</v>
      </c>
      <c r="AW164" s="344">
        <f>+'[84]VENTAS TOTALES'!$G189</f>
        <v>176000</v>
      </c>
      <c r="AX164" s="344">
        <f>+'[84]VENTAS TOTALES'!$H189</f>
        <v>176000</v>
      </c>
      <c r="AY164" s="343">
        <f>+'[85]VENTAS TOTALES'!$F189</f>
        <v>0</v>
      </c>
      <c r="AZ164" s="344">
        <f>+'[85]VENTAS TOTALES'!$G189</f>
        <v>116000</v>
      </c>
      <c r="BA164" s="344">
        <f>+'[85]VENTAS TOTALES'!$H189</f>
        <v>116000</v>
      </c>
      <c r="BB164" s="343">
        <f>+'[86]VENTAS TOTALES'!$F189</f>
        <v>0</v>
      </c>
      <c r="BC164" s="344">
        <f>+'[86]VENTAS TOTALES'!$G189</f>
        <v>54000</v>
      </c>
      <c r="BD164" s="344">
        <f>+'[86]VENTAS TOTALES'!$H189</f>
        <v>54000</v>
      </c>
      <c r="BE164" s="343">
        <f>+'[87]VENTAS TOTALES'!$F189</f>
        <v>0</v>
      </c>
      <c r="BF164" s="344">
        <f>+'[87]VENTAS TOTALES'!$G189</f>
        <v>34000</v>
      </c>
      <c r="BG164" s="344">
        <f>+'[87]VENTAS TOTALES'!$H189</f>
        <v>34000</v>
      </c>
      <c r="BH164" s="343">
        <f>+'[88]VENTAS TOTALES'!$F189</f>
        <v>0</v>
      </c>
      <c r="BI164" s="344">
        <f>+'[88]VENTAS TOTALES'!$G189</f>
        <v>117000</v>
      </c>
      <c r="BJ164" s="344">
        <f>+'[88]VENTAS TOTALES'!$H189</f>
        <v>117000</v>
      </c>
      <c r="BK164" s="343">
        <f>+'[89]VENTAS TOTALES'!$F189</f>
        <v>0</v>
      </c>
      <c r="BL164" s="344">
        <f>+'[89]VENTAS TOTALES'!$G189</f>
        <v>121000</v>
      </c>
      <c r="BM164" s="344">
        <f>+'[89]VENTAS TOTALES'!$H189</f>
        <v>121000</v>
      </c>
      <c r="BN164" s="343">
        <f>+'[90]VENTAS TOTALES'!$F189</f>
        <v>0</v>
      </c>
      <c r="BO164" s="344">
        <f>+'[90]VENTAS TOTALES'!$G189</f>
        <v>133000</v>
      </c>
      <c r="BP164" s="344">
        <f>+'[90]VENTAS TOTALES'!$H189</f>
        <v>133000</v>
      </c>
      <c r="BQ164" s="343">
        <f>+'[91]VENTAS TOTALES'!$F189</f>
        <v>0</v>
      </c>
      <c r="BR164" s="344">
        <f>+'[91]VENTAS TOTALES'!$G189</f>
        <v>99000</v>
      </c>
      <c r="BS164" s="344">
        <f>+'[91]VENTAS TOTALES'!$H189</f>
        <v>99000</v>
      </c>
      <c r="BT164" s="343">
        <f>+'[92]VENTAS TOTALES'!$F189</f>
        <v>0</v>
      </c>
      <c r="BU164" s="344">
        <f>+'[92]VENTAS TOTALES'!$G189</f>
        <v>111000</v>
      </c>
      <c r="BV164" s="344">
        <f>+'[92]VENTAS TOTALES'!$H189</f>
        <v>111000</v>
      </c>
      <c r="BW164" s="343">
        <f>+'[93]VENTAS TOTALES'!$F189</f>
        <v>0</v>
      </c>
      <c r="BX164" s="344">
        <f>+'[93]VENTAS TOTALES'!$G189</f>
        <v>59000</v>
      </c>
      <c r="BY164" s="344">
        <f>+'[93]VENTAS TOTALES'!$H189</f>
        <v>59000</v>
      </c>
      <c r="BZ164" s="343">
        <f>+'[94]VENTAS TOTALES'!$F189</f>
        <v>0</v>
      </c>
      <c r="CA164" s="344">
        <f>+'[94]VENTAS TOTALES'!$G189</f>
        <v>92000</v>
      </c>
      <c r="CB164" s="344">
        <f>+'[94]VENTAS TOTALES'!$H189</f>
        <v>92000</v>
      </c>
      <c r="CC164" s="343">
        <f>+'[95]VENTAS TOTALES'!$F189</f>
        <v>0</v>
      </c>
      <c r="CD164" s="344">
        <f>+'[95]VENTAS TOTALES'!$G189</f>
        <v>89000</v>
      </c>
      <c r="CE164" s="344">
        <f>+'[95]VENTAS TOTALES'!$H189</f>
        <v>89000</v>
      </c>
      <c r="CF164" s="343">
        <f>+'[96]VENTAS TOTALES'!$F189</f>
        <v>0</v>
      </c>
      <c r="CG164" s="344">
        <f>+'[96]VENTAS TOTALES'!$G189</f>
        <v>240000</v>
      </c>
      <c r="CH164" s="344">
        <f>+'[96]VENTAS TOTALES'!$H189</f>
        <v>240000</v>
      </c>
      <c r="CI164" s="343">
        <f>+'[97]VENTAS TOTALES'!$F189</f>
        <v>0</v>
      </c>
      <c r="CJ164" s="344">
        <f>+'[97]VENTAS TOTALES'!$G189</f>
        <v>144000</v>
      </c>
      <c r="CK164" s="344">
        <f>+'[97]VENTAS TOTALES'!$H189</f>
        <v>144000</v>
      </c>
      <c r="CL164" s="343">
        <f>+'[98]VENTAS TOTALES'!$F189</f>
        <v>0</v>
      </c>
      <c r="CM164" s="344">
        <f>+'[98]VENTAS TOTALES'!$G189</f>
        <v>101000</v>
      </c>
      <c r="CN164" s="344">
        <f>+'[98]VENTAS TOTALES'!$H189</f>
        <v>101000</v>
      </c>
      <c r="CO164" s="343">
        <f>+'[99]VENTAS TOTALES'!$F189</f>
        <v>0</v>
      </c>
      <c r="CP164" s="344">
        <f>+'[99]VENTAS TOTALES'!$G189</f>
        <v>158000</v>
      </c>
      <c r="CQ164" s="344">
        <f>+'[99]VENTAS TOTALES'!$H189</f>
        <v>158000</v>
      </c>
      <c r="CR164" s="343">
        <f>+'[100]VENTAS TOTALES'!$F189</f>
        <v>0</v>
      </c>
      <c r="CS164" s="344">
        <f>+'[100]VENTAS TOTALES'!$G189</f>
        <v>137000</v>
      </c>
      <c r="CT164" s="344">
        <f>+'[100]VENTAS TOTALES'!$H189</f>
        <v>137000</v>
      </c>
      <c r="CU164" s="343">
        <f>+'[101]VENTAS TOTALES'!$F189</f>
        <v>0</v>
      </c>
      <c r="CV164" s="344">
        <f>+'[101]VENTAS TOTALES'!$G189</f>
        <v>98000</v>
      </c>
      <c r="CW164" s="344">
        <f>+'[101]VENTAS TOTALES'!$H189</f>
        <v>98000</v>
      </c>
      <c r="CX164" s="343">
        <f>+'[102]VENTAS TOTALES'!$F189</f>
        <v>0</v>
      </c>
      <c r="CY164" s="344">
        <f>+'[102]VENTAS TOTALES'!$G189</f>
        <v>60000</v>
      </c>
      <c r="CZ164" s="344">
        <f>+'[102]VENTAS TOTALES'!$H189</f>
        <v>60000</v>
      </c>
    </row>
    <row r="165" spans="1:104" s="8" customFormat="1" ht="14.25" customHeight="1" thickBot="1" x14ac:dyDescent="0.25">
      <c r="A165" s="455"/>
      <c r="B165" s="345" t="s">
        <v>416</v>
      </c>
      <c r="C165" s="343">
        <f>+'[69]VENTAS TOTALES'!$F190</f>
        <v>0</v>
      </c>
      <c r="D165" s="344">
        <f>+'[69]VENTAS TOTALES'!$G190</f>
        <v>81000</v>
      </c>
      <c r="E165" s="344">
        <f>+'[69]VENTAS TOTALES'!$H190</f>
        <v>81000</v>
      </c>
      <c r="F165" s="343">
        <f>+'[70]VENTAS TOTALES'!$F190</f>
        <v>0</v>
      </c>
      <c r="G165" s="344">
        <f>+'[70]VENTAS TOTALES'!$G190</f>
        <v>126000</v>
      </c>
      <c r="H165" s="344">
        <f>+'[70]VENTAS TOTALES'!$H190</f>
        <v>126000</v>
      </c>
      <c r="I165" s="343">
        <f>+'[71]VENTAS TOTALES'!$F190</f>
        <v>0</v>
      </c>
      <c r="J165" s="344">
        <f>+'[71]VENTAS TOTALES'!$G190</f>
        <v>100000</v>
      </c>
      <c r="K165" s="344">
        <f>+'[71]VENTAS TOTALES'!$H190</f>
        <v>100000</v>
      </c>
      <c r="L165" s="343">
        <f>+'[72]VENTAS TOTALES'!$F190</f>
        <v>0</v>
      </c>
      <c r="M165" s="344">
        <f>+'[72]VENTAS TOTALES'!$G190</f>
        <v>126000</v>
      </c>
      <c r="N165" s="344">
        <f>+'[72]VENTAS TOTALES'!$H190</f>
        <v>126000</v>
      </c>
      <c r="O165" s="343">
        <f>+'[73]VENTAS TOTALES'!$F190</f>
        <v>0</v>
      </c>
      <c r="P165" s="344">
        <f>+'[73]VENTAS TOTALES'!$G190</f>
        <v>33000</v>
      </c>
      <c r="Q165" s="344">
        <f>+'[73]VENTAS TOTALES'!$H190</f>
        <v>33000</v>
      </c>
      <c r="R165" s="343">
        <f>+'[74]VENTAS TOTALES'!$F190</f>
        <v>0</v>
      </c>
      <c r="S165" s="344">
        <f>+'[74]VENTAS TOTALES'!$G190</f>
        <v>0</v>
      </c>
      <c r="T165" s="344">
        <f>+'[74]VENTAS TOTALES'!$H190</f>
        <v>0</v>
      </c>
      <c r="U165" s="343">
        <f>+'[75]VENTAS TOTALES'!$F190</f>
        <v>0</v>
      </c>
      <c r="V165" s="344">
        <f>+'[75]VENTAS TOTALES'!$G190</f>
        <v>111000</v>
      </c>
      <c r="W165" s="344">
        <f>+'[75]VENTAS TOTALES'!$H190</f>
        <v>111000</v>
      </c>
      <c r="X165" s="343">
        <f>+'[76]VENTAS TOTALES'!$F190</f>
        <v>0</v>
      </c>
      <c r="Y165" s="344">
        <f>+'[76]VENTAS TOTALES'!$G190</f>
        <v>114000</v>
      </c>
      <c r="Z165" s="344">
        <f>+'[76]VENTAS TOTALES'!$H190</f>
        <v>114000</v>
      </c>
      <c r="AA165" s="343">
        <f>+'[77]VENTAS TOTALES'!$F190</f>
        <v>0</v>
      </c>
      <c r="AB165" s="344">
        <f>+'[77]VENTAS TOTALES'!$G190</f>
        <v>79000</v>
      </c>
      <c r="AC165" s="344">
        <f>+'[77]VENTAS TOTALES'!$H190</f>
        <v>79000</v>
      </c>
      <c r="AD165" s="343">
        <f>+'[78]VENTAS TOTALES'!$F190</f>
        <v>0</v>
      </c>
      <c r="AE165" s="344">
        <f>+'[78]VENTAS TOTALES'!$G190</f>
        <v>90000</v>
      </c>
      <c r="AF165" s="344">
        <f>+'[78]VENTAS TOTALES'!$H190</f>
        <v>90000</v>
      </c>
      <c r="AG165" s="343">
        <f>+'[79]VENTAS TOTALES'!$F190</f>
        <v>0</v>
      </c>
      <c r="AH165" s="344">
        <f>+'[79]VENTAS TOTALES'!$G190</f>
        <v>99000</v>
      </c>
      <c r="AI165" s="344">
        <f>+'[79]VENTAS TOTALES'!$H190</f>
        <v>99000</v>
      </c>
      <c r="AJ165" s="343">
        <f>+'[80]VENTAS TOTALES'!$F190</f>
        <v>0</v>
      </c>
      <c r="AK165" s="344">
        <f>+'[80]VENTAS TOTALES'!$G190</f>
        <v>19000</v>
      </c>
      <c r="AL165" s="344">
        <f>+'[80]VENTAS TOTALES'!$H190</f>
        <v>19000</v>
      </c>
      <c r="AM165" s="343">
        <f>+'[81]VENTAS TOTALES'!$F190</f>
        <v>0</v>
      </c>
      <c r="AN165" s="344">
        <f>+'[81]VENTAS TOTALES'!$G190</f>
        <v>0</v>
      </c>
      <c r="AO165" s="344">
        <f>+'[81]VENTAS TOTALES'!$H190</f>
        <v>0</v>
      </c>
      <c r="AP165" s="343">
        <f>+'[82]VENTAS TOTALES'!$F190</f>
        <v>0</v>
      </c>
      <c r="AQ165" s="344">
        <f>+'[82]VENTAS TOTALES'!$G190</f>
        <v>148000</v>
      </c>
      <c r="AR165" s="344">
        <f>+'[82]VENTAS TOTALES'!$H190</f>
        <v>148000</v>
      </c>
      <c r="AS165" s="343">
        <f>+'[83]VENTAS TOTALES'!$F190</f>
        <v>0</v>
      </c>
      <c r="AT165" s="344">
        <f>+'[83]VENTAS TOTALES'!$G190</f>
        <v>115000</v>
      </c>
      <c r="AU165" s="344">
        <f>+'[83]VENTAS TOTALES'!$H190</f>
        <v>115000</v>
      </c>
      <c r="AV165" s="343">
        <f>+'[84]VENTAS TOTALES'!$F190</f>
        <v>0</v>
      </c>
      <c r="AW165" s="344">
        <f>+'[84]VENTAS TOTALES'!$G190</f>
        <v>181000</v>
      </c>
      <c r="AX165" s="344">
        <f>+'[84]VENTAS TOTALES'!$H190</f>
        <v>181000</v>
      </c>
      <c r="AY165" s="343">
        <f>+'[85]VENTAS TOTALES'!$F190</f>
        <v>0</v>
      </c>
      <c r="AZ165" s="344">
        <f>+'[85]VENTAS TOTALES'!$G190</f>
        <v>75000</v>
      </c>
      <c r="BA165" s="344">
        <f>+'[85]VENTAS TOTALES'!$H190</f>
        <v>75000</v>
      </c>
      <c r="BB165" s="343">
        <f>+'[86]VENTAS TOTALES'!$F190</f>
        <v>0</v>
      </c>
      <c r="BC165" s="344">
        <f>+'[86]VENTAS TOTALES'!$G190</f>
        <v>99000</v>
      </c>
      <c r="BD165" s="344">
        <f>+'[86]VENTAS TOTALES'!$H190</f>
        <v>99000</v>
      </c>
      <c r="BE165" s="343">
        <f>+'[87]VENTAS TOTALES'!$F190</f>
        <v>0</v>
      </c>
      <c r="BF165" s="344">
        <f>+'[87]VENTAS TOTALES'!$G190</f>
        <v>18000</v>
      </c>
      <c r="BG165" s="344">
        <f>+'[87]VENTAS TOTALES'!$H190</f>
        <v>18000</v>
      </c>
      <c r="BH165" s="343">
        <f>+'[88]VENTAS TOTALES'!$F190</f>
        <v>0</v>
      </c>
      <c r="BI165" s="344">
        <f>+'[88]VENTAS TOTALES'!$G190</f>
        <v>0</v>
      </c>
      <c r="BJ165" s="344">
        <f>+'[88]VENTAS TOTALES'!$H190</f>
        <v>0</v>
      </c>
      <c r="BK165" s="343">
        <f>+'[89]VENTAS TOTALES'!$F190</f>
        <v>0</v>
      </c>
      <c r="BL165" s="344">
        <f>+'[89]VENTAS TOTALES'!$G190</f>
        <v>104000</v>
      </c>
      <c r="BM165" s="344">
        <f>+'[89]VENTAS TOTALES'!$H190</f>
        <v>104000</v>
      </c>
      <c r="BN165" s="343">
        <f>+'[90]VENTAS TOTALES'!$F190</f>
        <v>0</v>
      </c>
      <c r="BO165" s="344">
        <f>+'[90]VENTAS TOTALES'!$G190</f>
        <v>145000</v>
      </c>
      <c r="BP165" s="344">
        <f>+'[90]VENTAS TOTALES'!$H190</f>
        <v>145000</v>
      </c>
      <c r="BQ165" s="343">
        <f>+'[91]VENTAS TOTALES'!$F190</f>
        <v>0</v>
      </c>
      <c r="BR165" s="344">
        <f>+'[91]VENTAS TOTALES'!$G190</f>
        <v>90000</v>
      </c>
      <c r="BS165" s="344">
        <f>+'[91]VENTAS TOTALES'!$H190</f>
        <v>90000</v>
      </c>
      <c r="BT165" s="343">
        <f>+'[92]VENTAS TOTALES'!$F190</f>
        <v>0</v>
      </c>
      <c r="BU165" s="344">
        <f>+'[92]VENTAS TOTALES'!$G190</f>
        <v>71000</v>
      </c>
      <c r="BV165" s="344">
        <f>+'[92]VENTAS TOTALES'!$H190</f>
        <v>71000</v>
      </c>
      <c r="BW165" s="343">
        <f>+'[93]VENTAS TOTALES'!$F190</f>
        <v>0</v>
      </c>
      <c r="BX165" s="344">
        <f>+'[93]VENTAS TOTALES'!$G190</f>
        <v>49000</v>
      </c>
      <c r="BY165" s="344">
        <f>+'[93]VENTAS TOTALES'!$H190</f>
        <v>49000</v>
      </c>
      <c r="BZ165" s="343">
        <f>+'[94]VENTAS TOTALES'!$F190</f>
        <v>0</v>
      </c>
      <c r="CA165" s="344">
        <f>+'[94]VENTAS TOTALES'!$G190</f>
        <v>78000</v>
      </c>
      <c r="CB165" s="344">
        <f>+'[94]VENTAS TOTALES'!$H190</f>
        <v>78000</v>
      </c>
      <c r="CC165" s="343">
        <f>+'[95]VENTAS TOTALES'!$F190</f>
        <v>0</v>
      </c>
      <c r="CD165" s="344">
        <f>+'[95]VENTAS TOTALES'!$G190</f>
        <v>0</v>
      </c>
      <c r="CE165" s="344">
        <f>+'[95]VENTAS TOTALES'!$H190</f>
        <v>0</v>
      </c>
      <c r="CF165" s="343">
        <f>+'[96]VENTAS TOTALES'!$F190</f>
        <v>0</v>
      </c>
      <c r="CG165" s="344">
        <f>+'[96]VENTAS TOTALES'!$G190</f>
        <v>129000</v>
      </c>
      <c r="CH165" s="344">
        <f>+'[96]VENTAS TOTALES'!$H190</f>
        <v>129000</v>
      </c>
      <c r="CI165" s="343">
        <f>+'[97]VENTAS TOTALES'!$F190</f>
        <v>0</v>
      </c>
      <c r="CJ165" s="344">
        <f>+'[97]VENTAS TOTALES'!$G190</f>
        <v>107000</v>
      </c>
      <c r="CK165" s="344">
        <f>+'[97]VENTAS TOTALES'!$H190</f>
        <v>107000</v>
      </c>
      <c r="CL165" s="343">
        <f>+'[98]VENTAS TOTALES'!$F190</f>
        <v>0</v>
      </c>
      <c r="CM165" s="344">
        <f>+'[98]VENTAS TOTALES'!$G190</f>
        <v>155000</v>
      </c>
      <c r="CN165" s="344">
        <f>+'[98]VENTAS TOTALES'!$H190</f>
        <v>155000</v>
      </c>
      <c r="CO165" s="343">
        <f>+'[99]VENTAS TOTALES'!$F190</f>
        <v>0</v>
      </c>
      <c r="CP165" s="344">
        <f>+'[99]VENTAS TOTALES'!$G190</f>
        <v>80000</v>
      </c>
      <c r="CQ165" s="344">
        <f>+'[99]VENTAS TOTALES'!$H190</f>
        <v>80000</v>
      </c>
      <c r="CR165" s="343">
        <f>+'[100]VENTAS TOTALES'!$F190</f>
        <v>0</v>
      </c>
      <c r="CS165" s="344">
        <f>+'[100]VENTAS TOTALES'!$G190</f>
        <v>50000</v>
      </c>
      <c r="CT165" s="344">
        <f>+'[100]VENTAS TOTALES'!$H190</f>
        <v>50000</v>
      </c>
      <c r="CU165" s="343">
        <f>+'[101]VENTAS TOTALES'!$F190</f>
        <v>0</v>
      </c>
      <c r="CV165" s="344">
        <f>+'[101]VENTAS TOTALES'!$G190</f>
        <v>38000</v>
      </c>
      <c r="CW165" s="344">
        <f>+'[101]VENTAS TOTALES'!$H190</f>
        <v>38000</v>
      </c>
      <c r="CX165" s="343">
        <f>+'[102]VENTAS TOTALES'!$F190</f>
        <v>0</v>
      </c>
      <c r="CY165" s="344">
        <f>+'[102]VENTAS TOTALES'!$G190</f>
        <v>0</v>
      </c>
      <c r="CZ165" s="344">
        <f>+'[102]VENTAS TOTALES'!$H190</f>
        <v>0</v>
      </c>
    </row>
    <row r="166" spans="1:104" s="8" customFormat="1" ht="14.25" customHeight="1" thickBot="1" x14ac:dyDescent="0.25">
      <c r="A166" s="455"/>
      <c r="B166" s="345" t="s">
        <v>417</v>
      </c>
      <c r="C166" s="343">
        <f>+'[69]VENTAS TOTALES'!$F191</f>
        <v>0</v>
      </c>
      <c r="D166" s="344">
        <f>+'[69]VENTAS TOTALES'!$G191</f>
        <v>57000</v>
      </c>
      <c r="E166" s="344">
        <f>+'[69]VENTAS TOTALES'!$H191</f>
        <v>57000</v>
      </c>
      <c r="F166" s="343">
        <f>+'[70]VENTAS TOTALES'!$F191</f>
        <v>0</v>
      </c>
      <c r="G166" s="344">
        <f>+'[70]VENTAS TOTALES'!$G191</f>
        <v>49000</v>
      </c>
      <c r="H166" s="344">
        <f>+'[70]VENTAS TOTALES'!$H191</f>
        <v>49000</v>
      </c>
      <c r="I166" s="343">
        <f>+'[71]VENTAS TOTALES'!$F191</f>
        <v>0</v>
      </c>
      <c r="J166" s="344">
        <f>+'[71]VENTAS TOTALES'!$G191</f>
        <v>42000</v>
      </c>
      <c r="K166" s="344">
        <f>+'[71]VENTAS TOTALES'!$H191</f>
        <v>42000</v>
      </c>
      <c r="L166" s="343">
        <f>+'[72]VENTAS TOTALES'!$F191</f>
        <v>0</v>
      </c>
      <c r="M166" s="344">
        <f>+'[72]VENTAS TOTALES'!$G191</f>
        <v>19000</v>
      </c>
      <c r="N166" s="344">
        <f>+'[72]VENTAS TOTALES'!$H191</f>
        <v>19000</v>
      </c>
      <c r="O166" s="343">
        <f>+'[73]VENTAS TOTALES'!$F191</f>
        <v>0</v>
      </c>
      <c r="P166" s="344">
        <f>+'[73]VENTAS TOTALES'!$G191</f>
        <v>70000</v>
      </c>
      <c r="Q166" s="344">
        <f>+'[73]VENTAS TOTALES'!$H191</f>
        <v>70000</v>
      </c>
      <c r="R166" s="343">
        <f>+'[74]VENTAS TOTALES'!$F191</f>
        <v>0</v>
      </c>
      <c r="S166" s="344">
        <f>+'[74]VENTAS TOTALES'!$G191</f>
        <v>71000</v>
      </c>
      <c r="T166" s="344">
        <f>+'[74]VENTAS TOTALES'!$H191</f>
        <v>71000</v>
      </c>
      <c r="U166" s="343">
        <f>+'[75]VENTAS TOTALES'!$F191</f>
        <v>0</v>
      </c>
      <c r="V166" s="344">
        <f>+'[75]VENTAS TOTALES'!$G191</f>
        <v>43000</v>
      </c>
      <c r="W166" s="344">
        <f>+'[75]VENTAS TOTALES'!$H191</f>
        <v>43000</v>
      </c>
      <c r="X166" s="343">
        <f>+'[76]VENTAS TOTALES'!$F191</f>
        <v>0</v>
      </c>
      <c r="Y166" s="344">
        <f>+'[76]VENTAS TOTALES'!$G191</f>
        <v>42000</v>
      </c>
      <c r="Z166" s="344">
        <f>+'[76]VENTAS TOTALES'!$H191</f>
        <v>42000</v>
      </c>
      <c r="AA166" s="343">
        <f>+'[77]VENTAS TOTALES'!$F191</f>
        <v>0</v>
      </c>
      <c r="AB166" s="344">
        <f>+'[77]VENTAS TOTALES'!$G191</f>
        <v>68000</v>
      </c>
      <c r="AC166" s="344">
        <f>+'[77]VENTAS TOTALES'!$H191</f>
        <v>68000</v>
      </c>
      <c r="AD166" s="343">
        <f>+'[78]VENTAS TOTALES'!$F191</f>
        <v>0</v>
      </c>
      <c r="AE166" s="344">
        <f>+'[78]VENTAS TOTALES'!$G191</f>
        <v>43000</v>
      </c>
      <c r="AF166" s="344">
        <f>+'[78]VENTAS TOTALES'!$H191</f>
        <v>43000</v>
      </c>
      <c r="AG166" s="343">
        <f>+'[79]VENTAS TOTALES'!$F191</f>
        <v>0</v>
      </c>
      <c r="AH166" s="344">
        <f>+'[79]VENTAS TOTALES'!$G191</f>
        <v>46000</v>
      </c>
      <c r="AI166" s="344">
        <f>+'[79]VENTAS TOTALES'!$H191</f>
        <v>46000</v>
      </c>
      <c r="AJ166" s="343">
        <f>+'[80]VENTAS TOTALES'!$F191</f>
        <v>0</v>
      </c>
      <c r="AK166" s="344">
        <f>+'[80]VENTAS TOTALES'!$G191</f>
        <v>26000</v>
      </c>
      <c r="AL166" s="344">
        <f>+'[80]VENTAS TOTALES'!$H191</f>
        <v>26000</v>
      </c>
      <c r="AM166" s="343">
        <f>+'[81]VENTAS TOTALES'!$F191</f>
        <v>0</v>
      </c>
      <c r="AN166" s="344">
        <f>+'[81]VENTAS TOTALES'!$G191</f>
        <v>54000</v>
      </c>
      <c r="AO166" s="344">
        <f>+'[81]VENTAS TOTALES'!$H191</f>
        <v>54000</v>
      </c>
      <c r="AP166" s="343">
        <f>+'[82]VENTAS TOTALES'!$F191</f>
        <v>0</v>
      </c>
      <c r="AQ166" s="344">
        <f>+'[82]VENTAS TOTALES'!$G191</f>
        <v>37000</v>
      </c>
      <c r="AR166" s="344">
        <f>+'[82]VENTAS TOTALES'!$H191</f>
        <v>37000</v>
      </c>
      <c r="AS166" s="343">
        <f>+'[83]VENTAS TOTALES'!$F191</f>
        <v>0</v>
      </c>
      <c r="AT166" s="344">
        <f>+'[83]VENTAS TOTALES'!$G191</f>
        <v>48000</v>
      </c>
      <c r="AU166" s="344">
        <f>+'[83]VENTAS TOTALES'!$H191</f>
        <v>48000</v>
      </c>
      <c r="AV166" s="343">
        <f>+'[84]VENTAS TOTALES'!$F191</f>
        <v>0</v>
      </c>
      <c r="AW166" s="344">
        <f>+'[84]VENTAS TOTALES'!$G191</f>
        <v>43000</v>
      </c>
      <c r="AX166" s="344">
        <f>+'[84]VENTAS TOTALES'!$H191</f>
        <v>43000</v>
      </c>
      <c r="AY166" s="343">
        <f>+'[85]VENTAS TOTALES'!$F191</f>
        <v>0</v>
      </c>
      <c r="AZ166" s="344">
        <f>+'[85]VENTAS TOTALES'!$G191</f>
        <v>34000</v>
      </c>
      <c r="BA166" s="344">
        <f>+'[85]VENTAS TOTALES'!$H191</f>
        <v>34000</v>
      </c>
      <c r="BB166" s="343">
        <f>+'[86]VENTAS TOTALES'!$F191</f>
        <v>0</v>
      </c>
      <c r="BC166" s="344">
        <f>+'[86]VENTAS TOTALES'!$G191</f>
        <v>30000</v>
      </c>
      <c r="BD166" s="344">
        <f>+'[86]VENTAS TOTALES'!$H191</f>
        <v>30000</v>
      </c>
      <c r="BE166" s="343">
        <f>+'[87]VENTAS TOTALES'!$F191</f>
        <v>0</v>
      </c>
      <c r="BF166" s="344">
        <f>+'[87]VENTAS TOTALES'!$G191</f>
        <v>30000</v>
      </c>
      <c r="BG166" s="344">
        <f>+'[87]VENTAS TOTALES'!$H191</f>
        <v>30000</v>
      </c>
      <c r="BH166" s="343">
        <f>+'[88]VENTAS TOTALES'!$F191</f>
        <v>0</v>
      </c>
      <c r="BI166" s="344">
        <f>+'[88]VENTAS TOTALES'!$G191</f>
        <v>87000</v>
      </c>
      <c r="BJ166" s="344">
        <f>+'[88]VENTAS TOTALES'!$H191</f>
        <v>87000</v>
      </c>
      <c r="BK166" s="343">
        <f>+'[89]VENTAS TOTALES'!$F191</f>
        <v>0</v>
      </c>
      <c r="BL166" s="344">
        <f>+'[89]VENTAS TOTALES'!$G191</f>
        <v>107000</v>
      </c>
      <c r="BM166" s="344">
        <f>+'[89]VENTAS TOTALES'!$H191</f>
        <v>107000</v>
      </c>
      <c r="BN166" s="343">
        <f>+'[90]VENTAS TOTALES'!$F191</f>
        <v>0</v>
      </c>
      <c r="BO166" s="344">
        <f>+'[90]VENTAS TOTALES'!$G191</f>
        <v>20000</v>
      </c>
      <c r="BP166" s="344">
        <f>+'[90]VENTAS TOTALES'!$H191</f>
        <v>20000</v>
      </c>
      <c r="BQ166" s="343">
        <f>+'[91]VENTAS TOTALES'!$F191</f>
        <v>0</v>
      </c>
      <c r="BR166" s="344">
        <f>+'[91]VENTAS TOTALES'!$G191</f>
        <v>46000</v>
      </c>
      <c r="BS166" s="344">
        <f>+'[91]VENTAS TOTALES'!$H191</f>
        <v>46000</v>
      </c>
      <c r="BT166" s="343">
        <f>+'[92]VENTAS TOTALES'!$F191</f>
        <v>0</v>
      </c>
      <c r="BU166" s="344">
        <f>+'[92]VENTAS TOTALES'!$G191</f>
        <v>38000</v>
      </c>
      <c r="BV166" s="344">
        <f>+'[92]VENTAS TOTALES'!$H191</f>
        <v>38000</v>
      </c>
      <c r="BW166" s="343">
        <f>+'[93]VENTAS TOTALES'!$F191</f>
        <v>0</v>
      </c>
      <c r="BX166" s="344">
        <f>+'[93]VENTAS TOTALES'!$G191</f>
        <v>46000</v>
      </c>
      <c r="BY166" s="344">
        <f>+'[93]VENTAS TOTALES'!$H191</f>
        <v>46000</v>
      </c>
      <c r="BZ166" s="343">
        <f>+'[94]VENTAS TOTALES'!$F191</f>
        <v>0</v>
      </c>
      <c r="CA166" s="344">
        <f>+'[94]VENTAS TOTALES'!$G191</f>
        <v>29000</v>
      </c>
      <c r="CB166" s="344">
        <f>+'[94]VENTAS TOTALES'!$H191</f>
        <v>29000</v>
      </c>
      <c r="CC166" s="343">
        <f>+'[95]VENTAS TOTALES'!$F191</f>
        <v>0</v>
      </c>
      <c r="CD166" s="344">
        <f>+'[95]VENTAS TOTALES'!$G191</f>
        <v>28000</v>
      </c>
      <c r="CE166" s="344">
        <f>+'[95]VENTAS TOTALES'!$H191</f>
        <v>28000</v>
      </c>
      <c r="CF166" s="343">
        <f>+'[96]VENTAS TOTALES'!$F191</f>
        <v>0</v>
      </c>
      <c r="CG166" s="344">
        <f>+'[96]VENTAS TOTALES'!$G191</f>
        <v>55000</v>
      </c>
      <c r="CH166" s="344">
        <f>+'[96]VENTAS TOTALES'!$H191</f>
        <v>55000</v>
      </c>
      <c r="CI166" s="343">
        <f>+'[97]VENTAS TOTALES'!$F191</f>
        <v>0</v>
      </c>
      <c r="CJ166" s="344">
        <f>+'[97]VENTAS TOTALES'!$G191</f>
        <v>83000</v>
      </c>
      <c r="CK166" s="344">
        <f>+'[97]VENTAS TOTALES'!$H191</f>
        <v>83000</v>
      </c>
      <c r="CL166" s="343">
        <f>+'[98]VENTAS TOTALES'!$F191</f>
        <v>0</v>
      </c>
      <c r="CM166" s="344">
        <f>+'[98]VENTAS TOTALES'!$G191</f>
        <v>72000</v>
      </c>
      <c r="CN166" s="344">
        <f>+'[98]VENTAS TOTALES'!$H191</f>
        <v>72000</v>
      </c>
      <c r="CO166" s="343">
        <f>+'[99]VENTAS TOTALES'!$F191</f>
        <v>0</v>
      </c>
      <c r="CP166" s="344">
        <f>+'[99]VENTAS TOTALES'!$G191</f>
        <v>84000</v>
      </c>
      <c r="CQ166" s="344">
        <f>+'[99]VENTAS TOTALES'!$H191</f>
        <v>84000</v>
      </c>
      <c r="CR166" s="343">
        <f>+'[100]VENTAS TOTALES'!$F191</f>
        <v>0</v>
      </c>
      <c r="CS166" s="344">
        <f>+'[100]VENTAS TOTALES'!$G191</f>
        <v>24000</v>
      </c>
      <c r="CT166" s="344">
        <f>+'[100]VENTAS TOTALES'!$H191</f>
        <v>24000</v>
      </c>
      <c r="CU166" s="343">
        <f>+'[101]VENTAS TOTALES'!$F191</f>
        <v>0</v>
      </c>
      <c r="CV166" s="344">
        <f>+'[101]VENTAS TOTALES'!$G191</f>
        <v>17000</v>
      </c>
      <c r="CW166" s="344">
        <f>+'[101]VENTAS TOTALES'!$H191</f>
        <v>17000</v>
      </c>
      <c r="CX166" s="343">
        <f>+'[102]VENTAS TOTALES'!$F191</f>
        <v>0</v>
      </c>
      <c r="CY166" s="344">
        <f>+'[102]VENTAS TOTALES'!$G191</f>
        <v>118000</v>
      </c>
      <c r="CZ166" s="344">
        <f>+'[102]VENTAS TOTALES'!$H191</f>
        <v>118000</v>
      </c>
    </row>
    <row r="167" spans="1:104" s="8" customFormat="1" ht="14.25" customHeight="1" thickBot="1" x14ac:dyDescent="0.25">
      <c r="A167" s="455"/>
      <c r="B167" s="345" t="s">
        <v>418</v>
      </c>
      <c r="C167" s="343">
        <f>+'[69]VENTAS TOTALES'!$F192</f>
        <v>0</v>
      </c>
      <c r="D167" s="344">
        <f>+'[69]VENTAS TOTALES'!$G192</f>
        <v>166000</v>
      </c>
      <c r="E167" s="344">
        <f>+'[69]VENTAS TOTALES'!$H192</f>
        <v>166000</v>
      </c>
      <c r="F167" s="343">
        <f>+'[70]VENTAS TOTALES'!$F192</f>
        <v>0</v>
      </c>
      <c r="G167" s="344">
        <f>+'[70]VENTAS TOTALES'!$G192</f>
        <v>112000</v>
      </c>
      <c r="H167" s="344">
        <f>+'[70]VENTAS TOTALES'!$H192</f>
        <v>112000</v>
      </c>
      <c r="I167" s="343">
        <f>+'[71]VENTAS TOTALES'!$F192</f>
        <v>0</v>
      </c>
      <c r="J167" s="344">
        <f>+'[71]VENTAS TOTALES'!$G192</f>
        <v>44000</v>
      </c>
      <c r="K167" s="344">
        <f>+'[71]VENTAS TOTALES'!$H192</f>
        <v>44000</v>
      </c>
      <c r="L167" s="343">
        <f>+'[72]VENTAS TOTALES'!$F192</f>
        <v>0</v>
      </c>
      <c r="M167" s="344">
        <f>+'[72]VENTAS TOTALES'!$G192</f>
        <v>60000</v>
      </c>
      <c r="N167" s="344">
        <f>+'[72]VENTAS TOTALES'!$H192</f>
        <v>60000</v>
      </c>
      <c r="O167" s="343">
        <f>+'[73]VENTAS TOTALES'!$F192</f>
        <v>0</v>
      </c>
      <c r="P167" s="344">
        <f>+'[73]VENTAS TOTALES'!$G192</f>
        <v>54000</v>
      </c>
      <c r="Q167" s="344">
        <f>+'[73]VENTAS TOTALES'!$H192</f>
        <v>54000</v>
      </c>
      <c r="R167" s="343">
        <f>+'[74]VENTAS TOTALES'!$F192</f>
        <v>0</v>
      </c>
      <c r="S167" s="344">
        <f>+'[74]VENTAS TOTALES'!$G192</f>
        <v>10000</v>
      </c>
      <c r="T167" s="344">
        <f>+'[74]VENTAS TOTALES'!$H192</f>
        <v>10000</v>
      </c>
      <c r="U167" s="343">
        <f>+'[75]VENTAS TOTALES'!$F192</f>
        <v>0</v>
      </c>
      <c r="V167" s="344">
        <f>+'[75]VENTAS TOTALES'!$G192</f>
        <v>97000</v>
      </c>
      <c r="W167" s="344">
        <f>+'[75]VENTAS TOTALES'!$H192</f>
        <v>97000</v>
      </c>
      <c r="X167" s="343">
        <f>+'[76]VENTAS TOTALES'!$F192</f>
        <v>0</v>
      </c>
      <c r="Y167" s="344">
        <f>+'[76]VENTAS TOTALES'!$G192</f>
        <v>54000</v>
      </c>
      <c r="Z167" s="344">
        <f>+'[76]VENTAS TOTALES'!$H192</f>
        <v>54000</v>
      </c>
      <c r="AA167" s="343">
        <f>+'[77]VENTAS TOTALES'!$F192</f>
        <v>0</v>
      </c>
      <c r="AB167" s="344">
        <f>+'[77]VENTAS TOTALES'!$G192</f>
        <v>71000</v>
      </c>
      <c r="AC167" s="344">
        <f>+'[77]VENTAS TOTALES'!$H192</f>
        <v>71000</v>
      </c>
      <c r="AD167" s="343">
        <f>+'[78]VENTAS TOTALES'!$F192</f>
        <v>0</v>
      </c>
      <c r="AE167" s="344">
        <f>+'[78]VENTAS TOTALES'!$G192</f>
        <v>45000</v>
      </c>
      <c r="AF167" s="344">
        <f>+'[78]VENTAS TOTALES'!$H192</f>
        <v>45000</v>
      </c>
      <c r="AG167" s="343">
        <f>+'[79]VENTAS TOTALES'!$F192</f>
        <v>0</v>
      </c>
      <c r="AH167" s="344">
        <f>+'[79]VENTAS TOTALES'!$G192</f>
        <v>32000</v>
      </c>
      <c r="AI167" s="344">
        <f>+'[79]VENTAS TOTALES'!$H192</f>
        <v>32000</v>
      </c>
      <c r="AJ167" s="343">
        <f>+'[80]VENTAS TOTALES'!$F192</f>
        <v>0</v>
      </c>
      <c r="AK167" s="344">
        <f>+'[80]VENTAS TOTALES'!$G192</f>
        <v>48000</v>
      </c>
      <c r="AL167" s="344">
        <f>+'[80]VENTAS TOTALES'!$H192</f>
        <v>48000</v>
      </c>
      <c r="AM167" s="343">
        <f>+'[81]VENTAS TOTALES'!$F192</f>
        <v>0</v>
      </c>
      <c r="AN167" s="344">
        <f>+'[81]VENTAS TOTALES'!$G192</f>
        <v>13000</v>
      </c>
      <c r="AO167" s="344">
        <f>+'[81]VENTAS TOTALES'!$H192</f>
        <v>13000</v>
      </c>
      <c r="AP167" s="343">
        <f>+'[82]VENTAS TOTALES'!$F192</f>
        <v>0</v>
      </c>
      <c r="AQ167" s="344">
        <f>+'[82]VENTAS TOTALES'!$G192</f>
        <v>52000</v>
      </c>
      <c r="AR167" s="344">
        <f>+'[82]VENTAS TOTALES'!$H192</f>
        <v>52000</v>
      </c>
      <c r="AS167" s="343">
        <f>+'[83]VENTAS TOTALES'!$F192</f>
        <v>0</v>
      </c>
      <c r="AT167" s="344">
        <f>+'[83]VENTAS TOTALES'!$G192</f>
        <v>75000</v>
      </c>
      <c r="AU167" s="344">
        <f>+'[83]VENTAS TOTALES'!$H192</f>
        <v>75000</v>
      </c>
      <c r="AV167" s="343">
        <f>+'[84]VENTAS TOTALES'!$F192</f>
        <v>0</v>
      </c>
      <c r="AW167" s="344">
        <f>+'[84]VENTAS TOTALES'!$G192</f>
        <v>49000</v>
      </c>
      <c r="AX167" s="344">
        <f>+'[84]VENTAS TOTALES'!$H192</f>
        <v>49000</v>
      </c>
      <c r="AY167" s="343">
        <f>+'[85]VENTAS TOTALES'!$F192</f>
        <v>0</v>
      </c>
      <c r="AZ167" s="344">
        <f>+'[85]VENTAS TOTALES'!$G192</f>
        <v>79000</v>
      </c>
      <c r="BA167" s="344">
        <f>+'[85]VENTAS TOTALES'!$H192</f>
        <v>79000</v>
      </c>
      <c r="BB167" s="343">
        <f>+'[86]VENTAS TOTALES'!$F192</f>
        <v>0</v>
      </c>
      <c r="BC167" s="344">
        <f>+'[86]VENTAS TOTALES'!$G192</f>
        <v>50000</v>
      </c>
      <c r="BD167" s="344">
        <f>+'[86]VENTAS TOTALES'!$H192</f>
        <v>50000</v>
      </c>
      <c r="BE167" s="343">
        <f>+'[87]VENTAS TOTALES'!$F192</f>
        <v>0</v>
      </c>
      <c r="BF167" s="344">
        <f>+'[87]VENTAS TOTALES'!$G192</f>
        <v>35000</v>
      </c>
      <c r="BG167" s="344">
        <f>+'[87]VENTAS TOTALES'!$H192</f>
        <v>35000</v>
      </c>
      <c r="BH167" s="343">
        <f>+'[88]VENTAS TOTALES'!$F192</f>
        <v>0</v>
      </c>
      <c r="BI167" s="344">
        <f>+'[88]VENTAS TOTALES'!$G192</f>
        <v>2000</v>
      </c>
      <c r="BJ167" s="344">
        <f>+'[88]VENTAS TOTALES'!$H192</f>
        <v>2000</v>
      </c>
      <c r="BK167" s="343">
        <f>+'[89]VENTAS TOTALES'!$F192</f>
        <v>0</v>
      </c>
      <c r="BL167" s="344">
        <f>+'[89]VENTAS TOTALES'!$G192</f>
        <v>136000</v>
      </c>
      <c r="BM167" s="344">
        <f>+'[89]VENTAS TOTALES'!$H192</f>
        <v>136000</v>
      </c>
      <c r="BN167" s="343">
        <f>+'[90]VENTAS TOTALES'!$F192</f>
        <v>0</v>
      </c>
      <c r="BO167" s="344">
        <f>+'[90]VENTAS TOTALES'!$G192</f>
        <v>26000</v>
      </c>
      <c r="BP167" s="344">
        <f>+'[90]VENTAS TOTALES'!$H192</f>
        <v>26000</v>
      </c>
      <c r="BQ167" s="343">
        <f>+'[91]VENTAS TOTALES'!$F192</f>
        <v>0</v>
      </c>
      <c r="BR167" s="344">
        <f>+'[91]VENTAS TOTALES'!$G192</f>
        <v>67000</v>
      </c>
      <c r="BS167" s="344">
        <f>+'[91]VENTAS TOTALES'!$H192</f>
        <v>67000</v>
      </c>
      <c r="BT167" s="343">
        <f>+'[92]VENTAS TOTALES'!$F192</f>
        <v>0</v>
      </c>
      <c r="BU167" s="344">
        <f>+'[92]VENTAS TOTALES'!$G192</f>
        <v>58000</v>
      </c>
      <c r="BV167" s="344">
        <f>+'[92]VENTAS TOTALES'!$H192</f>
        <v>58000</v>
      </c>
      <c r="BW167" s="343">
        <f>+'[93]VENTAS TOTALES'!$F192</f>
        <v>0</v>
      </c>
      <c r="BX167" s="344">
        <f>+'[93]VENTAS TOTALES'!$G192</f>
        <v>65000</v>
      </c>
      <c r="BY167" s="344">
        <f>+'[93]VENTAS TOTALES'!$H192</f>
        <v>65000</v>
      </c>
      <c r="BZ167" s="343">
        <f>+'[94]VENTAS TOTALES'!$F192</f>
        <v>0</v>
      </c>
      <c r="CA167" s="344">
        <f>+'[94]VENTAS TOTALES'!$G192</f>
        <v>38000</v>
      </c>
      <c r="CB167" s="344">
        <f>+'[94]VENTAS TOTALES'!$H192</f>
        <v>38000</v>
      </c>
      <c r="CC167" s="343">
        <f>+'[95]VENTAS TOTALES'!$F192</f>
        <v>0</v>
      </c>
      <c r="CD167" s="344">
        <f>+'[95]VENTAS TOTALES'!$G192</f>
        <v>27000</v>
      </c>
      <c r="CE167" s="344">
        <f>+'[95]VENTAS TOTALES'!$H192</f>
        <v>27000</v>
      </c>
      <c r="CF167" s="343">
        <f>+'[96]VENTAS TOTALES'!$F192</f>
        <v>0</v>
      </c>
      <c r="CG167" s="344">
        <f>+'[96]VENTAS TOTALES'!$G192</f>
        <v>69000</v>
      </c>
      <c r="CH167" s="344">
        <f>+'[96]VENTAS TOTALES'!$H192</f>
        <v>69000</v>
      </c>
      <c r="CI167" s="343">
        <f>+'[97]VENTAS TOTALES'!$F192</f>
        <v>0</v>
      </c>
      <c r="CJ167" s="344">
        <f>+'[97]VENTAS TOTALES'!$G192</f>
        <v>91000</v>
      </c>
      <c r="CK167" s="344">
        <f>+'[97]VENTAS TOTALES'!$H192</f>
        <v>91000</v>
      </c>
      <c r="CL167" s="343">
        <f>+'[98]VENTAS TOTALES'!$F192</f>
        <v>0</v>
      </c>
      <c r="CM167" s="344">
        <f>+'[98]VENTAS TOTALES'!$G192</f>
        <v>178000</v>
      </c>
      <c r="CN167" s="344">
        <f>+'[98]VENTAS TOTALES'!$H192</f>
        <v>178000</v>
      </c>
      <c r="CO167" s="343">
        <f>+'[99]VENTAS TOTALES'!$F192</f>
        <v>0</v>
      </c>
      <c r="CP167" s="344">
        <f>+'[99]VENTAS TOTALES'!$G192</f>
        <v>88000</v>
      </c>
      <c r="CQ167" s="344">
        <f>+'[99]VENTAS TOTALES'!$H192</f>
        <v>88000</v>
      </c>
      <c r="CR167" s="343">
        <f>+'[100]VENTAS TOTALES'!$F192</f>
        <v>0</v>
      </c>
      <c r="CS167" s="344">
        <f>+'[100]VENTAS TOTALES'!$G192</f>
        <v>68000</v>
      </c>
      <c r="CT167" s="344">
        <f>+'[100]VENTAS TOTALES'!$H192</f>
        <v>68000</v>
      </c>
      <c r="CU167" s="343">
        <f>+'[101]VENTAS TOTALES'!$F192</f>
        <v>0</v>
      </c>
      <c r="CV167" s="344">
        <f>+'[101]VENTAS TOTALES'!$G192</f>
        <v>13000</v>
      </c>
      <c r="CW167" s="344">
        <f>+'[101]VENTAS TOTALES'!$H192</f>
        <v>13000</v>
      </c>
      <c r="CX167" s="343">
        <f>+'[102]VENTAS TOTALES'!$F192</f>
        <v>0</v>
      </c>
      <c r="CY167" s="344">
        <f>+'[102]VENTAS TOTALES'!$G192</f>
        <v>55000</v>
      </c>
      <c r="CZ167" s="344">
        <f>+'[102]VENTAS TOTALES'!$H192</f>
        <v>55000</v>
      </c>
    </row>
    <row r="168" spans="1:104" s="8" customFormat="1" ht="14.25" customHeight="1" thickBot="1" x14ac:dyDescent="0.25">
      <c r="A168" s="455"/>
      <c r="B168" s="345" t="s">
        <v>432</v>
      </c>
      <c r="C168" s="343">
        <f>+'[69]VENTAS TOTALES'!$F193</f>
        <v>0</v>
      </c>
      <c r="D168" s="344">
        <f>+'[69]VENTAS TOTALES'!$G193</f>
        <v>266000</v>
      </c>
      <c r="E168" s="344">
        <f>+'[69]VENTAS TOTALES'!$H193</f>
        <v>266000</v>
      </c>
      <c r="F168" s="343">
        <f>+'[70]VENTAS TOTALES'!$F193</f>
        <v>0</v>
      </c>
      <c r="G168" s="344">
        <f>+'[70]VENTAS TOTALES'!$G193</f>
        <v>230000</v>
      </c>
      <c r="H168" s="344">
        <f>+'[70]VENTAS TOTALES'!$H193</f>
        <v>230000</v>
      </c>
      <c r="I168" s="343">
        <f>+'[71]VENTAS TOTALES'!$F193</f>
        <v>0</v>
      </c>
      <c r="J168" s="344">
        <f>+'[71]VENTAS TOTALES'!$G193</f>
        <v>172000</v>
      </c>
      <c r="K168" s="344">
        <f>+'[71]VENTAS TOTALES'!$H193</f>
        <v>172000</v>
      </c>
      <c r="L168" s="343">
        <f>+'[72]VENTAS TOTALES'!$F193</f>
        <v>0</v>
      </c>
      <c r="M168" s="344">
        <f>+'[72]VENTAS TOTALES'!$G193</f>
        <v>119000</v>
      </c>
      <c r="N168" s="344">
        <f>+'[72]VENTAS TOTALES'!$H193</f>
        <v>119000</v>
      </c>
      <c r="O168" s="343">
        <f>+'[73]VENTAS TOTALES'!$F193</f>
        <v>0</v>
      </c>
      <c r="P168" s="344">
        <f>+'[73]VENTAS TOTALES'!$G193</f>
        <v>11000</v>
      </c>
      <c r="Q168" s="344">
        <f>+'[73]VENTAS TOTALES'!$H193</f>
        <v>11000</v>
      </c>
      <c r="R168" s="343">
        <f>+'[74]VENTAS TOTALES'!$F193</f>
        <v>0</v>
      </c>
      <c r="S168" s="344">
        <f>+'[74]VENTAS TOTALES'!$G193</f>
        <v>0</v>
      </c>
      <c r="T168" s="344">
        <f>+'[74]VENTAS TOTALES'!$H193</f>
        <v>0</v>
      </c>
      <c r="U168" s="343">
        <f>+'[75]VENTAS TOTALES'!$F193</f>
        <v>0</v>
      </c>
      <c r="V168" s="344">
        <f>+'[75]VENTAS TOTALES'!$G193</f>
        <v>510000</v>
      </c>
      <c r="W168" s="344">
        <f>+'[75]VENTAS TOTALES'!$H193</f>
        <v>510000</v>
      </c>
      <c r="X168" s="343">
        <f>+'[76]VENTAS TOTALES'!$F193</f>
        <v>0</v>
      </c>
      <c r="Y168" s="344">
        <f>+'[76]VENTAS TOTALES'!$G193</f>
        <v>311000</v>
      </c>
      <c r="Z168" s="344">
        <f>+'[76]VENTAS TOTALES'!$H193</f>
        <v>311000</v>
      </c>
      <c r="AA168" s="343">
        <f>+'[77]VENTAS TOTALES'!$F193</f>
        <v>0</v>
      </c>
      <c r="AB168" s="344">
        <f>+'[77]VENTAS TOTALES'!$G193</f>
        <v>230000</v>
      </c>
      <c r="AC168" s="344">
        <f>+'[77]VENTAS TOTALES'!$H193</f>
        <v>230000</v>
      </c>
      <c r="AD168" s="343">
        <f>+'[78]VENTAS TOTALES'!$F193</f>
        <v>0</v>
      </c>
      <c r="AE168" s="344">
        <f>+'[78]VENTAS TOTALES'!$G193</f>
        <v>233000</v>
      </c>
      <c r="AF168" s="344">
        <f>+'[78]VENTAS TOTALES'!$H193</f>
        <v>233000</v>
      </c>
      <c r="AG168" s="343">
        <f>+'[79]VENTAS TOTALES'!$F193</f>
        <v>0</v>
      </c>
      <c r="AH168" s="344">
        <f>+'[79]VENTAS TOTALES'!$G193</f>
        <v>246000</v>
      </c>
      <c r="AI168" s="344">
        <f>+'[79]VENTAS TOTALES'!$H193</f>
        <v>246000</v>
      </c>
      <c r="AJ168" s="343">
        <f>+'[80]VENTAS TOTALES'!$F193</f>
        <v>0</v>
      </c>
      <c r="AK168" s="344">
        <f>+'[80]VENTAS TOTALES'!$G193</f>
        <v>30000</v>
      </c>
      <c r="AL168" s="344">
        <f>+'[80]VENTAS TOTALES'!$H193</f>
        <v>30000</v>
      </c>
      <c r="AM168" s="343">
        <f>+'[81]VENTAS TOTALES'!$F193</f>
        <v>0</v>
      </c>
      <c r="AN168" s="344">
        <f>+'[81]VENTAS TOTALES'!$G193</f>
        <v>0</v>
      </c>
      <c r="AO168" s="344">
        <f>+'[81]VENTAS TOTALES'!$H193</f>
        <v>0</v>
      </c>
      <c r="AP168" s="343">
        <f>+'[82]VENTAS TOTALES'!$F193</f>
        <v>0</v>
      </c>
      <c r="AQ168" s="344">
        <f>+'[82]VENTAS TOTALES'!$G193</f>
        <v>381000</v>
      </c>
      <c r="AR168" s="344">
        <f>+'[82]VENTAS TOTALES'!$H193</f>
        <v>381000</v>
      </c>
      <c r="AS168" s="343">
        <f>+'[83]VENTAS TOTALES'!$F193</f>
        <v>0</v>
      </c>
      <c r="AT168" s="344">
        <f>+'[83]VENTAS TOTALES'!$G193</f>
        <v>289000</v>
      </c>
      <c r="AU168" s="344">
        <f>+'[83]VENTAS TOTALES'!$H193</f>
        <v>289000</v>
      </c>
      <c r="AV168" s="343">
        <f>+'[84]VENTAS TOTALES'!$F193</f>
        <v>0</v>
      </c>
      <c r="AW168" s="344">
        <f>+'[84]VENTAS TOTALES'!$G193</f>
        <v>299000</v>
      </c>
      <c r="AX168" s="344">
        <f>+'[84]VENTAS TOTALES'!$H193</f>
        <v>299000</v>
      </c>
      <c r="AY168" s="343">
        <f>+'[85]VENTAS TOTALES'!$F193</f>
        <v>0</v>
      </c>
      <c r="AZ168" s="344">
        <f>+'[85]VENTAS TOTALES'!$G193</f>
        <v>232000</v>
      </c>
      <c r="BA168" s="344">
        <f>+'[85]VENTAS TOTALES'!$H193</f>
        <v>232000</v>
      </c>
      <c r="BB168" s="343">
        <f>+'[86]VENTAS TOTALES'!$F193</f>
        <v>0</v>
      </c>
      <c r="BC168" s="344">
        <f>+'[86]VENTAS TOTALES'!$G193</f>
        <v>109000</v>
      </c>
      <c r="BD168" s="344">
        <f>+'[86]VENTAS TOTALES'!$H193</f>
        <v>109000</v>
      </c>
      <c r="BE168" s="343">
        <f>+'[87]VENTAS TOTALES'!$F193</f>
        <v>0</v>
      </c>
      <c r="BF168" s="344">
        <f>+'[87]VENTAS TOTALES'!$G193</f>
        <v>13000</v>
      </c>
      <c r="BG168" s="344">
        <f>+'[87]VENTAS TOTALES'!$H193</f>
        <v>13000</v>
      </c>
      <c r="BH168" s="343">
        <f>+'[88]VENTAS TOTALES'!$F193</f>
        <v>0</v>
      </c>
      <c r="BI168" s="344">
        <f>+'[88]VENTAS TOTALES'!$G193</f>
        <v>0</v>
      </c>
      <c r="BJ168" s="344">
        <f>+'[88]VENTAS TOTALES'!$H193</f>
        <v>0</v>
      </c>
      <c r="BK168" s="343">
        <f>+'[89]VENTAS TOTALES'!$F193</f>
        <v>0</v>
      </c>
      <c r="BL168" s="344">
        <f>+'[89]VENTAS TOTALES'!$G193</f>
        <v>276000</v>
      </c>
      <c r="BM168" s="344">
        <f>+'[89]VENTAS TOTALES'!$H193</f>
        <v>276000</v>
      </c>
      <c r="BN168" s="343">
        <f>+'[90]VENTAS TOTALES'!$F193</f>
        <v>0</v>
      </c>
      <c r="BO168" s="344">
        <f>+'[90]VENTAS TOTALES'!$G193</f>
        <v>415000</v>
      </c>
      <c r="BP168" s="344">
        <f>+'[90]VENTAS TOTALES'!$H193</f>
        <v>415000</v>
      </c>
      <c r="BQ168" s="343">
        <f>+'[91]VENTAS TOTALES'!$F193</f>
        <v>0</v>
      </c>
      <c r="BR168" s="344">
        <f>+'[91]VENTAS TOTALES'!$G193</f>
        <v>163000</v>
      </c>
      <c r="BS168" s="344">
        <f>+'[91]VENTAS TOTALES'!$H193</f>
        <v>163000</v>
      </c>
      <c r="BT168" s="343">
        <f>+'[92]VENTAS TOTALES'!$F193</f>
        <v>0</v>
      </c>
      <c r="BU168" s="344">
        <f>+'[92]VENTAS TOTALES'!$G193</f>
        <v>149000</v>
      </c>
      <c r="BV168" s="344">
        <f>+'[92]VENTAS TOTALES'!$H193</f>
        <v>149000</v>
      </c>
      <c r="BW168" s="343">
        <f>+'[93]VENTAS TOTALES'!$F193</f>
        <v>0</v>
      </c>
      <c r="BX168" s="344">
        <f>+'[93]VENTAS TOTALES'!$G193</f>
        <v>185000</v>
      </c>
      <c r="BY168" s="344">
        <f>+'[93]VENTAS TOTALES'!$H193</f>
        <v>185000</v>
      </c>
      <c r="BZ168" s="343">
        <f>+'[94]VENTAS TOTALES'!$F193</f>
        <v>0</v>
      </c>
      <c r="CA168" s="344">
        <f>+'[94]VENTAS TOTALES'!$G193</f>
        <v>48000</v>
      </c>
      <c r="CB168" s="344">
        <f>+'[94]VENTAS TOTALES'!$H193</f>
        <v>48000</v>
      </c>
      <c r="CC168" s="343">
        <f>+'[95]VENTAS TOTALES'!$F193</f>
        <v>0</v>
      </c>
      <c r="CD168" s="344">
        <f>+'[95]VENTAS TOTALES'!$G193</f>
        <v>40000</v>
      </c>
      <c r="CE168" s="344">
        <f>+'[95]VENTAS TOTALES'!$H193</f>
        <v>40000</v>
      </c>
      <c r="CF168" s="343">
        <f>+'[96]VENTAS TOTALES'!$F193</f>
        <v>0</v>
      </c>
      <c r="CG168" s="344">
        <f>+'[96]VENTAS TOTALES'!$G193</f>
        <v>529000</v>
      </c>
      <c r="CH168" s="344">
        <f>+'[96]VENTAS TOTALES'!$H193</f>
        <v>529000</v>
      </c>
      <c r="CI168" s="343">
        <f>+'[97]VENTAS TOTALES'!$F193</f>
        <v>0</v>
      </c>
      <c r="CJ168" s="344">
        <f>+'[97]VENTAS TOTALES'!$G193</f>
        <v>237000</v>
      </c>
      <c r="CK168" s="344">
        <f>+'[97]VENTAS TOTALES'!$H193</f>
        <v>237000</v>
      </c>
      <c r="CL168" s="343">
        <f>+'[98]VENTAS TOTALES'!$F193</f>
        <v>0</v>
      </c>
      <c r="CM168" s="344">
        <f>+'[98]VENTAS TOTALES'!$G193</f>
        <v>310000</v>
      </c>
      <c r="CN168" s="344">
        <f>+'[98]VENTAS TOTALES'!$H193</f>
        <v>310000</v>
      </c>
      <c r="CO168" s="343">
        <f>+'[99]VENTAS TOTALES'!$F193</f>
        <v>0</v>
      </c>
      <c r="CP168" s="344">
        <f>+'[99]VENTAS TOTALES'!$G193</f>
        <v>101000</v>
      </c>
      <c r="CQ168" s="344">
        <f>+'[99]VENTAS TOTALES'!$H193</f>
        <v>101000</v>
      </c>
      <c r="CR168" s="343">
        <f>+'[100]VENTAS TOTALES'!$F193</f>
        <v>0</v>
      </c>
      <c r="CS168" s="344">
        <f>+'[100]VENTAS TOTALES'!$G193</f>
        <v>139000</v>
      </c>
      <c r="CT168" s="344">
        <f>+'[100]VENTAS TOTALES'!$H193</f>
        <v>139000</v>
      </c>
      <c r="CU168" s="343">
        <f>+'[101]VENTAS TOTALES'!$F193</f>
        <v>0</v>
      </c>
      <c r="CV168" s="344">
        <f>+'[101]VENTAS TOTALES'!$G193</f>
        <v>0</v>
      </c>
      <c r="CW168" s="344">
        <f>+'[101]VENTAS TOTALES'!$H193</f>
        <v>0</v>
      </c>
      <c r="CX168" s="343">
        <f>+'[102]VENTAS TOTALES'!$F193</f>
        <v>0</v>
      </c>
      <c r="CY168" s="344">
        <f>+'[102]VENTAS TOTALES'!$G193</f>
        <v>0</v>
      </c>
      <c r="CZ168" s="344">
        <f>+'[102]VENTAS TOTALES'!$H193</f>
        <v>0</v>
      </c>
    </row>
    <row r="169" spans="1:104" s="8" customFormat="1" ht="14.25" customHeight="1" thickBot="1" x14ac:dyDescent="0.25">
      <c r="A169" s="455"/>
      <c r="B169" s="345" t="s">
        <v>433</v>
      </c>
      <c r="C169" s="343">
        <f>+'[69]VENTAS TOTALES'!$F194</f>
        <v>0</v>
      </c>
      <c r="D169" s="344">
        <f>+'[69]VENTAS TOTALES'!$G194</f>
        <v>159000</v>
      </c>
      <c r="E169" s="344">
        <f>+'[69]VENTAS TOTALES'!$H194</f>
        <v>159000</v>
      </c>
      <c r="F169" s="343">
        <f>+'[70]VENTAS TOTALES'!$F194</f>
        <v>0</v>
      </c>
      <c r="G169" s="344">
        <f>+'[70]VENTAS TOTALES'!$G194</f>
        <v>83000</v>
      </c>
      <c r="H169" s="344">
        <f>+'[70]VENTAS TOTALES'!$H194</f>
        <v>83000</v>
      </c>
      <c r="I169" s="343">
        <f>+'[71]VENTAS TOTALES'!$F194</f>
        <v>0</v>
      </c>
      <c r="J169" s="344">
        <f>+'[71]VENTAS TOTALES'!$G194</f>
        <v>42000</v>
      </c>
      <c r="K169" s="344">
        <f>+'[71]VENTAS TOTALES'!$H194</f>
        <v>42000</v>
      </c>
      <c r="L169" s="343">
        <f>+'[72]VENTAS TOTALES'!$F194</f>
        <v>0</v>
      </c>
      <c r="M169" s="344">
        <f>+'[72]VENTAS TOTALES'!$G194</f>
        <v>19000</v>
      </c>
      <c r="N169" s="344">
        <f>+'[72]VENTAS TOTALES'!$H194</f>
        <v>19000</v>
      </c>
      <c r="O169" s="343">
        <f>+'[73]VENTAS TOTALES'!$F194</f>
        <v>0</v>
      </c>
      <c r="P169" s="344">
        <f>+'[73]VENTAS TOTALES'!$G194</f>
        <v>4000</v>
      </c>
      <c r="Q169" s="344">
        <f>+'[73]VENTAS TOTALES'!$H194</f>
        <v>4000</v>
      </c>
      <c r="R169" s="343">
        <f>+'[74]VENTAS TOTALES'!$F194</f>
        <v>0</v>
      </c>
      <c r="S169" s="344">
        <f>+'[74]VENTAS TOTALES'!$G194</f>
        <v>0</v>
      </c>
      <c r="T169" s="344">
        <f>+'[74]VENTAS TOTALES'!$H194</f>
        <v>0</v>
      </c>
      <c r="U169" s="343">
        <f>+'[75]VENTAS TOTALES'!$F194</f>
        <v>0</v>
      </c>
      <c r="V169" s="344">
        <f>+'[75]VENTAS TOTALES'!$G194</f>
        <v>25000</v>
      </c>
      <c r="W169" s="344">
        <f>+'[75]VENTAS TOTALES'!$H194</f>
        <v>25000</v>
      </c>
      <c r="X169" s="343">
        <f>+'[76]VENTAS TOTALES'!$F194</f>
        <v>0</v>
      </c>
      <c r="Y169" s="344">
        <f>+'[76]VENTAS TOTALES'!$G194</f>
        <v>0</v>
      </c>
      <c r="Z169" s="344">
        <f>+'[76]VENTAS TOTALES'!$H194</f>
        <v>0</v>
      </c>
      <c r="AA169" s="343">
        <f>+'[77]VENTAS TOTALES'!$F194</f>
        <v>0</v>
      </c>
      <c r="AB169" s="344">
        <f>+'[77]VENTAS TOTALES'!$G194</f>
        <v>60000</v>
      </c>
      <c r="AC169" s="344">
        <f>+'[77]VENTAS TOTALES'!$H194</f>
        <v>60000</v>
      </c>
      <c r="AD169" s="343">
        <f>+'[78]VENTAS TOTALES'!$F194</f>
        <v>0</v>
      </c>
      <c r="AE169" s="344">
        <f>+'[78]VENTAS TOTALES'!$G194</f>
        <v>43000</v>
      </c>
      <c r="AF169" s="344">
        <f>+'[78]VENTAS TOTALES'!$H194</f>
        <v>43000</v>
      </c>
      <c r="AG169" s="343">
        <f>+'[79]VENTAS TOTALES'!$F194</f>
        <v>0</v>
      </c>
      <c r="AH169" s="344">
        <f>+'[79]VENTAS TOTALES'!$G194</f>
        <v>47000</v>
      </c>
      <c r="AI169" s="344">
        <f>+'[79]VENTAS TOTALES'!$H194</f>
        <v>47000</v>
      </c>
      <c r="AJ169" s="343">
        <f>+'[80]VENTAS TOTALES'!$F194</f>
        <v>0</v>
      </c>
      <c r="AK169" s="344">
        <f>+'[80]VENTAS TOTALES'!$G194</f>
        <v>39000</v>
      </c>
      <c r="AL169" s="344">
        <f>+'[80]VENTAS TOTALES'!$H194</f>
        <v>39000</v>
      </c>
      <c r="AM169" s="343">
        <f>+'[81]VENTAS TOTALES'!$F194</f>
        <v>0</v>
      </c>
      <c r="AN169" s="344">
        <f>+'[81]VENTAS TOTALES'!$G194</f>
        <v>0</v>
      </c>
      <c r="AO169" s="344">
        <f>+'[81]VENTAS TOTALES'!$H194</f>
        <v>0</v>
      </c>
      <c r="AP169" s="343">
        <f>+'[82]VENTAS TOTALES'!$F194</f>
        <v>0</v>
      </c>
      <c r="AQ169" s="344">
        <f>+'[82]VENTAS TOTALES'!$G194</f>
        <v>158000</v>
      </c>
      <c r="AR169" s="344">
        <f>+'[82]VENTAS TOTALES'!$H194</f>
        <v>158000</v>
      </c>
      <c r="AS169" s="343">
        <f>+'[83]VENTAS TOTALES'!$F194</f>
        <v>0</v>
      </c>
      <c r="AT169" s="344">
        <f>+'[83]VENTAS TOTALES'!$G194</f>
        <v>89000</v>
      </c>
      <c r="AU169" s="344">
        <f>+'[83]VENTAS TOTALES'!$H194</f>
        <v>89000</v>
      </c>
      <c r="AV169" s="343">
        <f>+'[84]VENTAS TOTALES'!$F194</f>
        <v>0</v>
      </c>
      <c r="AW169" s="344">
        <f>+'[84]VENTAS TOTALES'!$G194</f>
        <v>57000</v>
      </c>
      <c r="AX169" s="344">
        <f>+'[84]VENTAS TOTALES'!$H194</f>
        <v>57000</v>
      </c>
      <c r="AY169" s="343">
        <f>+'[85]VENTAS TOTALES'!$F194</f>
        <v>0</v>
      </c>
      <c r="AZ169" s="344">
        <f>+'[85]VENTAS TOTALES'!$G194</f>
        <v>54000</v>
      </c>
      <c r="BA169" s="344">
        <f>+'[85]VENTAS TOTALES'!$H194</f>
        <v>54000</v>
      </c>
      <c r="BB169" s="343">
        <f>+'[86]VENTAS TOTALES'!$F194</f>
        <v>0</v>
      </c>
      <c r="BC169" s="344">
        <f>+'[86]VENTAS TOTALES'!$G194</f>
        <v>82000</v>
      </c>
      <c r="BD169" s="344">
        <f>+'[86]VENTAS TOTALES'!$H194</f>
        <v>82000</v>
      </c>
      <c r="BE169" s="343">
        <f>+'[87]VENTAS TOTALES'!$F194</f>
        <v>0</v>
      </c>
      <c r="BF169" s="344">
        <f>+'[87]VENTAS TOTALES'!$G194</f>
        <v>16000</v>
      </c>
      <c r="BG169" s="344">
        <f>+'[87]VENTAS TOTALES'!$H194</f>
        <v>16000</v>
      </c>
      <c r="BH169" s="343">
        <f>+'[88]VENTAS TOTALES'!$F194</f>
        <v>0</v>
      </c>
      <c r="BI169" s="344">
        <f>+'[88]VENTAS TOTALES'!$G194</f>
        <v>0</v>
      </c>
      <c r="BJ169" s="344">
        <f>+'[88]VENTAS TOTALES'!$H194</f>
        <v>0</v>
      </c>
      <c r="BK169" s="343">
        <f>+'[89]VENTAS TOTALES'!$F194</f>
        <v>0</v>
      </c>
      <c r="BL169" s="344">
        <f>+'[89]VENTAS TOTALES'!$G194</f>
        <v>93000</v>
      </c>
      <c r="BM169" s="344">
        <f>+'[89]VENTAS TOTALES'!$H194</f>
        <v>93000</v>
      </c>
      <c r="BN169" s="343">
        <f>+'[90]VENTAS TOTALES'!$F194</f>
        <v>0</v>
      </c>
      <c r="BO169" s="344">
        <f>+'[90]VENTAS TOTALES'!$G194</f>
        <v>30000</v>
      </c>
      <c r="BP169" s="344">
        <f>+'[90]VENTAS TOTALES'!$H194</f>
        <v>30000</v>
      </c>
      <c r="BQ169" s="343">
        <f>+'[91]VENTAS TOTALES'!$F194</f>
        <v>0</v>
      </c>
      <c r="BR169" s="344">
        <f>+'[91]VENTAS TOTALES'!$G194</f>
        <v>69000</v>
      </c>
      <c r="BS169" s="344">
        <f>+'[91]VENTAS TOTALES'!$H194</f>
        <v>69000</v>
      </c>
      <c r="BT169" s="343">
        <f>+'[92]VENTAS TOTALES'!$F194</f>
        <v>0</v>
      </c>
      <c r="BU169" s="344">
        <f>+'[92]VENTAS TOTALES'!$G194</f>
        <v>46000</v>
      </c>
      <c r="BV169" s="344">
        <f>+'[92]VENTAS TOTALES'!$H194</f>
        <v>46000</v>
      </c>
      <c r="BW169" s="343">
        <f>+'[93]VENTAS TOTALES'!$F194</f>
        <v>0</v>
      </c>
      <c r="BX169" s="344">
        <f>+'[93]VENTAS TOTALES'!$G194</f>
        <v>118000</v>
      </c>
      <c r="BY169" s="344">
        <f>+'[93]VENTAS TOTALES'!$H194</f>
        <v>118000</v>
      </c>
      <c r="BZ169" s="343">
        <f>+'[94]VENTAS TOTALES'!$F194</f>
        <v>0</v>
      </c>
      <c r="CA169" s="344">
        <f>+'[94]VENTAS TOTALES'!$G194</f>
        <v>27000</v>
      </c>
      <c r="CB169" s="344">
        <f>+'[94]VENTAS TOTALES'!$H194</f>
        <v>27000</v>
      </c>
      <c r="CC169" s="343">
        <f>+'[95]VENTAS TOTALES'!$F194</f>
        <v>0</v>
      </c>
      <c r="CD169" s="344">
        <f>+'[95]VENTAS TOTALES'!$G194</f>
        <v>0</v>
      </c>
      <c r="CE169" s="344">
        <f>+'[95]VENTAS TOTALES'!$H194</f>
        <v>0</v>
      </c>
      <c r="CF169" s="343">
        <f>+'[96]VENTAS TOTALES'!$F194</f>
        <v>0</v>
      </c>
      <c r="CG169" s="344">
        <f>+'[96]VENTAS TOTALES'!$G194</f>
        <v>141000</v>
      </c>
      <c r="CH169" s="344">
        <f>+'[96]VENTAS TOTALES'!$H194</f>
        <v>141000</v>
      </c>
      <c r="CI169" s="343">
        <f>+'[97]VENTAS TOTALES'!$F194</f>
        <v>0</v>
      </c>
      <c r="CJ169" s="344">
        <f>+'[97]VENTAS TOTALES'!$G194</f>
        <v>126000</v>
      </c>
      <c r="CK169" s="344">
        <f>+'[97]VENTAS TOTALES'!$H194</f>
        <v>126000</v>
      </c>
      <c r="CL169" s="343">
        <f>+'[98]VENTAS TOTALES'!$F194</f>
        <v>0</v>
      </c>
      <c r="CM169" s="344">
        <f>+'[98]VENTAS TOTALES'!$G194</f>
        <v>53000</v>
      </c>
      <c r="CN169" s="344">
        <f>+'[98]VENTAS TOTALES'!$H194</f>
        <v>53000</v>
      </c>
      <c r="CO169" s="343">
        <f>+'[99]VENTAS TOTALES'!$F194</f>
        <v>0</v>
      </c>
      <c r="CP169" s="344">
        <f>+'[99]VENTAS TOTALES'!$G194</f>
        <v>45000</v>
      </c>
      <c r="CQ169" s="344">
        <f>+'[99]VENTAS TOTALES'!$H194</f>
        <v>45000</v>
      </c>
      <c r="CR169" s="343">
        <f>+'[100]VENTAS TOTALES'!$F194</f>
        <v>0</v>
      </c>
      <c r="CS169" s="344">
        <f>+'[100]VENTAS TOTALES'!$G194</f>
        <v>59000</v>
      </c>
      <c r="CT169" s="344">
        <f>+'[100]VENTAS TOTALES'!$H194</f>
        <v>59000</v>
      </c>
      <c r="CU169" s="343">
        <f>+'[101]VENTAS TOTALES'!$F194</f>
        <v>0</v>
      </c>
      <c r="CV169" s="344">
        <f>+'[101]VENTAS TOTALES'!$G194</f>
        <v>0</v>
      </c>
      <c r="CW169" s="344">
        <f>+'[101]VENTAS TOTALES'!$H194</f>
        <v>0</v>
      </c>
      <c r="CX169" s="343">
        <f>+'[102]VENTAS TOTALES'!$F194</f>
        <v>0</v>
      </c>
      <c r="CY169" s="344">
        <f>+'[102]VENTAS TOTALES'!$G194</f>
        <v>0</v>
      </c>
      <c r="CZ169" s="344">
        <f>+'[102]VENTAS TOTALES'!$H194</f>
        <v>0</v>
      </c>
    </row>
    <row r="170" spans="1:104" s="8" customFormat="1" ht="14.25" customHeight="1" thickBot="1" x14ac:dyDescent="0.25">
      <c r="A170" s="455"/>
      <c r="B170" s="345" t="s">
        <v>434</v>
      </c>
      <c r="C170" s="343">
        <f>+'[69]VENTAS TOTALES'!$F195</f>
        <v>0</v>
      </c>
      <c r="D170" s="344">
        <f>+'[69]VENTAS TOTALES'!$G195</f>
        <v>132000</v>
      </c>
      <c r="E170" s="344">
        <f>+'[69]VENTAS TOTALES'!$H195</f>
        <v>132000</v>
      </c>
      <c r="F170" s="343">
        <f>+'[70]VENTAS TOTALES'!$F195</f>
        <v>0</v>
      </c>
      <c r="G170" s="344">
        <f>+'[70]VENTAS TOTALES'!$G195</f>
        <v>107000</v>
      </c>
      <c r="H170" s="344">
        <f>+'[70]VENTAS TOTALES'!$H195</f>
        <v>107000</v>
      </c>
      <c r="I170" s="343">
        <f>+'[71]VENTAS TOTALES'!$F195</f>
        <v>0</v>
      </c>
      <c r="J170" s="344">
        <f>+'[71]VENTAS TOTALES'!$G195</f>
        <v>70000</v>
      </c>
      <c r="K170" s="344">
        <f>+'[71]VENTAS TOTALES'!$H195</f>
        <v>70000</v>
      </c>
      <c r="L170" s="343">
        <f>+'[72]VENTAS TOTALES'!$F195</f>
        <v>0</v>
      </c>
      <c r="M170" s="344">
        <f>+'[72]VENTAS TOTALES'!$G195</f>
        <v>96000</v>
      </c>
      <c r="N170" s="344">
        <f>+'[72]VENTAS TOTALES'!$H195</f>
        <v>96000</v>
      </c>
      <c r="O170" s="343">
        <f>+'[73]VENTAS TOTALES'!$F195</f>
        <v>0</v>
      </c>
      <c r="P170" s="344">
        <f>+'[73]VENTAS TOTALES'!$G195</f>
        <v>62000</v>
      </c>
      <c r="Q170" s="344">
        <f>+'[73]VENTAS TOTALES'!$H195</f>
        <v>62000</v>
      </c>
      <c r="R170" s="343">
        <f>+'[74]VENTAS TOTALES'!$F195</f>
        <v>0</v>
      </c>
      <c r="S170" s="344">
        <f>+'[74]VENTAS TOTALES'!$G195</f>
        <v>6000</v>
      </c>
      <c r="T170" s="344">
        <f>+'[74]VENTAS TOTALES'!$H195</f>
        <v>6000</v>
      </c>
      <c r="U170" s="343">
        <f>+'[75]VENTAS TOTALES'!$F195</f>
        <v>0</v>
      </c>
      <c r="V170" s="344">
        <f>+'[75]VENTAS TOTALES'!$G195</f>
        <v>42000</v>
      </c>
      <c r="W170" s="344">
        <f>+'[75]VENTAS TOTALES'!$H195</f>
        <v>42000</v>
      </c>
      <c r="X170" s="343">
        <f>+'[76]VENTAS TOTALES'!$F195</f>
        <v>0</v>
      </c>
      <c r="Y170" s="344">
        <f>+'[76]VENTAS TOTALES'!$G195</f>
        <v>0</v>
      </c>
      <c r="Z170" s="344">
        <f>+'[76]VENTAS TOTALES'!$H195</f>
        <v>0</v>
      </c>
      <c r="AA170" s="343">
        <f>+'[77]VENTAS TOTALES'!$F195</f>
        <v>0</v>
      </c>
      <c r="AB170" s="344">
        <f>+'[77]VENTAS TOTALES'!$G195</f>
        <v>120000</v>
      </c>
      <c r="AC170" s="344">
        <f>+'[77]VENTAS TOTALES'!$H195</f>
        <v>120000</v>
      </c>
      <c r="AD170" s="343">
        <f>+'[78]VENTAS TOTALES'!$F195</f>
        <v>0</v>
      </c>
      <c r="AE170" s="344">
        <f>+'[78]VENTAS TOTALES'!$G195</f>
        <v>152000</v>
      </c>
      <c r="AF170" s="344">
        <f>+'[78]VENTAS TOTALES'!$H195</f>
        <v>152000</v>
      </c>
      <c r="AG170" s="343">
        <f>+'[79]VENTAS TOTALES'!$F195</f>
        <v>0</v>
      </c>
      <c r="AH170" s="344">
        <f>+'[79]VENTAS TOTALES'!$G195</f>
        <v>78000</v>
      </c>
      <c r="AI170" s="344">
        <f>+'[79]VENTAS TOTALES'!$H195</f>
        <v>78000</v>
      </c>
      <c r="AJ170" s="343">
        <f>+'[80]VENTAS TOTALES'!$F195</f>
        <v>0</v>
      </c>
      <c r="AK170" s="344">
        <f>+'[80]VENTAS TOTALES'!$G195</f>
        <v>29000</v>
      </c>
      <c r="AL170" s="344">
        <f>+'[80]VENTAS TOTALES'!$H195</f>
        <v>29000</v>
      </c>
      <c r="AM170" s="343">
        <f>+'[81]VENTAS TOTALES'!$F195</f>
        <v>0</v>
      </c>
      <c r="AN170" s="344">
        <f>+'[81]VENTAS TOTALES'!$G195</f>
        <v>0</v>
      </c>
      <c r="AO170" s="344">
        <f>+'[81]VENTAS TOTALES'!$H195</f>
        <v>0</v>
      </c>
      <c r="AP170" s="343">
        <f>+'[82]VENTAS TOTALES'!$F195</f>
        <v>0</v>
      </c>
      <c r="AQ170" s="344">
        <f>+'[82]VENTAS TOTALES'!$G195</f>
        <v>208000</v>
      </c>
      <c r="AR170" s="344">
        <f>+'[82]VENTAS TOTALES'!$H195</f>
        <v>208000</v>
      </c>
      <c r="AS170" s="343">
        <f>+'[83]VENTAS TOTALES'!$F195</f>
        <v>0</v>
      </c>
      <c r="AT170" s="344">
        <f>+'[83]VENTAS TOTALES'!$G195</f>
        <v>101000</v>
      </c>
      <c r="AU170" s="344">
        <f>+'[83]VENTAS TOTALES'!$H195</f>
        <v>101000</v>
      </c>
      <c r="AV170" s="343">
        <f>+'[84]VENTAS TOTALES'!$F195</f>
        <v>0</v>
      </c>
      <c r="AW170" s="344">
        <f>+'[84]VENTAS TOTALES'!$G195</f>
        <v>232000</v>
      </c>
      <c r="AX170" s="344">
        <f>+'[84]VENTAS TOTALES'!$H195</f>
        <v>232000</v>
      </c>
      <c r="AY170" s="343">
        <f>+'[85]VENTAS TOTALES'!$F195</f>
        <v>0</v>
      </c>
      <c r="AZ170" s="344">
        <f>+'[85]VENTAS TOTALES'!$G195</f>
        <v>241000</v>
      </c>
      <c r="BA170" s="344">
        <f>+'[85]VENTAS TOTALES'!$H195</f>
        <v>241000</v>
      </c>
      <c r="BB170" s="343">
        <f>+'[86]VENTAS TOTALES'!$F195</f>
        <v>0</v>
      </c>
      <c r="BC170" s="344">
        <f>+'[86]VENTAS TOTALES'!$G195</f>
        <v>131000</v>
      </c>
      <c r="BD170" s="344">
        <f>+'[86]VENTAS TOTALES'!$H195</f>
        <v>131000</v>
      </c>
      <c r="BE170" s="343">
        <f>+'[87]VENTAS TOTALES'!$F195</f>
        <v>0</v>
      </c>
      <c r="BF170" s="344">
        <f>+'[87]VENTAS TOTALES'!$G195</f>
        <v>65000</v>
      </c>
      <c r="BG170" s="344">
        <f>+'[87]VENTAS TOTALES'!$H195</f>
        <v>65000</v>
      </c>
      <c r="BH170" s="343">
        <f>+'[88]VENTAS TOTALES'!$F195</f>
        <v>0</v>
      </c>
      <c r="BI170" s="344">
        <f>+'[88]VENTAS TOTALES'!$G195</f>
        <v>0</v>
      </c>
      <c r="BJ170" s="344">
        <f>+'[88]VENTAS TOTALES'!$H195</f>
        <v>0</v>
      </c>
      <c r="BK170" s="343">
        <f>+'[89]VENTAS TOTALES'!$F195</f>
        <v>0</v>
      </c>
      <c r="BL170" s="344">
        <f>+'[89]VENTAS TOTALES'!$G195</f>
        <v>167000</v>
      </c>
      <c r="BM170" s="344">
        <f>+'[89]VENTAS TOTALES'!$H195</f>
        <v>167000</v>
      </c>
      <c r="BN170" s="343">
        <f>+'[90]VENTAS TOTALES'!$F195</f>
        <v>0</v>
      </c>
      <c r="BO170" s="344">
        <f>+'[90]VENTAS TOTALES'!$G195</f>
        <v>89000</v>
      </c>
      <c r="BP170" s="344">
        <f>+'[90]VENTAS TOTALES'!$H195</f>
        <v>89000</v>
      </c>
      <c r="BQ170" s="343">
        <f>+'[91]VENTAS TOTALES'!$F195</f>
        <v>0</v>
      </c>
      <c r="BR170" s="344">
        <f>+'[91]VENTAS TOTALES'!$G195</f>
        <v>38000</v>
      </c>
      <c r="BS170" s="344">
        <f>+'[91]VENTAS TOTALES'!$H195</f>
        <v>38000</v>
      </c>
      <c r="BT170" s="343">
        <f>+'[92]VENTAS TOTALES'!$F195</f>
        <v>0</v>
      </c>
      <c r="BU170" s="344">
        <f>+'[92]VENTAS TOTALES'!$G195</f>
        <v>94000</v>
      </c>
      <c r="BV170" s="344">
        <f>+'[92]VENTAS TOTALES'!$H195</f>
        <v>94000</v>
      </c>
      <c r="BW170" s="343">
        <f>+'[93]VENTAS TOTALES'!$F195</f>
        <v>0</v>
      </c>
      <c r="BX170" s="344">
        <f>+'[93]VENTAS TOTALES'!$G195</f>
        <v>108000</v>
      </c>
      <c r="BY170" s="344">
        <f>+'[93]VENTAS TOTALES'!$H195</f>
        <v>108000</v>
      </c>
      <c r="BZ170" s="343">
        <f>+'[94]VENTAS TOTALES'!$F195</f>
        <v>0</v>
      </c>
      <c r="CA170" s="344">
        <f>+'[94]VENTAS TOTALES'!$G195</f>
        <v>69000</v>
      </c>
      <c r="CB170" s="344">
        <f>+'[94]VENTAS TOTALES'!$H195</f>
        <v>69000</v>
      </c>
      <c r="CC170" s="343">
        <f>+'[95]VENTAS TOTALES'!$F195</f>
        <v>0</v>
      </c>
      <c r="CD170" s="344">
        <f>+'[95]VENTAS TOTALES'!$G195</f>
        <v>0</v>
      </c>
      <c r="CE170" s="344">
        <f>+'[95]VENTAS TOTALES'!$H195</f>
        <v>0</v>
      </c>
      <c r="CF170" s="343">
        <f>+'[96]VENTAS TOTALES'!$F195</f>
        <v>0</v>
      </c>
      <c r="CG170" s="344">
        <f>+'[96]VENTAS TOTALES'!$G195</f>
        <v>278000</v>
      </c>
      <c r="CH170" s="344">
        <f>+'[96]VENTAS TOTALES'!$H195</f>
        <v>278000</v>
      </c>
      <c r="CI170" s="343">
        <f>+'[97]VENTAS TOTALES'!$F195</f>
        <v>0</v>
      </c>
      <c r="CJ170" s="344">
        <f>+'[97]VENTAS TOTALES'!$G195</f>
        <v>119000</v>
      </c>
      <c r="CK170" s="344">
        <f>+'[97]VENTAS TOTALES'!$H195</f>
        <v>119000</v>
      </c>
      <c r="CL170" s="343">
        <f>+'[98]VENTAS TOTALES'!$F195</f>
        <v>0</v>
      </c>
      <c r="CM170" s="344">
        <f>+'[98]VENTAS TOTALES'!$G195</f>
        <v>255000</v>
      </c>
      <c r="CN170" s="344">
        <f>+'[98]VENTAS TOTALES'!$H195</f>
        <v>255000</v>
      </c>
      <c r="CO170" s="343">
        <f>+'[99]VENTAS TOTALES'!$F195</f>
        <v>0</v>
      </c>
      <c r="CP170" s="344">
        <f>+'[99]VENTAS TOTALES'!$G195</f>
        <v>150000</v>
      </c>
      <c r="CQ170" s="344">
        <f>+'[99]VENTAS TOTALES'!$H195</f>
        <v>150000</v>
      </c>
      <c r="CR170" s="343">
        <f>+'[100]VENTAS TOTALES'!$F195</f>
        <v>0</v>
      </c>
      <c r="CS170" s="344">
        <f>+'[100]VENTAS TOTALES'!$G195</f>
        <v>121000</v>
      </c>
      <c r="CT170" s="344">
        <f>+'[100]VENTAS TOTALES'!$H195</f>
        <v>121000</v>
      </c>
      <c r="CU170" s="343">
        <f>+'[101]VENTAS TOTALES'!$F195</f>
        <v>0</v>
      </c>
      <c r="CV170" s="344">
        <f>+'[101]VENTAS TOTALES'!$G195</f>
        <v>52000</v>
      </c>
      <c r="CW170" s="344">
        <f>+'[101]VENTAS TOTALES'!$H195</f>
        <v>52000</v>
      </c>
      <c r="CX170" s="343">
        <f>+'[102]VENTAS TOTALES'!$F195</f>
        <v>0</v>
      </c>
      <c r="CY170" s="344">
        <f>+'[102]VENTAS TOTALES'!$G195</f>
        <v>0</v>
      </c>
      <c r="CZ170" s="344">
        <f>+'[102]VENTAS TOTALES'!$H195</f>
        <v>0</v>
      </c>
    </row>
    <row r="171" spans="1:104" s="8" customFormat="1" ht="14.25" customHeight="1" thickBot="1" x14ac:dyDescent="0.25">
      <c r="A171" s="455"/>
      <c r="B171" s="345" t="s">
        <v>435</v>
      </c>
      <c r="C171" s="343">
        <f>+'[69]VENTAS TOTALES'!$F196</f>
        <v>0</v>
      </c>
      <c r="D171" s="344">
        <f>+'[69]VENTAS TOTALES'!$G196</f>
        <v>203000</v>
      </c>
      <c r="E171" s="344">
        <f>+'[69]VENTAS TOTALES'!$H196</f>
        <v>203000</v>
      </c>
      <c r="F171" s="343">
        <f>+'[70]VENTAS TOTALES'!$F196</f>
        <v>0</v>
      </c>
      <c r="G171" s="344">
        <f>+'[70]VENTAS TOTALES'!$G196</f>
        <v>155000</v>
      </c>
      <c r="H171" s="344">
        <f>+'[70]VENTAS TOTALES'!$H196</f>
        <v>155000</v>
      </c>
      <c r="I171" s="343">
        <f>+'[71]VENTAS TOTALES'!$F196</f>
        <v>0</v>
      </c>
      <c r="J171" s="344">
        <f>+'[71]VENTAS TOTALES'!$G196</f>
        <v>105000</v>
      </c>
      <c r="K171" s="344">
        <f>+'[71]VENTAS TOTALES'!$H196</f>
        <v>105000</v>
      </c>
      <c r="L171" s="343">
        <f>+'[72]VENTAS TOTALES'!$F196</f>
        <v>0</v>
      </c>
      <c r="M171" s="344">
        <f>+'[72]VENTAS TOTALES'!$G196</f>
        <v>174000</v>
      </c>
      <c r="N171" s="344">
        <f>+'[72]VENTAS TOTALES'!$H196</f>
        <v>174000</v>
      </c>
      <c r="O171" s="343">
        <f>+'[73]VENTAS TOTALES'!$F196</f>
        <v>0</v>
      </c>
      <c r="P171" s="344">
        <f>+'[73]VENTAS TOTALES'!$G196</f>
        <v>25000</v>
      </c>
      <c r="Q171" s="344">
        <f>+'[73]VENTAS TOTALES'!$H196</f>
        <v>25000</v>
      </c>
      <c r="R171" s="343">
        <f>+'[74]VENTAS TOTALES'!$F196</f>
        <v>0</v>
      </c>
      <c r="S171" s="344">
        <f>+'[74]VENTAS TOTALES'!$G196</f>
        <v>0</v>
      </c>
      <c r="T171" s="344">
        <f>+'[74]VENTAS TOTALES'!$H196</f>
        <v>0</v>
      </c>
      <c r="U171" s="343">
        <f>+'[75]VENTAS TOTALES'!$F196</f>
        <v>0</v>
      </c>
      <c r="V171" s="344">
        <f>+'[75]VENTAS TOTALES'!$G196</f>
        <v>252000</v>
      </c>
      <c r="W171" s="344">
        <f>+'[75]VENTAS TOTALES'!$H196</f>
        <v>252000</v>
      </c>
      <c r="X171" s="343">
        <f>+'[76]VENTAS TOTALES'!$F196</f>
        <v>0</v>
      </c>
      <c r="Y171" s="344">
        <f>+'[76]VENTAS TOTALES'!$G196</f>
        <v>144000</v>
      </c>
      <c r="Z171" s="344">
        <f>+'[76]VENTAS TOTALES'!$H196</f>
        <v>144000</v>
      </c>
      <c r="AA171" s="343">
        <f>+'[77]VENTAS TOTALES'!$F196</f>
        <v>0</v>
      </c>
      <c r="AB171" s="344">
        <f>+'[77]VENTAS TOTALES'!$G196</f>
        <v>194000</v>
      </c>
      <c r="AC171" s="344">
        <f>+'[77]VENTAS TOTALES'!$H196</f>
        <v>194000</v>
      </c>
      <c r="AD171" s="343">
        <f>+'[78]VENTAS TOTALES'!$F196</f>
        <v>0</v>
      </c>
      <c r="AE171" s="344">
        <f>+'[78]VENTAS TOTALES'!$G196</f>
        <v>124000</v>
      </c>
      <c r="AF171" s="344">
        <f>+'[78]VENTAS TOTALES'!$H196</f>
        <v>124000</v>
      </c>
      <c r="AG171" s="343">
        <f>+'[79]VENTAS TOTALES'!$F196</f>
        <v>0</v>
      </c>
      <c r="AH171" s="344">
        <f>+'[79]VENTAS TOTALES'!$G196</f>
        <v>47000</v>
      </c>
      <c r="AI171" s="344">
        <f>+'[79]VENTAS TOTALES'!$H196</f>
        <v>47000</v>
      </c>
      <c r="AJ171" s="343">
        <f>+'[80]VENTAS TOTALES'!$F196</f>
        <v>0</v>
      </c>
      <c r="AK171" s="344">
        <f>+'[80]VENTAS TOTALES'!$G196</f>
        <v>26000</v>
      </c>
      <c r="AL171" s="344">
        <f>+'[80]VENTAS TOTALES'!$H196</f>
        <v>26000</v>
      </c>
      <c r="AM171" s="343">
        <f>+'[81]VENTAS TOTALES'!$F196</f>
        <v>0</v>
      </c>
      <c r="AN171" s="344">
        <f>+'[81]VENTAS TOTALES'!$G196</f>
        <v>0</v>
      </c>
      <c r="AO171" s="344">
        <f>+'[81]VENTAS TOTALES'!$H196</f>
        <v>0</v>
      </c>
      <c r="AP171" s="343">
        <f>+'[82]VENTAS TOTALES'!$F196</f>
        <v>0</v>
      </c>
      <c r="AQ171" s="344">
        <f>+'[82]VENTAS TOTALES'!$G196</f>
        <v>322000</v>
      </c>
      <c r="AR171" s="344">
        <f>+'[82]VENTAS TOTALES'!$H196</f>
        <v>322000</v>
      </c>
      <c r="AS171" s="343">
        <f>+'[83]VENTAS TOTALES'!$F196</f>
        <v>0</v>
      </c>
      <c r="AT171" s="344">
        <f>+'[83]VENTAS TOTALES'!$G196</f>
        <v>307000</v>
      </c>
      <c r="AU171" s="344">
        <f>+'[83]VENTAS TOTALES'!$H196</f>
        <v>307000</v>
      </c>
      <c r="AV171" s="343">
        <f>+'[84]VENTAS TOTALES'!$F196</f>
        <v>0</v>
      </c>
      <c r="AW171" s="344">
        <f>+'[84]VENTAS TOTALES'!$G196</f>
        <v>191000</v>
      </c>
      <c r="AX171" s="344">
        <f>+'[84]VENTAS TOTALES'!$H196</f>
        <v>191000</v>
      </c>
      <c r="AY171" s="343">
        <f>+'[85]VENTAS TOTALES'!$F196</f>
        <v>0</v>
      </c>
      <c r="AZ171" s="344">
        <f>+'[85]VENTAS TOTALES'!$G196</f>
        <v>130000</v>
      </c>
      <c r="BA171" s="344">
        <f>+'[85]VENTAS TOTALES'!$H196</f>
        <v>130000</v>
      </c>
      <c r="BB171" s="343">
        <f>+'[86]VENTAS TOTALES'!$F196</f>
        <v>0</v>
      </c>
      <c r="BC171" s="344">
        <f>+'[86]VENTAS TOTALES'!$G196</f>
        <v>87000</v>
      </c>
      <c r="BD171" s="344">
        <f>+'[86]VENTAS TOTALES'!$H196</f>
        <v>87000</v>
      </c>
      <c r="BE171" s="343">
        <f>+'[87]VENTAS TOTALES'!$F196</f>
        <v>0</v>
      </c>
      <c r="BF171" s="344">
        <f>+'[87]VENTAS TOTALES'!$G196</f>
        <v>20000</v>
      </c>
      <c r="BG171" s="344">
        <f>+'[87]VENTAS TOTALES'!$H196</f>
        <v>20000</v>
      </c>
      <c r="BH171" s="343">
        <f>+'[88]VENTAS TOTALES'!$F196</f>
        <v>0</v>
      </c>
      <c r="BI171" s="344">
        <f>+'[88]VENTAS TOTALES'!$G196</f>
        <v>0</v>
      </c>
      <c r="BJ171" s="344">
        <f>+'[88]VENTAS TOTALES'!$H196</f>
        <v>0</v>
      </c>
      <c r="BK171" s="343">
        <f>+'[89]VENTAS TOTALES'!$F196</f>
        <v>0</v>
      </c>
      <c r="BL171" s="344">
        <f>+'[89]VENTAS TOTALES'!$G196</f>
        <v>232000</v>
      </c>
      <c r="BM171" s="344">
        <f>+'[89]VENTAS TOTALES'!$H196</f>
        <v>232000</v>
      </c>
      <c r="BN171" s="343">
        <f>+'[90]VENTAS TOTALES'!$F196</f>
        <v>0</v>
      </c>
      <c r="BO171" s="344">
        <f>+'[90]VENTAS TOTALES'!$G196</f>
        <v>165000</v>
      </c>
      <c r="BP171" s="344">
        <f>+'[90]VENTAS TOTALES'!$H196</f>
        <v>165000</v>
      </c>
      <c r="BQ171" s="343">
        <f>+'[91]VENTAS TOTALES'!$F196</f>
        <v>0</v>
      </c>
      <c r="BR171" s="344">
        <f>+'[91]VENTAS TOTALES'!$G196</f>
        <v>131000</v>
      </c>
      <c r="BS171" s="344">
        <f>+'[91]VENTAS TOTALES'!$H196</f>
        <v>131000</v>
      </c>
      <c r="BT171" s="343">
        <f>+'[92]VENTAS TOTALES'!$F196</f>
        <v>0</v>
      </c>
      <c r="BU171" s="344">
        <f>+'[92]VENTAS TOTALES'!$G196</f>
        <v>220000</v>
      </c>
      <c r="BV171" s="344">
        <f>+'[92]VENTAS TOTALES'!$H196</f>
        <v>220000</v>
      </c>
      <c r="BW171" s="343">
        <f>+'[93]VENTAS TOTALES'!$F196</f>
        <v>0</v>
      </c>
      <c r="BX171" s="344">
        <f>+'[93]VENTAS TOTALES'!$G196</f>
        <v>78000</v>
      </c>
      <c r="BY171" s="344">
        <f>+'[93]VENTAS TOTALES'!$H196</f>
        <v>78000</v>
      </c>
      <c r="BZ171" s="343">
        <f>+'[94]VENTAS TOTALES'!$F196</f>
        <v>0</v>
      </c>
      <c r="CA171" s="344">
        <f>+'[94]VENTAS TOTALES'!$G196</f>
        <v>11000</v>
      </c>
      <c r="CB171" s="344">
        <f>+'[94]VENTAS TOTALES'!$H196</f>
        <v>11000</v>
      </c>
      <c r="CC171" s="343">
        <f>+'[95]VENTAS TOTALES'!$F196</f>
        <v>0</v>
      </c>
      <c r="CD171" s="344">
        <f>+'[95]VENTAS TOTALES'!$G196</f>
        <v>0</v>
      </c>
      <c r="CE171" s="344">
        <f>+'[95]VENTAS TOTALES'!$H196</f>
        <v>0</v>
      </c>
      <c r="CF171" s="343">
        <f>+'[96]VENTAS TOTALES'!$F196</f>
        <v>0</v>
      </c>
      <c r="CG171" s="344">
        <f>+'[96]VENTAS TOTALES'!$G196</f>
        <v>659000</v>
      </c>
      <c r="CH171" s="344">
        <f>+'[96]VENTAS TOTALES'!$H196</f>
        <v>659000</v>
      </c>
      <c r="CI171" s="343">
        <f>+'[97]VENTAS TOTALES'!$F196</f>
        <v>0</v>
      </c>
      <c r="CJ171" s="344">
        <f>+'[97]VENTAS TOTALES'!$G196</f>
        <v>261000</v>
      </c>
      <c r="CK171" s="344">
        <f>+'[97]VENTAS TOTALES'!$H196</f>
        <v>261000</v>
      </c>
      <c r="CL171" s="343">
        <f>+'[98]VENTAS TOTALES'!$F196</f>
        <v>0</v>
      </c>
      <c r="CM171" s="344">
        <f>+'[98]VENTAS TOTALES'!$G196</f>
        <v>317000</v>
      </c>
      <c r="CN171" s="344">
        <f>+'[98]VENTAS TOTALES'!$H196</f>
        <v>317000</v>
      </c>
      <c r="CO171" s="343">
        <f>+'[99]VENTAS TOTALES'!$F196</f>
        <v>0</v>
      </c>
      <c r="CP171" s="344">
        <f>+'[99]VENTAS TOTALES'!$G196</f>
        <v>128000</v>
      </c>
      <c r="CQ171" s="344">
        <f>+'[99]VENTAS TOTALES'!$H196</f>
        <v>128000</v>
      </c>
      <c r="CR171" s="343">
        <f>+'[100]VENTAS TOTALES'!$F196</f>
        <v>0</v>
      </c>
      <c r="CS171" s="344">
        <f>+'[100]VENTAS TOTALES'!$G196</f>
        <v>161000</v>
      </c>
      <c r="CT171" s="344">
        <f>+'[100]VENTAS TOTALES'!$H196</f>
        <v>161000</v>
      </c>
      <c r="CU171" s="343">
        <f>+'[101]VENTAS TOTALES'!$F196</f>
        <v>0</v>
      </c>
      <c r="CV171" s="344">
        <f>+'[101]VENTAS TOTALES'!$G196</f>
        <v>0</v>
      </c>
      <c r="CW171" s="344">
        <f>+'[101]VENTAS TOTALES'!$H196</f>
        <v>0</v>
      </c>
      <c r="CX171" s="343">
        <f>+'[102]VENTAS TOTALES'!$F196</f>
        <v>0</v>
      </c>
      <c r="CY171" s="344">
        <f>+'[102]VENTAS TOTALES'!$G196</f>
        <v>0</v>
      </c>
      <c r="CZ171" s="344">
        <f>+'[102]VENTAS TOTALES'!$H196</f>
        <v>0</v>
      </c>
    </row>
    <row r="172" spans="1:104" s="8" customFormat="1" ht="14.25" customHeight="1" thickBot="1" x14ac:dyDescent="0.25">
      <c r="A172" s="455"/>
      <c r="B172" s="345" t="s">
        <v>436</v>
      </c>
      <c r="C172" s="343">
        <f>+'[69]VENTAS TOTALES'!$F197</f>
        <v>0</v>
      </c>
      <c r="D172" s="344">
        <f>+'[69]VENTAS TOTALES'!$G197</f>
        <v>27000</v>
      </c>
      <c r="E172" s="344">
        <f>+'[69]VENTAS TOTALES'!$H197</f>
        <v>27000</v>
      </c>
      <c r="F172" s="343">
        <f>+'[70]VENTAS TOTALES'!$F197</f>
        <v>0</v>
      </c>
      <c r="G172" s="344">
        <f>+'[70]VENTAS TOTALES'!$G197</f>
        <v>33000</v>
      </c>
      <c r="H172" s="344">
        <f>+'[70]VENTAS TOTALES'!$H197</f>
        <v>33000</v>
      </c>
      <c r="I172" s="343">
        <f>+'[71]VENTAS TOTALES'!$F197</f>
        <v>0</v>
      </c>
      <c r="J172" s="344">
        <f>+'[71]VENTAS TOTALES'!$G197</f>
        <v>58000</v>
      </c>
      <c r="K172" s="344">
        <f>+'[71]VENTAS TOTALES'!$H197</f>
        <v>58000</v>
      </c>
      <c r="L172" s="343">
        <f>+'[72]VENTAS TOTALES'!$F197</f>
        <v>0</v>
      </c>
      <c r="M172" s="344">
        <f>+'[72]VENTAS TOTALES'!$G197</f>
        <v>14000</v>
      </c>
      <c r="N172" s="344">
        <f>+'[72]VENTAS TOTALES'!$H197</f>
        <v>14000</v>
      </c>
      <c r="O172" s="343">
        <f>+'[73]VENTAS TOTALES'!$F197</f>
        <v>0</v>
      </c>
      <c r="P172" s="344">
        <f>+'[73]VENTAS TOTALES'!$G197</f>
        <v>7000</v>
      </c>
      <c r="Q172" s="344">
        <f>+'[73]VENTAS TOTALES'!$H197</f>
        <v>7000</v>
      </c>
      <c r="R172" s="343">
        <f>+'[74]VENTAS TOTALES'!$F197</f>
        <v>0</v>
      </c>
      <c r="S172" s="344">
        <f>+'[74]VENTAS TOTALES'!$G197</f>
        <v>0</v>
      </c>
      <c r="T172" s="344">
        <f>+'[74]VENTAS TOTALES'!$H197</f>
        <v>0</v>
      </c>
      <c r="U172" s="343">
        <f>+'[75]VENTAS TOTALES'!$F197</f>
        <v>0</v>
      </c>
      <c r="V172" s="344">
        <f>+'[75]VENTAS TOTALES'!$G197</f>
        <v>45000</v>
      </c>
      <c r="W172" s="344">
        <f>+'[75]VENTAS TOTALES'!$H197</f>
        <v>45000</v>
      </c>
      <c r="X172" s="343">
        <f>+'[76]VENTAS TOTALES'!$F197</f>
        <v>0</v>
      </c>
      <c r="Y172" s="344">
        <f>+'[76]VENTAS TOTALES'!$G197</f>
        <v>0</v>
      </c>
      <c r="Z172" s="344">
        <f>+'[76]VENTAS TOTALES'!$H197</f>
        <v>0</v>
      </c>
      <c r="AA172" s="343">
        <f>+'[77]VENTAS TOTALES'!$F197</f>
        <v>0</v>
      </c>
      <c r="AB172" s="344">
        <f>+'[77]VENTAS TOTALES'!$G197</f>
        <v>6000</v>
      </c>
      <c r="AC172" s="344">
        <f>+'[77]VENTAS TOTALES'!$H197</f>
        <v>6000</v>
      </c>
      <c r="AD172" s="343">
        <f>+'[78]VENTAS TOTALES'!$F197</f>
        <v>0</v>
      </c>
      <c r="AE172" s="344">
        <f>+'[78]VENTAS TOTALES'!$G197</f>
        <v>33000</v>
      </c>
      <c r="AF172" s="344">
        <f>+'[78]VENTAS TOTALES'!$H197</f>
        <v>33000</v>
      </c>
      <c r="AG172" s="343">
        <f>+'[79]VENTAS TOTALES'!$F197</f>
        <v>0</v>
      </c>
      <c r="AH172" s="344">
        <f>+'[79]VENTAS TOTALES'!$G197</f>
        <v>20000</v>
      </c>
      <c r="AI172" s="344">
        <f>+'[79]VENTAS TOTALES'!$H197</f>
        <v>20000</v>
      </c>
      <c r="AJ172" s="343">
        <f>+'[80]VENTAS TOTALES'!$F197</f>
        <v>0</v>
      </c>
      <c r="AK172" s="344">
        <f>+'[80]VENTAS TOTALES'!$G197</f>
        <v>7000</v>
      </c>
      <c r="AL172" s="344">
        <f>+'[80]VENTAS TOTALES'!$H197</f>
        <v>7000</v>
      </c>
      <c r="AM172" s="343">
        <f>+'[81]VENTAS TOTALES'!$F197</f>
        <v>0</v>
      </c>
      <c r="AN172" s="344">
        <f>+'[81]VENTAS TOTALES'!$G197</f>
        <v>0</v>
      </c>
      <c r="AO172" s="344">
        <f>+'[81]VENTAS TOTALES'!$H197</f>
        <v>0</v>
      </c>
      <c r="AP172" s="343">
        <f>+'[82]VENTAS TOTALES'!$F197</f>
        <v>0</v>
      </c>
      <c r="AQ172" s="344">
        <f>+'[82]VENTAS TOTALES'!$G197</f>
        <v>93000</v>
      </c>
      <c r="AR172" s="344">
        <f>+'[82]VENTAS TOTALES'!$H197</f>
        <v>93000</v>
      </c>
      <c r="AS172" s="343">
        <f>+'[83]VENTAS TOTALES'!$F197</f>
        <v>0</v>
      </c>
      <c r="AT172" s="344">
        <f>+'[83]VENTAS TOTALES'!$G197</f>
        <v>28000</v>
      </c>
      <c r="AU172" s="344">
        <f>+'[83]VENTAS TOTALES'!$H197</f>
        <v>28000</v>
      </c>
      <c r="AV172" s="343">
        <f>+'[84]VENTAS TOTALES'!$F197</f>
        <v>0</v>
      </c>
      <c r="AW172" s="344">
        <f>+'[84]VENTAS TOTALES'!$G197</f>
        <v>16000</v>
      </c>
      <c r="AX172" s="344">
        <f>+'[84]VENTAS TOTALES'!$H197</f>
        <v>16000</v>
      </c>
      <c r="AY172" s="343">
        <f>+'[85]VENTAS TOTALES'!$F197</f>
        <v>0</v>
      </c>
      <c r="AZ172" s="344">
        <f>+'[85]VENTAS TOTALES'!$G197</f>
        <v>55000</v>
      </c>
      <c r="BA172" s="344">
        <f>+'[85]VENTAS TOTALES'!$H197</f>
        <v>55000</v>
      </c>
      <c r="BB172" s="343">
        <f>+'[86]VENTAS TOTALES'!$F197</f>
        <v>0</v>
      </c>
      <c r="BC172" s="344">
        <f>+'[86]VENTAS TOTALES'!$G197</f>
        <v>27000</v>
      </c>
      <c r="BD172" s="344">
        <f>+'[86]VENTAS TOTALES'!$H197</f>
        <v>27000</v>
      </c>
      <c r="BE172" s="343">
        <f>+'[87]VENTAS TOTALES'!$F197</f>
        <v>0</v>
      </c>
      <c r="BF172" s="344">
        <f>+'[87]VENTAS TOTALES'!$G197</f>
        <v>6000</v>
      </c>
      <c r="BG172" s="344">
        <f>+'[87]VENTAS TOTALES'!$H197</f>
        <v>6000</v>
      </c>
      <c r="BH172" s="343">
        <f>+'[88]VENTAS TOTALES'!$F197</f>
        <v>0</v>
      </c>
      <c r="BI172" s="344">
        <f>+'[88]VENTAS TOTALES'!$G197</f>
        <v>0</v>
      </c>
      <c r="BJ172" s="344">
        <f>+'[88]VENTAS TOTALES'!$H197</f>
        <v>0</v>
      </c>
      <c r="BK172" s="343">
        <f>+'[89]VENTAS TOTALES'!$F197</f>
        <v>0</v>
      </c>
      <c r="BL172" s="344">
        <f>+'[89]VENTAS TOTALES'!$G197</f>
        <v>92000</v>
      </c>
      <c r="BM172" s="344">
        <f>+'[89]VENTAS TOTALES'!$H197</f>
        <v>92000</v>
      </c>
      <c r="BN172" s="343">
        <f>+'[90]VENTAS TOTALES'!$F197</f>
        <v>0</v>
      </c>
      <c r="BO172" s="344">
        <f>+'[90]VENTAS TOTALES'!$G197</f>
        <v>78000</v>
      </c>
      <c r="BP172" s="344">
        <f>+'[90]VENTAS TOTALES'!$H197</f>
        <v>78000</v>
      </c>
      <c r="BQ172" s="343">
        <f>+'[91]VENTAS TOTALES'!$F197</f>
        <v>0</v>
      </c>
      <c r="BR172" s="344">
        <f>+'[91]VENTAS TOTALES'!$G197</f>
        <v>27000</v>
      </c>
      <c r="BS172" s="344">
        <f>+'[91]VENTAS TOTALES'!$H197</f>
        <v>27000</v>
      </c>
      <c r="BT172" s="343">
        <f>+'[92]VENTAS TOTALES'!$F197</f>
        <v>0</v>
      </c>
      <c r="BU172" s="344">
        <f>+'[92]VENTAS TOTALES'!$G197</f>
        <v>41000</v>
      </c>
      <c r="BV172" s="344">
        <f>+'[92]VENTAS TOTALES'!$H197</f>
        <v>41000</v>
      </c>
      <c r="BW172" s="343">
        <f>+'[93]VENTAS TOTALES'!$F197</f>
        <v>0</v>
      </c>
      <c r="BX172" s="344">
        <f>+'[93]VENTAS TOTALES'!$G197</f>
        <v>27000</v>
      </c>
      <c r="BY172" s="344">
        <f>+'[93]VENTAS TOTALES'!$H197</f>
        <v>27000</v>
      </c>
      <c r="BZ172" s="343">
        <f>+'[94]VENTAS TOTALES'!$F197</f>
        <v>0</v>
      </c>
      <c r="CA172" s="344">
        <f>+'[94]VENTAS TOTALES'!$G197</f>
        <v>7000</v>
      </c>
      <c r="CB172" s="344">
        <f>+'[94]VENTAS TOTALES'!$H197</f>
        <v>7000</v>
      </c>
      <c r="CC172" s="343">
        <f>+'[95]VENTAS TOTALES'!$F197</f>
        <v>0</v>
      </c>
      <c r="CD172" s="344">
        <f>+'[95]VENTAS TOTALES'!$G197</f>
        <v>0</v>
      </c>
      <c r="CE172" s="344">
        <f>+'[95]VENTAS TOTALES'!$H197</f>
        <v>0</v>
      </c>
      <c r="CF172" s="343">
        <f>+'[96]VENTAS TOTALES'!$F197</f>
        <v>0</v>
      </c>
      <c r="CG172" s="344">
        <f>+'[96]VENTAS TOTALES'!$G197</f>
        <v>158000</v>
      </c>
      <c r="CH172" s="344">
        <f>+'[96]VENTAS TOTALES'!$H197</f>
        <v>158000</v>
      </c>
      <c r="CI172" s="343">
        <f>+'[97]VENTAS TOTALES'!$F197</f>
        <v>0</v>
      </c>
      <c r="CJ172" s="344">
        <f>+'[97]VENTAS TOTALES'!$G197</f>
        <v>81000</v>
      </c>
      <c r="CK172" s="344">
        <f>+'[97]VENTAS TOTALES'!$H197</f>
        <v>81000</v>
      </c>
      <c r="CL172" s="343">
        <f>+'[98]VENTAS TOTALES'!$F197</f>
        <v>0</v>
      </c>
      <c r="CM172" s="344">
        <f>+'[98]VENTAS TOTALES'!$G197</f>
        <v>57000</v>
      </c>
      <c r="CN172" s="344">
        <f>+'[98]VENTAS TOTALES'!$H197</f>
        <v>57000</v>
      </c>
      <c r="CO172" s="343">
        <f>+'[99]VENTAS TOTALES'!$F197</f>
        <v>0</v>
      </c>
      <c r="CP172" s="344">
        <f>+'[99]VENTAS TOTALES'!$G197</f>
        <v>82000</v>
      </c>
      <c r="CQ172" s="344">
        <f>+'[99]VENTAS TOTALES'!$H197</f>
        <v>82000</v>
      </c>
      <c r="CR172" s="343">
        <f>+'[100]VENTAS TOTALES'!$F197</f>
        <v>0</v>
      </c>
      <c r="CS172" s="344">
        <f>+'[100]VENTAS TOTALES'!$G197</f>
        <v>34000</v>
      </c>
      <c r="CT172" s="344">
        <f>+'[100]VENTAS TOTALES'!$H197</f>
        <v>34000</v>
      </c>
      <c r="CU172" s="343">
        <f>+'[101]VENTAS TOTALES'!$F197</f>
        <v>0</v>
      </c>
      <c r="CV172" s="344">
        <f>+'[101]VENTAS TOTALES'!$G197</f>
        <v>22000</v>
      </c>
      <c r="CW172" s="344">
        <f>+'[101]VENTAS TOTALES'!$H197</f>
        <v>22000</v>
      </c>
      <c r="CX172" s="343">
        <f>+'[102]VENTAS TOTALES'!$F197</f>
        <v>0</v>
      </c>
      <c r="CY172" s="344">
        <f>+'[102]VENTAS TOTALES'!$G197</f>
        <v>0</v>
      </c>
      <c r="CZ172" s="344">
        <f>+'[102]VENTAS TOTALES'!$H197</f>
        <v>0</v>
      </c>
    </row>
    <row r="173" spans="1:104" s="8" customFormat="1" ht="14.25" customHeight="1" thickBot="1" x14ac:dyDescent="0.25">
      <c r="A173" s="455"/>
      <c r="B173" s="345" t="s">
        <v>437</v>
      </c>
      <c r="C173" s="343">
        <f>+'[69]VENTAS TOTALES'!$F198</f>
        <v>0</v>
      </c>
      <c r="D173" s="344">
        <f>+'[69]VENTAS TOTALES'!$G198</f>
        <v>349000</v>
      </c>
      <c r="E173" s="344">
        <f>+'[69]VENTAS TOTALES'!$H198</f>
        <v>349000</v>
      </c>
      <c r="F173" s="343">
        <f>+'[70]VENTAS TOTALES'!$F198</f>
        <v>0</v>
      </c>
      <c r="G173" s="344">
        <f>+'[70]VENTAS TOTALES'!$G198</f>
        <v>126000</v>
      </c>
      <c r="H173" s="344">
        <f>+'[70]VENTAS TOTALES'!$H198</f>
        <v>126000</v>
      </c>
      <c r="I173" s="343">
        <f>+'[71]VENTAS TOTALES'!$F198</f>
        <v>0</v>
      </c>
      <c r="J173" s="344">
        <f>+'[71]VENTAS TOTALES'!$G198</f>
        <v>292000</v>
      </c>
      <c r="K173" s="344">
        <f>+'[71]VENTAS TOTALES'!$H198</f>
        <v>292000</v>
      </c>
      <c r="L173" s="343">
        <f>+'[72]VENTAS TOTALES'!$F198</f>
        <v>0</v>
      </c>
      <c r="M173" s="344">
        <f>+'[72]VENTAS TOTALES'!$G198</f>
        <v>103000</v>
      </c>
      <c r="N173" s="344">
        <f>+'[72]VENTAS TOTALES'!$H198</f>
        <v>103000</v>
      </c>
      <c r="O173" s="343">
        <f>+'[73]VENTAS TOTALES'!$F198</f>
        <v>0</v>
      </c>
      <c r="P173" s="344">
        <f>+'[73]VENTAS TOTALES'!$G198</f>
        <v>27000</v>
      </c>
      <c r="Q173" s="344">
        <f>+'[73]VENTAS TOTALES'!$H198</f>
        <v>27000</v>
      </c>
      <c r="R173" s="343">
        <f>+'[74]VENTAS TOTALES'!$F198</f>
        <v>0</v>
      </c>
      <c r="S173" s="344">
        <f>+'[74]VENTAS TOTALES'!$G198</f>
        <v>0</v>
      </c>
      <c r="T173" s="344">
        <f>+'[74]VENTAS TOTALES'!$H198</f>
        <v>0</v>
      </c>
      <c r="U173" s="343">
        <f>+'[75]VENTAS TOTALES'!$F198</f>
        <v>0</v>
      </c>
      <c r="V173" s="344">
        <f>+'[75]VENTAS TOTALES'!$G198</f>
        <v>213000</v>
      </c>
      <c r="W173" s="344">
        <f>+'[75]VENTAS TOTALES'!$H198</f>
        <v>213000</v>
      </c>
      <c r="X173" s="343">
        <f>+'[76]VENTAS TOTALES'!$F198</f>
        <v>0</v>
      </c>
      <c r="Y173" s="344">
        <f>+'[76]VENTAS TOTALES'!$G198</f>
        <v>223000</v>
      </c>
      <c r="Z173" s="344">
        <f>+'[76]VENTAS TOTALES'!$H198</f>
        <v>223000</v>
      </c>
      <c r="AA173" s="343">
        <f>+'[77]VENTAS TOTALES'!$F198</f>
        <v>0</v>
      </c>
      <c r="AB173" s="344">
        <f>+'[77]VENTAS TOTALES'!$G198</f>
        <v>228000</v>
      </c>
      <c r="AC173" s="344">
        <f>+'[77]VENTAS TOTALES'!$H198</f>
        <v>228000</v>
      </c>
      <c r="AD173" s="343">
        <f>+'[78]VENTAS TOTALES'!$F198</f>
        <v>0</v>
      </c>
      <c r="AE173" s="344">
        <f>+'[78]VENTAS TOTALES'!$G198</f>
        <v>169000</v>
      </c>
      <c r="AF173" s="344">
        <f>+'[78]VENTAS TOTALES'!$H198</f>
        <v>169000</v>
      </c>
      <c r="AG173" s="343">
        <f>+'[79]VENTAS TOTALES'!$F198</f>
        <v>0</v>
      </c>
      <c r="AH173" s="344">
        <f>+'[79]VENTAS TOTALES'!$G198</f>
        <v>100000</v>
      </c>
      <c r="AI173" s="344">
        <f>+'[79]VENTAS TOTALES'!$H198</f>
        <v>100000</v>
      </c>
      <c r="AJ173" s="343">
        <f>+'[80]VENTAS TOTALES'!$F198</f>
        <v>0</v>
      </c>
      <c r="AK173" s="344">
        <f>+'[80]VENTAS TOTALES'!$G198</f>
        <v>20000</v>
      </c>
      <c r="AL173" s="344">
        <f>+'[80]VENTAS TOTALES'!$H198</f>
        <v>20000</v>
      </c>
      <c r="AM173" s="343">
        <f>+'[81]VENTAS TOTALES'!$F198</f>
        <v>0</v>
      </c>
      <c r="AN173" s="344">
        <f>+'[81]VENTAS TOTALES'!$G198</f>
        <v>0</v>
      </c>
      <c r="AO173" s="344">
        <f>+'[81]VENTAS TOTALES'!$H198</f>
        <v>0</v>
      </c>
      <c r="AP173" s="343">
        <f>+'[82]VENTAS TOTALES'!$F198</f>
        <v>0</v>
      </c>
      <c r="AQ173" s="344">
        <f>+'[82]VENTAS TOTALES'!$G198</f>
        <v>332000</v>
      </c>
      <c r="AR173" s="344">
        <f>+'[82]VENTAS TOTALES'!$H198</f>
        <v>332000</v>
      </c>
      <c r="AS173" s="343">
        <f>+'[83]VENTAS TOTALES'!$F198</f>
        <v>0</v>
      </c>
      <c r="AT173" s="344">
        <f>+'[83]VENTAS TOTALES'!$G198</f>
        <v>204000</v>
      </c>
      <c r="AU173" s="344">
        <f>+'[83]VENTAS TOTALES'!$H198</f>
        <v>204000</v>
      </c>
      <c r="AV173" s="343">
        <f>+'[84]VENTAS TOTALES'!$F198</f>
        <v>0</v>
      </c>
      <c r="AW173" s="344">
        <f>+'[84]VENTAS TOTALES'!$G198</f>
        <v>93000</v>
      </c>
      <c r="AX173" s="344">
        <f>+'[84]VENTAS TOTALES'!$H198</f>
        <v>93000</v>
      </c>
      <c r="AY173" s="343">
        <f>+'[85]VENTAS TOTALES'!$F198</f>
        <v>0</v>
      </c>
      <c r="AZ173" s="344">
        <f>+'[85]VENTAS TOTALES'!$G198</f>
        <v>149000</v>
      </c>
      <c r="BA173" s="344">
        <f>+'[85]VENTAS TOTALES'!$H198</f>
        <v>149000</v>
      </c>
      <c r="BB173" s="343">
        <f>+'[86]VENTAS TOTALES'!$F198</f>
        <v>0</v>
      </c>
      <c r="BC173" s="344">
        <f>+'[86]VENTAS TOTALES'!$G198</f>
        <v>130000</v>
      </c>
      <c r="BD173" s="344">
        <f>+'[86]VENTAS TOTALES'!$H198</f>
        <v>130000</v>
      </c>
      <c r="BE173" s="343">
        <f>+'[87]VENTAS TOTALES'!$F198</f>
        <v>0</v>
      </c>
      <c r="BF173" s="344">
        <f>+'[87]VENTAS TOTALES'!$G198</f>
        <v>37000</v>
      </c>
      <c r="BG173" s="344">
        <f>+'[87]VENTAS TOTALES'!$H198</f>
        <v>37000</v>
      </c>
      <c r="BH173" s="343">
        <f>+'[88]VENTAS TOTALES'!$F198</f>
        <v>0</v>
      </c>
      <c r="BI173" s="344">
        <f>+'[88]VENTAS TOTALES'!$G198</f>
        <v>0</v>
      </c>
      <c r="BJ173" s="344">
        <f>+'[88]VENTAS TOTALES'!$H198</f>
        <v>0</v>
      </c>
      <c r="BK173" s="343">
        <f>+'[89]VENTAS TOTALES'!$F198</f>
        <v>0</v>
      </c>
      <c r="BL173" s="344">
        <f>+'[89]VENTAS TOTALES'!$G198</f>
        <v>285000</v>
      </c>
      <c r="BM173" s="344">
        <f>+'[89]VENTAS TOTALES'!$H198</f>
        <v>285000</v>
      </c>
      <c r="BN173" s="343">
        <f>+'[90]VENTAS TOTALES'!$F198</f>
        <v>0</v>
      </c>
      <c r="BO173" s="344">
        <f>+'[90]VENTAS TOTALES'!$G198</f>
        <v>227000</v>
      </c>
      <c r="BP173" s="344">
        <f>+'[90]VENTAS TOTALES'!$H198</f>
        <v>227000</v>
      </c>
      <c r="BQ173" s="343">
        <f>+'[91]VENTAS TOTALES'!$F198</f>
        <v>0</v>
      </c>
      <c r="BR173" s="344">
        <f>+'[91]VENTAS TOTALES'!$G198</f>
        <v>108000</v>
      </c>
      <c r="BS173" s="344">
        <f>+'[91]VENTAS TOTALES'!$H198</f>
        <v>108000</v>
      </c>
      <c r="BT173" s="343">
        <f>+'[92]VENTAS TOTALES'!$F198</f>
        <v>0</v>
      </c>
      <c r="BU173" s="344">
        <f>+'[92]VENTAS TOTALES'!$G198</f>
        <v>108000</v>
      </c>
      <c r="BV173" s="344">
        <f>+'[92]VENTAS TOTALES'!$H198</f>
        <v>108000</v>
      </c>
      <c r="BW173" s="343">
        <f>+'[93]VENTAS TOTALES'!$F198</f>
        <v>0</v>
      </c>
      <c r="BX173" s="344">
        <f>+'[93]VENTAS TOTALES'!$G198</f>
        <v>162000</v>
      </c>
      <c r="BY173" s="344">
        <f>+'[93]VENTAS TOTALES'!$H198</f>
        <v>162000</v>
      </c>
      <c r="BZ173" s="343">
        <f>+'[94]VENTAS TOTALES'!$F198</f>
        <v>0</v>
      </c>
      <c r="CA173" s="344">
        <f>+'[94]VENTAS TOTALES'!$G198</f>
        <v>133000</v>
      </c>
      <c r="CB173" s="344">
        <f>+'[94]VENTAS TOTALES'!$H198</f>
        <v>133000</v>
      </c>
      <c r="CC173" s="343">
        <f>+'[95]VENTAS TOTALES'!$F198</f>
        <v>0</v>
      </c>
      <c r="CD173" s="344">
        <f>+'[95]VENTAS TOTALES'!$G198</f>
        <v>0</v>
      </c>
      <c r="CE173" s="344">
        <f>+'[95]VENTAS TOTALES'!$H198</f>
        <v>0</v>
      </c>
      <c r="CF173" s="343">
        <f>+'[96]VENTAS TOTALES'!$F198</f>
        <v>0</v>
      </c>
      <c r="CG173" s="344">
        <f>+'[96]VENTAS TOTALES'!$G198</f>
        <v>490000</v>
      </c>
      <c r="CH173" s="344">
        <f>+'[96]VENTAS TOTALES'!$H198</f>
        <v>490000</v>
      </c>
      <c r="CI173" s="343">
        <f>+'[97]VENTAS TOTALES'!$F198</f>
        <v>0</v>
      </c>
      <c r="CJ173" s="344">
        <f>+'[97]VENTAS TOTALES'!$G198</f>
        <v>199000</v>
      </c>
      <c r="CK173" s="344">
        <f>+'[97]VENTAS TOTALES'!$H198</f>
        <v>199000</v>
      </c>
      <c r="CL173" s="343">
        <f>+'[98]VENTAS TOTALES'!$F198</f>
        <v>0</v>
      </c>
      <c r="CM173" s="344">
        <f>+'[98]VENTAS TOTALES'!$G198</f>
        <v>270000</v>
      </c>
      <c r="CN173" s="344">
        <f>+'[98]VENTAS TOTALES'!$H198</f>
        <v>270000</v>
      </c>
      <c r="CO173" s="343">
        <f>+'[99]VENTAS TOTALES'!$F198</f>
        <v>0</v>
      </c>
      <c r="CP173" s="344">
        <f>+'[99]VENTAS TOTALES'!$G198</f>
        <v>189000</v>
      </c>
      <c r="CQ173" s="344">
        <f>+'[99]VENTAS TOTALES'!$H198</f>
        <v>189000</v>
      </c>
      <c r="CR173" s="343">
        <f>+'[100]VENTAS TOTALES'!$F198</f>
        <v>0</v>
      </c>
      <c r="CS173" s="344">
        <f>+'[100]VENTAS TOTALES'!$G198</f>
        <v>156000</v>
      </c>
      <c r="CT173" s="344">
        <f>+'[100]VENTAS TOTALES'!$H198</f>
        <v>156000</v>
      </c>
      <c r="CU173" s="343">
        <f>+'[101]VENTAS TOTALES'!$F198</f>
        <v>0</v>
      </c>
      <c r="CV173" s="344">
        <f>+'[101]VENTAS TOTALES'!$G198</f>
        <v>27000</v>
      </c>
      <c r="CW173" s="344">
        <f>+'[101]VENTAS TOTALES'!$H198</f>
        <v>27000</v>
      </c>
      <c r="CX173" s="343">
        <f>+'[102]VENTAS TOTALES'!$F198</f>
        <v>0</v>
      </c>
      <c r="CY173" s="344">
        <f>+'[102]VENTAS TOTALES'!$G198</f>
        <v>0</v>
      </c>
      <c r="CZ173" s="344">
        <f>+'[102]VENTAS TOTALES'!$H198</f>
        <v>0</v>
      </c>
    </row>
    <row r="174" spans="1:104" s="8" customFormat="1" ht="14.25" customHeight="1" thickBot="1" x14ac:dyDescent="0.25">
      <c r="A174" s="455"/>
      <c r="B174" s="345" t="s">
        <v>455</v>
      </c>
      <c r="C174" s="343">
        <f>+'[69]VENTAS TOTALES'!$F199</f>
        <v>0</v>
      </c>
      <c r="D174" s="344">
        <f>+'[69]VENTAS TOTALES'!$G199</f>
        <v>19000</v>
      </c>
      <c r="E174" s="344">
        <f>+'[69]VENTAS TOTALES'!$H199</f>
        <v>19000</v>
      </c>
      <c r="F174" s="343">
        <f>+'[70]VENTAS TOTALES'!$F199</f>
        <v>0</v>
      </c>
      <c r="G174" s="344">
        <f>+'[70]VENTAS TOTALES'!$G199</f>
        <v>26000</v>
      </c>
      <c r="H174" s="344">
        <f>+'[70]VENTAS TOTALES'!$H199</f>
        <v>26000</v>
      </c>
      <c r="I174" s="343">
        <f>+'[71]VENTAS TOTALES'!$F199</f>
        <v>0</v>
      </c>
      <c r="J174" s="344">
        <f>+'[71]VENTAS TOTALES'!$G199</f>
        <v>29000</v>
      </c>
      <c r="K174" s="344">
        <f>+'[71]VENTAS TOTALES'!$H199</f>
        <v>29000</v>
      </c>
      <c r="L174" s="343">
        <f>+'[72]VENTAS TOTALES'!$F199</f>
        <v>0</v>
      </c>
      <c r="M174" s="344">
        <f>+'[72]VENTAS TOTALES'!$G199</f>
        <v>17000</v>
      </c>
      <c r="N174" s="344">
        <f>+'[72]VENTAS TOTALES'!$H199</f>
        <v>17000</v>
      </c>
      <c r="O174" s="343">
        <f>+'[73]VENTAS TOTALES'!$F199</f>
        <v>0</v>
      </c>
      <c r="P174" s="344">
        <f>+'[73]VENTAS TOTALES'!$G199</f>
        <v>0</v>
      </c>
      <c r="Q174" s="344">
        <f>+'[73]VENTAS TOTALES'!$H199</f>
        <v>0</v>
      </c>
      <c r="R174" s="343">
        <f>+'[74]VENTAS TOTALES'!$F199</f>
        <v>0</v>
      </c>
      <c r="S174" s="344">
        <f>+'[74]VENTAS TOTALES'!$G199</f>
        <v>2000</v>
      </c>
      <c r="T174" s="344">
        <f>+'[74]VENTAS TOTALES'!$H199</f>
        <v>2000</v>
      </c>
      <c r="U174" s="343">
        <f>+'[75]VENTAS TOTALES'!$F199</f>
        <v>0</v>
      </c>
      <c r="V174" s="344">
        <f>+'[75]VENTAS TOTALES'!$G199</f>
        <v>56000</v>
      </c>
      <c r="W174" s="344">
        <f>+'[75]VENTAS TOTALES'!$H199</f>
        <v>56000</v>
      </c>
      <c r="X174" s="343">
        <f>+'[76]VENTAS TOTALES'!$F199</f>
        <v>0</v>
      </c>
      <c r="Y174" s="344">
        <f>+'[76]VENTAS TOTALES'!$G199</f>
        <v>34000</v>
      </c>
      <c r="Z174" s="344">
        <f>+'[76]VENTAS TOTALES'!$H199</f>
        <v>34000</v>
      </c>
      <c r="AA174" s="343">
        <f>+'[77]VENTAS TOTALES'!$F199</f>
        <v>0</v>
      </c>
      <c r="AB174" s="344">
        <f>+'[77]VENTAS TOTALES'!$G199</f>
        <v>24000</v>
      </c>
      <c r="AC174" s="344">
        <f>+'[77]VENTAS TOTALES'!$H199</f>
        <v>24000</v>
      </c>
      <c r="AD174" s="343">
        <f>+'[78]VENTAS TOTALES'!$F199</f>
        <v>0</v>
      </c>
      <c r="AE174" s="344">
        <f>+'[78]VENTAS TOTALES'!$G199</f>
        <v>0</v>
      </c>
      <c r="AF174" s="344">
        <f>+'[78]VENTAS TOTALES'!$H199</f>
        <v>0</v>
      </c>
      <c r="AG174" s="343">
        <f>+'[79]VENTAS TOTALES'!$F199</f>
        <v>0</v>
      </c>
      <c r="AH174" s="344">
        <f>+'[79]VENTAS TOTALES'!$G199</f>
        <v>0</v>
      </c>
      <c r="AI174" s="344">
        <f>+'[79]VENTAS TOTALES'!$H199</f>
        <v>0</v>
      </c>
      <c r="AJ174" s="343">
        <f>+'[80]VENTAS TOTALES'!$F199</f>
        <v>0</v>
      </c>
      <c r="AK174" s="344">
        <f>+'[80]VENTAS TOTALES'!$G199</f>
        <v>0</v>
      </c>
      <c r="AL174" s="344">
        <f>+'[80]VENTAS TOTALES'!$H199</f>
        <v>0</v>
      </c>
      <c r="AM174" s="343">
        <f>+'[81]VENTAS TOTALES'!$F199</f>
        <v>0</v>
      </c>
      <c r="AN174" s="344">
        <f>+'[81]VENTAS TOTALES'!$G199</f>
        <v>0</v>
      </c>
      <c r="AO174" s="344">
        <f>+'[81]VENTAS TOTALES'!$H199</f>
        <v>0</v>
      </c>
      <c r="AP174" s="343">
        <f>+'[82]VENTAS TOTALES'!$F199</f>
        <v>0</v>
      </c>
      <c r="AQ174" s="344">
        <f>+'[82]VENTAS TOTALES'!$G199</f>
        <v>0</v>
      </c>
      <c r="AR174" s="344">
        <f>+'[82]VENTAS TOTALES'!$H199</f>
        <v>0</v>
      </c>
      <c r="AS174" s="343">
        <f>+'[83]VENTAS TOTALES'!$F199</f>
        <v>0</v>
      </c>
      <c r="AT174" s="344">
        <f>+'[83]VENTAS TOTALES'!$G199</f>
        <v>36000</v>
      </c>
      <c r="AU174" s="344">
        <f>+'[83]VENTAS TOTALES'!$H199</f>
        <v>36000</v>
      </c>
      <c r="AV174" s="343">
        <f>+'[84]VENTAS TOTALES'!$F199</f>
        <v>0</v>
      </c>
      <c r="AW174" s="344">
        <f>+'[84]VENTAS TOTALES'!$G199</f>
        <v>50000</v>
      </c>
      <c r="AX174" s="344">
        <f>+'[84]VENTAS TOTALES'!$H199</f>
        <v>50000</v>
      </c>
      <c r="AY174" s="343">
        <f>+'[85]VENTAS TOTALES'!$F199</f>
        <v>0</v>
      </c>
      <c r="AZ174" s="344">
        <f>+'[85]VENTAS TOTALES'!$G199</f>
        <v>33000</v>
      </c>
      <c r="BA174" s="344">
        <f>+'[85]VENTAS TOTALES'!$H199</f>
        <v>33000</v>
      </c>
      <c r="BB174" s="343">
        <f>+'[86]VENTAS TOTALES'!$F199</f>
        <v>0</v>
      </c>
      <c r="BC174" s="344">
        <f>+'[86]VENTAS TOTALES'!$G199</f>
        <v>4000</v>
      </c>
      <c r="BD174" s="344">
        <f>+'[86]VENTAS TOTALES'!$H199</f>
        <v>4000</v>
      </c>
      <c r="BE174" s="343">
        <f>+'[87]VENTAS TOTALES'!$F199</f>
        <v>0</v>
      </c>
      <c r="BF174" s="344">
        <f>+'[87]VENTAS TOTALES'!$G199</f>
        <v>0</v>
      </c>
      <c r="BG174" s="344">
        <f>+'[87]VENTAS TOTALES'!$H199</f>
        <v>0</v>
      </c>
      <c r="BH174" s="343">
        <f>+'[88]VENTAS TOTALES'!$F199</f>
        <v>0</v>
      </c>
      <c r="BI174" s="344">
        <f>+'[88]VENTAS TOTALES'!$G199</f>
        <v>0</v>
      </c>
      <c r="BJ174" s="344">
        <f>+'[88]VENTAS TOTALES'!$H199</f>
        <v>0</v>
      </c>
      <c r="BK174" s="343">
        <f>+'[89]VENTAS TOTALES'!$F199</f>
        <v>0</v>
      </c>
      <c r="BL174" s="344">
        <f>+'[89]VENTAS TOTALES'!$G199</f>
        <v>47000</v>
      </c>
      <c r="BM174" s="344">
        <f>+'[89]VENTAS TOTALES'!$H199</f>
        <v>47000</v>
      </c>
      <c r="BN174" s="343">
        <f>+'[90]VENTAS TOTALES'!$F199</f>
        <v>0</v>
      </c>
      <c r="BO174" s="344">
        <f>+'[90]VENTAS TOTALES'!$G199</f>
        <v>60000</v>
      </c>
      <c r="BP174" s="344">
        <f>+'[90]VENTAS TOTALES'!$H199</f>
        <v>60000</v>
      </c>
      <c r="BQ174" s="343">
        <f>+'[91]VENTAS TOTALES'!$F199</f>
        <v>0</v>
      </c>
      <c r="BR174" s="344">
        <f>+'[91]VENTAS TOTALES'!$G199</f>
        <v>6000</v>
      </c>
      <c r="BS174" s="344">
        <f>+'[91]VENTAS TOTALES'!$H199</f>
        <v>6000</v>
      </c>
      <c r="BT174" s="343">
        <f>+'[92]VENTAS TOTALES'!$F199</f>
        <v>0</v>
      </c>
      <c r="BU174" s="344">
        <f>+'[92]VENTAS TOTALES'!$G199</f>
        <v>21000</v>
      </c>
      <c r="BV174" s="344">
        <f>+'[92]VENTAS TOTALES'!$H199</f>
        <v>21000</v>
      </c>
      <c r="BW174" s="343">
        <f>+'[93]VENTAS TOTALES'!$F199</f>
        <v>0</v>
      </c>
      <c r="BX174" s="344">
        <f>+'[93]VENTAS TOTALES'!$G199</f>
        <v>6000</v>
      </c>
      <c r="BY174" s="344">
        <f>+'[93]VENTAS TOTALES'!$H199</f>
        <v>6000</v>
      </c>
      <c r="BZ174" s="343">
        <f>+'[94]VENTAS TOTALES'!$F199</f>
        <v>0</v>
      </c>
      <c r="CA174" s="344">
        <f>+'[94]VENTAS TOTALES'!$G199</f>
        <v>0</v>
      </c>
      <c r="CB174" s="344">
        <f>+'[94]VENTAS TOTALES'!$H199</f>
        <v>0</v>
      </c>
      <c r="CC174" s="343">
        <f>+'[95]VENTAS TOTALES'!$F199</f>
        <v>0</v>
      </c>
      <c r="CD174" s="344">
        <f>+'[95]VENTAS TOTALES'!$G199</f>
        <v>2000</v>
      </c>
      <c r="CE174" s="344">
        <f>+'[95]VENTAS TOTALES'!$H199</f>
        <v>2000</v>
      </c>
      <c r="CF174" s="343">
        <f>+'[96]VENTAS TOTALES'!$F199</f>
        <v>0</v>
      </c>
      <c r="CG174" s="344">
        <f>+'[96]VENTAS TOTALES'!$G199</f>
        <v>162000</v>
      </c>
      <c r="CH174" s="344">
        <f>+'[96]VENTAS TOTALES'!$H199</f>
        <v>162000</v>
      </c>
      <c r="CI174" s="343">
        <f>+'[97]VENTAS TOTALES'!$F199</f>
        <v>0</v>
      </c>
      <c r="CJ174" s="344">
        <f>+'[97]VENTAS TOTALES'!$G199</f>
        <v>121000</v>
      </c>
      <c r="CK174" s="344">
        <f>+'[97]VENTAS TOTALES'!$H199</f>
        <v>121000</v>
      </c>
      <c r="CL174" s="343">
        <f>+'[98]VENTAS TOTALES'!$F199</f>
        <v>0</v>
      </c>
      <c r="CM174" s="344">
        <f>+'[98]VENTAS TOTALES'!$G199</f>
        <v>29000</v>
      </c>
      <c r="CN174" s="344">
        <f>+'[98]VENTAS TOTALES'!$H199</f>
        <v>29000</v>
      </c>
      <c r="CO174" s="343">
        <f>+'[99]VENTAS TOTALES'!$F199</f>
        <v>0</v>
      </c>
      <c r="CP174" s="344">
        <f>+'[99]VENTAS TOTALES'!$G199</f>
        <v>24000</v>
      </c>
      <c r="CQ174" s="344">
        <f>+'[99]VENTAS TOTALES'!$H199</f>
        <v>24000</v>
      </c>
      <c r="CR174" s="343">
        <f>+'[100]VENTAS TOTALES'!$F199</f>
        <v>0</v>
      </c>
      <c r="CS174" s="344">
        <f>+'[100]VENTAS TOTALES'!$G199</f>
        <v>27000</v>
      </c>
      <c r="CT174" s="344">
        <f>+'[100]VENTAS TOTALES'!$H199</f>
        <v>27000</v>
      </c>
      <c r="CU174" s="343">
        <f>+'[101]VENTAS TOTALES'!$F199</f>
        <v>0</v>
      </c>
      <c r="CV174" s="344">
        <f>+'[101]VENTAS TOTALES'!$G199</f>
        <v>2000</v>
      </c>
      <c r="CW174" s="344">
        <f>+'[101]VENTAS TOTALES'!$H199</f>
        <v>2000</v>
      </c>
      <c r="CX174" s="343">
        <f>+'[102]VENTAS TOTALES'!$F199</f>
        <v>0</v>
      </c>
      <c r="CY174" s="344">
        <f>+'[102]VENTAS TOTALES'!$G199</f>
        <v>20000</v>
      </c>
      <c r="CZ174" s="344">
        <f>+'[102]VENTAS TOTALES'!$H199</f>
        <v>20000</v>
      </c>
    </row>
    <row r="175" spans="1:104" s="8" customFormat="1" ht="14.25" customHeight="1" thickBot="1" x14ac:dyDescent="0.25">
      <c r="A175" s="455"/>
      <c r="B175" s="345" t="s">
        <v>456</v>
      </c>
      <c r="C175" s="343">
        <f>+'[69]VENTAS TOTALES'!$F200</f>
        <v>0</v>
      </c>
      <c r="D175" s="344">
        <f>+'[69]VENTAS TOTALES'!$G200</f>
        <v>85000</v>
      </c>
      <c r="E175" s="344">
        <f>+'[69]VENTAS TOTALES'!$H200</f>
        <v>85000</v>
      </c>
      <c r="F175" s="343">
        <f>+'[70]VENTAS TOTALES'!$F200</f>
        <v>0</v>
      </c>
      <c r="G175" s="344">
        <f>+'[70]VENTAS TOTALES'!$G200</f>
        <v>13000</v>
      </c>
      <c r="H175" s="344">
        <f>+'[70]VENTAS TOTALES'!$H200</f>
        <v>13000</v>
      </c>
      <c r="I175" s="343">
        <f>+'[71]VENTAS TOTALES'!$F200</f>
        <v>0</v>
      </c>
      <c r="J175" s="344">
        <f>+'[71]VENTAS TOTALES'!$G200</f>
        <v>8000</v>
      </c>
      <c r="K175" s="344">
        <f>+'[71]VENTAS TOTALES'!$H200</f>
        <v>8000</v>
      </c>
      <c r="L175" s="343">
        <f>+'[72]VENTAS TOTALES'!$F200</f>
        <v>0</v>
      </c>
      <c r="M175" s="344">
        <f>+'[72]VENTAS TOTALES'!$G200</f>
        <v>5000</v>
      </c>
      <c r="N175" s="344">
        <f>+'[72]VENTAS TOTALES'!$H200</f>
        <v>5000</v>
      </c>
      <c r="O175" s="343">
        <f>+'[73]VENTAS TOTALES'!$F200</f>
        <v>0</v>
      </c>
      <c r="P175" s="344">
        <f>+'[73]VENTAS TOTALES'!$G200</f>
        <v>6000</v>
      </c>
      <c r="Q175" s="344">
        <f>+'[73]VENTAS TOTALES'!$H200</f>
        <v>6000</v>
      </c>
      <c r="R175" s="343">
        <f>+'[74]VENTAS TOTALES'!$F200</f>
        <v>0</v>
      </c>
      <c r="S175" s="344">
        <f>+'[74]VENTAS TOTALES'!$G200</f>
        <v>1000</v>
      </c>
      <c r="T175" s="344">
        <f>+'[74]VENTAS TOTALES'!$H200</f>
        <v>1000</v>
      </c>
      <c r="U175" s="343">
        <f>+'[75]VENTAS TOTALES'!$F200</f>
        <v>0</v>
      </c>
      <c r="V175" s="344">
        <f>+'[75]VENTAS TOTALES'!$G200</f>
        <v>27000</v>
      </c>
      <c r="W175" s="344">
        <f>+'[75]VENTAS TOTALES'!$H200</f>
        <v>27000</v>
      </c>
      <c r="X175" s="343">
        <f>+'[76]VENTAS TOTALES'!$F200</f>
        <v>0</v>
      </c>
      <c r="Y175" s="344">
        <f>+'[76]VENTAS TOTALES'!$G200</f>
        <v>24000</v>
      </c>
      <c r="Z175" s="344">
        <f>+'[76]VENTAS TOTALES'!$H200</f>
        <v>24000</v>
      </c>
      <c r="AA175" s="343">
        <f>+'[77]VENTAS TOTALES'!$F200</f>
        <v>0</v>
      </c>
      <c r="AB175" s="344">
        <f>+'[77]VENTAS TOTALES'!$G200</f>
        <v>23000</v>
      </c>
      <c r="AC175" s="344">
        <f>+'[77]VENTAS TOTALES'!$H200</f>
        <v>23000</v>
      </c>
      <c r="AD175" s="343">
        <f>+'[78]VENTAS TOTALES'!$F200</f>
        <v>0</v>
      </c>
      <c r="AE175" s="344">
        <f>+'[78]VENTAS TOTALES'!$G200</f>
        <v>79000</v>
      </c>
      <c r="AF175" s="344">
        <f>+'[78]VENTAS TOTALES'!$H200</f>
        <v>79000</v>
      </c>
      <c r="AG175" s="343">
        <f>+'[79]VENTAS TOTALES'!$F200</f>
        <v>0</v>
      </c>
      <c r="AH175" s="344">
        <f>+'[79]VENTAS TOTALES'!$G200</f>
        <v>20000</v>
      </c>
      <c r="AI175" s="344">
        <f>+'[79]VENTAS TOTALES'!$H200</f>
        <v>20000</v>
      </c>
      <c r="AJ175" s="343">
        <f>+'[80]VENTAS TOTALES'!$F200</f>
        <v>0</v>
      </c>
      <c r="AK175" s="344">
        <f>+'[80]VENTAS TOTALES'!$G200</f>
        <v>16000</v>
      </c>
      <c r="AL175" s="344">
        <f>+'[80]VENTAS TOTALES'!$H200</f>
        <v>16000</v>
      </c>
      <c r="AM175" s="343">
        <f>+'[81]VENTAS TOTALES'!$F200</f>
        <v>0</v>
      </c>
      <c r="AN175" s="344">
        <f>+'[81]VENTAS TOTALES'!$G200</f>
        <v>2000</v>
      </c>
      <c r="AO175" s="344">
        <f>+'[81]VENTAS TOTALES'!$H200</f>
        <v>2000</v>
      </c>
      <c r="AP175" s="343">
        <f>+'[82]VENTAS TOTALES'!$F200</f>
        <v>0</v>
      </c>
      <c r="AQ175" s="344">
        <f>+'[82]VENTAS TOTALES'!$G200</f>
        <v>144000</v>
      </c>
      <c r="AR175" s="344">
        <f>+'[82]VENTAS TOTALES'!$H200</f>
        <v>144000</v>
      </c>
      <c r="AS175" s="343">
        <f>+'[83]VENTAS TOTALES'!$F200</f>
        <v>0</v>
      </c>
      <c r="AT175" s="344">
        <f>+'[83]VENTAS TOTALES'!$G200</f>
        <v>53000</v>
      </c>
      <c r="AU175" s="344">
        <f>+'[83]VENTAS TOTALES'!$H200</f>
        <v>53000</v>
      </c>
      <c r="AV175" s="343">
        <f>+'[84]VENTAS TOTALES'!$F200</f>
        <v>0</v>
      </c>
      <c r="AW175" s="344">
        <f>+'[84]VENTAS TOTALES'!$G200</f>
        <v>107000</v>
      </c>
      <c r="AX175" s="344">
        <f>+'[84]VENTAS TOTALES'!$H200</f>
        <v>107000</v>
      </c>
      <c r="AY175" s="343">
        <f>+'[85]VENTAS TOTALES'!$F200</f>
        <v>0</v>
      </c>
      <c r="AZ175" s="344">
        <f>+'[85]VENTAS TOTALES'!$G200</f>
        <v>105000</v>
      </c>
      <c r="BA175" s="344">
        <f>+'[85]VENTAS TOTALES'!$H200</f>
        <v>105000</v>
      </c>
      <c r="BB175" s="343">
        <f>+'[86]VENTAS TOTALES'!$F200</f>
        <v>0</v>
      </c>
      <c r="BC175" s="344">
        <f>+'[86]VENTAS TOTALES'!$G200</f>
        <v>30000</v>
      </c>
      <c r="BD175" s="344">
        <f>+'[86]VENTAS TOTALES'!$H200</f>
        <v>30000</v>
      </c>
      <c r="BE175" s="343">
        <f>+'[87]VENTAS TOTALES'!$F200</f>
        <v>0</v>
      </c>
      <c r="BF175" s="344">
        <f>+'[87]VENTAS TOTALES'!$G200</f>
        <v>0</v>
      </c>
      <c r="BG175" s="344">
        <f>+'[87]VENTAS TOTALES'!$H200</f>
        <v>0</v>
      </c>
      <c r="BH175" s="343">
        <f>+'[88]VENTAS TOTALES'!$F200</f>
        <v>0</v>
      </c>
      <c r="BI175" s="344">
        <f>+'[88]VENTAS TOTALES'!$G200</f>
        <v>0</v>
      </c>
      <c r="BJ175" s="344">
        <f>+'[88]VENTAS TOTALES'!$H200</f>
        <v>0</v>
      </c>
      <c r="BK175" s="343">
        <f>+'[89]VENTAS TOTALES'!$F200</f>
        <v>0</v>
      </c>
      <c r="BL175" s="344">
        <f>+'[89]VENTAS TOTALES'!$G200</f>
        <v>0</v>
      </c>
      <c r="BM175" s="344">
        <f>+'[89]VENTAS TOTALES'!$H200</f>
        <v>0</v>
      </c>
      <c r="BN175" s="343">
        <f>+'[90]VENTAS TOTALES'!$F200</f>
        <v>0</v>
      </c>
      <c r="BO175" s="344">
        <f>+'[90]VENTAS TOTALES'!$G200</f>
        <v>0</v>
      </c>
      <c r="BP175" s="344">
        <f>+'[90]VENTAS TOTALES'!$H200</f>
        <v>0</v>
      </c>
      <c r="BQ175" s="343">
        <f>+'[91]VENTAS TOTALES'!$F200</f>
        <v>0</v>
      </c>
      <c r="BR175" s="344">
        <f>+'[91]VENTAS TOTALES'!$G200</f>
        <v>0</v>
      </c>
      <c r="BS175" s="344">
        <f>+'[91]VENTAS TOTALES'!$H200</f>
        <v>0</v>
      </c>
      <c r="BT175" s="343">
        <f>+'[92]VENTAS TOTALES'!$F200</f>
        <v>0</v>
      </c>
      <c r="BU175" s="344">
        <f>+'[92]VENTAS TOTALES'!$G200</f>
        <v>93000</v>
      </c>
      <c r="BV175" s="344">
        <f>+'[92]VENTAS TOTALES'!$H200</f>
        <v>93000</v>
      </c>
      <c r="BW175" s="343">
        <f>+'[93]VENTAS TOTALES'!$F200</f>
        <v>0</v>
      </c>
      <c r="BX175" s="344">
        <f>+'[93]VENTAS TOTALES'!$G200</f>
        <v>11000</v>
      </c>
      <c r="BY175" s="344">
        <f>+'[93]VENTAS TOTALES'!$H200</f>
        <v>11000</v>
      </c>
      <c r="BZ175" s="343">
        <f>+'[94]VENTAS TOTALES'!$F200</f>
        <v>0</v>
      </c>
      <c r="CA175" s="344">
        <f>+'[94]VENTAS TOTALES'!$G200</f>
        <v>5000</v>
      </c>
      <c r="CB175" s="344">
        <f>+'[94]VENTAS TOTALES'!$H200</f>
        <v>5000</v>
      </c>
      <c r="CC175" s="343">
        <f>+'[95]VENTAS TOTALES'!$F200</f>
        <v>0</v>
      </c>
      <c r="CD175" s="344">
        <f>+'[95]VENTAS TOTALES'!$G200</f>
        <v>0</v>
      </c>
      <c r="CE175" s="344">
        <f>+'[95]VENTAS TOTALES'!$H200</f>
        <v>0</v>
      </c>
      <c r="CF175" s="343">
        <f>+'[96]VENTAS TOTALES'!$F200</f>
        <v>0</v>
      </c>
      <c r="CG175" s="344">
        <f>+'[96]VENTAS TOTALES'!$G200</f>
        <v>129000</v>
      </c>
      <c r="CH175" s="344">
        <f>+'[96]VENTAS TOTALES'!$H200</f>
        <v>129000</v>
      </c>
      <c r="CI175" s="343">
        <f>+'[97]VENTAS TOTALES'!$F200</f>
        <v>0</v>
      </c>
      <c r="CJ175" s="344">
        <f>+'[97]VENTAS TOTALES'!$G200</f>
        <v>65000</v>
      </c>
      <c r="CK175" s="344">
        <f>+'[97]VENTAS TOTALES'!$H200</f>
        <v>65000</v>
      </c>
      <c r="CL175" s="343">
        <f>+'[98]VENTAS TOTALES'!$F200</f>
        <v>0</v>
      </c>
      <c r="CM175" s="344">
        <f>+'[98]VENTAS TOTALES'!$G200</f>
        <v>75000</v>
      </c>
      <c r="CN175" s="344">
        <f>+'[98]VENTAS TOTALES'!$H200</f>
        <v>75000</v>
      </c>
      <c r="CO175" s="343">
        <f>+'[99]VENTAS TOTALES'!$F200</f>
        <v>0</v>
      </c>
      <c r="CP175" s="344">
        <f>+'[99]VENTAS TOTALES'!$G200</f>
        <v>106000</v>
      </c>
      <c r="CQ175" s="344">
        <f>+'[99]VENTAS TOTALES'!$H200</f>
        <v>106000</v>
      </c>
      <c r="CR175" s="343">
        <f>+'[100]VENTAS TOTALES'!$F200</f>
        <v>0</v>
      </c>
      <c r="CS175" s="344">
        <f>+'[100]VENTAS TOTALES'!$G200</f>
        <v>45000</v>
      </c>
      <c r="CT175" s="344">
        <f>+'[100]VENTAS TOTALES'!$H200</f>
        <v>45000</v>
      </c>
      <c r="CU175" s="343">
        <f>+'[101]VENTAS TOTALES'!$F200</f>
        <v>0</v>
      </c>
      <c r="CV175" s="344">
        <f>+'[101]VENTAS TOTALES'!$G200</f>
        <v>0</v>
      </c>
      <c r="CW175" s="344">
        <f>+'[101]VENTAS TOTALES'!$H200</f>
        <v>0</v>
      </c>
      <c r="CX175" s="343">
        <f>+'[102]VENTAS TOTALES'!$F200</f>
        <v>0</v>
      </c>
      <c r="CY175" s="344">
        <f>+'[102]VENTAS TOTALES'!$G200</f>
        <v>0</v>
      </c>
      <c r="CZ175" s="344">
        <f>+'[102]VENTAS TOTALES'!$H200</f>
        <v>0</v>
      </c>
    </row>
    <row r="176" spans="1:104" s="8" customFormat="1" ht="14.25" customHeight="1" thickBot="1" x14ac:dyDescent="0.25">
      <c r="A176" s="455"/>
      <c r="B176" s="345" t="s">
        <v>457</v>
      </c>
      <c r="C176" s="343">
        <f>+'[69]VENTAS TOTALES'!$F201</f>
        <v>0</v>
      </c>
      <c r="D176" s="344">
        <f>+'[69]VENTAS TOTALES'!$G201</f>
        <v>222000</v>
      </c>
      <c r="E176" s="344">
        <f>+'[69]VENTAS TOTALES'!$H201</f>
        <v>222000</v>
      </c>
      <c r="F176" s="343">
        <f>+'[70]VENTAS TOTALES'!$F201</f>
        <v>0</v>
      </c>
      <c r="G176" s="344">
        <f>+'[70]VENTAS TOTALES'!$G201</f>
        <v>145000</v>
      </c>
      <c r="H176" s="344">
        <f>+'[70]VENTAS TOTALES'!$H201</f>
        <v>145000</v>
      </c>
      <c r="I176" s="343">
        <f>+'[71]VENTAS TOTALES'!$F201</f>
        <v>0</v>
      </c>
      <c r="J176" s="344">
        <f>+'[71]VENTAS TOTALES'!$G201</f>
        <v>233000</v>
      </c>
      <c r="K176" s="344">
        <f>+'[71]VENTAS TOTALES'!$H201</f>
        <v>233000</v>
      </c>
      <c r="L176" s="343">
        <f>+'[72]VENTAS TOTALES'!$F201</f>
        <v>0</v>
      </c>
      <c r="M176" s="344">
        <f>+'[72]VENTAS TOTALES'!$G201</f>
        <v>99000</v>
      </c>
      <c r="N176" s="344">
        <f>+'[72]VENTAS TOTALES'!$H201</f>
        <v>99000</v>
      </c>
      <c r="O176" s="343">
        <f>+'[73]VENTAS TOTALES'!$F201</f>
        <v>0</v>
      </c>
      <c r="P176" s="344">
        <f>+'[73]VENTAS TOTALES'!$G201</f>
        <v>11000</v>
      </c>
      <c r="Q176" s="344">
        <f>+'[73]VENTAS TOTALES'!$H201</f>
        <v>11000</v>
      </c>
      <c r="R176" s="343">
        <f>+'[74]VENTAS TOTALES'!$F201</f>
        <v>0</v>
      </c>
      <c r="S176" s="344">
        <f>+'[74]VENTAS TOTALES'!$G201</f>
        <v>0</v>
      </c>
      <c r="T176" s="344">
        <f>+'[74]VENTAS TOTALES'!$H201</f>
        <v>0</v>
      </c>
      <c r="U176" s="343">
        <f>+'[75]VENTAS TOTALES'!$F201</f>
        <v>0</v>
      </c>
      <c r="V176" s="344">
        <f>+'[75]VENTAS TOTALES'!$G201</f>
        <v>162000</v>
      </c>
      <c r="W176" s="344">
        <f>+'[75]VENTAS TOTALES'!$H201</f>
        <v>162000</v>
      </c>
      <c r="X176" s="343">
        <f>+'[76]VENTAS TOTALES'!$F201</f>
        <v>0</v>
      </c>
      <c r="Y176" s="344">
        <f>+'[76]VENTAS TOTALES'!$G201</f>
        <v>82000</v>
      </c>
      <c r="Z176" s="344">
        <f>+'[76]VENTAS TOTALES'!$H201</f>
        <v>82000</v>
      </c>
      <c r="AA176" s="343">
        <f>+'[77]VENTAS TOTALES'!$F201</f>
        <v>0</v>
      </c>
      <c r="AB176" s="344">
        <f>+'[77]VENTAS TOTALES'!$G201</f>
        <v>113000</v>
      </c>
      <c r="AC176" s="344">
        <f>+'[77]VENTAS TOTALES'!$H201</f>
        <v>113000</v>
      </c>
      <c r="AD176" s="343">
        <f>+'[78]VENTAS TOTALES'!$F201</f>
        <v>0</v>
      </c>
      <c r="AE176" s="344">
        <f>+'[78]VENTAS TOTALES'!$G201</f>
        <v>201000</v>
      </c>
      <c r="AF176" s="344">
        <f>+'[78]VENTAS TOTALES'!$H201</f>
        <v>201000</v>
      </c>
      <c r="AG176" s="343">
        <f>+'[79]VENTAS TOTALES'!$F201</f>
        <v>0</v>
      </c>
      <c r="AH176" s="344">
        <f>+'[79]VENTAS TOTALES'!$G201</f>
        <v>0</v>
      </c>
      <c r="AI176" s="344">
        <f>+'[79]VENTAS TOTALES'!$H201</f>
        <v>0</v>
      </c>
      <c r="AJ176" s="343">
        <f>+'[80]VENTAS TOTALES'!$F201</f>
        <v>0</v>
      </c>
      <c r="AK176" s="344">
        <f>+'[80]VENTAS TOTALES'!$G201</f>
        <v>4000</v>
      </c>
      <c r="AL176" s="344">
        <f>+'[80]VENTAS TOTALES'!$H201</f>
        <v>4000</v>
      </c>
      <c r="AM176" s="343">
        <f>+'[81]VENTAS TOTALES'!$F201</f>
        <v>0</v>
      </c>
      <c r="AN176" s="344">
        <f>+'[81]VENTAS TOTALES'!$G201</f>
        <v>0</v>
      </c>
      <c r="AO176" s="344">
        <f>+'[81]VENTAS TOTALES'!$H201</f>
        <v>0</v>
      </c>
      <c r="AP176" s="343">
        <f>+'[82]VENTAS TOTALES'!$F201</f>
        <v>0</v>
      </c>
      <c r="AQ176" s="344">
        <f>+'[82]VENTAS TOTALES'!$G201</f>
        <v>219000</v>
      </c>
      <c r="AR176" s="344">
        <f>+'[82]VENTAS TOTALES'!$H201</f>
        <v>219000</v>
      </c>
      <c r="AS176" s="343">
        <f>+'[83]VENTAS TOTALES'!$F201</f>
        <v>0</v>
      </c>
      <c r="AT176" s="344">
        <f>+'[83]VENTAS TOTALES'!$G201</f>
        <v>143000</v>
      </c>
      <c r="AU176" s="344">
        <f>+'[83]VENTAS TOTALES'!$H201</f>
        <v>143000</v>
      </c>
      <c r="AV176" s="343">
        <f>+'[84]VENTAS TOTALES'!$F201</f>
        <v>0</v>
      </c>
      <c r="AW176" s="344">
        <f>+'[84]VENTAS TOTALES'!$G201</f>
        <v>180000</v>
      </c>
      <c r="AX176" s="344">
        <f>+'[84]VENTAS TOTALES'!$H201</f>
        <v>180000</v>
      </c>
      <c r="AY176" s="343">
        <f>+'[85]VENTAS TOTALES'!$F201</f>
        <v>0</v>
      </c>
      <c r="AZ176" s="344">
        <f>+'[85]VENTAS TOTALES'!$G201</f>
        <v>200000</v>
      </c>
      <c r="BA176" s="344">
        <f>+'[85]VENTAS TOTALES'!$H201</f>
        <v>200000</v>
      </c>
      <c r="BB176" s="343">
        <f>+'[86]VENTAS TOTALES'!$F201</f>
        <v>0</v>
      </c>
      <c r="BC176" s="344">
        <f>+'[86]VENTAS TOTALES'!$G201</f>
        <v>23000</v>
      </c>
      <c r="BD176" s="344">
        <f>+'[86]VENTAS TOTALES'!$H201</f>
        <v>23000</v>
      </c>
      <c r="BE176" s="343">
        <f>+'[87]VENTAS TOTALES'!$F201</f>
        <v>0</v>
      </c>
      <c r="BF176" s="344">
        <f>+'[87]VENTAS TOTALES'!$G201</f>
        <v>7000</v>
      </c>
      <c r="BG176" s="344">
        <f>+'[87]VENTAS TOTALES'!$H201</f>
        <v>7000</v>
      </c>
      <c r="BH176" s="343">
        <f>+'[88]VENTAS TOTALES'!$F201</f>
        <v>0</v>
      </c>
      <c r="BI176" s="344">
        <f>+'[88]VENTAS TOTALES'!$G201</f>
        <v>0</v>
      </c>
      <c r="BJ176" s="344">
        <f>+'[88]VENTAS TOTALES'!$H201</f>
        <v>0</v>
      </c>
      <c r="BK176" s="343">
        <f>+'[89]VENTAS TOTALES'!$F201</f>
        <v>0</v>
      </c>
      <c r="BL176" s="344">
        <f>+'[89]VENTAS TOTALES'!$G201</f>
        <v>281000</v>
      </c>
      <c r="BM176" s="344">
        <f>+'[89]VENTAS TOTALES'!$H201</f>
        <v>281000</v>
      </c>
      <c r="BN176" s="343">
        <f>+'[90]VENTAS TOTALES'!$F201</f>
        <v>0</v>
      </c>
      <c r="BO176" s="344">
        <f>+'[90]VENTAS TOTALES'!$G201</f>
        <v>199000</v>
      </c>
      <c r="BP176" s="344">
        <f>+'[90]VENTAS TOTALES'!$H201</f>
        <v>199000</v>
      </c>
      <c r="BQ176" s="343">
        <f>+'[91]VENTAS TOTALES'!$F201</f>
        <v>0</v>
      </c>
      <c r="BR176" s="344">
        <f>+'[91]VENTAS TOTALES'!$G201</f>
        <v>173000</v>
      </c>
      <c r="BS176" s="344">
        <f>+'[91]VENTAS TOTALES'!$H201</f>
        <v>173000</v>
      </c>
      <c r="BT176" s="343">
        <f>+'[92]VENTAS TOTALES'!$F201</f>
        <v>0</v>
      </c>
      <c r="BU176" s="344">
        <f>+'[92]VENTAS TOTALES'!$G201</f>
        <v>126000</v>
      </c>
      <c r="BV176" s="344">
        <f>+'[92]VENTAS TOTALES'!$H201</f>
        <v>126000</v>
      </c>
      <c r="BW176" s="343">
        <f>+'[93]VENTAS TOTALES'!$F201</f>
        <v>0</v>
      </c>
      <c r="BX176" s="344">
        <f>+'[93]VENTAS TOTALES'!$G201</f>
        <v>132000</v>
      </c>
      <c r="BY176" s="344">
        <f>+'[93]VENTAS TOTALES'!$H201</f>
        <v>132000</v>
      </c>
      <c r="BZ176" s="343">
        <f>+'[94]VENTAS TOTALES'!$F201</f>
        <v>0</v>
      </c>
      <c r="CA176" s="344">
        <f>+'[94]VENTAS TOTALES'!$G201</f>
        <v>32000</v>
      </c>
      <c r="CB176" s="344">
        <f>+'[94]VENTAS TOTALES'!$H201</f>
        <v>32000</v>
      </c>
      <c r="CC176" s="343">
        <f>+'[95]VENTAS TOTALES'!$F201</f>
        <v>0</v>
      </c>
      <c r="CD176" s="344">
        <f>+'[95]VENTAS TOTALES'!$G201</f>
        <v>0</v>
      </c>
      <c r="CE176" s="344">
        <f>+'[95]VENTAS TOTALES'!$H201</f>
        <v>0</v>
      </c>
      <c r="CF176" s="343">
        <f>+'[96]VENTAS TOTALES'!$F201</f>
        <v>0</v>
      </c>
      <c r="CG176" s="344">
        <f>+'[96]VENTAS TOTALES'!$G201</f>
        <v>384000</v>
      </c>
      <c r="CH176" s="344">
        <f>+'[96]VENTAS TOTALES'!$H201</f>
        <v>384000</v>
      </c>
      <c r="CI176" s="343">
        <f>+'[97]VENTAS TOTALES'!$F201</f>
        <v>0</v>
      </c>
      <c r="CJ176" s="344">
        <f>+'[97]VENTAS TOTALES'!$G201</f>
        <v>18000</v>
      </c>
      <c r="CK176" s="344">
        <f>+'[97]VENTAS TOTALES'!$H201</f>
        <v>18000</v>
      </c>
      <c r="CL176" s="343">
        <f>+'[98]VENTAS TOTALES'!$F201</f>
        <v>0</v>
      </c>
      <c r="CM176" s="344">
        <f>+'[98]VENTAS TOTALES'!$G201</f>
        <v>161000</v>
      </c>
      <c r="CN176" s="344">
        <f>+'[98]VENTAS TOTALES'!$H201</f>
        <v>161000</v>
      </c>
      <c r="CO176" s="343">
        <f>+'[99]VENTAS TOTALES'!$F201</f>
        <v>0</v>
      </c>
      <c r="CP176" s="344">
        <f>+'[99]VENTAS TOTALES'!$G201</f>
        <v>132000</v>
      </c>
      <c r="CQ176" s="344">
        <f>+'[99]VENTAS TOTALES'!$H201</f>
        <v>132000</v>
      </c>
      <c r="CR176" s="343">
        <f>+'[100]VENTAS TOTALES'!$F201</f>
        <v>0</v>
      </c>
      <c r="CS176" s="344">
        <f>+'[100]VENTAS TOTALES'!$G201</f>
        <v>207000</v>
      </c>
      <c r="CT176" s="344">
        <f>+'[100]VENTAS TOTALES'!$H201</f>
        <v>207000</v>
      </c>
      <c r="CU176" s="343">
        <f>+'[101]VENTAS TOTALES'!$F201</f>
        <v>0</v>
      </c>
      <c r="CV176" s="344">
        <f>+'[101]VENTAS TOTALES'!$G201</f>
        <v>0</v>
      </c>
      <c r="CW176" s="344">
        <f>+'[101]VENTAS TOTALES'!$H201</f>
        <v>0</v>
      </c>
      <c r="CX176" s="343">
        <f>+'[102]VENTAS TOTALES'!$F201</f>
        <v>0</v>
      </c>
      <c r="CY176" s="344">
        <f>+'[102]VENTAS TOTALES'!$G201</f>
        <v>0</v>
      </c>
      <c r="CZ176" s="344">
        <f>+'[102]VENTAS TOTALES'!$H201</f>
        <v>0</v>
      </c>
    </row>
    <row r="177" spans="1:104" s="8" customFormat="1" ht="14.25" customHeight="1" thickBot="1" x14ac:dyDescent="0.25">
      <c r="A177" s="455"/>
      <c r="B177" s="345" t="s">
        <v>462</v>
      </c>
      <c r="C177" s="343">
        <f>+'[69]VENTAS TOTALES'!$F202</f>
        <v>0</v>
      </c>
      <c r="D177" s="344">
        <f>+'[69]VENTAS TOTALES'!$G202</f>
        <v>207000</v>
      </c>
      <c r="E177" s="344">
        <f>+'[69]VENTAS TOTALES'!$H202</f>
        <v>207000</v>
      </c>
      <c r="F177" s="343">
        <f>+'[70]VENTAS TOTALES'!$F202</f>
        <v>0</v>
      </c>
      <c r="G177" s="344">
        <f>+'[70]VENTAS TOTALES'!$G202</f>
        <v>127000</v>
      </c>
      <c r="H177" s="344">
        <f>+'[70]VENTAS TOTALES'!$H202</f>
        <v>127000</v>
      </c>
      <c r="I177" s="343">
        <f>+'[71]VENTAS TOTALES'!$F202</f>
        <v>0</v>
      </c>
      <c r="J177" s="344">
        <f>+'[71]VENTAS TOTALES'!$G202</f>
        <v>103000</v>
      </c>
      <c r="K177" s="344">
        <f>+'[71]VENTAS TOTALES'!$H202</f>
        <v>103000</v>
      </c>
      <c r="L177" s="343">
        <f>+'[72]VENTAS TOTALES'!$F202</f>
        <v>0</v>
      </c>
      <c r="M177" s="344">
        <f>+'[72]VENTAS TOTALES'!$G202</f>
        <v>111000</v>
      </c>
      <c r="N177" s="344">
        <f>+'[72]VENTAS TOTALES'!$H202</f>
        <v>111000</v>
      </c>
      <c r="O177" s="343">
        <f>+'[73]VENTAS TOTALES'!$F202</f>
        <v>0</v>
      </c>
      <c r="P177" s="344">
        <f>+'[73]VENTAS TOTALES'!$G202</f>
        <v>19000</v>
      </c>
      <c r="Q177" s="344">
        <f>+'[73]VENTAS TOTALES'!$H202</f>
        <v>19000</v>
      </c>
      <c r="R177" s="343">
        <f>+'[74]VENTAS TOTALES'!$F202</f>
        <v>0</v>
      </c>
      <c r="S177" s="344">
        <f>+'[74]VENTAS TOTALES'!$G202</f>
        <v>0</v>
      </c>
      <c r="T177" s="344">
        <f>+'[74]VENTAS TOTALES'!$H202</f>
        <v>0</v>
      </c>
      <c r="U177" s="343">
        <f>+'[75]VENTAS TOTALES'!$F202</f>
        <v>0</v>
      </c>
      <c r="V177" s="344">
        <f>+'[75]VENTAS TOTALES'!$G202</f>
        <v>132000</v>
      </c>
      <c r="W177" s="344">
        <f>+'[75]VENTAS TOTALES'!$H202</f>
        <v>132000</v>
      </c>
      <c r="X177" s="343">
        <f>+'[76]VENTAS TOTALES'!$F202</f>
        <v>0</v>
      </c>
      <c r="Y177" s="344">
        <f>+'[76]VENTAS TOTALES'!$G202</f>
        <v>155000</v>
      </c>
      <c r="Z177" s="344">
        <f>+'[76]VENTAS TOTALES'!$H202</f>
        <v>155000</v>
      </c>
      <c r="AA177" s="343">
        <f>+'[77]VENTAS TOTALES'!$F202</f>
        <v>0</v>
      </c>
      <c r="AB177" s="344">
        <f>+'[77]VENTAS TOTALES'!$G202</f>
        <v>0</v>
      </c>
      <c r="AC177" s="344">
        <f>+'[77]VENTAS TOTALES'!$H202</f>
        <v>0</v>
      </c>
      <c r="AD177" s="343">
        <f>+'[78]VENTAS TOTALES'!$F202</f>
        <v>0</v>
      </c>
      <c r="AE177" s="344">
        <f>+'[78]VENTAS TOTALES'!$G202</f>
        <v>0</v>
      </c>
      <c r="AF177" s="344">
        <f>+'[78]VENTAS TOTALES'!$H202</f>
        <v>0</v>
      </c>
      <c r="AG177" s="343">
        <f>+'[79]VENTAS TOTALES'!$F202</f>
        <v>0</v>
      </c>
      <c r="AH177" s="344">
        <f>+'[79]VENTAS TOTALES'!$G202</f>
        <v>55000</v>
      </c>
      <c r="AI177" s="344">
        <f>+'[79]VENTAS TOTALES'!$H202</f>
        <v>55000</v>
      </c>
      <c r="AJ177" s="343">
        <f>+'[80]VENTAS TOTALES'!$F202</f>
        <v>0</v>
      </c>
      <c r="AK177" s="344">
        <f>+'[80]VENTAS TOTALES'!$G202</f>
        <v>11000</v>
      </c>
      <c r="AL177" s="344">
        <f>+'[80]VENTAS TOTALES'!$H202</f>
        <v>11000</v>
      </c>
      <c r="AM177" s="343">
        <f>+'[81]VENTAS TOTALES'!$F202</f>
        <v>0</v>
      </c>
      <c r="AN177" s="344">
        <f>+'[81]VENTAS TOTALES'!$G202</f>
        <v>0</v>
      </c>
      <c r="AO177" s="344">
        <f>+'[81]VENTAS TOTALES'!$H202</f>
        <v>0</v>
      </c>
      <c r="AP177" s="343">
        <f>+'[82]VENTAS TOTALES'!$F202</f>
        <v>0</v>
      </c>
      <c r="AQ177" s="344">
        <f>+'[82]VENTAS TOTALES'!$G202</f>
        <v>184000</v>
      </c>
      <c r="AR177" s="344">
        <f>+'[82]VENTAS TOTALES'!$H202</f>
        <v>184000</v>
      </c>
      <c r="AS177" s="343">
        <f>+'[83]VENTAS TOTALES'!$F202</f>
        <v>0</v>
      </c>
      <c r="AT177" s="344">
        <f>+'[83]VENTAS TOTALES'!$G202</f>
        <v>184000</v>
      </c>
      <c r="AU177" s="344">
        <f>+'[83]VENTAS TOTALES'!$H202</f>
        <v>184000</v>
      </c>
      <c r="AV177" s="343">
        <f>+'[84]VENTAS TOTALES'!$F202</f>
        <v>0</v>
      </c>
      <c r="AW177" s="344">
        <f>+'[84]VENTAS TOTALES'!$G202</f>
        <v>184000</v>
      </c>
      <c r="AX177" s="344">
        <f>+'[84]VENTAS TOTALES'!$H202</f>
        <v>184000</v>
      </c>
      <c r="AY177" s="343">
        <f>+'[85]VENTAS TOTALES'!$F202</f>
        <v>0</v>
      </c>
      <c r="AZ177" s="344">
        <f>+'[85]VENTAS TOTALES'!$G202</f>
        <v>82000</v>
      </c>
      <c r="BA177" s="344">
        <f>+'[85]VENTAS TOTALES'!$H202</f>
        <v>82000</v>
      </c>
      <c r="BB177" s="343">
        <f>+'[86]VENTAS TOTALES'!$F202</f>
        <v>0</v>
      </c>
      <c r="BC177" s="344">
        <f>+'[86]VENTAS TOTALES'!$G202</f>
        <v>106000</v>
      </c>
      <c r="BD177" s="344">
        <f>+'[86]VENTAS TOTALES'!$H202</f>
        <v>106000</v>
      </c>
      <c r="BE177" s="343">
        <f>+'[87]VENTAS TOTALES'!$F202</f>
        <v>0</v>
      </c>
      <c r="BF177" s="344">
        <f>+'[87]VENTAS TOTALES'!$G202</f>
        <v>37000</v>
      </c>
      <c r="BG177" s="344">
        <f>+'[87]VENTAS TOTALES'!$H202</f>
        <v>37000</v>
      </c>
      <c r="BH177" s="343">
        <f>+'[88]VENTAS TOTALES'!$F202</f>
        <v>0</v>
      </c>
      <c r="BI177" s="344">
        <f>+'[88]VENTAS TOTALES'!$G202</f>
        <v>0</v>
      </c>
      <c r="BJ177" s="344">
        <f>+'[88]VENTAS TOTALES'!$H202</f>
        <v>0</v>
      </c>
      <c r="BK177" s="343">
        <f>+'[89]VENTAS TOTALES'!$F202</f>
        <v>0</v>
      </c>
      <c r="BL177" s="344">
        <f>+'[89]VENTAS TOTALES'!$G202</f>
        <v>185000</v>
      </c>
      <c r="BM177" s="344">
        <f>+'[89]VENTAS TOTALES'!$H202</f>
        <v>185000</v>
      </c>
      <c r="BN177" s="343">
        <f>+'[90]VENTAS TOTALES'!$F202</f>
        <v>0</v>
      </c>
      <c r="BO177" s="344">
        <f>+'[90]VENTAS TOTALES'!$G202</f>
        <v>196000</v>
      </c>
      <c r="BP177" s="344">
        <f>+'[90]VENTAS TOTALES'!$H202</f>
        <v>196000</v>
      </c>
      <c r="BQ177" s="343">
        <f>+'[91]VENTAS TOTALES'!$F202</f>
        <v>0</v>
      </c>
      <c r="BR177" s="344">
        <f>+'[91]VENTAS TOTALES'!$G202</f>
        <v>117000</v>
      </c>
      <c r="BS177" s="344">
        <f>+'[91]VENTAS TOTALES'!$H202</f>
        <v>117000</v>
      </c>
      <c r="BT177" s="343">
        <f>+'[92]VENTAS TOTALES'!$F202</f>
        <v>0</v>
      </c>
      <c r="BU177" s="344">
        <f>+'[92]VENTAS TOTALES'!$G202</f>
        <v>160000</v>
      </c>
      <c r="BV177" s="344">
        <f>+'[92]VENTAS TOTALES'!$H202</f>
        <v>160000</v>
      </c>
      <c r="BW177" s="343">
        <f>+'[93]VENTAS TOTALES'!$F202</f>
        <v>0</v>
      </c>
      <c r="BX177" s="344">
        <f>+'[93]VENTAS TOTALES'!$G202</f>
        <v>160000</v>
      </c>
      <c r="BY177" s="344">
        <f>+'[93]VENTAS TOTALES'!$H202</f>
        <v>160000</v>
      </c>
      <c r="BZ177" s="343">
        <f>+'[94]VENTAS TOTALES'!$F202</f>
        <v>0</v>
      </c>
      <c r="CA177" s="344">
        <f>+'[94]VENTAS TOTALES'!$G202</f>
        <v>49000</v>
      </c>
      <c r="CB177" s="344">
        <f>+'[94]VENTAS TOTALES'!$H202</f>
        <v>49000</v>
      </c>
      <c r="CC177" s="343">
        <f>+'[95]VENTAS TOTALES'!$F202</f>
        <v>0</v>
      </c>
      <c r="CD177" s="344">
        <f>+'[95]VENTAS TOTALES'!$G202</f>
        <v>0</v>
      </c>
      <c r="CE177" s="344">
        <f>+'[95]VENTAS TOTALES'!$H202</f>
        <v>0</v>
      </c>
      <c r="CF177" s="343">
        <f>+'[96]VENTAS TOTALES'!$F202</f>
        <v>0</v>
      </c>
      <c r="CG177" s="344">
        <f>+'[96]VENTAS TOTALES'!$G202</f>
        <v>310000</v>
      </c>
      <c r="CH177" s="344">
        <f>+'[96]VENTAS TOTALES'!$H202</f>
        <v>310000</v>
      </c>
      <c r="CI177" s="343">
        <f>+'[97]VENTAS TOTALES'!$F202</f>
        <v>0</v>
      </c>
      <c r="CJ177" s="344">
        <f>+'[97]VENTAS TOTALES'!$G202</f>
        <v>255000</v>
      </c>
      <c r="CK177" s="344">
        <f>+'[97]VENTAS TOTALES'!$H202</f>
        <v>255000</v>
      </c>
      <c r="CL177" s="343">
        <f>+'[98]VENTAS TOTALES'!$F202</f>
        <v>0</v>
      </c>
      <c r="CM177" s="344">
        <f>+'[98]VENTAS TOTALES'!$G202</f>
        <v>146000</v>
      </c>
      <c r="CN177" s="344">
        <f>+'[98]VENTAS TOTALES'!$H202</f>
        <v>146000</v>
      </c>
      <c r="CO177" s="343">
        <f>+'[99]VENTAS TOTALES'!$F202</f>
        <v>0</v>
      </c>
      <c r="CP177" s="344">
        <f>+'[99]VENTAS TOTALES'!$G202</f>
        <v>119000</v>
      </c>
      <c r="CQ177" s="344">
        <f>+'[99]VENTAS TOTALES'!$H202</f>
        <v>119000</v>
      </c>
      <c r="CR177" s="343">
        <f>+'[100]VENTAS TOTALES'!$F202</f>
        <v>0</v>
      </c>
      <c r="CS177" s="344">
        <f>+'[100]VENTAS TOTALES'!$G202</f>
        <v>62000</v>
      </c>
      <c r="CT177" s="344">
        <f>+'[100]VENTAS TOTALES'!$H202</f>
        <v>62000</v>
      </c>
      <c r="CU177" s="343">
        <f>+'[101]VENTAS TOTALES'!$F202</f>
        <v>0</v>
      </c>
      <c r="CV177" s="344">
        <f>+'[101]VENTAS TOTALES'!$G202</f>
        <v>13000</v>
      </c>
      <c r="CW177" s="344">
        <f>+'[101]VENTAS TOTALES'!$H202</f>
        <v>13000</v>
      </c>
      <c r="CX177" s="343">
        <f>+'[102]VENTAS TOTALES'!$F202</f>
        <v>0</v>
      </c>
      <c r="CY177" s="344">
        <f>+'[102]VENTAS TOTALES'!$G202</f>
        <v>0</v>
      </c>
      <c r="CZ177" s="344">
        <f>+'[102]VENTAS TOTALES'!$H202</f>
        <v>0</v>
      </c>
    </row>
    <row r="178" spans="1:104" s="8" customFormat="1" ht="14.25" customHeight="1" thickBot="1" x14ac:dyDescent="0.25">
      <c r="A178" s="455"/>
      <c r="B178" s="345" t="s">
        <v>463</v>
      </c>
      <c r="C178" s="343">
        <f>+'[69]VENTAS TOTALES'!$F203</f>
        <v>0</v>
      </c>
      <c r="D178" s="344">
        <f>+'[69]VENTAS TOTALES'!$G203</f>
        <v>48000</v>
      </c>
      <c r="E178" s="344">
        <f>+'[69]VENTAS TOTALES'!$H203</f>
        <v>48000</v>
      </c>
      <c r="F178" s="343">
        <f>+'[70]VENTAS TOTALES'!$F203</f>
        <v>0</v>
      </c>
      <c r="G178" s="344">
        <f>+'[70]VENTAS TOTALES'!$G203</f>
        <v>25000</v>
      </c>
      <c r="H178" s="344">
        <f>+'[70]VENTAS TOTALES'!$H203</f>
        <v>25000</v>
      </c>
      <c r="I178" s="343">
        <f>+'[71]VENTAS TOTALES'!$F203</f>
        <v>0</v>
      </c>
      <c r="J178" s="344">
        <f>+'[71]VENTAS TOTALES'!$G203</f>
        <v>65000</v>
      </c>
      <c r="K178" s="344">
        <f>+'[71]VENTAS TOTALES'!$H203</f>
        <v>65000</v>
      </c>
      <c r="L178" s="343">
        <f>+'[72]VENTAS TOTALES'!$F203</f>
        <v>0</v>
      </c>
      <c r="M178" s="344">
        <f>+'[72]VENTAS TOTALES'!$G203</f>
        <v>12000</v>
      </c>
      <c r="N178" s="344">
        <f>+'[72]VENTAS TOTALES'!$H203</f>
        <v>12000</v>
      </c>
      <c r="O178" s="343">
        <f>+'[73]VENTAS TOTALES'!$F203</f>
        <v>0</v>
      </c>
      <c r="P178" s="344">
        <f>+'[73]VENTAS TOTALES'!$G203</f>
        <v>0</v>
      </c>
      <c r="Q178" s="344">
        <f>+'[73]VENTAS TOTALES'!$H203</f>
        <v>0</v>
      </c>
      <c r="R178" s="343">
        <f>+'[74]VENTAS TOTALES'!$F203</f>
        <v>0</v>
      </c>
      <c r="S178" s="344">
        <f>+'[74]VENTAS TOTALES'!$G203</f>
        <v>0</v>
      </c>
      <c r="T178" s="344">
        <f>+'[74]VENTAS TOTALES'!$H203</f>
        <v>0</v>
      </c>
      <c r="U178" s="343">
        <f>+'[75]VENTAS TOTALES'!$F203</f>
        <v>0</v>
      </c>
      <c r="V178" s="344">
        <f>+'[75]VENTAS TOTALES'!$G203</f>
        <v>43000</v>
      </c>
      <c r="W178" s="344">
        <f>+'[75]VENTAS TOTALES'!$H203</f>
        <v>43000</v>
      </c>
      <c r="X178" s="343">
        <f>+'[76]VENTAS TOTALES'!$F203</f>
        <v>0</v>
      </c>
      <c r="Y178" s="344">
        <f>+'[76]VENTAS TOTALES'!$G203</f>
        <v>76000</v>
      </c>
      <c r="Z178" s="344">
        <f>+'[76]VENTAS TOTALES'!$H203</f>
        <v>76000</v>
      </c>
      <c r="AA178" s="343">
        <f>+'[77]VENTAS TOTALES'!$F203</f>
        <v>0</v>
      </c>
      <c r="AB178" s="344">
        <f>+'[77]VENTAS TOTALES'!$G203</f>
        <v>71000</v>
      </c>
      <c r="AC178" s="344">
        <f>+'[77]VENTAS TOTALES'!$H203</f>
        <v>71000</v>
      </c>
      <c r="AD178" s="343">
        <f>+'[78]VENTAS TOTALES'!$F203</f>
        <v>0</v>
      </c>
      <c r="AE178" s="344">
        <f>+'[78]VENTAS TOTALES'!$G203</f>
        <v>0</v>
      </c>
      <c r="AF178" s="344">
        <f>+'[78]VENTAS TOTALES'!$H203</f>
        <v>0</v>
      </c>
      <c r="AG178" s="343">
        <f>+'[79]VENTAS TOTALES'!$F203</f>
        <v>0</v>
      </c>
      <c r="AH178" s="344">
        <f>+'[79]VENTAS TOTALES'!$G203</f>
        <v>0</v>
      </c>
      <c r="AI178" s="344">
        <f>+'[79]VENTAS TOTALES'!$H203</f>
        <v>0</v>
      </c>
      <c r="AJ178" s="343">
        <f>+'[80]VENTAS TOTALES'!$F203</f>
        <v>0</v>
      </c>
      <c r="AK178" s="344">
        <f>+'[80]VENTAS TOTALES'!$G203</f>
        <v>0</v>
      </c>
      <c r="AL178" s="344">
        <f>+'[80]VENTAS TOTALES'!$H203</f>
        <v>0</v>
      </c>
      <c r="AM178" s="343">
        <f>+'[81]VENTAS TOTALES'!$F203</f>
        <v>0</v>
      </c>
      <c r="AN178" s="344">
        <f>+'[81]VENTAS TOTALES'!$G203</f>
        <v>0</v>
      </c>
      <c r="AO178" s="344">
        <f>+'[81]VENTAS TOTALES'!$H203</f>
        <v>0</v>
      </c>
      <c r="AP178" s="343">
        <f>+'[82]VENTAS TOTALES'!$F203</f>
        <v>0</v>
      </c>
      <c r="AQ178" s="344">
        <f>+'[82]VENTAS TOTALES'!$G203</f>
        <v>1000</v>
      </c>
      <c r="AR178" s="344">
        <f>+'[82]VENTAS TOTALES'!$H203</f>
        <v>1000</v>
      </c>
      <c r="AS178" s="343">
        <f>+'[83]VENTAS TOTALES'!$F203</f>
        <v>0</v>
      </c>
      <c r="AT178" s="344">
        <f>+'[83]VENTAS TOTALES'!$G203</f>
        <v>67000</v>
      </c>
      <c r="AU178" s="344">
        <f>+'[83]VENTAS TOTALES'!$H203</f>
        <v>67000</v>
      </c>
      <c r="AV178" s="343">
        <f>+'[84]VENTAS TOTALES'!$F203</f>
        <v>0</v>
      </c>
      <c r="AW178" s="344">
        <f>+'[84]VENTAS TOTALES'!$G203</f>
        <v>94000</v>
      </c>
      <c r="AX178" s="344">
        <f>+'[84]VENTAS TOTALES'!$H203</f>
        <v>94000</v>
      </c>
      <c r="AY178" s="343">
        <f>+'[85]VENTAS TOTALES'!$F203</f>
        <v>0</v>
      </c>
      <c r="AZ178" s="344">
        <f>+'[85]VENTAS TOTALES'!$G203</f>
        <v>39000</v>
      </c>
      <c r="BA178" s="344">
        <f>+'[85]VENTAS TOTALES'!$H203</f>
        <v>39000</v>
      </c>
      <c r="BB178" s="343">
        <f>+'[86]VENTAS TOTALES'!$F203</f>
        <v>0</v>
      </c>
      <c r="BC178" s="344">
        <f>+'[86]VENTAS TOTALES'!$G203</f>
        <v>36000</v>
      </c>
      <c r="BD178" s="344">
        <f>+'[86]VENTAS TOTALES'!$H203</f>
        <v>36000</v>
      </c>
      <c r="BE178" s="343">
        <f>+'[87]VENTAS TOTALES'!$F203</f>
        <v>0</v>
      </c>
      <c r="BF178" s="344">
        <f>+'[87]VENTAS TOTALES'!$G203</f>
        <v>20000</v>
      </c>
      <c r="BG178" s="344">
        <f>+'[87]VENTAS TOTALES'!$H203</f>
        <v>20000</v>
      </c>
      <c r="BH178" s="343">
        <f>+'[88]VENTAS TOTALES'!$F203</f>
        <v>0</v>
      </c>
      <c r="BI178" s="344">
        <f>+'[88]VENTAS TOTALES'!$G203</f>
        <v>0</v>
      </c>
      <c r="BJ178" s="344">
        <f>+'[88]VENTAS TOTALES'!$H203</f>
        <v>0</v>
      </c>
      <c r="BK178" s="343">
        <f>+'[89]VENTAS TOTALES'!$F203</f>
        <v>0</v>
      </c>
      <c r="BL178" s="344">
        <f>+'[89]VENTAS TOTALES'!$G203</f>
        <v>135000</v>
      </c>
      <c r="BM178" s="344">
        <f>+'[89]VENTAS TOTALES'!$H203</f>
        <v>135000</v>
      </c>
      <c r="BN178" s="343">
        <f>+'[90]VENTAS TOTALES'!$F203</f>
        <v>0</v>
      </c>
      <c r="BO178" s="344">
        <f>+'[90]VENTAS TOTALES'!$G203</f>
        <v>110000</v>
      </c>
      <c r="BP178" s="344">
        <f>+'[90]VENTAS TOTALES'!$H203</f>
        <v>110000</v>
      </c>
      <c r="BQ178" s="343">
        <f>+'[91]VENTAS TOTALES'!$F203</f>
        <v>0</v>
      </c>
      <c r="BR178" s="344">
        <f>+'[91]VENTAS TOTALES'!$G203</f>
        <v>32000</v>
      </c>
      <c r="BS178" s="344">
        <f>+'[91]VENTAS TOTALES'!$H203</f>
        <v>32000</v>
      </c>
      <c r="BT178" s="343">
        <f>+'[92]VENTAS TOTALES'!$F203</f>
        <v>0</v>
      </c>
      <c r="BU178" s="344">
        <f>+'[92]VENTAS TOTALES'!$G203</f>
        <v>65000</v>
      </c>
      <c r="BV178" s="344">
        <f>+'[92]VENTAS TOTALES'!$H203</f>
        <v>65000</v>
      </c>
      <c r="BW178" s="343">
        <f>+'[93]VENTAS TOTALES'!$F203</f>
        <v>0</v>
      </c>
      <c r="BX178" s="344">
        <f>+'[93]VENTAS TOTALES'!$G203</f>
        <v>98000</v>
      </c>
      <c r="BY178" s="344">
        <f>+'[93]VENTAS TOTALES'!$H203</f>
        <v>98000</v>
      </c>
      <c r="BZ178" s="343">
        <f>+'[94]VENTAS TOTALES'!$F203</f>
        <v>0</v>
      </c>
      <c r="CA178" s="344">
        <f>+'[94]VENTAS TOTALES'!$G203</f>
        <v>5000</v>
      </c>
      <c r="CB178" s="344">
        <f>+'[94]VENTAS TOTALES'!$H203</f>
        <v>5000</v>
      </c>
      <c r="CC178" s="343">
        <f>+'[95]VENTAS TOTALES'!$F203</f>
        <v>0</v>
      </c>
      <c r="CD178" s="344">
        <f>+'[95]VENTAS TOTALES'!$G203</f>
        <v>0</v>
      </c>
      <c r="CE178" s="344">
        <f>+'[95]VENTAS TOTALES'!$H203</f>
        <v>0</v>
      </c>
      <c r="CF178" s="343">
        <f>+'[96]VENTAS TOTALES'!$F203</f>
        <v>0</v>
      </c>
      <c r="CG178" s="344">
        <f>+'[96]VENTAS TOTALES'!$G203</f>
        <v>94000</v>
      </c>
      <c r="CH178" s="344">
        <f>+'[96]VENTAS TOTALES'!$H203</f>
        <v>94000</v>
      </c>
      <c r="CI178" s="343">
        <f>+'[97]VENTAS TOTALES'!$F203</f>
        <v>0</v>
      </c>
      <c r="CJ178" s="344">
        <f>+'[97]VENTAS TOTALES'!$G203</f>
        <v>80000</v>
      </c>
      <c r="CK178" s="344">
        <f>+'[97]VENTAS TOTALES'!$H203</f>
        <v>80000</v>
      </c>
      <c r="CL178" s="343">
        <f>+'[98]VENTAS TOTALES'!$F203</f>
        <v>0</v>
      </c>
      <c r="CM178" s="344">
        <f>+'[98]VENTAS TOTALES'!$G203</f>
        <v>40000</v>
      </c>
      <c r="CN178" s="344">
        <f>+'[98]VENTAS TOTALES'!$H203</f>
        <v>40000</v>
      </c>
      <c r="CO178" s="343">
        <f>+'[99]VENTAS TOTALES'!$F203</f>
        <v>0</v>
      </c>
      <c r="CP178" s="344">
        <f>+'[99]VENTAS TOTALES'!$G203</f>
        <v>61000</v>
      </c>
      <c r="CQ178" s="344">
        <f>+'[99]VENTAS TOTALES'!$H203</f>
        <v>61000</v>
      </c>
      <c r="CR178" s="343">
        <f>+'[100]VENTAS TOTALES'!$F203</f>
        <v>0</v>
      </c>
      <c r="CS178" s="344">
        <f>+'[100]VENTAS TOTALES'!$G203</f>
        <v>33000</v>
      </c>
      <c r="CT178" s="344">
        <f>+'[100]VENTAS TOTALES'!$H203</f>
        <v>33000</v>
      </c>
      <c r="CU178" s="343">
        <f>+'[101]VENTAS TOTALES'!$F203</f>
        <v>0</v>
      </c>
      <c r="CV178" s="344">
        <f>+'[101]VENTAS TOTALES'!$G203</f>
        <v>14000</v>
      </c>
      <c r="CW178" s="344">
        <f>+'[101]VENTAS TOTALES'!$H203</f>
        <v>14000</v>
      </c>
      <c r="CX178" s="343">
        <f>+'[102]VENTAS TOTALES'!$F203</f>
        <v>0</v>
      </c>
      <c r="CY178" s="344">
        <f>+'[102]VENTAS TOTALES'!$G203</f>
        <v>2000</v>
      </c>
      <c r="CZ178" s="344">
        <f>+'[102]VENTAS TOTALES'!$H203</f>
        <v>2000</v>
      </c>
    </row>
    <row r="179" spans="1:104" s="8" customFormat="1" ht="14.25" customHeight="1" thickBot="1" x14ac:dyDescent="0.25">
      <c r="A179" s="455"/>
      <c r="B179" s="345" t="s">
        <v>464</v>
      </c>
      <c r="C179" s="343">
        <f>+'[69]VENTAS TOTALES'!$F204</f>
        <v>0</v>
      </c>
      <c r="D179" s="344">
        <f>+'[69]VENTAS TOTALES'!$G204</f>
        <v>0</v>
      </c>
      <c r="E179" s="344">
        <f>+'[69]VENTAS TOTALES'!$H204</f>
        <v>0</v>
      </c>
      <c r="F179" s="343">
        <f>+'[70]VENTAS TOTALES'!$F204</f>
        <v>0</v>
      </c>
      <c r="G179" s="344">
        <f>+'[70]VENTAS TOTALES'!$G204</f>
        <v>201000</v>
      </c>
      <c r="H179" s="344">
        <f>+'[70]VENTAS TOTALES'!$H204</f>
        <v>201000</v>
      </c>
      <c r="I179" s="343">
        <f>+'[71]VENTAS TOTALES'!$F204</f>
        <v>0</v>
      </c>
      <c r="J179" s="344">
        <f>+'[71]VENTAS TOTALES'!$G204</f>
        <v>70000</v>
      </c>
      <c r="K179" s="344">
        <f>+'[71]VENTAS TOTALES'!$H204</f>
        <v>70000</v>
      </c>
      <c r="L179" s="343">
        <f>+'[72]VENTAS TOTALES'!$F204</f>
        <v>0</v>
      </c>
      <c r="M179" s="344">
        <f>+'[72]VENTAS TOTALES'!$G204</f>
        <v>132000</v>
      </c>
      <c r="N179" s="344">
        <f>+'[72]VENTAS TOTALES'!$H204</f>
        <v>132000</v>
      </c>
      <c r="O179" s="343">
        <f>+'[73]VENTAS TOTALES'!$F204</f>
        <v>0</v>
      </c>
      <c r="P179" s="344">
        <f>+'[73]VENTAS TOTALES'!$G204</f>
        <v>0</v>
      </c>
      <c r="Q179" s="344">
        <f>+'[73]VENTAS TOTALES'!$H204</f>
        <v>0</v>
      </c>
      <c r="R179" s="343">
        <f>+'[74]VENTAS TOTALES'!$F204</f>
        <v>0</v>
      </c>
      <c r="S179" s="344">
        <f>+'[74]VENTAS TOTALES'!$G204</f>
        <v>0</v>
      </c>
      <c r="T179" s="344">
        <f>+'[74]VENTAS TOTALES'!$H204</f>
        <v>0</v>
      </c>
      <c r="U179" s="343">
        <f>+'[75]VENTAS TOTALES'!$F204</f>
        <v>0</v>
      </c>
      <c r="V179" s="344">
        <f>+'[75]VENTAS TOTALES'!$G204</f>
        <v>288000</v>
      </c>
      <c r="W179" s="344">
        <f>+'[75]VENTAS TOTALES'!$H204</f>
        <v>288000</v>
      </c>
      <c r="X179" s="343">
        <f>+'[76]VENTAS TOTALES'!$F204</f>
        <v>0</v>
      </c>
      <c r="Y179" s="344">
        <f>+'[76]VENTAS TOTALES'!$G204</f>
        <v>191000</v>
      </c>
      <c r="Z179" s="344">
        <f>+'[76]VENTAS TOTALES'!$H204</f>
        <v>191000</v>
      </c>
      <c r="AA179" s="343">
        <f>+'[77]VENTAS TOTALES'!$F204</f>
        <v>0</v>
      </c>
      <c r="AB179" s="344">
        <f>+'[77]VENTAS TOTALES'!$G204</f>
        <v>205000</v>
      </c>
      <c r="AC179" s="344">
        <f>+'[77]VENTAS TOTALES'!$H204</f>
        <v>205000</v>
      </c>
      <c r="AD179" s="343">
        <f>+'[78]VENTAS TOTALES'!$F204</f>
        <v>0</v>
      </c>
      <c r="AE179" s="344">
        <f>+'[78]VENTAS TOTALES'!$G204</f>
        <v>267000</v>
      </c>
      <c r="AF179" s="344">
        <f>+'[78]VENTAS TOTALES'!$H204</f>
        <v>267000</v>
      </c>
      <c r="AG179" s="343">
        <f>+'[79]VENTAS TOTALES'!$F204</f>
        <v>0</v>
      </c>
      <c r="AH179" s="344">
        <f>+'[79]VENTAS TOTALES'!$G204</f>
        <v>259000</v>
      </c>
      <c r="AI179" s="344">
        <f>+'[79]VENTAS TOTALES'!$H204</f>
        <v>259000</v>
      </c>
      <c r="AJ179" s="343">
        <f>+'[80]VENTAS TOTALES'!$F204</f>
        <v>0</v>
      </c>
      <c r="AK179" s="344">
        <f>+'[80]VENTAS TOTALES'!$G204</f>
        <v>52000</v>
      </c>
      <c r="AL179" s="344">
        <f>+'[80]VENTAS TOTALES'!$H204</f>
        <v>52000</v>
      </c>
      <c r="AM179" s="343">
        <f>+'[81]VENTAS TOTALES'!$F204</f>
        <v>0</v>
      </c>
      <c r="AN179" s="344">
        <f>+'[81]VENTAS TOTALES'!$G204</f>
        <v>0</v>
      </c>
      <c r="AO179" s="344">
        <f>+'[81]VENTAS TOTALES'!$H204</f>
        <v>0</v>
      </c>
      <c r="AP179" s="343">
        <f>+'[82]VENTAS TOTALES'!$F204</f>
        <v>0</v>
      </c>
      <c r="AQ179" s="344">
        <f>+'[82]VENTAS TOTALES'!$G204</f>
        <v>499000</v>
      </c>
      <c r="AR179" s="344">
        <f>+'[82]VENTAS TOTALES'!$H204</f>
        <v>499000</v>
      </c>
      <c r="AS179" s="343">
        <f>+'[83]VENTAS TOTALES'!$F204</f>
        <v>0</v>
      </c>
      <c r="AT179" s="344">
        <f>+'[83]VENTAS TOTALES'!$G204</f>
        <v>363000</v>
      </c>
      <c r="AU179" s="344">
        <f>+'[83]VENTAS TOTALES'!$H204</f>
        <v>363000</v>
      </c>
      <c r="AV179" s="343">
        <f>+'[84]VENTAS TOTALES'!$F204</f>
        <v>0</v>
      </c>
      <c r="AW179" s="344">
        <f>+'[84]VENTAS TOTALES'!$G204</f>
        <v>355000</v>
      </c>
      <c r="AX179" s="344">
        <f>+'[84]VENTAS TOTALES'!$H204</f>
        <v>355000</v>
      </c>
      <c r="AY179" s="343">
        <f>+'[85]VENTAS TOTALES'!$F204</f>
        <v>0</v>
      </c>
      <c r="AZ179" s="344">
        <f>+'[85]VENTAS TOTALES'!$G204</f>
        <v>195000</v>
      </c>
      <c r="BA179" s="344">
        <f>+'[85]VENTAS TOTALES'!$H204</f>
        <v>195000</v>
      </c>
      <c r="BB179" s="343">
        <f>+'[86]VENTAS TOTALES'!$F204</f>
        <v>0</v>
      </c>
      <c r="BC179" s="344">
        <f>+'[86]VENTAS TOTALES'!$G204</f>
        <v>136000</v>
      </c>
      <c r="BD179" s="344">
        <f>+'[86]VENTAS TOTALES'!$H204</f>
        <v>136000</v>
      </c>
      <c r="BE179" s="343">
        <f>+'[87]VENTAS TOTALES'!$F204</f>
        <v>0</v>
      </c>
      <c r="BF179" s="344">
        <f>+'[87]VENTAS TOTALES'!$G204</f>
        <v>21000</v>
      </c>
      <c r="BG179" s="344">
        <f>+'[87]VENTAS TOTALES'!$H204</f>
        <v>21000</v>
      </c>
      <c r="BH179" s="343">
        <f>+'[88]VENTAS TOTALES'!$F204</f>
        <v>0</v>
      </c>
      <c r="BI179" s="344">
        <f>+'[88]VENTAS TOTALES'!$G204</f>
        <v>0</v>
      </c>
      <c r="BJ179" s="344">
        <f>+'[88]VENTAS TOTALES'!$H204</f>
        <v>0</v>
      </c>
      <c r="BK179" s="343">
        <f>+'[89]VENTAS TOTALES'!$F204</f>
        <v>0</v>
      </c>
      <c r="BL179" s="344">
        <f>+'[89]VENTAS TOTALES'!$G204</f>
        <v>483000</v>
      </c>
      <c r="BM179" s="344">
        <f>+'[89]VENTAS TOTALES'!$H204</f>
        <v>483000</v>
      </c>
      <c r="BN179" s="343">
        <f>+'[90]VENTAS TOTALES'!$F204</f>
        <v>0</v>
      </c>
      <c r="BO179" s="344">
        <f>+'[90]VENTAS TOTALES'!$G204</f>
        <v>282000</v>
      </c>
      <c r="BP179" s="344">
        <f>+'[90]VENTAS TOTALES'!$H204</f>
        <v>282000</v>
      </c>
      <c r="BQ179" s="343">
        <f>+'[91]VENTAS TOTALES'!$F204</f>
        <v>0</v>
      </c>
      <c r="BR179" s="344">
        <f>+'[91]VENTAS TOTALES'!$G204</f>
        <v>248000</v>
      </c>
      <c r="BS179" s="344">
        <f>+'[91]VENTAS TOTALES'!$H204</f>
        <v>248000</v>
      </c>
      <c r="BT179" s="343">
        <f>+'[92]VENTAS TOTALES'!$F204</f>
        <v>0</v>
      </c>
      <c r="BU179" s="344">
        <f>+'[92]VENTAS TOTALES'!$G204</f>
        <v>245000</v>
      </c>
      <c r="BV179" s="344">
        <f>+'[92]VENTAS TOTALES'!$H204</f>
        <v>245000</v>
      </c>
      <c r="BW179" s="343">
        <f>+'[93]VENTAS TOTALES'!$F204</f>
        <v>0</v>
      </c>
      <c r="BX179" s="344">
        <f>+'[93]VENTAS TOTALES'!$G204</f>
        <v>361000</v>
      </c>
      <c r="BY179" s="344">
        <f>+'[93]VENTAS TOTALES'!$H204</f>
        <v>361000</v>
      </c>
      <c r="BZ179" s="343">
        <f>+'[94]VENTAS TOTALES'!$F204</f>
        <v>0</v>
      </c>
      <c r="CA179" s="344">
        <f>+'[94]VENTAS TOTALES'!$G204</f>
        <v>125000</v>
      </c>
      <c r="CB179" s="344">
        <f>+'[94]VENTAS TOTALES'!$H204</f>
        <v>125000</v>
      </c>
      <c r="CC179" s="343">
        <f>+'[95]VENTAS TOTALES'!$F204</f>
        <v>0</v>
      </c>
      <c r="CD179" s="344">
        <f>+'[95]VENTAS TOTALES'!$G204</f>
        <v>0</v>
      </c>
      <c r="CE179" s="344">
        <f>+'[95]VENTAS TOTALES'!$H204</f>
        <v>0</v>
      </c>
      <c r="CF179" s="343">
        <f>+'[96]VENTAS TOTALES'!$F204</f>
        <v>0</v>
      </c>
      <c r="CG179" s="344">
        <f>+'[96]VENTAS TOTALES'!$G204</f>
        <v>803000</v>
      </c>
      <c r="CH179" s="344">
        <f>+'[96]VENTAS TOTALES'!$H204</f>
        <v>803000</v>
      </c>
      <c r="CI179" s="343">
        <f>+'[97]VENTAS TOTALES'!$F204</f>
        <v>0</v>
      </c>
      <c r="CJ179" s="344">
        <f>+'[97]VENTAS TOTALES'!$G204</f>
        <v>617000</v>
      </c>
      <c r="CK179" s="344">
        <f>+'[97]VENTAS TOTALES'!$H204</f>
        <v>617000</v>
      </c>
      <c r="CL179" s="343">
        <f>+'[98]VENTAS TOTALES'!$F204</f>
        <v>0</v>
      </c>
      <c r="CM179" s="344">
        <f>+'[98]VENTAS TOTALES'!$G204</f>
        <v>128000</v>
      </c>
      <c r="CN179" s="344">
        <f>+'[98]VENTAS TOTALES'!$H204</f>
        <v>128000</v>
      </c>
      <c r="CO179" s="343">
        <f>+'[99]VENTAS TOTALES'!$F204</f>
        <v>0</v>
      </c>
      <c r="CP179" s="344">
        <f>+'[99]VENTAS TOTALES'!$G204</f>
        <v>207000</v>
      </c>
      <c r="CQ179" s="344">
        <f>+'[99]VENTAS TOTALES'!$H204</f>
        <v>207000</v>
      </c>
      <c r="CR179" s="343">
        <f>+'[100]VENTAS TOTALES'!$F204</f>
        <v>0</v>
      </c>
      <c r="CS179" s="344">
        <f>+'[100]VENTAS TOTALES'!$G204</f>
        <v>181000</v>
      </c>
      <c r="CT179" s="344">
        <f>+'[100]VENTAS TOTALES'!$H204</f>
        <v>181000</v>
      </c>
      <c r="CU179" s="343">
        <f>+'[101]VENTAS TOTALES'!$F204</f>
        <v>0</v>
      </c>
      <c r="CV179" s="344">
        <f>+'[101]VENTAS TOTALES'!$G204</f>
        <v>85000</v>
      </c>
      <c r="CW179" s="344">
        <f>+'[101]VENTAS TOTALES'!$H204</f>
        <v>85000</v>
      </c>
      <c r="CX179" s="343">
        <f>+'[102]VENTAS TOTALES'!$F204</f>
        <v>0</v>
      </c>
      <c r="CY179" s="344">
        <f>+'[102]VENTAS TOTALES'!$G204</f>
        <v>0</v>
      </c>
      <c r="CZ179" s="344">
        <f>+'[102]VENTAS TOTALES'!$H204</f>
        <v>0</v>
      </c>
    </row>
    <row r="180" spans="1:104" s="8" customFormat="1" ht="14.25" customHeight="1" thickBot="1" x14ac:dyDescent="0.25">
      <c r="A180" s="455"/>
      <c r="B180" s="345" t="s">
        <v>465</v>
      </c>
      <c r="C180" s="343">
        <f>+'[69]VENTAS TOTALES'!$F205</f>
        <v>0</v>
      </c>
      <c r="D180" s="344">
        <f>+'[69]VENTAS TOTALES'!$G205</f>
        <v>608000</v>
      </c>
      <c r="E180" s="344">
        <f>+'[69]VENTAS TOTALES'!$H205</f>
        <v>608000</v>
      </c>
      <c r="F180" s="343">
        <f>+'[70]VENTAS TOTALES'!$F205</f>
        <v>0</v>
      </c>
      <c r="G180" s="344">
        <f>+'[70]VENTAS TOTALES'!$G205</f>
        <v>244000</v>
      </c>
      <c r="H180" s="344">
        <f>+'[70]VENTAS TOTALES'!$H205</f>
        <v>244000</v>
      </c>
      <c r="I180" s="343">
        <f>+'[71]VENTAS TOTALES'!$F205</f>
        <v>0</v>
      </c>
      <c r="J180" s="344">
        <f>+'[71]VENTAS TOTALES'!$G205</f>
        <v>127000</v>
      </c>
      <c r="K180" s="344">
        <f>+'[71]VENTAS TOTALES'!$H205</f>
        <v>127000</v>
      </c>
      <c r="L180" s="343">
        <f>+'[72]VENTAS TOTALES'!$F205</f>
        <v>0</v>
      </c>
      <c r="M180" s="344">
        <f>+'[72]VENTAS TOTALES'!$G205</f>
        <v>105000</v>
      </c>
      <c r="N180" s="344">
        <f>+'[72]VENTAS TOTALES'!$H205</f>
        <v>105000</v>
      </c>
      <c r="O180" s="343">
        <f>+'[73]VENTAS TOTALES'!$F205</f>
        <v>0</v>
      </c>
      <c r="P180" s="344">
        <f>+'[73]VENTAS TOTALES'!$G205</f>
        <v>0</v>
      </c>
      <c r="Q180" s="344">
        <f>+'[73]VENTAS TOTALES'!$H205</f>
        <v>0</v>
      </c>
      <c r="R180" s="343">
        <f>+'[74]VENTAS TOTALES'!$F205</f>
        <v>0</v>
      </c>
      <c r="S180" s="344">
        <f>+'[74]VENTAS TOTALES'!$G205</f>
        <v>0</v>
      </c>
      <c r="T180" s="344">
        <f>+'[74]VENTAS TOTALES'!$H205</f>
        <v>0</v>
      </c>
      <c r="U180" s="343">
        <f>+'[75]VENTAS TOTALES'!$F205</f>
        <v>0</v>
      </c>
      <c r="V180" s="344">
        <f>+'[75]VENTAS TOTALES'!$G205</f>
        <v>101000</v>
      </c>
      <c r="W180" s="344">
        <f>+'[75]VENTAS TOTALES'!$H205</f>
        <v>101000</v>
      </c>
      <c r="X180" s="343">
        <f>+'[76]VENTAS TOTALES'!$F205</f>
        <v>0</v>
      </c>
      <c r="Y180" s="344">
        <f>+'[76]VENTAS TOTALES'!$G205</f>
        <v>177000</v>
      </c>
      <c r="Z180" s="344">
        <f>+'[76]VENTAS TOTALES'!$H205</f>
        <v>177000</v>
      </c>
      <c r="AA180" s="343">
        <f>+'[77]VENTAS TOTALES'!$F205</f>
        <v>0</v>
      </c>
      <c r="AB180" s="344">
        <f>+'[77]VENTAS TOTALES'!$G205</f>
        <v>149000</v>
      </c>
      <c r="AC180" s="344">
        <f>+'[77]VENTAS TOTALES'!$H205</f>
        <v>149000</v>
      </c>
      <c r="AD180" s="343">
        <f>+'[78]VENTAS TOTALES'!$F205</f>
        <v>0</v>
      </c>
      <c r="AE180" s="344">
        <f>+'[78]VENTAS TOTALES'!$G205</f>
        <v>252000</v>
      </c>
      <c r="AF180" s="344">
        <f>+'[78]VENTAS TOTALES'!$H205</f>
        <v>252000</v>
      </c>
      <c r="AG180" s="343">
        <f>+'[79]VENTAS TOTALES'!$F205</f>
        <v>0</v>
      </c>
      <c r="AH180" s="344">
        <f>+'[79]VENTAS TOTALES'!$G205</f>
        <v>73000</v>
      </c>
      <c r="AI180" s="344">
        <f>+'[79]VENTAS TOTALES'!$H205</f>
        <v>73000</v>
      </c>
      <c r="AJ180" s="343">
        <f>+'[80]VENTAS TOTALES'!$F205</f>
        <v>0</v>
      </c>
      <c r="AK180" s="344">
        <f>+'[80]VENTAS TOTALES'!$G205</f>
        <v>25000</v>
      </c>
      <c r="AL180" s="344">
        <f>+'[80]VENTAS TOTALES'!$H205</f>
        <v>25000</v>
      </c>
      <c r="AM180" s="343">
        <f>+'[81]VENTAS TOTALES'!$F205</f>
        <v>0</v>
      </c>
      <c r="AN180" s="344">
        <f>+'[81]VENTAS TOTALES'!$G205</f>
        <v>0</v>
      </c>
      <c r="AO180" s="344">
        <f>+'[81]VENTAS TOTALES'!$H205</f>
        <v>0</v>
      </c>
      <c r="AP180" s="343">
        <f>+'[82]VENTAS TOTALES'!$F205</f>
        <v>0</v>
      </c>
      <c r="AQ180" s="344">
        <f>+'[82]VENTAS TOTALES'!$G205</f>
        <v>203000</v>
      </c>
      <c r="AR180" s="344">
        <f>+'[82]VENTAS TOTALES'!$H205</f>
        <v>203000</v>
      </c>
      <c r="AS180" s="343">
        <f>+'[83]VENTAS TOTALES'!$F205</f>
        <v>0</v>
      </c>
      <c r="AT180" s="344">
        <f>+'[83]VENTAS TOTALES'!$G205</f>
        <v>142000</v>
      </c>
      <c r="AU180" s="344">
        <f>+'[83]VENTAS TOTALES'!$H205</f>
        <v>142000</v>
      </c>
      <c r="AV180" s="343">
        <f>+'[84]VENTAS TOTALES'!$F205</f>
        <v>0</v>
      </c>
      <c r="AW180" s="344">
        <f>+'[84]VENTAS TOTALES'!$G205</f>
        <v>136000</v>
      </c>
      <c r="AX180" s="344">
        <f>+'[84]VENTAS TOTALES'!$H205</f>
        <v>136000</v>
      </c>
      <c r="AY180" s="343">
        <f>+'[85]VENTAS TOTALES'!$F205</f>
        <v>0</v>
      </c>
      <c r="AZ180" s="344">
        <f>+'[85]VENTAS TOTALES'!$G205</f>
        <v>223000</v>
      </c>
      <c r="BA180" s="344">
        <f>+'[85]VENTAS TOTALES'!$H205</f>
        <v>223000</v>
      </c>
      <c r="BB180" s="343">
        <f>+'[86]VENTAS TOTALES'!$F205</f>
        <v>0</v>
      </c>
      <c r="BC180" s="344">
        <f>+'[86]VENTAS TOTALES'!$G205</f>
        <v>132000</v>
      </c>
      <c r="BD180" s="344">
        <f>+'[86]VENTAS TOTALES'!$H205</f>
        <v>132000</v>
      </c>
      <c r="BE180" s="343">
        <f>+'[87]VENTAS TOTALES'!$F205</f>
        <v>0</v>
      </c>
      <c r="BF180" s="344">
        <f>+'[87]VENTAS TOTALES'!$G205</f>
        <v>74000</v>
      </c>
      <c r="BG180" s="344">
        <f>+'[87]VENTAS TOTALES'!$H205</f>
        <v>74000</v>
      </c>
      <c r="BH180" s="343">
        <f>+'[88]VENTAS TOTALES'!$F205</f>
        <v>0</v>
      </c>
      <c r="BI180" s="344">
        <f>+'[88]VENTAS TOTALES'!$G205</f>
        <v>0</v>
      </c>
      <c r="BJ180" s="344">
        <f>+'[88]VENTAS TOTALES'!$H205</f>
        <v>0</v>
      </c>
      <c r="BK180" s="343">
        <f>+'[89]VENTAS TOTALES'!$F205</f>
        <v>0</v>
      </c>
      <c r="BL180" s="344">
        <f>+'[89]VENTAS TOTALES'!$G205</f>
        <v>186000</v>
      </c>
      <c r="BM180" s="344">
        <f>+'[89]VENTAS TOTALES'!$H205</f>
        <v>186000</v>
      </c>
      <c r="BN180" s="343">
        <f>+'[90]VENTAS TOTALES'!$F205</f>
        <v>0</v>
      </c>
      <c r="BO180" s="344">
        <f>+'[90]VENTAS TOTALES'!$G205</f>
        <v>193000</v>
      </c>
      <c r="BP180" s="344">
        <f>+'[90]VENTAS TOTALES'!$H205</f>
        <v>193000</v>
      </c>
      <c r="BQ180" s="343">
        <f>+'[91]VENTAS TOTALES'!$F205</f>
        <v>0</v>
      </c>
      <c r="BR180" s="344">
        <f>+'[91]VENTAS TOTALES'!$G205</f>
        <v>121000</v>
      </c>
      <c r="BS180" s="344">
        <f>+'[91]VENTAS TOTALES'!$H205</f>
        <v>121000</v>
      </c>
      <c r="BT180" s="343">
        <f>+'[92]VENTAS TOTALES'!$F205</f>
        <v>0</v>
      </c>
      <c r="BU180" s="344">
        <f>+'[92]VENTAS TOTALES'!$G205</f>
        <v>135000</v>
      </c>
      <c r="BV180" s="344">
        <f>+'[92]VENTAS TOTALES'!$H205</f>
        <v>135000</v>
      </c>
      <c r="BW180" s="343">
        <f>+'[93]VENTAS TOTALES'!$F205</f>
        <v>0</v>
      </c>
      <c r="BX180" s="344">
        <f>+'[93]VENTAS TOTALES'!$G205</f>
        <v>255000</v>
      </c>
      <c r="BY180" s="344">
        <f>+'[93]VENTAS TOTALES'!$H205</f>
        <v>255000</v>
      </c>
      <c r="BZ180" s="343">
        <f>+'[94]VENTAS TOTALES'!$F205</f>
        <v>0</v>
      </c>
      <c r="CA180" s="344">
        <f>+'[94]VENTAS TOTALES'!$G205</f>
        <v>8000</v>
      </c>
      <c r="CB180" s="344">
        <f>+'[94]VENTAS TOTALES'!$H205</f>
        <v>8000</v>
      </c>
      <c r="CC180" s="343">
        <f>+'[95]VENTAS TOTALES'!$F205</f>
        <v>0</v>
      </c>
      <c r="CD180" s="344">
        <f>+'[95]VENTAS TOTALES'!$G205</f>
        <v>0</v>
      </c>
      <c r="CE180" s="344">
        <f>+'[95]VENTAS TOTALES'!$H205</f>
        <v>0</v>
      </c>
      <c r="CF180" s="343">
        <f>+'[96]VENTAS TOTALES'!$F205</f>
        <v>0</v>
      </c>
      <c r="CG180" s="344">
        <f>+'[96]VENTAS TOTALES'!$G205</f>
        <v>0</v>
      </c>
      <c r="CH180" s="344">
        <f>+'[96]VENTAS TOTALES'!$H205</f>
        <v>0</v>
      </c>
      <c r="CI180" s="343">
        <f>+'[97]VENTAS TOTALES'!$F205</f>
        <v>0</v>
      </c>
      <c r="CJ180" s="344">
        <f>+'[97]VENTAS TOTALES'!$G205</f>
        <v>258000</v>
      </c>
      <c r="CK180" s="344">
        <f>+'[97]VENTAS TOTALES'!$H205</f>
        <v>258000</v>
      </c>
      <c r="CL180" s="343">
        <f>+'[98]VENTAS TOTALES'!$F205</f>
        <v>0</v>
      </c>
      <c r="CM180" s="344">
        <f>+'[98]VENTAS TOTALES'!$G205</f>
        <v>231000</v>
      </c>
      <c r="CN180" s="344">
        <f>+'[98]VENTAS TOTALES'!$H205</f>
        <v>231000</v>
      </c>
      <c r="CO180" s="343">
        <f>+'[99]VENTAS TOTALES'!$F205</f>
        <v>0</v>
      </c>
      <c r="CP180" s="344">
        <f>+'[99]VENTAS TOTALES'!$G205</f>
        <v>164000</v>
      </c>
      <c r="CQ180" s="344">
        <f>+'[99]VENTAS TOTALES'!$H205</f>
        <v>164000</v>
      </c>
      <c r="CR180" s="343">
        <f>+'[100]VENTAS TOTALES'!$F205</f>
        <v>0</v>
      </c>
      <c r="CS180" s="344">
        <f>+'[100]VENTAS TOTALES'!$G205</f>
        <v>79000</v>
      </c>
      <c r="CT180" s="344">
        <f>+'[100]VENTAS TOTALES'!$H205</f>
        <v>79000</v>
      </c>
      <c r="CU180" s="343">
        <f>+'[101]VENTAS TOTALES'!$F205</f>
        <v>0</v>
      </c>
      <c r="CV180" s="344">
        <f>+'[101]VENTAS TOTALES'!$G205</f>
        <v>19000</v>
      </c>
      <c r="CW180" s="344">
        <f>+'[101]VENTAS TOTALES'!$H205</f>
        <v>19000</v>
      </c>
      <c r="CX180" s="343">
        <f>+'[102]VENTAS TOTALES'!$F205</f>
        <v>0</v>
      </c>
      <c r="CY180" s="344">
        <f>+'[102]VENTAS TOTALES'!$G205</f>
        <v>0</v>
      </c>
      <c r="CZ180" s="344">
        <f>+'[102]VENTAS TOTALES'!$H205</f>
        <v>0</v>
      </c>
    </row>
    <row r="181" spans="1:104" s="8" customFormat="1" ht="14.25" customHeight="1" thickBot="1" x14ac:dyDescent="0.25">
      <c r="A181" s="455"/>
      <c r="B181" s="345" t="s">
        <v>466</v>
      </c>
      <c r="C181" s="343">
        <f>+'[69]VENTAS TOTALES'!$F206</f>
        <v>0</v>
      </c>
      <c r="D181" s="344">
        <f>+'[69]VENTAS TOTALES'!$G206</f>
        <v>206000</v>
      </c>
      <c r="E181" s="344">
        <f>+'[69]VENTAS TOTALES'!$H206</f>
        <v>206000</v>
      </c>
      <c r="F181" s="343">
        <f>+'[70]VENTAS TOTALES'!$F206</f>
        <v>0</v>
      </c>
      <c r="G181" s="344">
        <f>+'[70]VENTAS TOTALES'!$G206</f>
        <v>108000</v>
      </c>
      <c r="H181" s="344">
        <f>+'[70]VENTAS TOTALES'!$H206</f>
        <v>108000</v>
      </c>
      <c r="I181" s="343">
        <f>+'[71]VENTAS TOTALES'!$F206</f>
        <v>0</v>
      </c>
      <c r="J181" s="344">
        <f>+'[71]VENTAS TOTALES'!$G206</f>
        <v>116000</v>
      </c>
      <c r="K181" s="344">
        <f>+'[71]VENTAS TOTALES'!$H206</f>
        <v>116000</v>
      </c>
      <c r="L181" s="343">
        <f>+'[72]VENTAS TOTALES'!$F206</f>
        <v>0</v>
      </c>
      <c r="M181" s="344">
        <f>+'[72]VENTAS TOTALES'!$G206</f>
        <v>143000</v>
      </c>
      <c r="N181" s="344">
        <f>+'[72]VENTAS TOTALES'!$H206</f>
        <v>143000</v>
      </c>
      <c r="O181" s="343">
        <f>+'[73]VENTAS TOTALES'!$F206</f>
        <v>0</v>
      </c>
      <c r="P181" s="344">
        <f>+'[73]VENTAS TOTALES'!$G206</f>
        <v>40000</v>
      </c>
      <c r="Q181" s="344">
        <f>+'[73]VENTAS TOTALES'!$H206</f>
        <v>40000</v>
      </c>
      <c r="R181" s="343">
        <f>+'[74]VENTAS TOTALES'!$F206</f>
        <v>0</v>
      </c>
      <c r="S181" s="344">
        <f>+'[74]VENTAS TOTALES'!$G206</f>
        <v>0</v>
      </c>
      <c r="T181" s="344">
        <f>+'[74]VENTAS TOTALES'!$H206</f>
        <v>0</v>
      </c>
      <c r="U181" s="343">
        <f>+'[75]VENTAS TOTALES'!$F206</f>
        <v>0</v>
      </c>
      <c r="V181" s="344">
        <f>+'[75]VENTAS TOTALES'!$G206</f>
        <v>170000</v>
      </c>
      <c r="W181" s="344">
        <f>+'[75]VENTAS TOTALES'!$H206</f>
        <v>170000</v>
      </c>
      <c r="X181" s="343">
        <f>+'[76]VENTAS TOTALES'!$F206</f>
        <v>0</v>
      </c>
      <c r="Y181" s="344">
        <f>+'[76]VENTAS TOTALES'!$G206</f>
        <v>83000</v>
      </c>
      <c r="Z181" s="344">
        <f>+'[76]VENTAS TOTALES'!$H206</f>
        <v>83000</v>
      </c>
      <c r="AA181" s="343">
        <f>+'[77]VENTAS TOTALES'!$F206</f>
        <v>0</v>
      </c>
      <c r="AB181" s="344">
        <f>+'[77]VENTAS TOTALES'!$G206</f>
        <v>232000</v>
      </c>
      <c r="AC181" s="344">
        <f>+'[77]VENTAS TOTALES'!$H206</f>
        <v>232000</v>
      </c>
      <c r="AD181" s="343">
        <f>+'[78]VENTAS TOTALES'!$F206</f>
        <v>0</v>
      </c>
      <c r="AE181" s="344">
        <f>+'[78]VENTAS TOTALES'!$G206</f>
        <v>0</v>
      </c>
      <c r="AF181" s="344">
        <f>+'[78]VENTAS TOTALES'!$H206</f>
        <v>0</v>
      </c>
      <c r="AG181" s="343">
        <f>+'[79]VENTAS TOTALES'!$F206</f>
        <v>0</v>
      </c>
      <c r="AH181" s="344">
        <f>+'[79]VENTAS TOTALES'!$G206</f>
        <v>23000</v>
      </c>
      <c r="AI181" s="344">
        <f>+'[79]VENTAS TOTALES'!$H206</f>
        <v>23000</v>
      </c>
      <c r="AJ181" s="343">
        <f>+'[80]VENTAS TOTALES'!$F206</f>
        <v>0</v>
      </c>
      <c r="AK181" s="344">
        <f>+'[80]VENTAS TOTALES'!$G206</f>
        <v>11000</v>
      </c>
      <c r="AL181" s="344">
        <f>+'[80]VENTAS TOTALES'!$H206</f>
        <v>11000</v>
      </c>
      <c r="AM181" s="343">
        <f>+'[81]VENTAS TOTALES'!$F206</f>
        <v>0</v>
      </c>
      <c r="AN181" s="344">
        <f>+'[81]VENTAS TOTALES'!$G206</f>
        <v>0</v>
      </c>
      <c r="AO181" s="344">
        <f>+'[81]VENTAS TOTALES'!$H206</f>
        <v>0</v>
      </c>
      <c r="AP181" s="343">
        <f>+'[82]VENTAS TOTALES'!$F206</f>
        <v>0</v>
      </c>
      <c r="AQ181" s="344">
        <f>+'[82]VENTAS TOTALES'!$G206</f>
        <v>269000</v>
      </c>
      <c r="AR181" s="344">
        <f>+'[82]VENTAS TOTALES'!$H206</f>
        <v>269000</v>
      </c>
      <c r="AS181" s="343">
        <f>+'[83]VENTAS TOTALES'!$F206</f>
        <v>0</v>
      </c>
      <c r="AT181" s="344">
        <f>+'[83]VENTAS TOTALES'!$G206</f>
        <v>283000</v>
      </c>
      <c r="AU181" s="344">
        <f>+'[83]VENTAS TOTALES'!$H206</f>
        <v>283000</v>
      </c>
      <c r="AV181" s="343">
        <f>+'[84]VENTAS TOTALES'!$F206</f>
        <v>0</v>
      </c>
      <c r="AW181" s="344">
        <f>+'[84]VENTAS TOTALES'!$G206</f>
        <v>96000</v>
      </c>
      <c r="AX181" s="344">
        <f>+'[84]VENTAS TOTALES'!$H206</f>
        <v>96000</v>
      </c>
      <c r="AY181" s="343">
        <f>+'[85]VENTAS TOTALES'!$F206</f>
        <v>0</v>
      </c>
      <c r="AZ181" s="344">
        <f>+'[85]VENTAS TOTALES'!$G206</f>
        <v>19000</v>
      </c>
      <c r="BA181" s="344">
        <f>+'[85]VENTAS TOTALES'!$H206</f>
        <v>19000</v>
      </c>
      <c r="BB181" s="343">
        <f>+'[86]VENTAS TOTALES'!$F206</f>
        <v>0</v>
      </c>
      <c r="BC181" s="344">
        <f>+'[86]VENTAS TOTALES'!$G206</f>
        <v>70000</v>
      </c>
      <c r="BD181" s="344">
        <f>+'[86]VENTAS TOTALES'!$H206</f>
        <v>70000</v>
      </c>
      <c r="BE181" s="343">
        <f>+'[87]VENTAS TOTALES'!$F206</f>
        <v>0</v>
      </c>
      <c r="BF181" s="344">
        <f>+'[87]VENTAS TOTALES'!$G206</f>
        <v>0</v>
      </c>
      <c r="BG181" s="344">
        <f>+'[87]VENTAS TOTALES'!$H206</f>
        <v>0</v>
      </c>
      <c r="BH181" s="343">
        <f>+'[88]VENTAS TOTALES'!$F206</f>
        <v>0</v>
      </c>
      <c r="BI181" s="344">
        <f>+'[88]VENTAS TOTALES'!$G206</f>
        <v>0</v>
      </c>
      <c r="BJ181" s="344">
        <f>+'[88]VENTAS TOTALES'!$H206</f>
        <v>0</v>
      </c>
      <c r="BK181" s="343">
        <f>+'[89]VENTAS TOTALES'!$F206</f>
        <v>0</v>
      </c>
      <c r="BL181" s="344">
        <f>+'[89]VENTAS TOTALES'!$G206</f>
        <v>150000</v>
      </c>
      <c r="BM181" s="344">
        <f>+'[89]VENTAS TOTALES'!$H206</f>
        <v>150000</v>
      </c>
      <c r="BN181" s="343">
        <f>+'[90]VENTAS TOTALES'!$F206</f>
        <v>0</v>
      </c>
      <c r="BO181" s="344">
        <f>+'[90]VENTAS TOTALES'!$G206</f>
        <v>164000</v>
      </c>
      <c r="BP181" s="344">
        <f>+'[90]VENTAS TOTALES'!$H206</f>
        <v>164000</v>
      </c>
      <c r="BQ181" s="343">
        <f>+'[91]VENTAS TOTALES'!$F206</f>
        <v>0</v>
      </c>
      <c r="BR181" s="344">
        <f>+'[91]VENTAS TOTALES'!$G206</f>
        <v>169000</v>
      </c>
      <c r="BS181" s="344">
        <f>+'[91]VENTAS TOTALES'!$H206</f>
        <v>169000</v>
      </c>
      <c r="BT181" s="343">
        <f>+'[92]VENTAS TOTALES'!$F206</f>
        <v>0</v>
      </c>
      <c r="BU181" s="344">
        <f>+'[92]VENTAS TOTALES'!$G206</f>
        <v>122000</v>
      </c>
      <c r="BV181" s="344">
        <f>+'[92]VENTAS TOTALES'!$H206</f>
        <v>122000</v>
      </c>
      <c r="BW181" s="343">
        <f>+'[93]VENTAS TOTALES'!$F206</f>
        <v>0</v>
      </c>
      <c r="BX181" s="344">
        <f>+'[93]VENTAS TOTALES'!$G206</f>
        <v>59000</v>
      </c>
      <c r="BY181" s="344">
        <f>+'[93]VENTAS TOTALES'!$H206</f>
        <v>59000</v>
      </c>
      <c r="BZ181" s="343">
        <f>+'[94]VENTAS TOTALES'!$F206</f>
        <v>0</v>
      </c>
      <c r="CA181" s="344">
        <f>+'[94]VENTAS TOTALES'!$G206</f>
        <v>67000</v>
      </c>
      <c r="CB181" s="344">
        <f>+'[94]VENTAS TOTALES'!$H206</f>
        <v>67000</v>
      </c>
      <c r="CC181" s="343">
        <f>+'[95]VENTAS TOTALES'!$F206</f>
        <v>0</v>
      </c>
      <c r="CD181" s="344">
        <f>+'[95]VENTAS TOTALES'!$G206</f>
        <v>3000</v>
      </c>
      <c r="CE181" s="344">
        <f>+'[95]VENTAS TOTALES'!$H206</f>
        <v>3000</v>
      </c>
      <c r="CF181" s="343">
        <f>+'[96]VENTAS TOTALES'!$F206</f>
        <v>0</v>
      </c>
      <c r="CG181" s="344">
        <f>+'[96]VENTAS TOTALES'!$G206</f>
        <v>529000</v>
      </c>
      <c r="CH181" s="344">
        <f>+'[96]VENTAS TOTALES'!$H206</f>
        <v>529000</v>
      </c>
      <c r="CI181" s="343">
        <f>+'[97]VENTAS TOTALES'!$F206</f>
        <v>0</v>
      </c>
      <c r="CJ181" s="344">
        <f>+'[97]VENTAS TOTALES'!$G206</f>
        <v>362000</v>
      </c>
      <c r="CK181" s="344">
        <f>+'[97]VENTAS TOTALES'!$H206</f>
        <v>362000</v>
      </c>
      <c r="CL181" s="343">
        <f>+'[98]VENTAS TOTALES'!$F206</f>
        <v>0</v>
      </c>
      <c r="CM181" s="344">
        <f>+'[98]VENTAS TOTALES'!$G206</f>
        <v>145000</v>
      </c>
      <c r="CN181" s="344">
        <f>+'[98]VENTAS TOTALES'!$H206</f>
        <v>145000</v>
      </c>
      <c r="CO181" s="343">
        <f>+'[99]VENTAS TOTALES'!$F206</f>
        <v>0</v>
      </c>
      <c r="CP181" s="344">
        <f>+'[99]VENTAS TOTALES'!$G206</f>
        <v>142000</v>
      </c>
      <c r="CQ181" s="344">
        <f>+'[99]VENTAS TOTALES'!$H206</f>
        <v>142000</v>
      </c>
      <c r="CR181" s="343">
        <f>+'[100]VENTAS TOTALES'!$F206</f>
        <v>0</v>
      </c>
      <c r="CS181" s="344">
        <f>+'[100]VENTAS TOTALES'!$G206</f>
        <v>39000</v>
      </c>
      <c r="CT181" s="344">
        <f>+'[100]VENTAS TOTALES'!$H206</f>
        <v>39000</v>
      </c>
      <c r="CU181" s="343">
        <f>+'[101]VENTAS TOTALES'!$F206</f>
        <v>0</v>
      </c>
      <c r="CV181" s="344">
        <f>+'[101]VENTAS TOTALES'!$G206</f>
        <v>8000</v>
      </c>
      <c r="CW181" s="344">
        <f>+'[101]VENTAS TOTALES'!$H206</f>
        <v>8000</v>
      </c>
      <c r="CX181" s="343">
        <f>+'[102]VENTAS TOTALES'!$F206</f>
        <v>0</v>
      </c>
      <c r="CY181" s="344">
        <f>+'[102]VENTAS TOTALES'!$G206</f>
        <v>0</v>
      </c>
      <c r="CZ181" s="344">
        <f>+'[102]VENTAS TOTALES'!$H206</f>
        <v>0</v>
      </c>
    </row>
    <row r="182" spans="1:104" s="8" customFormat="1" ht="14.25" customHeight="1" thickBot="1" x14ac:dyDescent="0.25">
      <c r="A182" s="455"/>
      <c r="B182" s="345" t="s">
        <v>467</v>
      </c>
      <c r="C182" s="343">
        <f>+'[69]VENTAS TOTALES'!$F207</f>
        <v>0</v>
      </c>
      <c r="D182" s="344">
        <f>+'[69]VENTAS TOTALES'!$G207</f>
        <v>358000</v>
      </c>
      <c r="E182" s="344">
        <f>+'[69]VENTAS TOTALES'!$H207</f>
        <v>358000</v>
      </c>
      <c r="F182" s="343">
        <f>+'[70]VENTAS TOTALES'!$F207</f>
        <v>0</v>
      </c>
      <c r="G182" s="344">
        <f>+'[70]VENTAS TOTALES'!$G207</f>
        <v>248000</v>
      </c>
      <c r="H182" s="344">
        <f>+'[70]VENTAS TOTALES'!$H207</f>
        <v>248000</v>
      </c>
      <c r="I182" s="343">
        <f>+'[71]VENTAS TOTALES'!$F207</f>
        <v>0</v>
      </c>
      <c r="J182" s="344">
        <f>+'[71]VENTAS TOTALES'!$G207</f>
        <v>306000</v>
      </c>
      <c r="K182" s="344">
        <f>+'[71]VENTAS TOTALES'!$H207</f>
        <v>306000</v>
      </c>
      <c r="L182" s="343">
        <f>+'[72]VENTAS TOTALES'!$F207</f>
        <v>0</v>
      </c>
      <c r="M182" s="344">
        <f>+'[72]VENTAS TOTALES'!$G207</f>
        <v>173000</v>
      </c>
      <c r="N182" s="344">
        <f>+'[72]VENTAS TOTALES'!$H207</f>
        <v>173000</v>
      </c>
      <c r="O182" s="343">
        <f>+'[73]VENTAS TOTALES'!$F207</f>
        <v>0</v>
      </c>
      <c r="P182" s="344">
        <f>+'[73]VENTAS TOTALES'!$G207</f>
        <v>0</v>
      </c>
      <c r="Q182" s="344">
        <f>+'[73]VENTAS TOTALES'!$H207</f>
        <v>0</v>
      </c>
      <c r="R182" s="343">
        <f>+'[74]VENTAS TOTALES'!$F207</f>
        <v>0</v>
      </c>
      <c r="S182" s="344">
        <f>+'[74]VENTAS TOTALES'!$G207</f>
        <v>0</v>
      </c>
      <c r="T182" s="344">
        <f>+'[74]VENTAS TOTALES'!$H207</f>
        <v>0</v>
      </c>
      <c r="U182" s="343">
        <f>+'[75]VENTAS TOTALES'!$F207</f>
        <v>0</v>
      </c>
      <c r="V182" s="344">
        <f>+'[75]VENTAS TOTALES'!$G207</f>
        <v>362000</v>
      </c>
      <c r="W182" s="344">
        <f>+'[75]VENTAS TOTALES'!$H207</f>
        <v>362000</v>
      </c>
      <c r="X182" s="343">
        <f>+'[76]VENTAS TOTALES'!$F207</f>
        <v>0</v>
      </c>
      <c r="Y182" s="344">
        <f>+'[76]VENTAS TOTALES'!$G207</f>
        <v>339000</v>
      </c>
      <c r="Z182" s="344">
        <f>+'[76]VENTAS TOTALES'!$H207</f>
        <v>339000</v>
      </c>
      <c r="AA182" s="343">
        <f>+'[77]VENTAS TOTALES'!$F207</f>
        <v>0</v>
      </c>
      <c r="AB182" s="344">
        <f>+'[77]VENTAS TOTALES'!$G207</f>
        <v>157000</v>
      </c>
      <c r="AC182" s="344">
        <f>+'[77]VENTAS TOTALES'!$H207</f>
        <v>157000</v>
      </c>
      <c r="AD182" s="343">
        <f>+'[78]VENTAS TOTALES'!$F207</f>
        <v>0</v>
      </c>
      <c r="AE182" s="344">
        <f>+'[78]VENTAS TOTALES'!$G207</f>
        <v>211000</v>
      </c>
      <c r="AF182" s="344">
        <f>+'[78]VENTAS TOTALES'!$H207</f>
        <v>211000</v>
      </c>
      <c r="AG182" s="343">
        <f>+'[79]VENTAS TOTALES'!$F207</f>
        <v>0</v>
      </c>
      <c r="AH182" s="344">
        <f>+'[79]VENTAS TOTALES'!$G207</f>
        <v>157000</v>
      </c>
      <c r="AI182" s="344">
        <f>+'[79]VENTAS TOTALES'!$H207</f>
        <v>157000</v>
      </c>
      <c r="AJ182" s="343">
        <f>+'[80]VENTAS TOTALES'!$F207</f>
        <v>0</v>
      </c>
      <c r="AK182" s="344">
        <f>+'[80]VENTAS TOTALES'!$G207</f>
        <v>11000</v>
      </c>
      <c r="AL182" s="344">
        <f>+'[80]VENTAS TOTALES'!$H207</f>
        <v>11000</v>
      </c>
      <c r="AM182" s="343">
        <f>+'[81]VENTAS TOTALES'!$F207</f>
        <v>0</v>
      </c>
      <c r="AN182" s="344">
        <f>+'[81]VENTAS TOTALES'!$G207</f>
        <v>0</v>
      </c>
      <c r="AO182" s="344">
        <f>+'[81]VENTAS TOTALES'!$H207</f>
        <v>0</v>
      </c>
      <c r="AP182" s="343">
        <f>+'[82]VENTAS TOTALES'!$F207</f>
        <v>0</v>
      </c>
      <c r="AQ182" s="344">
        <f>+'[82]VENTAS TOTALES'!$G207</f>
        <v>421000</v>
      </c>
      <c r="AR182" s="344">
        <f>+'[82]VENTAS TOTALES'!$H207</f>
        <v>421000</v>
      </c>
      <c r="AS182" s="343">
        <f>+'[83]VENTAS TOTALES'!$F207</f>
        <v>0</v>
      </c>
      <c r="AT182" s="344">
        <f>+'[83]VENTAS TOTALES'!$G207</f>
        <v>211000</v>
      </c>
      <c r="AU182" s="344">
        <f>+'[83]VENTAS TOTALES'!$H207</f>
        <v>211000</v>
      </c>
      <c r="AV182" s="343">
        <f>+'[84]VENTAS TOTALES'!$F207</f>
        <v>0</v>
      </c>
      <c r="AW182" s="344">
        <f>+'[84]VENTAS TOTALES'!$G207</f>
        <v>193000</v>
      </c>
      <c r="AX182" s="344">
        <f>+'[84]VENTAS TOTALES'!$H207</f>
        <v>193000</v>
      </c>
      <c r="AY182" s="343">
        <f>+'[85]VENTAS TOTALES'!$F207</f>
        <v>0</v>
      </c>
      <c r="AZ182" s="344">
        <f>+'[85]VENTAS TOTALES'!$G207</f>
        <v>140000</v>
      </c>
      <c r="BA182" s="344">
        <f>+'[85]VENTAS TOTALES'!$H207</f>
        <v>140000</v>
      </c>
      <c r="BB182" s="343">
        <f>+'[86]VENTAS TOTALES'!$F207</f>
        <v>0</v>
      </c>
      <c r="BC182" s="344">
        <f>+'[86]VENTAS TOTALES'!$G207</f>
        <v>109000</v>
      </c>
      <c r="BD182" s="344">
        <f>+'[86]VENTAS TOTALES'!$H207</f>
        <v>109000</v>
      </c>
      <c r="BE182" s="343">
        <f>+'[87]VENTAS TOTALES'!$F207</f>
        <v>0</v>
      </c>
      <c r="BF182" s="344">
        <f>+'[87]VENTAS TOTALES'!$G207</f>
        <v>60000</v>
      </c>
      <c r="BG182" s="344">
        <f>+'[87]VENTAS TOTALES'!$H207</f>
        <v>60000</v>
      </c>
      <c r="BH182" s="343">
        <f>+'[88]VENTAS TOTALES'!$F207</f>
        <v>0</v>
      </c>
      <c r="BI182" s="344">
        <f>+'[88]VENTAS TOTALES'!$G207</f>
        <v>0</v>
      </c>
      <c r="BJ182" s="344">
        <f>+'[88]VENTAS TOTALES'!$H207</f>
        <v>0</v>
      </c>
      <c r="BK182" s="343">
        <f>+'[89]VENTAS TOTALES'!$F207</f>
        <v>0</v>
      </c>
      <c r="BL182" s="344">
        <f>+'[89]VENTAS TOTALES'!$G207</f>
        <v>457000</v>
      </c>
      <c r="BM182" s="344">
        <f>+'[89]VENTAS TOTALES'!$H207</f>
        <v>457000</v>
      </c>
      <c r="BN182" s="343">
        <f>+'[90]VENTAS TOTALES'!$F207</f>
        <v>0</v>
      </c>
      <c r="BO182" s="344">
        <f>+'[90]VENTAS TOTALES'!$G207</f>
        <v>305000</v>
      </c>
      <c r="BP182" s="344">
        <f>+'[90]VENTAS TOTALES'!$H207</f>
        <v>305000</v>
      </c>
      <c r="BQ182" s="343">
        <f>+'[91]VENTAS TOTALES'!$F207</f>
        <v>0</v>
      </c>
      <c r="BR182" s="344">
        <f>+'[91]VENTAS TOTALES'!$G207</f>
        <v>187000</v>
      </c>
      <c r="BS182" s="344">
        <f>+'[91]VENTAS TOTALES'!$H207</f>
        <v>187000</v>
      </c>
      <c r="BT182" s="343">
        <f>+'[92]VENTAS TOTALES'!$F207</f>
        <v>0</v>
      </c>
      <c r="BU182" s="344">
        <f>+'[92]VENTAS TOTALES'!$G207</f>
        <v>194000</v>
      </c>
      <c r="BV182" s="344">
        <f>+'[92]VENTAS TOTALES'!$H207</f>
        <v>194000</v>
      </c>
      <c r="BW182" s="343">
        <f>+'[93]VENTAS TOTALES'!$F207</f>
        <v>0</v>
      </c>
      <c r="BX182" s="344">
        <f>+'[93]VENTAS TOTALES'!$G207</f>
        <v>189000</v>
      </c>
      <c r="BY182" s="344">
        <f>+'[93]VENTAS TOTALES'!$H207</f>
        <v>189000</v>
      </c>
      <c r="BZ182" s="343">
        <f>+'[94]VENTAS TOTALES'!$F207</f>
        <v>0</v>
      </c>
      <c r="CA182" s="344">
        <f>+'[94]VENTAS TOTALES'!$G207</f>
        <v>22000</v>
      </c>
      <c r="CB182" s="344">
        <f>+'[94]VENTAS TOTALES'!$H207</f>
        <v>22000</v>
      </c>
      <c r="CC182" s="343">
        <f>+'[95]VENTAS TOTALES'!$F207</f>
        <v>0</v>
      </c>
      <c r="CD182" s="344">
        <f>+'[95]VENTAS TOTALES'!$G207</f>
        <v>0</v>
      </c>
      <c r="CE182" s="344">
        <f>+'[95]VENTAS TOTALES'!$H207</f>
        <v>0</v>
      </c>
      <c r="CF182" s="343">
        <f>+'[96]VENTAS TOTALES'!$F207</f>
        <v>0</v>
      </c>
      <c r="CG182" s="344">
        <f>+'[96]VENTAS TOTALES'!$G207</f>
        <v>421000</v>
      </c>
      <c r="CH182" s="344">
        <f>+'[96]VENTAS TOTALES'!$H207</f>
        <v>421000</v>
      </c>
      <c r="CI182" s="343">
        <f>+'[97]VENTAS TOTALES'!$F207</f>
        <v>0</v>
      </c>
      <c r="CJ182" s="344">
        <f>+'[97]VENTAS TOTALES'!$G207</f>
        <v>304000</v>
      </c>
      <c r="CK182" s="344">
        <f>+'[97]VENTAS TOTALES'!$H207</f>
        <v>304000</v>
      </c>
      <c r="CL182" s="343">
        <f>+'[98]VENTAS TOTALES'!$F207</f>
        <v>0</v>
      </c>
      <c r="CM182" s="344">
        <f>+'[98]VENTAS TOTALES'!$G207</f>
        <v>269000</v>
      </c>
      <c r="CN182" s="344">
        <f>+'[98]VENTAS TOTALES'!$H207</f>
        <v>269000</v>
      </c>
      <c r="CO182" s="343">
        <f>+'[99]VENTAS TOTALES'!$F207</f>
        <v>0</v>
      </c>
      <c r="CP182" s="344">
        <f>+'[99]VENTAS TOTALES'!$G207</f>
        <v>164000</v>
      </c>
      <c r="CQ182" s="344">
        <f>+'[99]VENTAS TOTALES'!$H207</f>
        <v>164000</v>
      </c>
      <c r="CR182" s="343">
        <f>+'[100]VENTAS TOTALES'!$F207</f>
        <v>0</v>
      </c>
      <c r="CS182" s="344">
        <f>+'[100]VENTAS TOTALES'!$G207</f>
        <v>198000</v>
      </c>
      <c r="CT182" s="344">
        <f>+'[100]VENTAS TOTALES'!$H207</f>
        <v>198000</v>
      </c>
      <c r="CU182" s="343">
        <f>+'[101]VENTAS TOTALES'!$F207</f>
        <v>0</v>
      </c>
      <c r="CV182" s="344">
        <f>+'[101]VENTAS TOTALES'!$G207</f>
        <v>87000</v>
      </c>
      <c r="CW182" s="344">
        <f>+'[101]VENTAS TOTALES'!$H207</f>
        <v>87000</v>
      </c>
      <c r="CX182" s="343">
        <f>+'[102]VENTAS TOTALES'!$F207</f>
        <v>0</v>
      </c>
      <c r="CY182" s="344">
        <f>+'[102]VENTAS TOTALES'!$G207</f>
        <v>0</v>
      </c>
      <c r="CZ182" s="344">
        <f>+'[102]VENTAS TOTALES'!$H207</f>
        <v>0</v>
      </c>
    </row>
    <row r="183" spans="1:104" s="8" customFormat="1" ht="14.25" customHeight="1" thickBot="1" x14ac:dyDescent="0.25">
      <c r="A183" s="455"/>
      <c r="B183" s="345" t="s">
        <v>468</v>
      </c>
      <c r="C183" s="343">
        <f>+'[69]VENTAS TOTALES'!$F208</f>
        <v>0</v>
      </c>
      <c r="D183" s="344">
        <f>+'[69]VENTAS TOTALES'!$G208</f>
        <v>59000</v>
      </c>
      <c r="E183" s="344">
        <f>+'[69]VENTAS TOTALES'!$H208</f>
        <v>59000</v>
      </c>
      <c r="F183" s="343">
        <f>+'[70]VENTAS TOTALES'!$F208</f>
        <v>0</v>
      </c>
      <c r="G183" s="344">
        <f>+'[70]VENTAS TOTALES'!$G208</f>
        <v>220000</v>
      </c>
      <c r="H183" s="344">
        <f>+'[70]VENTAS TOTALES'!$H208</f>
        <v>220000</v>
      </c>
      <c r="I183" s="343">
        <f>+'[71]VENTAS TOTALES'!$F208</f>
        <v>0</v>
      </c>
      <c r="J183" s="344">
        <f>+'[71]VENTAS TOTALES'!$G208</f>
        <v>120000</v>
      </c>
      <c r="K183" s="344">
        <f>+'[71]VENTAS TOTALES'!$H208</f>
        <v>120000</v>
      </c>
      <c r="L183" s="343">
        <f>+'[72]VENTAS TOTALES'!$F208</f>
        <v>0</v>
      </c>
      <c r="M183" s="344">
        <f>+'[72]VENTAS TOTALES'!$G208</f>
        <v>36000</v>
      </c>
      <c r="N183" s="344">
        <f>+'[72]VENTAS TOTALES'!$H208</f>
        <v>36000</v>
      </c>
      <c r="O183" s="343">
        <f>+'[73]VENTAS TOTALES'!$F208</f>
        <v>0</v>
      </c>
      <c r="P183" s="344">
        <f>+'[73]VENTAS TOTALES'!$G208</f>
        <v>52000</v>
      </c>
      <c r="Q183" s="344">
        <f>+'[73]VENTAS TOTALES'!$H208</f>
        <v>52000</v>
      </c>
      <c r="R183" s="343">
        <f>+'[74]VENTAS TOTALES'!$F208</f>
        <v>0</v>
      </c>
      <c r="S183" s="344">
        <f>+'[74]VENTAS TOTALES'!$G208</f>
        <v>0</v>
      </c>
      <c r="T183" s="344">
        <f>+'[74]VENTAS TOTALES'!$H208</f>
        <v>0</v>
      </c>
      <c r="U183" s="343">
        <f>+'[75]VENTAS TOTALES'!$F208</f>
        <v>0</v>
      </c>
      <c r="V183" s="344">
        <f>+'[75]VENTAS TOTALES'!$G208</f>
        <v>113000</v>
      </c>
      <c r="W183" s="344">
        <f>+'[75]VENTAS TOTALES'!$H208</f>
        <v>113000</v>
      </c>
      <c r="X183" s="343">
        <f>+'[76]VENTAS TOTALES'!$F208</f>
        <v>0</v>
      </c>
      <c r="Y183" s="344">
        <f>+'[76]VENTAS TOTALES'!$G208</f>
        <v>107000</v>
      </c>
      <c r="Z183" s="344">
        <f>+'[76]VENTAS TOTALES'!$H208</f>
        <v>107000</v>
      </c>
      <c r="AA183" s="343">
        <f>+'[77]VENTAS TOTALES'!$F208</f>
        <v>0</v>
      </c>
      <c r="AB183" s="344">
        <f>+'[77]VENTAS TOTALES'!$G208</f>
        <v>144000</v>
      </c>
      <c r="AC183" s="344">
        <f>+'[77]VENTAS TOTALES'!$H208</f>
        <v>144000</v>
      </c>
      <c r="AD183" s="343">
        <f>+'[78]VENTAS TOTALES'!$F208</f>
        <v>0</v>
      </c>
      <c r="AE183" s="344">
        <f>+'[78]VENTAS TOTALES'!$G208</f>
        <v>60000</v>
      </c>
      <c r="AF183" s="344">
        <f>+'[78]VENTAS TOTALES'!$H208</f>
        <v>60000</v>
      </c>
      <c r="AG183" s="343">
        <f>+'[79]VENTAS TOTALES'!$F208</f>
        <v>0</v>
      </c>
      <c r="AH183" s="344">
        <f>+'[79]VENTAS TOTALES'!$G208</f>
        <v>96000</v>
      </c>
      <c r="AI183" s="344">
        <f>+'[79]VENTAS TOTALES'!$H208</f>
        <v>96000</v>
      </c>
      <c r="AJ183" s="343">
        <f>+'[80]VENTAS TOTALES'!$F208</f>
        <v>0</v>
      </c>
      <c r="AK183" s="344">
        <f>+'[80]VENTAS TOTALES'!$G208</f>
        <v>0</v>
      </c>
      <c r="AL183" s="344">
        <f>+'[80]VENTAS TOTALES'!$H208</f>
        <v>0</v>
      </c>
      <c r="AM183" s="343">
        <f>+'[81]VENTAS TOTALES'!$F208</f>
        <v>0</v>
      </c>
      <c r="AN183" s="344">
        <f>+'[81]VENTAS TOTALES'!$G208</f>
        <v>0</v>
      </c>
      <c r="AO183" s="344">
        <f>+'[81]VENTAS TOTALES'!$H208</f>
        <v>0</v>
      </c>
      <c r="AP183" s="343">
        <f>+'[82]VENTAS TOTALES'!$F208</f>
        <v>0</v>
      </c>
      <c r="AQ183" s="344">
        <f>+'[82]VENTAS TOTALES'!$G208</f>
        <v>40000</v>
      </c>
      <c r="AR183" s="344">
        <f>+'[82]VENTAS TOTALES'!$H208</f>
        <v>40000</v>
      </c>
      <c r="AS183" s="343">
        <f>+'[83]VENTAS TOTALES'!$F208</f>
        <v>0</v>
      </c>
      <c r="AT183" s="344">
        <f>+'[83]VENTAS TOTALES'!$G208</f>
        <v>259000</v>
      </c>
      <c r="AU183" s="344">
        <f>+'[83]VENTAS TOTALES'!$H208</f>
        <v>259000</v>
      </c>
      <c r="AV183" s="343">
        <f>+'[84]VENTAS TOTALES'!$F208</f>
        <v>0</v>
      </c>
      <c r="AW183" s="344">
        <f>+'[84]VENTAS TOTALES'!$G208</f>
        <v>196000</v>
      </c>
      <c r="AX183" s="344">
        <f>+'[84]VENTAS TOTALES'!$H208</f>
        <v>196000</v>
      </c>
      <c r="AY183" s="343">
        <f>+'[85]VENTAS TOTALES'!$F208</f>
        <v>0</v>
      </c>
      <c r="AZ183" s="344">
        <f>+'[85]VENTAS TOTALES'!$G208</f>
        <v>129000</v>
      </c>
      <c r="BA183" s="344">
        <f>+'[85]VENTAS TOTALES'!$H208</f>
        <v>129000</v>
      </c>
      <c r="BB183" s="343">
        <f>+'[86]VENTAS TOTALES'!$F208</f>
        <v>0</v>
      </c>
      <c r="BC183" s="344">
        <f>+'[86]VENTAS TOTALES'!$G208</f>
        <v>93000</v>
      </c>
      <c r="BD183" s="344">
        <f>+'[86]VENTAS TOTALES'!$H208</f>
        <v>93000</v>
      </c>
      <c r="BE183" s="343">
        <f>+'[87]VENTAS TOTALES'!$F208</f>
        <v>0</v>
      </c>
      <c r="BF183" s="344">
        <f>+'[87]VENTAS TOTALES'!$G208</f>
        <v>21000</v>
      </c>
      <c r="BG183" s="344">
        <f>+'[87]VENTAS TOTALES'!$H208</f>
        <v>21000</v>
      </c>
      <c r="BH183" s="343">
        <f>+'[88]VENTAS TOTALES'!$F208</f>
        <v>0</v>
      </c>
      <c r="BI183" s="344">
        <f>+'[88]VENTAS TOTALES'!$G208</f>
        <v>0</v>
      </c>
      <c r="BJ183" s="344">
        <f>+'[88]VENTAS TOTALES'!$H208</f>
        <v>0</v>
      </c>
      <c r="BK183" s="343">
        <f>+'[89]VENTAS TOTALES'!$F208</f>
        <v>0</v>
      </c>
      <c r="BL183" s="344">
        <f>+'[89]VENTAS TOTALES'!$G208</f>
        <v>99000</v>
      </c>
      <c r="BM183" s="344">
        <f>+'[89]VENTAS TOTALES'!$H208</f>
        <v>99000</v>
      </c>
      <c r="BN183" s="343">
        <f>+'[90]VENTAS TOTALES'!$F208</f>
        <v>0</v>
      </c>
      <c r="BO183" s="344">
        <f>+'[90]VENTAS TOTALES'!$G208</f>
        <v>64000</v>
      </c>
      <c r="BP183" s="344">
        <f>+'[90]VENTAS TOTALES'!$H208</f>
        <v>64000</v>
      </c>
      <c r="BQ183" s="343">
        <f>+'[91]VENTAS TOTALES'!$F208</f>
        <v>0</v>
      </c>
      <c r="BR183" s="344">
        <f>+'[91]VENTAS TOTALES'!$G208</f>
        <v>189000</v>
      </c>
      <c r="BS183" s="344">
        <f>+'[91]VENTAS TOTALES'!$H208</f>
        <v>189000</v>
      </c>
      <c r="BT183" s="343">
        <f>+'[92]VENTAS TOTALES'!$F208</f>
        <v>0</v>
      </c>
      <c r="BU183" s="344">
        <f>+'[92]VENTAS TOTALES'!$G208</f>
        <v>111000</v>
      </c>
      <c r="BV183" s="344">
        <f>+'[92]VENTAS TOTALES'!$H208</f>
        <v>111000</v>
      </c>
      <c r="BW183" s="343">
        <f>+'[93]VENTAS TOTALES'!$F208</f>
        <v>0</v>
      </c>
      <c r="BX183" s="344">
        <f>+'[93]VENTAS TOTALES'!$G208</f>
        <v>310000</v>
      </c>
      <c r="BY183" s="344">
        <f>+'[93]VENTAS TOTALES'!$H208</f>
        <v>310000</v>
      </c>
      <c r="BZ183" s="343">
        <f>+'[94]VENTAS TOTALES'!$F208</f>
        <v>0</v>
      </c>
      <c r="CA183" s="344">
        <f>+'[94]VENTAS TOTALES'!$G208</f>
        <v>67000</v>
      </c>
      <c r="CB183" s="344">
        <f>+'[94]VENTAS TOTALES'!$H208</f>
        <v>67000</v>
      </c>
      <c r="CC183" s="343">
        <f>+'[95]VENTAS TOTALES'!$F208</f>
        <v>0</v>
      </c>
      <c r="CD183" s="344">
        <f>+'[95]VENTAS TOTALES'!$G208</f>
        <v>0</v>
      </c>
      <c r="CE183" s="344">
        <f>+'[95]VENTAS TOTALES'!$H208</f>
        <v>0</v>
      </c>
      <c r="CF183" s="343">
        <f>+'[96]VENTAS TOTALES'!$F208</f>
        <v>0</v>
      </c>
      <c r="CG183" s="344">
        <f>+'[96]VENTAS TOTALES'!$G208</f>
        <v>347000</v>
      </c>
      <c r="CH183" s="344">
        <f>+'[96]VENTAS TOTALES'!$H208</f>
        <v>347000</v>
      </c>
      <c r="CI183" s="343">
        <f>+'[97]VENTAS TOTALES'!$F208</f>
        <v>0</v>
      </c>
      <c r="CJ183" s="344">
        <f>+'[97]VENTAS TOTALES'!$G208</f>
        <v>219000</v>
      </c>
      <c r="CK183" s="344">
        <f>+'[97]VENTAS TOTALES'!$H208</f>
        <v>219000</v>
      </c>
      <c r="CL183" s="343">
        <f>+'[98]VENTAS TOTALES'!$F208</f>
        <v>0</v>
      </c>
      <c r="CM183" s="344">
        <f>+'[98]VENTAS TOTALES'!$G208</f>
        <v>274000</v>
      </c>
      <c r="CN183" s="344">
        <f>+'[98]VENTAS TOTALES'!$H208</f>
        <v>274000</v>
      </c>
      <c r="CO183" s="343">
        <f>+'[99]VENTAS TOTALES'!$F208</f>
        <v>0</v>
      </c>
      <c r="CP183" s="344">
        <f>+'[99]VENTAS TOTALES'!$G208</f>
        <v>253000</v>
      </c>
      <c r="CQ183" s="344">
        <f>+'[99]VENTAS TOTALES'!$H208</f>
        <v>253000</v>
      </c>
      <c r="CR183" s="343">
        <f>+'[100]VENTAS TOTALES'!$F208</f>
        <v>0</v>
      </c>
      <c r="CS183" s="344">
        <f>+'[100]VENTAS TOTALES'!$G208</f>
        <v>145000</v>
      </c>
      <c r="CT183" s="344">
        <f>+'[100]VENTAS TOTALES'!$H208</f>
        <v>145000</v>
      </c>
      <c r="CU183" s="343">
        <f>+'[101]VENTAS TOTALES'!$F208</f>
        <v>0</v>
      </c>
      <c r="CV183" s="344">
        <f>+'[101]VENTAS TOTALES'!$G208</f>
        <v>40000</v>
      </c>
      <c r="CW183" s="344">
        <f>+'[101]VENTAS TOTALES'!$H208</f>
        <v>40000</v>
      </c>
      <c r="CX183" s="343">
        <f>+'[102]VENTAS TOTALES'!$F208</f>
        <v>0</v>
      </c>
      <c r="CY183" s="344">
        <f>+'[102]VENTAS TOTALES'!$G208</f>
        <v>0</v>
      </c>
      <c r="CZ183" s="344">
        <f>+'[102]VENTAS TOTALES'!$H208</f>
        <v>0</v>
      </c>
    </row>
    <row r="184" spans="1:104" s="8" customFormat="1" ht="14.25" customHeight="1" thickBot="1" x14ac:dyDescent="0.25">
      <c r="A184" s="455"/>
      <c r="B184" s="345" t="s">
        <v>471</v>
      </c>
      <c r="C184" s="343">
        <f>+'[69]VENTAS TOTALES'!$F209</f>
        <v>0</v>
      </c>
      <c r="D184" s="344">
        <f>+'[69]VENTAS TOTALES'!$G209</f>
        <v>443000</v>
      </c>
      <c r="E184" s="344">
        <f>+'[69]VENTAS TOTALES'!$H209</f>
        <v>443000</v>
      </c>
      <c r="F184" s="343">
        <f>+'[70]VENTAS TOTALES'!$F209</f>
        <v>0</v>
      </c>
      <c r="G184" s="344">
        <f>+'[70]VENTAS TOTALES'!$G209</f>
        <v>318000</v>
      </c>
      <c r="H184" s="344">
        <f>+'[70]VENTAS TOTALES'!$H209</f>
        <v>318000</v>
      </c>
      <c r="I184" s="343">
        <f>+'[71]VENTAS TOTALES'!$F209</f>
        <v>0</v>
      </c>
      <c r="J184" s="344">
        <f>+'[71]VENTAS TOTALES'!$G209</f>
        <v>144000</v>
      </c>
      <c r="K184" s="344">
        <f>+'[71]VENTAS TOTALES'!$H209</f>
        <v>144000</v>
      </c>
      <c r="L184" s="343">
        <f>+'[72]VENTAS TOTALES'!$F209</f>
        <v>0</v>
      </c>
      <c r="M184" s="344">
        <f>+'[72]VENTAS TOTALES'!$G209</f>
        <v>385000</v>
      </c>
      <c r="N184" s="344">
        <f>+'[72]VENTAS TOTALES'!$H209</f>
        <v>385000</v>
      </c>
      <c r="O184" s="343">
        <f>+'[73]VENTAS TOTALES'!$F209</f>
        <v>0</v>
      </c>
      <c r="P184" s="344">
        <f>+'[73]VENTAS TOTALES'!$G209</f>
        <v>38000</v>
      </c>
      <c r="Q184" s="344">
        <f>+'[73]VENTAS TOTALES'!$H209</f>
        <v>38000</v>
      </c>
      <c r="R184" s="343">
        <f>+'[74]VENTAS TOTALES'!$F209</f>
        <v>0</v>
      </c>
      <c r="S184" s="344">
        <f>+'[74]VENTAS TOTALES'!$G209</f>
        <v>22000</v>
      </c>
      <c r="T184" s="344">
        <f>+'[74]VENTAS TOTALES'!$H209</f>
        <v>22000</v>
      </c>
      <c r="U184" s="343">
        <f>+'[75]VENTAS TOTALES'!$F209</f>
        <v>0</v>
      </c>
      <c r="V184" s="344">
        <f>+'[75]VENTAS TOTALES'!$G209</f>
        <v>255000</v>
      </c>
      <c r="W184" s="344">
        <f>+'[75]VENTAS TOTALES'!$H209</f>
        <v>255000</v>
      </c>
      <c r="X184" s="343">
        <f>+'[76]VENTAS TOTALES'!$F209</f>
        <v>0</v>
      </c>
      <c r="Y184" s="344">
        <f>+'[76]VENTAS TOTALES'!$G209</f>
        <v>189000</v>
      </c>
      <c r="Z184" s="344">
        <f>+'[76]VENTAS TOTALES'!$H209</f>
        <v>189000</v>
      </c>
      <c r="AA184" s="343">
        <f>+'[77]VENTAS TOTALES'!$F209</f>
        <v>0</v>
      </c>
      <c r="AB184" s="344">
        <f>+'[77]VENTAS TOTALES'!$G209</f>
        <v>345000</v>
      </c>
      <c r="AC184" s="344">
        <f>+'[77]VENTAS TOTALES'!$H209</f>
        <v>345000</v>
      </c>
      <c r="AD184" s="343">
        <f>+'[78]VENTAS TOTALES'!$F209</f>
        <v>0</v>
      </c>
      <c r="AE184" s="344">
        <f>+'[78]VENTAS TOTALES'!$G209</f>
        <v>245000</v>
      </c>
      <c r="AF184" s="344">
        <f>+'[78]VENTAS TOTALES'!$H209</f>
        <v>245000</v>
      </c>
      <c r="AG184" s="343">
        <f>+'[79]VENTAS TOTALES'!$F209</f>
        <v>0</v>
      </c>
      <c r="AH184" s="344">
        <f>+'[79]VENTAS TOTALES'!$G209</f>
        <v>150000</v>
      </c>
      <c r="AI184" s="344">
        <f>+'[79]VENTAS TOTALES'!$H209</f>
        <v>150000</v>
      </c>
      <c r="AJ184" s="343">
        <f>+'[80]VENTAS TOTALES'!$F209</f>
        <v>0</v>
      </c>
      <c r="AK184" s="344">
        <f>+'[80]VENTAS TOTALES'!$G209</f>
        <v>127000</v>
      </c>
      <c r="AL184" s="344">
        <f>+'[80]VENTAS TOTALES'!$H209</f>
        <v>127000</v>
      </c>
      <c r="AM184" s="343">
        <f>+'[81]VENTAS TOTALES'!$F209</f>
        <v>0</v>
      </c>
      <c r="AN184" s="344">
        <f>+'[81]VENTAS TOTALES'!$G209</f>
        <v>4000</v>
      </c>
      <c r="AO184" s="344">
        <f>+'[81]VENTAS TOTALES'!$H209</f>
        <v>4000</v>
      </c>
      <c r="AP184" s="343">
        <f>+'[82]VENTAS TOTALES'!$F209</f>
        <v>0</v>
      </c>
      <c r="AQ184" s="344">
        <f>+'[82]VENTAS TOTALES'!$G209</f>
        <v>430000</v>
      </c>
      <c r="AR184" s="344">
        <f>+'[82]VENTAS TOTALES'!$H209</f>
        <v>430000</v>
      </c>
      <c r="AS184" s="343">
        <f>+'[83]VENTAS TOTALES'!$F209</f>
        <v>0</v>
      </c>
      <c r="AT184" s="344">
        <f>+'[83]VENTAS TOTALES'!$G209</f>
        <v>444000</v>
      </c>
      <c r="AU184" s="344">
        <f>+'[83]VENTAS TOTALES'!$H209</f>
        <v>444000</v>
      </c>
      <c r="AV184" s="343">
        <f>+'[84]VENTAS TOTALES'!$F209</f>
        <v>0</v>
      </c>
      <c r="AW184" s="344">
        <f>+'[84]VENTAS TOTALES'!$G209</f>
        <v>248000</v>
      </c>
      <c r="AX184" s="344">
        <f>+'[84]VENTAS TOTALES'!$H209</f>
        <v>248000</v>
      </c>
      <c r="AY184" s="343">
        <f>+'[85]VENTAS TOTALES'!$F209</f>
        <v>0</v>
      </c>
      <c r="AZ184" s="344">
        <f>+'[85]VENTAS TOTALES'!$G209</f>
        <v>238000</v>
      </c>
      <c r="BA184" s="344">
        <f>+'[85]VENTAS TOTALES'!$H209</f>
        <v>238000</v>
      </c>
      <c r="BB184" s="343">
        <f>+'[86]VENTAS TOTALES'!$F209</f>
        <v>0</v>
      </c>
      <c r="BC184" s="344">
        <f>+'[86]VENTAS TOTALES'!$G209</f>
        <v>428000</v>
      </c>
      <c r="BD184" s="344">
        <f>+'[86]VENTAS TOTALES'!$H209</f>
        <v>428000</v>
      </c>
      <c r="BE184" s="343">
        <f>+'[87]VENTAS TOTALES'!$F209</f>
        <v>0</v>
      </c>
      <c r="BF184" s="344">
        <f>+'[87]VENTAS TOTALES'!$G209</f>
        <v>47000</v>
      </c>
      <c r="BG184" s="344">
        <f>+'[87]VENTAS TOTALES'!$H209</f>
        <v>47000</v>
      </c>
      <c r="BH184" s="343">
        <f>+'[88]VENTAS TOTALES'!$F209</f>
        <v>0</v>
      </c>
      <c r="BI184" s="344">
        <f>+'[88]VENTAS TOTALES'!$G209</f>
        <v>15000</v>
      </c>
      <c r="BJ184" s="344">
        <f>+'[88]VENTAS TOTALES'!$H209</f>
        <v>15000</v>
      </c>
      <c r="BK184" s="343">
        <f>+'[89]VENTAS TOTALES'!$F209</f>
        <v>0</v>
      </c>
      <c r="BL184" s="344">
        <f>+'[89]VENTAS TOTALES'!$G209</f>
        <v>249000</v>
      </c>
      <c r="BM184" s="344">
        <f>+'[89]VENTAS TOTALES'!$H209</f>
        <v>249000</v>
      </c>
      <c r="BN184" s="343">
        <f>+'[90]VENTAS TOTALES'!$F209</f>
        <v>0</v>
      </c>
      <c r="BO184" s="344">
        <f>+'[90]VENTAS TOTALES'!$G209</f>
        <v>425000</v>
      </c>
      <c r="BP184" s="344">
        <f>+'[90]VENTAS TOTALES'!$H209</f>
        <v>425000</v>
      </c>
      <c r="BQ184" s="343">
        <f>+'[91]VENTAS TOTALES'!$F209</f>
        <v>0</v>
      </c>
      <c r="BR184" s="344">
        <f>+'[91]VENTAS TOTALES'!$G209</f>
        <v>59000</v>
      </c>
      <c r="BS184" s="344">
        <f>+'[91]VENTAS TOTALES'!$H209</f>
        <v>59000</v>
      </c>
      <c r="BT184" s="343">
        <f>+'[92]VENTAS TOTALES'!$F209</f>
        <v>0</v>
      </c>
      <c r="BU184" s="344">
        <f>+'[92]VENTAS TOTALES'!$G209</f>
        <v>118000</v>
      </c>
      <c r="BV184" s="344">
        <f>+'[92]VENTAS TOTALES'!$H209</f>
        <v>118000</v>
      </c>
      <c r="BW184" s="343">
        <f>+'[93]VENTAS TOTALES'!$F209</f>
        <v>0</v>
      </c>
      <c r="BX184" s="344">
        <f>+'[93]VENTAS TOTALES'!$G209</f>
        <v>86000</v>
      </c>
      <c r="BY184" s="344">
        <f>+'[93]VENTAS TOTALES'!$H209</f>
        <v>86000</v>
      </c>
      <c r="BZ184" s="343">
        <f>+'[94]VENTAS TOTALES'!$F209</f>
        <v>0</v>
      </c>
      <c r="CA184" s="344">
        <f>+'[94]VENTAS TOTALES'!$G209</f>
        <v>29000</v>
      </c>
      <c r="CB184" s="344">
        <f>+'[94]VENTAS TOTALES'!$H209</f>
        <v>29000</v>
      </c>
      <c r="CC184" s="343">
        <f>+'[95]VENTAS TOTALES'!$F209</f>
        <v>0</v>
      </c>
      <c r="CD184" s="344">
        <f>+'[95]VENTAS TOTALES'!$G209</f>
        <v>11000</v>
      </c>
      <c r="CE184" s="344">
        <f>+'[95]VENTAS TOTALES'!$H209</f>
        <v>11000</v>
      </c>
      <c r="CF184" s="343">
        <f>+'[96]VENTAS TOTALES'!$F209</f>
        <v>0</v>
      </c>
      <c r="CG184" s="344">
        <f>+'[96]VENTAS TOTALES'!$G209</f>
        <v>534000</v>
      </c>
      <c r="CH184" s="344">
        <f>+'[96]VENTAS TOTALES'!$H209</f>
        <v>534000</v>
      </c>
      <c r="CI184" s="343">
        <f>+'[97]VENTAS TOTALES'!$F209</f>
        <v>0</v>
      </c>
      <c r="CJ184" s="344">
        <f>+'[97]VENTAS TOTALES'!$G209</f>
        <v>402000</v>
      </c>
      <c r="CK184" s="344">
        <f>+'[97]VENTAS TOTALES'!$H209</f>
        <v>402000</v>
      </c>
      <c r="CL184" s="343">
        <f>+'[98]VENTAS TOTALES'!$F209</f>
        <v>0</v>
      </c>
      <c r="CM184" s="344">
        <f>+'[98]VENTAS TOTALES'!$G209</f>
        <v>181000</v>
      </c>
      <c r="CN184" s="344">
        <f>+'[98]VENTAS TOTALES'!$H209</f>
        <v>181000</v>
      </c>
      <c r="CO184" s="343">
        <f>+'[99]VENTAS TOTALES'!$F209</f>
        <v>0</v>
      </c>
      <c r="CP184" s="344">
        <f>+'[99]VENTAS TOTALES'!$G209</f>
        <v>201000</v>
      </c>
      <c r="CQ184" s="344">
        <f>+'[99]VENTAS TOTALES'!$H209</f>
        <v>201000</v>
      </c>
      <c r="CR184" s="343">
        <f>+'[100]VENTAS TOTALES'!$F209</f>
        <v>0</v>
      </c>
      <c r="CS184" s="344">
        <f>+'[100]VENTAS TOTALES'!$G209</f>
        <v>211000</v>
      </c>
      <c r="CT184" s="344">
        <f>+'[100]VENTAS TOTALES'!$H209</f>
        <v>211000</v>
      </c>
      <c r="CU184" s="343">
        <f>+'[101]VENTAS TOTALES'!$F209</f>
        <v>0</v>
      </c>
      <c r="CV184" s="344">
        <f>+'[101]VENTAS TOTALES'!$G209</f>
        <v>28000</v>
      </c>
      <c r="CW184" s="344">
        <f>+'[101]VENTAS TOTALES'!$H209</f>
        <v>28000</v>
      </c>
      <c r="CX184" s="343">
        <f>+'[102]VENTAS TOTALES'!$F209</f>
        <v>0</v>
      </c>
      <c r="CY184" s="344">
        <f>+'[102]VENTAS TOTALES'!$G209</f>
        <v>3000</v>
      </c>
      <c r="CZ184" s="344">
        <f>+'[102]VENTAS TOTALES'!$H209</f>
        <v>3000</v>
      </c>
    </row>
    <row r="185" spans="1:104" s="8" customFormat="1" ht="14.25" customHeight="1" thickBot="1" x14ac:dyDescent="0.25">
      <c r="A185" s="455"/>
      <c r="B185" s="345" t="s">
        <v>472</v>
      </c>
      <c r="C185" s="343">
        <f>+'[69]VENTAS TOTALES'!$F210</f>
        <v>0</v>
      </c>
      <c r="D185" s="344">
        <f>+'[69]VENTAS TOTALES'!$G210</f>
        <v>941000</v>
      </c>
      <c r="E185" s="344">
        <f>+'[69]VENTAS TOTALES'!$H210</f>
        <v>941000</v>
      </c>
      <c r="F185" s="343">
        <f>+'[70]VENTAS TOTALES'!$F210</f>
        <v>0</v>
      </c>
      <c r="G185" s="344">
        <f>+'[70]VENTAS TOTALES'!$G210</f>
        <v>670000</v>
      </c>
      <c r="H185" s="344">
        <f>+'[70]VENTAS TOTALES'!$H210</f>
        <v>670000</v>
      </c>
      <c r="I185" s="343">
        <f>+'[71]VENTAS TOTALES'!$F210</f>
        <v>0</v>
      </c>
      <c r="J185" s="344">
        <f>+'[71]VENTAS TOTALES'!$G210</f>
        <v>551000</v>
      </c>
      <c r="K185" s="344">
        <f>+'[71]VENTAS TOTALES'!$H210</f>
        <v>551000</v>
      </c>
      <c r="L185" s="343">
        <f>+'[72]VENTAS TOTALES'!$F210</f>
        <v>0</v>
      </c>
      <c r="M185" s="344">
        <f>+'[72]VENTAS TOTALES'!$G210</f>
        <v>456000</v>
      </c>
      <c r="N185" s="344">
        <f>+'[72]VENTAS TOTALES'!$H210</f>
        <v>456000</v>
      </c>
      <c r="O185" s="343">
        <f>+'[73]VENTAS TOTALES'!$F210</f>
        <v>0</v>
      </c>
      <c r="P185" s="344">
        <f>+'[73]VENTAS TOTALES'!$G210</f>
        <v>211000</v>
      </c>
      <c r="Q185" s="344">
        <f>+'[73]VENTAS TOTALES'!$H210</f>
        <v>211000</v>
      </c>
      <c r="R185" s="343">
        <f>+'[74]VENTAS TOTALES'!$F210</f>
        <v>0</v>
      </c>
      <c r="S185" s="344">
        <f>+'[74]VENTAS TOTALES'!$G210</f>
        <v>20000</v>
      </c>
      <c r="T185" s="344">
        <f>+'[74]VENTAS TOTALES'!$H210</f>
        <v>20000</v>
      </c>
      <c r="U185" s="343">
        <f>+'[75]VENTAS TOTALES'!$F210</f>
        <v>0</v>
      </c>
      <c r="V185" s="344">
        <f>+'[75]VENTAS TOTALES'!$G210</f>
        <v>863000</v>
      </c>
      <c r="W185" s="344">
        <f>+'[75]VENTAS TOTALES'!$H210</f>
        <v>863000</v>
      </c>
      <c r="X185" s="343">
        <f>+'[76]VENTAS TOTALES'!$F210</f>
        <v>0</v>
      </c>
      <c r="Y185" s="344">
        <f>+'[76]VENTAS TOTALES'!$G210</f>
        <v>748000</v>
      </c>
      <c r="Z185" s="344">
        <f>+'[76]VENTAS TOTALES'!$H210</f>
        <v>748000</v>
      </c>
      <c r="AA185" s="343">
        <f>+'[77]VENTAS TOTALES'!$F210</f>
        <v>0</v>
      </c>
      <c r="AB185" s="344">
        <f>+'[77]VENTAS TOTALES'!$G210</f>
        <v>820000</v>
      </c>
      <c r="AC185" s="344">
        <f>+'[77]VENTAS TOTALES'!$H210</f>
        <v>820000</v>
      </c>
      <c r="AD185" s="343">
        <f>+'[78]VENTAS TOTALES'!$F210</f>
        <v>0</v>
      </c>
      <c r="AE185" s="344">
        <f>+'[78]VENTAS TOTALES'!$G210</f>
        <v>473000</v>
      </c>
      <c r="AF185" s="344">
        <f>+'[78]VENTAS TOTALES'!$H210</f>
        <v>473000</v>
      </c>
      <c r="AG185" s="343">
        <f>+'[79]VENTAS TOTALES'!$F210</f>
        <v>0</v>
      </c>
      <c r="AH185" s="344">
        <f>+'[79]VENTAS TOTALES'!$G210</f>
        <v>512000</v>
      </c>
      <c r="AI185" s="344">
        <f>+'[79]VENTAS TOTALES'!$H210</f>
        <v>512000</v>
      </c>
      <c r="AJ185" s="343">
        <f>+'[80]VENTAS TOTALES'!$F210</f>
        <v>0</v>
      </c>
      <c r="AK185" s="344">
        <f>+'[80]VENTAS TOTALES'!$G210</f>
        <v>22000</v>
      </c>
      <c r="AL185" s="344">
        <f>+'[80]VENTAS TOTALES'!$H210</f>
        <v>22000</v>
      </c>
      <c r="AM185" s="343">
        <f>+'[81]VENTAS TOTALES'!$F210</f>
        <v>0</v>
      </c>
      <c r="AN185" s="344">
        <f>+'[81]VENTAS TOTALES'!$G210</f>
        <v>50000</v>
      </c>
      <c r="AO185" s="344">
        <f>+'[81]VENTAS TOTALES'!$H210</f>
        <v>50000</v>
      </c>
      <c r="AP185" s="343">
        <f>+'[82]VENTAS TOTALES'!$F210</f>
        <v>0</v>
      </c>
      <c r="AQ185" s="344">
        <f>+'[82]VENTAS TOTALES'!$G210</f>
        <v>611000</v>
      </c>
      <c r="AR185" s="344">
        <f>+'[82]VENTAS TOTALES'!$H210</f>
        <v>611000</v>
      </c>
      <c r="AS185" s="343">
        <f>+'[83]VENTAS TOTALES'!$F210</f>
        <v>0</v>
      </c>
      <c r="AT185" s="344">
        <f>+'[83]VENTAS TOTALES'!$G210</f>
        <v>1471000</v>
      </c>
      <c r="AU185" s="344">
        <f>+'[83]VENTAS TOTALES'!$H210</f>
        <v>1471000</v>
      </c>
      <c r="AV185" s="343">
        <f>+'[84]VENTAS TOTALES'!$F210</f>
        <v>0</v>
      </c>
      <c r="AW185" s="344">
        <f>+'[84]VENTAS TOTALES'!$G210</f>
        <v>943000</v>
      </c>
      <c r="AX185" s="344">
        <f>+'[84]VENTAS TOTALES'!$H210</f>
        <v>943000</v>
      </c>
      <c r="AY185" s="343">
        <f>+'[85]VENTAS TOTALES'!$F210</f>
        <v>0</v>
      </c>
      <c r="AZ185" s="344">
        <f>+'[85]VENTAS TOTALES'!$G210</f>
        <v>583000</v>
      </c>
      <c r="BA185" s="344">
        <f>+'[85]VENTAS TOTALES'!$H210</f>
        <v>583000</v>
      </c>
      <c r="BB185" s="343">
        <f>+'[86]VENTAS TOTALES'!$F210</f>
        <v>0</v>
      </c>
      <c r="BC185" s="344">
        <f>+'[86]VENTAS TOTALES'!$G210</f>
        <v>306000</v>
      </c>
      <c r="BD185" s="344">
        <f>+'[86]VENTAS TOTALES'!$H210</f>
        <v>306000</v>
      </c>
      <c r="BE185" s="343">
        <f>+'[87]VENTAS TOTALES'!$F210</f>
        <v>0</v>
      </c>
      <c r="BF185" s="344">
        <f>+'[87]VENTAS TOTALES'!$G210</f>
        <v>319000</v>
      </c>
      <c r="BG185" s="344">
        <f>+'[87]VENTAS TOTALES'!$H210</f>
        <v>319000</v>
      </c>
      <c r="BH185" s="343">
        <f>+'[88]VENTAS TOTALES'!$F210</f>
        <v>0</v>
      </c>
      <c r="BI185" s="344">
        <f>+'[88]VENTAS TOTALES'!$G210</f>
        <v>34000</v>
      </c>
      <c r="BJ185" s="344">
        <f>+'[88]VENTAS TOTALES'!$H210</f>
        <v>34000</v>
      </c>
      <c r="BK185" s="343">
        <f>+'[89]VENTAS TOTALES'!$F210</f>
        <v>0</v>
      </c>
      <c r="BL185" s="344">
        <f>+'[89]VENTAS TOTALES'!$G210</f>
        <v>778000</v>
      </c>
      <c r="BM185" s="344">
        <f>+'[89]VENTAS TOTALES'!$H210</f>
        <v>778000</v>
      </c>
      <c r="BN185" s="343">
        <f>+'[90]VENTAS TOTALES'!$F210</f>
        <v>0</v>
      </c>
      <c r="BO185" s="344">
        <f>+'[90]VENTAS TOTALES'!$G210</f>
        <v>0</v>
      </c>
      <c r="BP185" s="344">
        <f>+'[90]VENTAS TOTALES'!$H210</f>
        <v>0</v>
      </c>
      <c r="BQ185" s="343">
        <f>+'[91]VENTAS TOTALES'!$F210</f>
        <v>0</v>
      </c>
      <c r="BR185" s="344">
        <f>+'[91]VENTAS TOTALES'!$G210</f>
        <v>1044000</v>
      </c>
      <c r="BS185" s="344">
        <f>+'[91]VENTAS TOTALES'!$H210</f>
        <v>1044000</v>
      </c>
      <c r="BT185" s="343">
        <f>+'[92]VENTAS TOTALES'!$F210</f>
        <v>0</v>
      </c>
      <c r="BU185" s="344">
        <f>+'[92]VENTAS TOTALES'!$G210</f>
        <v>660000</v>
      </c>
      <c r="BV185" s="344">
        <f>+'[92]VENTAS TOTALES'!$H210</f>
        <v>660000</v>
      </c>
      <c r="BW185" s="343">
        <f>+'[93]VENTAS TOTALES'!$F210</f>
        <v>0</v>
      </c>
      <c r="BX185" s="344">
        <f>+'[93]VENTAS TOTALES'!$G210</f>
        <v>691000</v>
      </c>
      <c r="BY185" s="344">
        <f>+'[93]VENTAS TOTALES'!$H210</f>
        <v>691000</v>
      </c>
      <c r="BZ185" s="343">
        <f>+'[94]VENTAS TOTALES'!$F210</f>
        <v>0</v>
      </c>
      <c r="CA185" s="344">
        <f>+'[94]VENTAS TOTALES'!$G210</f>
        <v>153000</v>
      </c>
      <c r="CB185" s="344">
        <f>+'[94]VENTAS TOTALES'!$H210</f>
        <v>153000</v>
      </c>
      <c r="CC185" s="343">
        <f>+'[95]VENTAS TOTALES'!$F210</f>
        <v>0</v>
      </c>
      <c r="CD185" s="344">
        <f>+'[95]VENTAS TOTALES'!$G210</f>
        <v>37000</v>
      </c>
      <c r="CE185" s="344">
        <f>+'[95]VENTAS TOTALES'!$H210</f>
        <v>37000</v>
      </c>
      <c r="CF185" s="343">
        <f>+'[96]VENTAS TOTALES'!$F210</f>
        <v>0</v>
      </c>
      <c r="CG185" s="344">
        <f>+'[96]VENTAS TOTALES'!$G210</f>
        <v>1403000</v>
      </c>
      <c r="CH185" s="344">
        <f>+'[96]VENTAS TOTALES'!$H210</f>
        <v>1403000</v>
      </c>
      <c r="CI185" s="343">
        <f>+'[97]VENTAS TOTALES'!$F210</f>
        <v>0</v>
      </c>
      <c r="CJ185" s="344">
        <f>+'[97]VENTAS TOTALES'!$G210</f>
        <v>1409000</v>
      </c>
      <c r="CK185" s="344">
        <f>+'[97]VENTAS TOTALES'!$H210</f>
        <v>1409000</v>
      </c>
      <c r="CL185" s="343">
        <f>+'[98]VENTAS TOTALES'!$F210</f>
        <v>0</v>
      </c>
      <c r="CM185" s="344">
        <f>+'[98]VENTAS TOTALES'!$G210</f>
        <v>784000</v>
      </c>
      <c r="CN185" s="344">
        <f>+'[98]VENTAS TOTALES'!$H210</f>
        <v>784000</v>
      </c>
      <c r="CO185" s="343">
        <f>+'[99]VENTAS TOTALES'!$F210</f>
        <v>0</v>
      </c>
      <c r="CP185" s="344">
        <f>+'[99]VENTAS TOTALES'!$G210</f>
        <v>752000</v>
      </c>
      <c r="CQ185" s="344">
        <f>+'[99]VENTAS TOTALES'!$H210</f>
        <v>752000</v>
      </c>
      <c r="CR185" s="343">
        <f>+'[100]VENTAS TOTALES'!$F210</f>
        <v>0</v>
      </c>
      <c r="CS185" s="344">
        <f>+'[100]VENTAS TOTALES'!$G210</f>
        <v>615000</v>
      </c>
      <c r="CT185" s="344">
        <f>+'[100]VENTAS TOTALES'!$H210</f>
        <v>615000</v>
      </c>
      <c r="CU185" s="343">
        <f>+'[101]VENTAS TOTALES'!$F210</f>
        <v>0</v>
      </c>
      <c r="CV185" s="344">
        <f>+'[101]VENTAS TOTALES'!$G210</f>
        <v>118000</v>
      </c>
      <c r="CW185" s="344">
        <f>+'[101]VENTAS TOTALES'!$H210</f>
        <v>118000</v>
      </c>
      <c r="CX185" s="343">
        <f>+'[102]VENTAS TOTALES'!$F210</f>
        <v>0</v>
      </c>
      <c r="CY185" s="344">
        <f>+'[102]VENTAS TOTALES'!$G210</f>
        <v>42000</v>
      </c>
      <c r="CZ185" s="344">
        <f>+'[102]VENTAS TOTALES'!$H210</f>
        <v>42000</v>
      </c>
    </row>
    <row r="186" spans="1:104" s="8" customFormat="1" ht="14.25" customHeight="1" thickBot="1" x14ac:dyDescent="0.25">
      <c r="A186" s="455"/>
      <c r="B186" s="345" t="s">
        <v>474</v>
      </c>
      <c r="C186" s="343">
        <f>+'[69]VENTAS TOTALES'!$F211</f>
        <v>0</v>
      </c>
      <c r="D186" s="344">
        <f>+'[69]VENTAS TOTALES'!$G211</f>
        <v>5000</v>
      </c>
      <c r="E186" s="344">
        <f>+'[69]VENTAS TOTALES'!$H211</f>
        <v>5000</v>
      </c>
      <c r="F186" s="343">
        <f>+'[70]VENTAS TOTALES'!$F211</f>
        <v>0</v>
      </c>
      <c r="G186" s="344">
        <f>+'[70]VENTAS TOTALES'!$G211</f>
        <v>22000</v>
      </c>
      <c r="H186" s="344">
        <f>+'[70]VENTAS TOTALES'!$H211</f>
        <v>22000</v>
      </c>
      <c r="I186" s="343">
        <f>+'[71]VENTAS TOTALES'!$F211</f>
        <v>0</v>
      </c>
      <c r="J186" s="344">
        <f>+'[71]VENTAS TOTALES'!$G211</f>
        <v>24000</v>
      </c>
      <c r="K186" s="344">
        <f>+'[71]VENTAS TOTALES'!$H211</f>
        <v>24000</v>
      </c>
      <c r="L186" s="343">
        <f>+'[72]VENTAS TOTALES'!$F211</f>
        <v>0</v>
      </c>
      <c r="M186" s="344">
        <f>+'[72]VENTAS TOTALES'!$G211</f>
        <v>5000</v>
      </c>
      <c r="N186" s="344">
        <f>+'[72]VENTAS TOTALES'!$H211</f>
        <v>5000</v>
      </c>
      <c r="O186" s="343">
        <f>+'[73]VENTAS TOTALES'!$F211</f>
        <v>0</v>
      </c>
      <c r="P186" s="344">
        <f>+'[73]VENTAS TOTALES'!$G211</f>
        <v>2000</v>
      </c>
      <c r="Q186" s="344">
        <f>+'[73]VENTAS TOTALES'!$H211</f>
        <v>2000</v>
      </c>
      <c r="R186" s="343">
        <f>+'[74]VENTAS TOTALES'!$F211</f>
        <v>0</v>
      </c>
      <c r="S186" s="344">
        <f>+'[74]VENTAS TOTALES'!$G211</f>
        <v>0</v>
      </c>
      <c r="T186" s="344">
        <f>+'[74]VENTAS TOTALES'!$H211</f>
        <v>0</v>
      </c>
      <c r="U186" s="343">
        <f>+'[75]VENTAS TOTALES'!$F211</f>
        <v>0</v>
      </c>
      <c r="V186" s="344">
        <f>+'[75]VENTAS TOTALES'!$G211</f>
        <v>21000</v>
      </c>
      <c r="W186" s="344">
        <f>+'[75]VENTAS TOTALES'!$H211</f>
        <v>21000</v>
      </c>
      <c r="X186" s="343">
        <f>+'[76]VENTAS TOTALES'!$F211</f>
        <v>0</v>
      </c>
      <c r="Y186" s="344">
        <f>+'[76]VENTAS TOTALES'!$G211</f>
        <v>42000</v>
      </c>
      <c r="Z186" s="344">
        <f>+'[76]VENTAS TOTALES'!$H211</f>
        <v>42000</v>
      </c>
      <c r="AA186" s="343">
        <f>+'[77]VENTAS TOTALES'!$F211</f>
        <v>0</v>
      </c>
      <c r="AB186" s="344">
        <f>+'[77]VENTAS TOTALES'!$G211</f>
        <v>37000</v>
      </c>
      <c r="AC186" s="344">
        <f>+'[77]VENTAS TOTALES'!$H211</f>
        <v>37000</v>
      </c>
      <c r="AD186" s="343">
        <f>+'[78]VENTAS TOTALES'!$F211</f>
        <v>0</v>
      </c>
      <c r="AE186" s="344">
        <f>+'[78]VENTAS TOTALES'!$G211</f>
        <v>28000</v>
      </c>
      <c r="AF186" s="344">
        <f>+'[78]VENTAS TOTALES'!$H211</f>
        <v>28000</v>
      </c>
      <c r="AG186" s="343">
        <f>+'[79]VENTAS TOTALES'!$F211</f>
        <v>0</v>
      </c>
      <c r="AH186" s="344">
        <f>+'[79]VENTAS TOTALES'!$G211</f>
        <v>43000</v>
      </c>
      <c r="AI186" s="344">
        <f>+'[79]VENTAS TOTALES'!$H211</f>
        <v>43000</v>
      </c>
      <c r="AJ186" s="343">
        <f>+'[80]VENTAS TOTALES'!$F211</f>
        <v>0</v>
      </c>
      <c r="AK186" s="344">
        <f>+'[80]VENTAS TOTALES'!$G211</f>
        <v>9000</v>
      </c>
      <c r="AL186" s="344">
        <f>+'[80]VENTAS TOTALES'!$H211</f>
        <v>9000</v>
      </c>
      <c r="AM186" s="343">
        <f>+'[81]VENTAS TOTALES'!$F211</f>
        <v>0</v>
      </c>
      <c r="AN186" s="344">
        <f>+'[81]VENTAS TOTALES'!$G211</f>
        <v>0</v>
      </c>
      <c r="AO186" s="344">
        <f>+'[81]VENTAS TOTALES'!$H211</f>
        <v>0</v>
      </c>
      <c r="AP186" s="343">
        <f>+'[82]VENTAS TOTALES'!$F211</f>
        <v>0</v>
      </c>
      <c r="AQ186" s="344">
        <f>+'[82]VENTAS TOTALES'!$G211</f>
        <v>171000</v>
      </c>
      <c r="AR186" s="344">
        <f>+'[82]VENTAS TOTALES'!$H211</f>
        <v>171000</v>
      </c>
      <c r="AS186" s="343">
        <f>+'[83]VENTAS TOTALES'!$F211</f>
        <v>0</v>
      </c>
      <c r="AT186" s="344">
        <f>+'[83]VENTAS TOTALES'!$G211</f>
        <v>104000</v>
      </c>
      <c r="AU186" s="344">
        <f>+'[83]VENTAS TOTALES'!$H211</f>
        <v>104000</v>
      </c>
      <c r="AV186" s="343">
        <f>+'[84]VENTAS TOTALES'!$F211</f>
        <v>0</v>
      </c>
      <c r="AW186" s="344">
        <f>+'[84]VENTAS TOTALES'!$G211</f>
        <v>101000</v>
      </c>
      <c r="AX186" s="344">
        <f>+'[84]VENTAS TOTALES'!$H211</f>
        <v>101000</v>
      </c>
      <c r="AY186" s="343">
        <f>+'[85]VENTAS TOTALES'!$F211</f>
        <v>0</v>
      </c>
      <c r="AZ186" s="344">
        <f>+'[85]VENTAS TOTALES'!$G211</f>
        <v>106000</v>
      </c>
      <c r="BA186" s="344">
        <f>+'[85]VENTAS TOTALES'!$H211</f>
        <v>106000</v>
      </c>
      <c r="BB186" s="343">
        <f>+'[86]VENTAS TOTALES'!$F211</f>
        <v>0</v>
      </c>
      <c r="BC186" s="344">
        <f>+'[86]VENTAS TOTALES'!$G211</f>
        <v>70000</v>
      </c>
      <c r="BD186" s="344">
        <f>+'[86]VENTAS TOTALES'!$H211</f>
        <v>70000</v>
      </c>
      <c r="BE186" s="343">
        <f>+'[87]VENTAS TOTALES'!$F211</f>
        <v>0</v>
      </c>
      <c r="BF186" s="344">
        <f>+'[87]VENTAS TOTALES'!$G211</f>
        <v>51000</v>
      </c>
      <c r="BG186" s="344">
        <f>+'[87]VENTAS TOTALES'!$H211</f>
        <v>51000</v>
      </c>
      <c r="BH186" s="343">
        <f>+'[88]VENTAS TOTALES'!$F211</f>
        <v>0</v>
      </c>
      <c r="BI186" s="344">
        <f>+'[88]VENTAS TOTALES'!$G211</f>
        <v>0</v>
      </c>
      <c r="BJ186" s="344">
        <f>+'[88]VENTAS TOTALES'!$H211</f>
        <v>0</v>
      </c>
      <c r="BK186" s="343">
        <f>+'[89]VENTAS TOTALES'!$F211</f>
        <v>0</v>
      </c>
      <c r="BL186" s="344">
        <f>+'[89]VENTAS TOTALES'!$G211</f>
        <v>194000</v>
      </c>
      <c r="BM186" s="344">
        <f>+'[89]VENTAS TOTALES'!$H211</f>
        <v>194000</v>
      </c>
      <c r="BN186" s="343">
        <f>+'[90]VENTAS TOTALES'!$F211</f>
        <v>0</v>
      </c>
      <c r="BO186" s="344">
        <f>+'[90]VENTAS TOTALES'!$G211</f>
        <v>144000</v>
      </c>
      <c r="BP186" s="344">
        <f>+'[90]VENTAS TOTALES'!$H211</f>
        <v>144000</v>
      </c>
      <c r="BQ186" s="343">
        <f>+'[91]VENTAS TOTALES'!$F211</f>
        <v>0</v>
      </c>
      <c r="BR186" s="344">
        <f>+'[91]VENTAS TOTALES'!$G211</f>
        <v>56000</v>
      </c>
      <c r="BS186" s="344">
        <f>+'[91]VENTAS TOTALES'!$H211</f>
        <v>56000</v>
      </c>
      <c r="BT186" s="343">
        <f>+'[92]VENTAS TOTALES'!$F211</f>
        <v>0</v>
      </c>
      <c r="BU186" s="344">
        <f>+'[92]VENTAS TOTALES'!$G211</f>
        <v>104000</v>
      </c>
      <c r="BV186" s="344">
        <f>+'[92]VENTAS TOTALES'!$H211</f>
        <v>104000</v>
      </c>
      <c r="BW186" s="343">
        <f>+'[93]VENTAS TOTALES'!$F211</f>
        <v>0</v>
      </c>
      <c r="BX186" s="344">
        <f>+'[93]VENTAS TOTALES'!$G211</f>
        <v>101000</v>
      </c>
      <c r="BY186" s="344">
        <f>+'[93]VENTAS TOTALES'!$H211</f>
        <v>101000</v>
      </c>
      <c r="BZ186" s="343">
        <f>+'[94]VENTAS TOTALES'!$F211</f>
        <v>0</v>
      </c>
      <c r="CA186" s="344">
        <f>+'[94]VENTAS TOTALES'!$G211</f>
        <v>19000</v>
      </c>
      <c r="CB186" s="344">
        <f>+'[94]VENTAS TOTALES'!$H211</f>
        <v>19000</v>
      </c>
      <c r="CC186" s="343">
        <f>+'[95]VENTAS TOTALES'!$F211</f>
        <v>0</v>
      </c>
      <c r="CD186" s="344">
        <f>+'[95]VENTAS TOTALES'!$G211</f>
        <v>0</v>
      </c>
      <c r="CE186" s="344">
        <f>+'[95]VENTAS TOTALES'!$H211</f>
        <v>0</v>
      </c>
      <c r="CF186" s="343">
        <f>+'[96]VENTAS TOTALES'!$F211</f>
        <v>0</v>
      </c>
      <c r="CG186" s="344">
        <f>+'[96]VENTAS TOTALES'!$G211</f>
        <v>205000</v>
      </c>
      <c r="CH186" s="344">
        <f>+'[96]VENTAS TOTALES'!$H211</f>
        <v>205000</v>
      </c>
      <c r="CI186" s="343">
        <f>+'[97]VENTAS TOTALES'!$F211</f>
        <v>0</v>
      </c>
      <c r="CJ186" s="344">
        <f>+'[97]VENTAS TOTALES'!$G211</f>
        <v>290000</v>
      </c>
      <c r="CK186" s="344">
        <f>+'[97]VENTAS TOTALES'!$H211</f>
        <v>290000</v>
      </c>
      <c r="CL186" s="343">
        <f>+'[98]VENTAS TOTALES'!$F211</f>
        <v>0</v>
      </c>
      <c r="CM186" s="344">
        <f>+'[98]VENTAS TOTALES'!$G211</f>
        <v>254000</v>
      </c>
      <c r="CN186" s="344">
        <f>+'[98]VENTAS TOTALES'!$H211</f>
        <v>254000</v>
      </c>
      <c r="CO186" s="343">
        <f>+'[99]VENTAS TOTALES'!$F211</f>
        <v>0</v>
      </c>
      <c r="CP186" s="344">
        <f>+'[99]VENTAS TOTALES'!$G211</f>
        <v>164000</v>
      </c>
      <c r="CQ186" s="344">
        <f>+'[99]VENTAS TOTALES'!$H211</f>
        <v>164000</v>
      </c>
      <c r="CR186" s="343">
        <f>+'[100]VENTAS TOTALES'!$F211</f>
        <v>0</v>
      </c>
      <c r="CS186" s="344">
        <f>+'[100]VENTAS TOTALES'!$G211</f>
        <v>96000</v>
      </c>
      <c r="CT186" s="344">
        <f>+'[100]VENTAS TOTALES'!$H211</f>
        <v>96000</v>
      </c>
      <c r="CU186" s="343">
        <f>+'[101]VENTAS TOTALES'!$F211</f>
        <v>0</v>
      </c>
      <c r="CV186" s="344">
        <f>+'[101]VENTAS TOTALES'!$G211</f>
        <v>22000</v>
      </c>
      <c r="CW186" s="344">
        <f>+'[101]VENTAS TOTALES'!$H211</f>
        <v>22000</v>
      </c>
      <c r="CX186" s="343">
        <f>+'[102]VENTAS TOTALES'!$F211</f>
        <v>0</v>
      </c>
      <c r="CY186" s="344">
        <f>+'[102]VENTAS TOTALES'!$G211</f>
        <v>10000</v>
      </c>
      <c r="CZ186" s="344">
        <f>+'[102]VENTAS TOTALES'!$H211</f>
        <v>10000</v>
      </c>
    </row>
    <row r="187" spans="1:104" s="8" customFormat="1" ht="14.25" customHeight="1" thickBot="1" x14ac:dyDescent="0.25">
      <c r="A187" s="455"/>
      <c r="B187" s="66" t="s">
        <v>477</v>
      </c>
      <c r="C187" s="343">
        <f>+'[69]VENTAS TOTALES'!$F212</f>
        <v>0</v>
      </c>
      <c r="D187" s="344">
        <f>+'[69]VENTAS TOTALES'!$G212</f>
        <v>20000</v>
      </c>
      <c r="E187" s="344">
        <f>+'[69]VENTAS TOTALES'!$H212</f>
        <v>20000</v>
      </c>
      <c r="F187" s="343">
        <f>+'[70]VENTAS TOTALES'!$F212</f>
        <v>0</v>
      </c>
      <c r="G187" s="344">
        <f>+'[70]VENTAS TOTALES'!$G212</f>
        <v>0</v>
      </c>
      <c r="H187" s="344">
        <f>+'[70]VENTAS TOTALES'!$H212</f>
        <v>0</v>
      </c>
      <c r="I187" s="343">
        <f>+'[71]VENTAS TOTALES'!$F212</f>
        <v>0</v>
      </c>
      <c r="J187" s="344">
        <f>+'[71]VENTAS TOTALES'!$G212</f>
        <v>5000</v>
      </c>
      <c r="K187" s="344">
        <f>+'[71]VENTAS TOTALES'!$H212</f>
        <v>5000</v>
      </c>
      <c r="L187" s="343">
        <f>+'[72]VENTAS TOTALES'!$F212</f>
        <v>0</v>
      </c>
      <c r="M187" s="344">
        <f>+'[72]VENTAS TOTALES'!$G212</f>
        <v>0</v>
      </c>
      <c r="N187" s="344">
        <f>+'[72]VENTAS TOTALES'!$H212</f>
        <v>0</v>
      </c>
      <c r="O187" s="343">
        <f>+'[73]VENTAS TOTALES'!$F212</f>
        <v>0</v>
      </c>
      <c r="P187" s="344">
        <f>+'[73]VENTAS TOTALES'!$G212</f>
        <v>0</v>
      </c>
      <c r="Q187" s="344">
        <f>+'[73]VENTAS TOTALES'!$H212</f>
        <v>0</v>
      </c>
      <c r="R187" s="343">
        <f>+'[74]VENTAS TOTALES'!$F212</f>
        <v>0</v>
      </c>
      <c r="S187" s="344">
        <f>+'[74]VENTAS TOTALES'!$G212</f>
        <v>0</v>
      </c>
      <c r="T187" s="344">
        <f>+'[74]VENTAS TOTALES'!$H212</f>
        <v>0</v>
      </c>
      <c r="U187" s="343">
        <f>+'[75]VENTAS TOTALES'!$F212</f>
        <v>0</v>
      </c>
      <c r="V187" s="344">
        <f>+'[75]VENTAS TOTALES'!$G212</f>
        <v>0</v>
      </c>
      <c r="W187" s="344">
        <f>+'[75]VENTAS TOTALES'!$H212</f>
        <v>0</v>
      </c>
      <c r="X187" s="343">
        <f>+'[76]VENTAS TOTALES'!$F212</f>
        <v>0</v>
      </c>
      <c r="Y187" s="344">
        <f>+'[76]VENTAS TOTALES'!$G212</f>
        <v>25000</v>
      </c>
      <c r="Z187" s="344">
        <f>+'[76]VENTAS TOTALES'!$H212</f>
        <v>25000</v>
      </c>
      <c r="AA187" s="343">
        <f>+'[77]VENTAS TOTALES'!$F212</f>
        <v>0</v>
      </c>
      <c r="AB187" s="344">
        <f>+'[77]VENTAS TOTALES'!$G212</f>
        <v>0</v>
      </c>
      <c r="AC187" s="344">
        <f>+'[77]VENTAS TOTALES'!$H212</f>
        <v>0</v>
      </c>
      <c r="AD187" s="343">
        <f>+'[78]VENTAS TOTALES'!$F212</f>
        <v>0</v>
      </c>
      <c r="AE187" s="344">
        <f>+'[78]VENTAS TOTALES'!$G212</f>
        <v>0</v>
      </c>
      <c r="AF187" s="344">
        <f>+'[78]VENTAS TOTALES'!$H212</f>
        <v>0</v>
      </c>
      <c r="AG187" s="343">
        <f>+'[79]VENTAS TOTALES'!$F212</f>
        <v>0</v>
      </c>
      <c r="AH187" s="344">
        <f>+'[79]VENTAS TOTALES'!$G212</f>
        <v>0</v>
      </c>
      <c r="AI187" s="344">
        <f>+'[79]VENTAS TOTALES'!$H212</f>
        <v>0</v>
      </c>
      <c r="AJ187" s="343">
        <f>+'[80]VENTAS TOTALES'!$F212</f>
        <v>0</v>
      </c>
      <c r="AK187" s="344">
        <f>+'[80]VENTAS TOTALES'!$G212</f>
        <v>0</v>
      </c>
      <c r="AL187" s="344">
        <f>+'[80]VENTAS TOTALES'!$H212</f>
        <v>0</v>
      </c>
      <c r="AM187" s="343">
        <f>+'[81]VENTAS TOTALES'!$F212</f>
        <v>0</v>
      </c>
      <c r="AN187" s="344">
        <f>+'[81]VENTAS TOTALES'!$G212</f>
        <v>20000</v>
      </c>
      <c r="AO187" s="344">
        <f>+'[81]VENTAS TOTALES'!$H212</f>
        <v>20000</v>
      </c>
      <c r="AP187" s="343">
        <f>+'[82]VENTAS TOTALES'!$F212</f>
        <v>0</v>
      </c>
      <c r="AQ187" s="344">
        <f>+'[82]VENTAS TOTALES'!$G212</f>
        <v>10000</v>
      </c>
      <c r="AR187" s="344">
        <f>+'[82]VENTAS TOTALES'!$H212</f>
        <v>10000</v>
      </c>
      <c r="AS187" s="343">
        <f>+'[83]VENTAS TOTALES'!$F212</f>
        <v>0</v>
      </c>
      <c r="AT187" s="344">
        <f>+'[83]VENTAS TOTALES'!$G212</f>
        <v>0</v>
      </c>
      <c r="AU187" s="344">
        <f>+'[83]VENTAS TOTALES'!$H212</f>
        <v>0</v>
      </c>
      <c r="AV187" s="343">
        <f>+'[84]VENTAS TOTALES'!$F212</f>
        <v>0</v>
      </c>
      <c r="AW187" s="344">
        <f>+'[84]VENTAS TOTALES'!$G212</f>
        <v>5000</v>
      </c>
      <c r="AX187" s="344">
        <f>+'[84]VENTAS TOTALES'!$H212</f>
        <v>5000</v>
      </c>
      <c r="AY187" s="343">
        <f>+'[85]VENTAS TOTALES'!$F212</f>
        <v>0</v>
      </c>
      <c r="AZ187" s="344">
        <f>+'[85]VENTAS TOTALES'!$G212</f>
        <v>0</v>
      </c>
      <c r="BA187" s="344">
        <f>+'[85]VENTAS TOTALES'!$H212</f>
        <v>0</v>
      </c>
      <c r="BB187" s="343">
        <f>+'[86]VENTAS TOTALES'!$F212</f>
        <v>0</v>
      </c>
      <c r="BC187" s="344">
        <f>+'[86]VENTAS TOTALES'!$G212</f>
        <v>0</v>
      </c>
      <c r="BD187" s="344">
        <f>+'[86]VENTAS TOTALES'!$H212</f>
        <v>0</v>
      </c>
      <c r="BE187" s="343">
        <f>+'[87]VENTAS TOTALES'!$F212</f>
        <v>0</v>
      </c>
      <c r="BF187" s="344">
        <f>+'[87]VENTAS TOTALES'!$G212</f>
        <v>0</v>
      </c>
      <c r="BG187" s="344">
        <f>+'[87]VENTAS TOTALES'!$H212</f>
        <v>0</v>
      </c>
      <c r="BH187" s="343">
        <f>+'[88]VENTAS TOTALES'!$F212</f>
        <v>0</v>
      </c>
      <c r="BI187" s="344">
        <f>+'[88]VENTAS TOTALES'!$G212</f>
        <v>0</v>
      </c>
      <c r="BJ187" s="344">
        <f>+'[88]VENTAS TOTALES'!$H212</f>
        <v>0</v>
      </c>
      <c r="BK187" s="343">
        <f>+'[89]VENTAS TOTALES'!$F212</f>
        <v>0</v>
      </c>
      <c r="BL187" s="344">
        <f>+'[89]VENTAS TOTALES'!$G212</f>
        <v>20000</v>
      </c>
      <c r="BM187" s="344">
        <f>+'[89]VENTAS TOTALES'!$H212</f>
        <v>20000</v>
      </c>
      <c r="BN187" s="343">
        <f>+'[90]VENTAS TOTALES'!$F212</f>
        <v>0</v>
      </c>
      <c r="BO187" s="344">
        <f>+'[90]VENTAS TOTALES'!$G212</f>
        <v>0</v>
      </c>
      <c r="BP187" s="344">
        <f>+'[90]VENTAS TOTALES'!$H212</f>
        <v>0</v>
      </c>
      <c r="BQ187" s="343">
        <f>+'[91]VENTAS TOTALES'!$F212</f>
        <v>0</v>
      </c>
      <c r="BR187" s="344">
        <f>+'[91]VENTAS TOTALES'!$G212</f>
        <v>0</v>
      </c>
      <c r="BS187" s="344">
        <f>+'[91]VENTAS TOTALES'!$H212</f>
        <v>0</v>
      </c>
      <c r="BT187" s="343">
        <f>+'[92]VENTAS TOTALES'!$F212</f>
        <v>0</v>
      </c>
      <c r="BU187" s="344">
        <f>+'[92]VENTAS TOTALES'!$G212</f>
        <v>0</v>
      </c>
      <c r="BV187" s="344">
        <f>+'[92]VENTAS TOTALES'!$H212</f>
        <v>0</v>
      </c>
      <c r="BW187" s="343">
        <f>+'[93]VENTAS TOTALES'!$F212</f>
        <v>0</v>
      </c>
      <c r="BX187" s="344">
        <f>+'[93]VENTAS TOTALES'!$G212</f>
        <v>0</v>
      </c>
      <c r="BY187" s="344">
        <f>+'[93]VENTAS TOTALES'!$H212</f>
        <v>0</v>
      </c>
      <c r="BZ187" s="343">
        <f>+'[94]VENTAS TOTALES'!$F212</f>
        <v>0</v>
      </c>
      <c r="CA187" s="344">
        <f>+'[94]VENTAS TOTALES'!$G212</f>
        <v>0</v>
      </c>
      <c r="CB187" s="344">
        <f>+'[94]VENTAS TOTALES'!$H212</f>
        <v>0</v>
      </c>
      <c r="CC187" s="343">
        <f>+'[95]VENTAS TOTALES'!$F212</f>
        <v>0</v>
      </c>
      <c r="CD187" s="344">
        <f>+'[95]VENTAS TOTALES'!$G212</f>
        <v>20000</v>
      </c>
      <c r="CE187" s="344">
        <f>+'[95]VENTAS TOTALES'!$H212</f>
        <v>20000</v>
      </c>
      <c r="CF187" s="343">
        <f>+'[96]VENTAS TOTALES'!$F212</f>
        <v>0</v>
      </c>
      <c r="CG187" s="344">
        <f>+'[96]VENTAS TOTALES'!$G212</f>
        <v>0</v>
      </c>
      <c r="CH187" s="344">
        <f>+'[96]VENTAS TOTALES'!$H212</f>
        <v>0</v>
      </c>
      <c r="CI187" s="343">
        <f>+'[97]VENTAS TOTALES'!$F212</f>
        <v>0</v>
      </c>
      <c r="CJ187" s="344">
        <f>+'[97]VENTAS TOTALES'!$G212</f>
        <v>20000</v>
      </c>
      <c r="CK187" s="344">
        <f>+'[97]VENTAS TOTALES'!$H212</f>
        <v>20000</v>
      </c>
      <c r="CL187" s="343">
        <f>+'[98]VENTAS TOTALES'!$F212</f>
        <v>0</v>
      </c>
      <c r="CM187" s="344">
        <f>+'[98]VENTAS TOTALES'!$G212</f>
        <v>0</v>
      </c>
      <c r="CN187" s="344">
        <f>+'[98]VENTAS TOTALES'!$H212</f>
        <v>0</v>
      </c>
      <c r="CO187" s="343">
        <f>+'[99]VENTAS TOTALES'!$F212</f>
        <v>0</v>
      </c>
      <c r="CP187" s="344">
        <f>+'[99]VENTAS TOTALES'!$G212</f>
        <v>0</v>
      </c>
      <c r="CQ187" s="344">
        <f>+'[99]VENTAS TOTALES'!$H212</f>
        <v>0</v>
      </c>
      <c r="CR187" s="343">
        <f>+'[100]VENTAS TOTALES'!$F212</f>
        <v>0</v>
      </c>
      <c r="CS187" s="344">
        <f>+'[100]VENTAS TOTALES'!$G212</f>
        <v>0</v>
      </c>
      <c r="CT187" s="344">
        <f>+'[100]VENTAS TOTALES'!$H212</f>
        <v>0</v>
      </c>
      <c r="CU187" s="343">
        <f>+'[101]VENTAS TOTALES'!$F212</f>
        <v>0</v>
      </c>
      <c r="CV187" s="344">
        <f>+'[101]VENTAS TOTALES'!$G212</f>
        <v>0</v>
      </c>
      <c r="CW187" s="344">
        <f>+'[101]VENTAS TOTALES'!$H212</f>
        <v>0</v>
      </c>
      <c r="CX187" s="343">
        <f>+'[102]VENTAS TOTALES'!$F212</f>
        <v>0</v>
      </c>
      <c r="CY187" s="344">
        <f>+'[102]VENTAS TOTALES'!$G212</f>
        <v>0</v>
      </c>
      <c r="CZ187" s="344">
        <f>+'[102]VENTAS TOTALES'!$H212</f>
        <v>0</v>
      </c>
    </row>
    <row r="188" spans="1:104" s="8" customFormat="1" ht="14.25" customHeight="1" thickBot="1" x14ac:dyDescent="0.25">
      <c r="A188" s="455"/>
      <c r="B188" s="66" t="s">
        <v>478</v>
      </c>
      <c r="C188" s="343">
        <f>+'[69]VENTAS TOTALES'!$F213</f>
        <v>0</v>
      </c>
      <c r="D188" s="344">
        <f>+'[69]VENTAS TOTALES'!$G213</f>
        <v>0</v>
      </c>
      <c r="E188" s="344">
        <f>+'[69]VENTAS TOTALES'!$H213</f>
        <v>0</v>
      </c>
      <c r="F188" s="343">
        <f>+'[70]VENTAS TOTALES'!$F213</f>
        <v>0</v>
      </c>
      <c r="G188" s="344">
        <f>+'[70]VENTAS TOTALES'!$G213</f>
        <v>17000</v>
      </c>
      <c r="H188" s="344">
        <f>+'[70]VENTAS TOTALES'!$H213</f>
        <v>17000</v>
      </c>
      <c r="I188" s="343">
        <f>+'[71]VENTAS TOTALES'!$F213</f>
        <v>0</v>
      </c>
      <c r="J188" s="344">
        <f>+'[71]VENTAS TOTALES'!$G213</f>
        <v>22000</v>
      </c>
      <c r="K188" s="344">
        <f>+'[71]VENTAS TOTALES'!$H213</f>
        <v>22000</v>
      </c>
      <c r="L188" s="343">
        <f>+'[72]VENTAS TOTALES'!$F213</f>
        <v>0</v>
      </c>
      <c r="M188" s="344">
        <f>+'[72]VENTAS TOTALES'!$G213</f>
        <v>20000</v>
      </c>
      <c r="N188" s="344">
        <f>+'[72]VENTAS TOTALES'!$H213</f>
        <v>20000</v>
      </c>
      <c r="O188" s="343">
        <f>+'[73]VENTAS TOTALES'!$F213</f>
        <v>0</v>
      </c>
      <c r="P188" s="344">
        <f>+'[73]VENTAS TOTALES'!$G213</f>
        <v>0</v>
      </c>
      <c r="Q188" s="344">
        <f>+'[73]VENTAS TOTALES'!$H213</f>
        <v>0</v>
      </c>
      <c r="R188" s="343">
        <f>+'[74]VENTAS TOTALES'!$F213</f>
        <v>0</v>
      </c>
      <c r="S188" s="344">
        <f>+'[74]VENTAS TOTALES'!$G213</f>
        <v>4000</v>
      </c>
      <c r="T188" s="344">
        <f>+'[74]VENTAS TOTALES'!$H213</f>
        <v>4000</v>
      </c>
      <c r="U188" s="343">
        <f>+'[75]VENTAS TOTALES'!$F213</f>
        <v>0</v>
      </c>
      <c r="V188" s="344">
        <f>+'[75]VENTAS TOTALES'!$G213</f>
        <v>0</v>
      </c>
      <c r="W188" s="344">
        <f>+'[75]VENTAS TOTALES'!$H213</f>
        <v>0</v>
      </c>
      <c r="X188" s="343">
        <f>+'[76]VENTAS TOTALES'!$F213</f>
        <v>0</v>
      </c>
      <c r="Y188" s="344">
        <f>+'[76]VENTAS TOTALES'!$G213</f>
        <v>5000</v>
      </c>
      <c r="Z188" s="344">
        <f>+'[76]VENTAS TOTALES'!$H213</f>
        <v>5000</v>
      </c>
      <c r="AA188" s="343">
        <f>+'[77]VENTAS TOTALES'!$F213</f>
        <v>0</v>
      </c>
      <c r="AB188" s="344">
        <f>+'[77]VENTAS TOTALES'!$G213</f>
        <v>1000</v>
      </c>
      <c r="AC188" s="344">
        <f>+'[77]VENTAS TOTALES'!$H213</f>
        <v>1000</v>
      </c>
      <c r="AD188" s="343">
        <f>+'[78]VENTAS TOTALES'!$F213</f>
        <v>0</v>
      </c>
      <c r="AE188" s="344">
        <f>+'[78]VENTAS TOTALES'!$G213</f>
        <v>2000</v>
      </c>
      <c r="AF188" s="344">
        <f>+'[78]VENTAS TOTALES'!$H213</f>
        <v>2000</v>
      </c>
      <c r="AG188" s="343">
        <f>+'[79]VENTAS TOTALES'!$F213</f>
        <v>0</v>
      </c>
      <c r="AH188" s="344">
        <f>+'[79]VENTAS TOTALES'!$G213</f>
        <v>0</v>
      </c>
      <c r="AI188" s="344">
        <f>+'[79]VENTAS TOTALES'!$H213</f>
        <v>0</v>
      </c>
      <c r="AJ188" s="343">
        <f>+'[80]VENTAS TOTALES'!$F213</f>
        <v>0</v>
      </c>
      <c r="AK188" s="344">
        <f>+'[80]VENTAS TOTALES'!$G213</f>
        <v>0</v>
      </c>
      <c r="AL188" s="344">
        <f>+'[80]VENTAS TOTALES'!$H213</f>
        <v>0</v>
      </c>
      <c r="AM188" s="343">
        <f>+'[81]VENTAS TOTALES'!$F213</f>
        <v>0</v>
      </c>
      <c r="AN188" s="344">
        <f>+'[81]VENTAS TOTALES'!$G213</f>
        <v>0</v>
      </c>
      <c r="AO188" s="344">
        <f>+'[81]VENTAS TOTALES'!$H213</f>
        <v>0</v>
      </c>
      <c r="AP188" s="343">
        <f>+'[82]VENTAS TOTALES'!$F213</f>
        <v>0</v>
      </c>
      <c r="AQ188" s="344">
        <f>+'[82]VENTAS TOTALES'!$G213</f>
        <v>7000</v>
      </c>
      <c r="AR188" s="344">
        <f>+'[82]VENTAS TOTALES'!$H213</f>
        <v>7000</v>
      </c>
      <c r="AS188" s="343">
        <f>+'[83]VENTAS TOTALES'!$F213</f>
        <v>0</v>
      </c>
      <c r="AT188" s="344">
        <f>+'[83]VENTAS TOTALES'!$G213</f>
        <v>0</v>
      </c>
      <c r="AU188" s="344">
        <f>+'[83]VENTAS TOTALES'!$H213</f>
        <v>0</v>
      </c>
      <c r="AV188" s="343">
        <f>+'[84]VENTAS TOTALES'!$F213</f>
        <v>0</v>
      </c>
      <c r="AW188" s="344">
        <f>+'[84]VENTAS TOTALES'!$G213</f>
        <v>0</v>
      </c>
      <c r="AX188" s="344">
        <f>+'[84]VENTAS TOTALES'!$H213</f>
        <v>0</v>
      </c>
      <c r="AY188" s="343">
        <f>+'[85]VENTAS TOTALES'!$F213</f>
        <v>0</v>
      </c>
      <c r="AZ188" s="344">
        <f>+'[85]VENTAS TOTALES'!$G213</f>
        <v>0</v>
      </c>
      <c r="BA188" s="344">
        <f>+'[85]VENTAS TOTALES'!$H213</f>
        <v>0</v>
      </c>
      <c r="BB188" s="343">
        <f>+'[86]VENTAS TOTALES'!$F213</f>
        <v>0</v>
      </c>
      <c r="BC188" s="344">
        <f>+'[86]VENTAS TOTALES'!$G213</f>
        <v>10000</v>
      </c>
      <c r="BD188" s="344">
        <f>+'[86]VENTAS TOTALES'!$H213</f>
        <v>10000</v>
      </c>
      <c r="BE188" s="343">
        <f>+'[87]VENTAS TOTALES'!$F213</f>
        <v>0</v>
      </c>
      <c r="BF188" s="344">
        <f>+'[87]VENTAS TOTALES'!$G213</f>
        <v>5000</v>
      </c>
      <c r="BG188" s="344">
        <f>+'[87]VENTAS TOTALES'!$H213</f>
        <v>5000</v>
      </c>
      <c r="BH188" s="343">
        <f>+'[88]VENTAS TOTALES'!$F213</f>
        <v>0</v>
      </c>
      <c r="BI188" s="344">
        <f>+'[88]VENTAS TOTALES'!$G213</f>
        <v>0</v>
      </c>
      <c r="BJ188" s="344">
        <f>+'[88]VENTAS TOTALES'!$H213</f>
        <v>0</v>
      </c>
      <c r="BK188" s="343">
        <f>+'[89]VENTAS TOTALES'!$F213</f>
        <v>0</v>
      </c>
      <c r="BL188" s="344">
        <f>+'[89]VENTAS TOTALES'!$G213</f>
        <v>24000</v>
      </c>
      <c r="BM188" s="344">
        <f>+'[89]VENTAS TOTALES'!$H213</f>
        <v>24000</v>
      </c>
      <c r="BN188" s="343">
        <f>+'[90]VENTAS TOTALES'!$F213</f>
        <v>0</v>
      </c>
      <c r="BO188" s="344">
        <f>+'[90]VENTAS TOTALES'!$G213</f>
        <v>5000</v>
      </c>
      <c r="BP188" s="344">
        <f>+'[90]VENTAS TOTALES'!$H213</f>
        <v>5000</v>
      </c>
      <c r="BQ188" s="343">
        <f>+'[91]VENTAS TOTALES'!$F213</f>
        <v>0</v>
      </c>
      <c r="BR188" s="344">
        <f>+'[91]VENTAS TOTALES'!$G213</f>
        <v>11000</v>
      </c>
      <c r="BS188" s="344">
        <f>+'[91]VENTAS TOTALES'!$H213</f>
        <v>11000</v>
      </c>
      <c r="BT188" s="343">
        <f>+'[92]VENTAS TOTALES'!$F213</f>
        <v>0</v>
      </c>
      <c r="BU188" s="344">
        <f>+'[92]VENTAS TOTALES'!$G213</f>
        <v>0</v>
      </c>
      <c r="BV188" s="344">
        <f>+'[92]VENTAS TOTALES'!$H213</f>
        <v>0</v>
      </c>
      <c r="BW188" s="343">
        <f>+'[93]VENTAS TOTALES'!$F213</f>
        <v>0</v>
      </c>
      <c r="BX188" s="344">
        <f>+'[93]VENTAS TOTALES'!$G213</f>
        <v>5000</v>
      </c>
      <c r="BY188" s="344">
        <f>+'[93]VENTAS TOTALES'!$H213</f>
        <v>5000</v>
      </c>
      <c r="BZ188" s="343">
        <f>+'[94]VENTAS TOTALES'!$F213</f>
        <v>0</v>
      </c>
      <c r="CA188" s="344">
        <f>+'[94]VENTAS TOTALES'!$G213</f>
        <v>20000</v>
      </c>
      <c r="CB188" s="344">
        <f>+'[94]VENTAS TOTALES'!$H213</f>
        <v>20000</v>
      </c>
      <c r="CC188" s="343">
        <f>+'[95]VENTAS TOTALES'!$F213</f>
        <v>0</v>
      </c>
      <c r="CD188" s="344">
        <f>+'[95]VENTAS TOTALES'!$G213</f>
        <v>0</v>
      </c>
      <c r="CE188" s="344">
        <f>+'[95]VENTAS TOTALES'!$H213</f>
        <v>0</v>
      </c>
      <c r="CF188" s="343">
        <f>+'[96]VENTAS TOTALES'!$F213</f>
        <v>0</v>
      </c>
      <c r="CG188" s="344">
        <f>+'[96]VENTAS TOTALES'!$G213</f>
        <v>0</v>
      </c>
      <c r="CH188" s="344">
        <f>+'[96]VENTAS TOTALES'!$H213</f>
        <v>0</v>
      </c>
      <c r="CI188" s="343">
        <f>+'[97]VENTAS TOTALES'!$F213</f>
        <v>0</v>
      </c>
      <c r="CJ188" s="344">
        <f>+'[97]VENTAS TOTALES'!$G213</f>
        <v>25000</v>
      </c>
      <c r="CK188" s="344">
        <f>+'[97]VENTAS TOTALES'!$H213</f>
        <v>25000</v>
      </c>
      <c r="CL188" s="343">
        <f>+'[98]VENTAS TOTALES'!$F213</f>
        <v>0</v>
      </c>
      <c r="CM188" s="344">
        <f>+'[98]VENTAS TOTALES'!$G213</f>
        <v>5000</v>
      </c>
      <c r="CN188" s="344">
        <f>+'[98]VENTAS TOTALES'!$H213</f>
        <v>5000</v>
      </c>
      <c r="CO188" s="343">
        <f>+'[99]VENTAS TOTALES'!$F213</f>
        <v>0</v>
      </c>
      <c r="CP188" s="344">
        <f>+'[99]VENTAS TOTALES'!$G213</f>
        <v>10000</v>
      </c>
      <c r="CQ188" s="344">
        <f>+'[99]VENTAS TOTALES'!$H213</f>
        <v>10000</v>
      </c>
      <c r="CR188" s="343">
        <f>+'[100]VENTAS TOTALES'!$F213</f>
        <v>0</v>
      </c>
      <c r="CS188" s="344">
        <f>+'[100]VENTAS TOTALES'!$G213</f>
        <v>5000</v>
      </c>
      <c r="CT188" s="344">
        <f>+'[100]VENTAS TOTALES'!$H213</f>
        <v>5000</v>
      </c>
      <c r="CU188" s="343">
        <f>+'[101]VENTAS TOTALES'!$F213</f>
        <v>0</v>
      </c>
      <c r="CV188" s="344">
        <f>+'[101]VENTAS TOTALES'!$G213</f>
        <v>0</v>
      </c>
      <c r="CW188" s="344">
        <f>+'[101]VENTAS TOTALES'!$H213</f>
        <v>0</v>
      </c>
      <c r="CX188" s="343">
        <f>+'[102]VENTAS TOTALES'!$F213</f>
        <v>0</v>
      </c>
      <c r="CY188" s="344">
        <f>+'[102]VENTAS TOTALES'!$G213</f>
        <v>20000</v>
      </c>
      <c r="CZ188" s="344">
        <f>+'[102]VENTAS TOTALES'!$H213</f>
        <v>20000</v>
      </c>
    </row>
    <row r="189" spans="1:104" s="8" customFormat="1" ht="14.25" customHeight="1" thickBot="1" x14ac:dyDescent="0.25">
      <c r="A189" s="455"/>
      <c r="B189" s="66" t="s">
        <v>479</v>
      </c>
      <c r="C189" s="343">
        <f>+'[69]VENTAS TOTALES'!$F214</f>
        <v>0</v>
      </c>
      <c r="D189" s="344">
        <f>+'[69]VENTAS TOTALES'!$G214</f>
        <v>158000</v>
      </c>
      <c r="E189" s="344">
        <f>+'[69]VENTAS TOTALES'!$H214</f>
        <v>158000</v>
      </c>
      <c r="F189" s="343">
        <f>+'[70]VENTAS TOTALES'!$F214</f>
        <v>0</v>
      </c>
      <c r="G189" s="344">
        <f>+'[70]VENTAS TOTALES'!$G214</f>
        <v>136000</v>
      </c>
      <c r="H189" s="344">
        <f>+'[70]VENTAS TOTALES'!$H214</f>
        <v>136000</v>
      </c>
      <c r="I189" s="343">
        <f>+'[71]VENTAS TOTALES'!$F214</f>
        <v>0</v>
      </c>
      <c r="J189" s="344">
        <f>+'[71]VENTAS TOTALES'!$G214</f>
        <v>11000</v>
      </c>
      <c r="K189" s="344">
        <f>+'[71]VENTAS TOTALES'!$H214</f>
        <v>11000</v>
      </c>
      <c r="L189" s="343">
        <f>+'[72]VENTAS TOTALES'!$F214</f>
        <v>0</v>
      </c>
      <c r="M189" s="344">
        <f>+'[72]VENTAS TOTALES'!$G214</f>
        <v>49000</v>
      </c>
      <c r="N189" s="344">
        <f>+'[72]VENTAS TOTALES'!$H214</f>
        <v>49000</v>
      </c>
      <c r="O189" s="343">
        <f>+'[73]VENTAS TOTALES'!$F214</f>
        <v>0</v>
      </c>
      <c r="P189" s="344">
        <f>+'[73]VENTAS TOTALES'!$G214</f>
        <v>11000</v>
      </c>
      <c r="Q189" s="344">
        <f>+'[73]VENTAS TOTALES'!$H214</f>
        <v>11000</v>
      </c>
      <c r="R189" s="343">
        <f>+'[74]VENTAS TOTALES'!$F214</f>
        <v>0</v>
      </c>
      <c r="S189" s="344">
        <f>+'[74]VENTAS TOTALES'!$G214</f>
        <v>0</v>
      </c>
      <c r="T189" s="344">
        <f>+'[74]VENTAS TOTALES'!$H214</f>
        <v>0</v>
      </c>
      <c r="U189" s="343">
        <f>+'[75]VENTAS TOTALES'!$F214</f>
        <v>0</v>
      </c>
      <c r="V189" s="344">
        <f>+'[75]VENTAS TOTALES'!$G214</f>
        <v>97000</v>
      </c>
      <c r="W189" s="344">
        <f>+'[75]VENTAS TOTALES'!$H214</f>
        <v>97000</v>
      </c>
      <c r="X189" s="343">
        <f>+'[76]VENTAS TOTALES'!$F214</f>
        <v>0</v>
      </c>
      <c r="Y189" s="344">
        <f>+'[76]VENTAS TOTALES'!$G214</f>
        <v>87000</v>
      </c>
      <c r="Z189" s="344">
        <f>+'[76]VENTAS TOTALES'!$H214</f>
        <v>87000</v>
      </c>
      <c r="AA189" s="343">
        <f>+'[77]VENTAS TOTALES'!$F214</f>
        <v>0</v>
      </c>
      <c r="AB189" s="344">
        <f>+'[77]VENTAS TOTALES'!$G214</f>
        <v>102000</v>
      </c>
      <c r="AC189" s="344">
        <f>+'[77]VENTAS TOTALES'!$H214</f>
        <v>102000</v>
      </c>
      <c r="AD189" s="343">
        <f>+'[78]VENTAS TOTALES'!$F214</f>
        <v>0</v>
      </c>
      <c r="AE189" s="344">
        <f>+'[78]VENTAS TOTALES'!$G214</f>
        <v>127000</v>
      </c>
      <c r="AF189" s="344">
        <f>+'[78]VENTAS TOTALES'!$H214</f>
        <v>127000</v>
      </c>
      <c r="AG189" s="343">
        <f>+'[79]VENTAS TOTALES'!$F214</f>
        <v>0</v>
      </c>
      <c r="AH189" s="344">
        <f>+'[79]VENTAS TOTALES'!$G214</f>
        <v>54000</v>
      </c>
      <c r="AI189" s="344">
        <f>+'[79]VENTAS TOTALES'!$H214</f>
        <v>54000</v>
      </c>
      <c r="AJ189" s="343">
        <f>+'[80]VENTAS TOTALES'!$F214</f>
        <v>0</v>
      </c>
      <c r="AK189" s="344">
        <f>+'[80]VENTAS TOTALES'!$G214</f>
        <v>40000</v>
      </c>
      <c r="AL189" s="344">
        <f>+'[80]VENTAS TOTALES'!$H214</f>
        <v>40000</v>
      </c>
      <c r="AM189" s="343">
        <f>+'[81]VENTAS TOTALES'!$F214</f>
        <v>0</v>
      </c>
      <c r="AN189" s="344">
        <f>+'[81]VENTAS TOTALES'!$G214</f>
        <v>3000</v>
      </c>
      <c r="AO189" s="344">
        <f>+'[81]VENTAS TOTALES'!$H214</f>
        <v>3000</v>
      </c>
      <c r="AP189" s="343">
        <f>+'[82]VENTAS TOTALES'!$F214</f>
        <v>0</v>
      </c>
      <c r="AQ189" s="344">
        <f>+'[82]VENTAS TOTALES'!$G214</f>
        <v>147000</v>
      </c>
      <c r="AR189" s="344">
        <f>+'[82]VENTAS TOTALES'!$H214</f>
        <v>147000</v>
      </c>
      <c r="AS189" s="343">
        <f>+'[83]VENTAS TOTALES'!$F214</f>
        <v>0</v>
      </c>
      <c r="AT189" s="344">
        <f>+'[83]VENTAS TOTALES'!$G214</f>
        <v>132000</v>
      </c>
      <c r="AU189" s="344">
        <f>+'[83]VENTAS TOTALES'!$H214</f>
        <v>132000</v>
      </c>
      <c r="AV189" s="343">
        <f>+'[84]VENTAS TOTALES'!$F214</f>
        <v>0</v>
      </c>
      <c r="AW189" s="344">
        <f>+'[84]VENTAS TOTALES'!$G214</f>
        <v>146000</v>
      </c>
      <c r="AX189" s="344">
        <f>+'[84]VENTAS TOTALES'!$H214</f>
        <v>146000</v>
      </c>
      <c r="AY189" s="343">
        <f>+'[85]VENTAS TOTALES'!$F214</f>
        <v>0</v>
      </c>
      <c r="AZ189" s="344">
        <f>+'[85]VENTAS TOTALES'!$G214</f>
        <v>158000</v>
      </c>
      <c r="BA189" s="344">
        <f>+'[85]VENTAS TOTALES'!$H214</f>
        <v>158000</v>
      </c>
      <c r="BB189" s="343">
        <f>+'[86]VENTAS TOTALES'!$F214</f>
        <v>0</v>
      </c>
      <c r="BC189" s="344">
        <f>+'[86]VENTAS TOTALES'!$G214</f>
        <v>108000</v>
      </c>
      <c r="BD189" s="344">
        <f>+'[86]VENTAS TOTALES'!$H214</f>
        <v>108000</v>
      </c>
      <c r="BE189" s="343">
        <f>+'[87]VENTAS TOTALES'!$F214</f>
        <v>0</v>
      </c>
      <c r="BF189" s="344">
        <f>+'[87]VENTAS TOTALES'!$G214</f>
        <v>8000</v>
      </c>
      <c r="BG189" s="344">
        <f>+'[87]VENTAS TOTALES'!$H214</f>
        <v>8000</v>
      </c>
      <c r="BH189" s="343">
        <f>+'[88]VENTAS TOTALES'!$F214</f>
        <v>0</v>
      </c>
      <c r="BI189" s="344">
        <f>+'[88]VENTAS TOTALES'!$G214</f>
        <v>20000</v>
      </c>
      <c r="BJ189" s="344">
        <f>+'[88]VENTAS TOTALES'!$H214</f>
        <v>20000</v>
      </c>
      <c r="BK189" s="343">
        <f>+'[89]VENTAS TOTALES'!$F214</f>
        <v>0</v>
      </c>
      <c r="BL189" s="344">
        <f>+'[89]VENTAS TOTALES'!$G214</f>
        <v>195000</v>
      </c>
      <c r="BM189" s="344">
        <f>+'[89]VENTAS TOTALES'!$H214</f>
        <v>195000</v>
      </c>
      <c r="BN189" s="343">
        <f>+'[90]VENTAS TOTALES'!$F214</f>
        <v>0</v>
      </c>
      <c r="BO189" s="344">
        <f>+'[90]VENTAS TOTALES'!$G214</f>
        <v>110000</v>
      </c>
      <c r="BP189" s="344">
        <f>+'[90]VENTAS TOTALES'!$H214</f>
        <v>110000</v>
      </c>
      <c r="BQ189" s="343">
        <f>+'[91]VENTAS TOTALES'!$F214</f>
        <v>0</v>
      </c>
      <c r="BR189" s="344">
        <f>+'[91]VENTAS TOTALES'!$G214</f>
        <v>116000</v>
      </c>
      <c r="BS189" s="344">
        <f>+'[91]VENTAS TOTALES'!$H214</f>
        <v>116000</v>
      </c>
      <c r="BT189" s="343">
        <f>+'[92]VENTAS TOTALES'!$F214</f>
        <v>0</v>
      </c>
      <c r="BU189" s="344">
        <f>+'[92]VENTAS TOTALES'!$G214</f>
        <v>75000</v>
      </c>
      <c r="BV189" s="344">
        <f>+'[92]VENTAS TOTALES'!$H214</f>
        <v>75000</v>
      </c>
      <c r="BW189" s="343">
        <f>+'[93]VENTAS TOTALES'!$F214</f>
        <v>0</v>
      </c>
      <c r="BX189" s="344">
        <f>+'[93]VENTAS TOTALES'!$G214</f>
        <v>100000</v>
      </c>
      <c r="BY189" s="344">
        <f>+'[93]VENTAS TOTALES'!$H214</f>
        <v>100000</v>
      </c>
      <c r="BZ189" s="343">
        <f>+'[94]VENTAS TOTALES'!$F214</f>
        <v>0</v>
      </c>
      <c r="CA189" s="344">
        <f>+'[94]VENTAS TOTALES'!$G214</f>
        <v>50000</v>
      </c>
      <c r="CB189" s="344">
        <f>+'[94]VENTAS TOTALES'!$H214</f>
        <v>50000</v>
      </c>
      <c r="CC189" s="343">
        <f>+'[95]VENTAS TOTALES'!$F214</f>
        <v>0</v>
      </c>
      <c r="CD189" s="344">
        <f>+'[95]VENTAS TOTALES'!$G214</f>
        <v>5000</v>
      </c>
      <c r="CE189" s="344">
        <f>+'[95]VENTAS TOTALES'!$H214</f>
        <v>5000</v>
      </c>
      <c r="CF189" s="343">
        <f>+'[96]VENTAS TOTALES'!$F214</f>
        <v>0</v>
      </c>
      <c r="CG189" s="344">
        <f>+'[96]VENTAS TOTALES'!$G214</f>
        <v>191000</v>
      </c>
      <c r="CH189" s="344">
        <f>+'[96]VENTAS TOTALES'!$H214</f>
        <v>191000</v>
      </c>
      <c r="CI189" s="343">
        <f>+'[97]VENTAS TOTALES'!$F214</f>
        <v>0</v>
      </c>
      <c r="CJ189" s="344">
        <f>+'[97]VENTAS TOTALES'!$G214</f>
        <v>269000</v>
      </c>
      <c r="CK189" s="344">
        <f>+'[97]VENTAS TOTALES'!$H214</f>
        <v>269000</v>
      </c>
      <c r="CL189" s="343">
        <f>+'[98]VENTAS TOTALES'!$F214</f>
        <v>0</v>
      </c>
      <c r="CM189" s="344">
        <f>+'[98]VENTAS TOTALES'!$G214</f>
        <v>84000</v>
      </c>
      <c r="CN189" s="344">
        <f>+'[98]VENTAS TOTALES'!$H214</f>
        <v>84000</v>
      </c>
      <c r="CO189" s="343">
        <f>+'[99]VENTAS TOTALES'!$F214</f>
        <v>0</v>
      </c>
      <c r="CP189" s="344">
        <f>+'[99]VENTAS TOTALES'!$G214</f>
        <v>120000</v>
      </c>
      <c r="CQ189" s="344">
        <f>+'[99]VENTAS TOTALES'!$H214</f>
        <v>120000</v>
      </c>
      <c r="CR189" s="343">
        <f>+'[100]VENTAS TOTALES'!$F214</f>
        <v>0</v>
      </c>
      <c r="CS189" s="344">
        <f>+'[100]VENTAS TOTALES'!$G214</f>
        <v>121000</v>
      </c>
      <c r="CT189" s="344">
        <f>+'[100]VENTAS TOTALES'!$H214</f>
        <v>121000</v>
      </c>
      <c r="CU189" s="343">
        <f>+'[101]VENTAS TOTALES'!$F214</f>
        <v>0</v>
      </c>
      <c r="CV189" s="344">
        <f>+'[101]VENTAS TOTALES'!$G214</f>
        <v>23000</v>
      </c>
      <c r="CW189" s="344">
        <f>+'[101]VENTAS TOTALES'!$H214</f>
        <v>23000</v>
      </c>
      <c r="CX189" s="343">
        <f>+'[102]VENTAS TOTALES'!$F214</f>
        <v>0</v>
      </c>
      <c r="CY189" s="344">
        <f>+'[102]VENTAS TOTALES'!$G214</f>
        <v>0</v>
      </c>
      <c r="CZ189" s="344">
        <f>+'[102]VENTAS TOTALES'!$H214</f>
        <v>0</v>
      </c>
    </row>
    <row r="190" spans="1:104" s="8" customFormat="1" ht="14.25" customHeight="1" thickBot="1" x14ac:dyDescent="0.25">
      <c r="A190" s="455"/>
      <c r="B190" s="66" t="s">
        <v>481</v>
      </c>
      <c r="C190" s="343">
        <f>+'[69]VENTAS TOTALES'!$F215</f>
        <v>0</v>
      </c>
      <c r="D190" s="344">
        <f>+'[69]VENTAS TOTALES'!$G215</f>
        <v>47000</v>
      </c>
      <c r="E190" s="344">
        <f>+'[69]VENTAS TOTALES'!$H215</f>
        <v>47000</v>
      </c>
      <c r="F190" s="343">
        <f>+'[70]VENTAS TOTALES'!$F215</f>
        <v>0</v>
      </c>
      <c r="G190" s="344">
        <f>+'[70]VENTAS TOTALES'!$G215</f>
        <v>24000</v>
      </c>
      <c r="H190" s="344">
        <f>+'[70]VENTAS TOTALES'!$H215</f>
        <v>24000</v>
      </c>
      <c r="I190" s="343">
        <f>+'[71]VENTAS TOTALES'!$F215</f>
        <v>0</v>
      </c>
      <c r="J190" s="344">
        <f>+'[71]VENTAS TOTALES'!$G215</f>
        <v>36000</v>
      </c>
      <c r="K190" s="344">
        <f>+'[71]VENTAS TOTALES'!$H215</f>
        <v>36000</v>
      </c>
      <c r="L190" s="343">
        <f>+'[72]VENTAS TOTALES'!$F215</f>
        <v>0</v>
      </c>
      <c r="M190" s="344">
        <f>+'[72]VENTAS TOTALES'!$G215</f>
        <v>16000</v>
      </c>
      <c r="N190" s="344">
        <f>+'[72]VENTAS TOTALES'!$H215</f>
        <v>16000</v>
      </c>
      <c r="O190" s="343">
        <f>+'[73]VENTAS TOTALES'!$F215</f>
        <v>0</v>
      </c>
      <c r="P190" s="344">
        <f>+'[73]VENTAS TOTALES'!$G215</f>
        <v>4000</v>
      </c>
      <c r="Q190" s="344">
        <f>+'[73]VENTAS TOTALES'!$H215</f>
        <v>4000</v>
      </c>
      <c r="R190" s="343">
        <f>+'[74]VENTAS TOTALES'!$F215</f>
        <v>0</v>
      </c>
      <c r="S190" s="344">
        <f>+'[74]VENTAS TOTALES'!$G215</f>
        <v>1000</v>
      </c>
      <c r="T190" s="344">
        <f>+'[74]VENTAS TOTALES'!$H215</f>
        <v>1000</v>
      </c>
      <c r="U190" s="343">
        <f>+'[75]VENTAS TOTALES'!$F215</f>
        <v>0</v>
      </c>
      <c r="V190" s="344">
        <f>+'[75]VENTAS TOTALES'!$G215</f>
        <v>75000</v>
      </c>
      <c r="W190" s="344">
        <f>+'[75]VENTAS TOTALES'!$H215</f>
        <v>75000</v>
      </c>
      <c r="X190" s="343">
        <f>+'[76]VENTAS TOTALES'!$F215</f>
        <v>0</v>
      </c>
      <c r="Y190" s="344">
        <f>+'[76]VENTAS TOTALES'!$G215</f>
        <v>46000</v>
      </c>
      <c r="Z190" s="344">
        <f>+'[76]VENTAS TOTALES'!$H215</f>
        <v>46000</v>
      </c>
      <c r="AA190" s="343">
        <f>+'[77]VENTAS TOTALES'!$F215</f>
        <v>0</v>
      </c>
      <c r="AB190" s="344">
        <f>+'[77]VENTAS TOTALES'!$G215</f>
        <v>84000</v>
      </c>
      <c r="AC190" s="344">
        <f>+'[77]VENTAS TOTALES'!$H215</f>
        <v>84000</v>
      </c>
      <c r="AD190" s="343">
        <f>+'[78]VENTAS TOTALES'!$F215</f>
        <v>0</v>
      </c>
      <c r="AE190" s="344">
        <f>+'[78]VENTAS TOTALES'!$G215</f>
        <v>50000</v>
      </c>
      <c r="AF190" s="344">
        <f>+'[78]VENTAS TOTALES'!$H215</f>
        <v>50000</v>
      </c>
      <c r="AG190" s="343">
        <f>+'[79]VENTAS TOTALES'!$F215</f>
        <v>0</v>
      </c>
      <c r="AH190" s="344">
        <f>+'[79]VENTAS TOTALES'!$G215</f>
        <v>27000</v>
      </c>
      <c r="AI190" s="344">
        <f>+'[79]VENTAS TOTALES'!$H215</f>
        <v>27000</v>
      </c>
      <c r="AJ190" s="343">
        <f>+'[80]VENTAS TOTALES'!$F215</f>
        <v>0</v>
      </c>
      <c r="AK190" s="344">
        <f>+'[80]VENTAS TOTALES'!$G215</f>
        <v>23000</v>
      </c>
      <c r="AL190" s="344">
        <f>+'[80]VENTAS TOTALES'!$H215</f>
        <v>23000</v>
      </c>
      <c r="AM190" s="343">
        <f>+'[81]VENTAS TOTALES'!$F215</f>
        <v>0</v>
      </c>
      <c r="AN190" s="344">
        <f>+'[81]VENTAS TOTALES'!$G215</f>
        <v>2000</v>
      </c>
      <c r="AO190" s="344">
        <f>+'[81]VENTAS TOTALES'!$H215</f>
        <v>2000</v>
      </c>
      <c r="AP190" s="343">
        <f>+'[82]VENTAS TOTALES'!$F215</f>
        <v>0</v>
      </c>
      <c r="AQ190" s="344">
        <f>+'[82]VENTAS TOTALES'!$G215</f>
        <v>0</v>
      </c>
      <c r="AR190" s="344">
        <f>+'[82]VENTAS TOTALES'!$H215</f>
        <v>0</v>
      </c>
      <c r="AS190" s="343">
        <f>+'[83]VENTAS TOTALES'!$F215</f>
        <v>0</v>
      </c>
      <c r="AT190" s="344">
        <f>+'[83]VENTAS TOTALES'!$G215</f>
        <v>86000</v>
      </c>
      <c r="AU190" s="344">
        <f>+'[83]VENTAS TOTALES'!$H215</f>
        <v>86000</v>
      </c>
      <c r="AV190" s="343">
        <f>+'[84]VENTAS TOTALES'!$F215</f>
        <v>0</v>
      </c>
      <c r="AW190" s="344">
        <f>+'[84]VENTAS TOTALES'!$G215</f>
        <v>91000</v>
      </c>
      <c r="AX190" s="344">
        <f>+'[84]VENTAS TOTALES'!$H215</f>
        <v>91000</v>
      </c>
      <c r="AY190" s="343">
        <f>+'[85]VENTAS TOTALES'!$F215</f>
        <v>0</v>
      </c>
      <c r="AZ190" s="344">
        <f>+'[85]VENTAS TOTALES'!$G215</f>
        <v>71000</v>
      </c>
      <c r="BA190" s="344">
        <f>+'[85]VENTAS TOTALES'!$H215</f>
        <v>71000</v>
      </c>
      <c r="BB190" s="343">
        <f>+'[86]VENTAS TOTALES'!$F215</f>
        <v>0</v>
      </c>
      <c r="BC190" s="344">
        <f>+'[86]VENTAS TOTALES'!$G215</f>
        <v>30000</v>
      </c>
      <c r="BD190" s="344">
        <f>+'[86]VENTAS TOTALES'!$H215</f>
        <v>30000</v>
      </c>
      <c r="BE190" s="343">
        <f>+'[87]VENTAS TOTALES'!$F215</f>
        <v>0</v>
      </c>
      <c r="BF190" s="344">
        <f>+'[87]VENTAS TOTALES'!$G215</f>
        <v>15000</v>
      </c>
      <c r="BG190" s="344">
        <f>+'[87]VENTAS TOTALES'!$H215</f>
        <v>15000</v>
      </c>
      <c r="BH190" s="343">
        <f>+'[88]VENTAS TOTALES'!$F215</f>
        <v>0</v>
      </c>
      <c r="BI190" s="344">
        <f>+'[88]VENTAS TOTALES'!$G215</f>
        <v>2000</v>
      </c>
      <c r="BJ190" s="344">
        <f>+'[88]VENTAS TOTALES'!$H215</f>
        <v>2000</v>
      </c>
      <c r="BK190" s="343">
        <f>+'[89]VENTAS TOTALES'!$F215</f>
        <v>0</v>
      </c>
      <c r="BL190" s="344">
        <f>+'[89]VENTAS TOTALES'!$G215</f>
        <v>100000</v>
      </c>
      <c r="BM190" s="344">
        <f>+'[89]VENTAS TOTALES'!$H215</f>
        <v>100000</v>
      </c>
      <c r="BN190" s="343">
        <f>+'[90]VENTAS TOTALES'!$F215</f>
        <v>0</v>
      </c>
      <c r="BO190" s="344">
        <f>+'[90]VENTAS TOTALES'!$G215</f>
        <v>60000</v>
      </c>
      <c r="BP190" s="344">
        <f>+'[90]VENTAS TOTALES'!$H215</f>
        <v>60000</v>
      </c>
      <c r="BQ190" s="343">
        <f>+'[91]VENTAS TOTALES'!$F215</f>
        <v>0</v>
      </c>
      <c r="BR190" s="344">
        <f>+'[91]VENTAS TOTALES'!$G215</f>
        <v>89000</v>
      </c>
      <c r="BS190" s="344">
        <f>+'[91]VENTAS TOTALES'!$H215</f>
        <v>89000</v>
      </c>
      <c r="BT190" s="343">
        <f>+'[92]VENTAS TOTALES'!$F215</f>
        <v>0</v>
      </c>
      <c r="BU190" s="344">
        <f>+'[92]VENTAS TOTALES'!$G215</f>
        <v>90000</v>
      </c>
      <c r="BV190" s="344">
        <f>+'[92]VENTAS TOTALES'!$H215</f>
        <v>90000</v>
      </c>
      <c r="BW190" s="343">
        <f>+'[93]VENTAS TOTALES'!$F215</f>
        <v>0</v>
      </c>
      <c r="BX190" s="344">
        <f>+'[93]VENTAS TOTALES'!$G215</f>
        <v>41000</v>
      </c>
      <c r="BY190" s="344">
        <f>+'[93]VENTAS TOTALES'!$H215</f>
        <v>41000</v>
      </c>
      <c r="BZ190" s="343">
        <f>+'[94]VENTAS TOTALES'!$F215</f>
        <v>0</v>
      </c>
      <c r="CA190" s="344">
        <f>+'[94]VENTAS TOTALES'!$G215</f>
        <v>16000</v>
      </c>
      <c r="CB190" s="344">
        <f>+'[94]VENTAS TOTALES'!$H215</f>
        <v>16000</v>
      </c>
      <c r="CC190" s="343">
        <f>+'[95]VENTAS TOTALES'!$F215</f>
        <v>0</v>
      </c>
      <c r="CD190" s="344">
        <f>+'[95]VENTAS TOTALES'!$G215</f>
        <v>5000</v>
      </c>
      <c r="CE190" s="344">
        <f>+'[95]VENTAS TOTALES'!$H215</f>
        <v>5000</v>
      </c>
      <c r="CF190" s="343">
        <f>+'[96]VENTAS TOTALES'!$F215</f>
        <v>0</v>
      </c>
      <c r="CG190" s="344">
        <f>+'[96]VENTAS TOTALES'!$G215</f>
        <v>211000</v>
      </c>
      <c r="CH190" s="344">
        <f>+'[96]VENTAS TOTALES'!$H215</f>
        <v>211000</v>
      </c>
      <c r="CI190" s="343">
        <f>+'[97]VENTAS TOTALES'!$F215</f>
        <v>0</v>
      </c>
      <c r="CJ190" s="344">
        <f>+'[97]VENTAS TOTALES'!$G215</f>
        <v>234000</v>
      </c>
      <c r="CK190" s="344">
        <f>+'[97]VENTAS TOTALES'!$H215</f>
        <v>234000</v>
      </c>
      <c r="CL190" s="343">
        <f>+'[98]VENTAS TOTALES'!$F215</f>
        <v>0</v>
      </c>
      <c r="CM190" s="344">
        <f>+'[98]VENTAS TOTALES'!$G215</f>
        <v>60000</v>
      </c>
      <c r="CN190" s="344">
        <f>+'[98]VENTAS TOTALES'!$H215</f>
        <v>60000</v>
      </c>
      <c r="CO190" s="343">
        <f>+'[99]VENTAS TOTALES'!$F215</f>
        <v>0</v>
      </c>
      <c r="CP190" s="344">
        <f>+'[99]VENTAS TOTALES'!$G215</f>
        <v>117000</v>
      </c>
      <c r="CQ190" s="344">
        <f>+'[99]VENTAS TOTALES'!$H215</f>
        <v>117000</v>
      </c>
      <c r="CR190" s="343">
        <f>+'[100]VENTAS TOTALES'!$F215</f>
        <v>0</v>
      </c>
      <c r="CS190" s="344">
        <f>+'[100]VENTAS TOTALES'!$G215</f>
        <v>71000</v>
      </c>
      <c r="CT190" s="344">
        <f>+'[100]VENTAS TOTALES'!$H215</f>
        <v>71000</v>
      </c>
      <c r="CU190" s="343">
        <f>+'[101]VENTAS TOTALES'!$F215</f>
        <v>0</v>
      </c>
      <c r="CV190" s="344">
        <f>+'[101]VENTAS TOTALES'!$G215</f>
        <v>24000</v>
      </c>
      <c r="CW190" s="344">
        <f>+'[101]VENTAS TOTALES'!$H215</f>
        <v>24000</v>
      </c>
      <c r="CX190" s="343">
        <f>+'[102]VENTAS TOTALES'!$F215</f>
        <v>0</v>
      </c>
      <c r="CY190" s="344">
        <f>+'[102]VENTAS TOTALES'!$G215</f>
        <v>0</v>
      </c>
      <c r="CZ190" s="344">
        <f>+'[102]VENTAS TOTALES'!$H215</f>
        <v>0</v>
      </c>
    </row>
    <row r="191" spans="1:104" s="8" customFormat="1" ht="14.25" customHeight="1" thickBot="1" x14ac:dyDescent="0.25">
      <c r="A191" s="455"/>
      <c r="B191" s="378" t="s">
        <v>482</v>
      </c>
      <c r="C191" s="343">
        <f>+'[69]VENTAS TOTALES'!$F216</f>
        <v>0</v>
      </c>
      <c r="D191" s="344">
        <f>+'[69]VENTAS TOTALES'!$G216</f>
        <v>801000</v>
      </c>
      <c r="E191" s="344">
        <f>+'[69]VENTAS TOTALES'!$H216</f>
        <v>801000</v>
      </c>
      <c r="F191" s="343">
        <f>+'[70]VENTAS TOTALES'!$F216</f>
        <v>0</v>
      </c>
      <c r="G191" s="344">
        <f>+'[70]VENTAS TOTALES'!$G216</f>
        <v>617000</v>
      </c>
      <c r="H191" s="344">
        <f>+'[70]VENTAS TOTALES'!$H216</f>
        <v>617000</v>
      </c>
      <c r="I191" s="343">
        <f>+'[71]VENTAS TOTALES'!$F216</f>
        <v>0</v>
      </c>
      <c r="J191" s="344">
        <f>+'[71]VENTAS TOTALES'!$G216</f>
        <v>484000</v>
      </c>
      <c r="K191" s="344">
        <f>+'[71]VENTAS TOTALES'!$H216</f>
        <v>484000</v>
      </c>
      <c r="L191" s="343">
        <f>+'[72]VENTAS TOTALES'!$F216</f>
        <v>0</v>
      </c>
      <c r="M191" s="344">
        <f>+'[72]VENTAS TOTALES'!$G216</f>
        <v>358000</v>
      </c>
      <c r="N191" s="344">
        <f>+'[72]VENTAS TOTALES'!$H216</f>
        <v>358000</v>
      </c>
      <c r="O191" s="343">
        <f>+'[73]VENTAS TOTALES'!$F216</f>
        <v>0</v>
      </c>
      <c r="P191" s="344">
        <f>+'[73]VENTAS TOTALES'!$G216</f>
        <v>67000</v>
      </c>
      <c r="Q191" s="344">
        <f>+'[73]VENTAS TOTALES'!$H216</f>
        <v>67000</v>
      </c>
      <c r="R191" s="343">
        <f>+'[74]VENTAS TOTALES'!$F216</f>
        <v>0</v>
      </c>
      <c r="S191" s="344">
        <f>+'[74]VENTAS TOTALES'!$G216</f>
        <v>7000</v>
      </c>
      <c r="T191" s="344">
        <f>+'[74]VENTAS TOTALES'!$H216</f>
        <v>7000</v>
      </c>
      <c r="U191" s="343">
        <f>+'[75]VENTAS TOTALES'!$F216</f>
        <v>0</v>
      </c>
      <c r="V191" s="344">
        <f>+'[75]VENTAS TOTALES'!$G216</f>
        <v>530000</v>
      </c>
      <c r="W191" s="344">
        <f>+'[75]VENTAS TOTALES'!$H216</f>
        <v>530000</v>
      </c>
      <c r="X191" s="343">
        <f>+'[76]VENTAS TOTALES'!$F216</f>
        <v>0</v>
      </c>
      <c r="Y191" s="344">
        <f>+'[76]VENTAS TOTALES'!$G216</f>
        <v>582000</v>
      </c>
      <c r="Z191" s="344">
        <f>+'[76]VENTAS TOTALES'!$H216</f>
        <v>582000</v>
      </c>
      <c r="AA191" s="343">
        <f>+'[77]VENTAS TOTALES'!$F216</f>
        <v>0</v>
      </c>
      <c r="AB191" s="344">
        <f>+'[77]VENTAS TOTALES'!$G216</f>
        <v>396000</v>
      </c>
      <c r="AC191" s="344">
        <f>+'[77]VENTAS TOTALES'!$H216</f>
        <v>396000</v>
      </c>
      <c r="AD191" s="343">
        <f>+'[78]VENTAS TOTALES'!$F216</f>
        <v>0</v>
      </c>
      <c r="AE191" s="344">
        <f>+'[78]VENTAS TOTALES'!$G216</f>
        <v>38000</v>
      </c>
      <c r="AF191" s="344">
        <f>+'[78]VENTAS TOTALES'!$H216</f>
        <v>38000</v>
      </c>
      <c r="AG191" s="343">
        <f>+'[79]VENTAS TOTALES'!$F216</f>
        <v>0</v>
      </c>
      <c r="AH191" s="344">
        <f>+'[79]VENTAS TOTALES'!$G216</f>
        <v>903000</v>
      </c>
      <c r="AI191" s="344">
        <f>+'[79]VENTAS TOTALES'!$H216</f>
        <v>903000</v>
      </c>
      <c r="AJ191" s="343">
        <f>+'[80]VENTAS TOTALES'!$F216</f>
        <v>0</v>
      </c>
      <c r="AK191" s="344">
        <f>+'[80]VENTAS TOTALES'!$G216</f>
        <v>37000</v>
      </c>
      <c r="AL191" s="344">
        <f>+'[80]VENTAS TOTALES'!$H216</f>
        <v>37000</v>
      </c>
      <c r="AM191" s="343">
        <f>+'[81]VENTAS TOTALES'!$F216</f>
        <v>0</v>
      </c>
      <c r="AN191" s="344">
        <f>+'[81]VENTAS TOTALES'!$G216</f>
        <v>3000</v>
      </c>
      <c r="AO191" s="344">
        <f>+'[81]VENTAS TOTALES'!$H216</f>
        <v>3000</v>
      </c>
      <c r="AP191" s="343">
        <f>+'[82]VENTAS TOTALES'!$F216</f>
        <v>0</v>
      </c>
      <c r="AQ191" s="344">
        <f>+'[82]VENTAS TOTALES'!$G216</f>
        <v>767000</v>
      </c>
      <c r="AR191" s="344">
        <f>+'[82]VENTAS TOTALES'!$H216</f>
        <v>767000</v>
      </c>
      <c r="AS191" s="343">
        <f>+'[83]VENTAS TOTALES'!$F216</f>
        <v>0</v>
      </c>
      <c r="AT191" s="344">
        <f>+'[83]VENTAS TOTALES'!$G216</f>
        <v>892000</v>
      </c>
      <c r="AU191" s="344">
        <f>+'[83]VENTAS TOTALES'!$H216</f>
        <v>892000</v>
      </c>
      <c r="AV191" s="343">
        <f>+'[84]VENTAS TOTALES'!$F216</f>
        <v>0</v>
      </c>
      <c r="AW191" s="344">
        <f>+'[84]VENTAS TOTALES'!$G216</f>
        <v>613000</v>
      </c>
      <c r="AX191" s="344">
        <f>+'[84]VENTAS TOTALES'!$H216</f>
        <v>613000</v>
      </c>
      <c r="AY191" s="343">
        <f>+'[85]VENTAS TOTALES'!$F216</f>
        <v>0</v>
      </c>
      <c r="AZ191" s="344">
        <f>+'[85]VENTAS TOTALES'!$G216</f>
        <v>666000</v>
      </c>
      <c r="BA191" s="344">
        <f>+'[85]VENTAS TOTALES'!$H216</f>
        <v>666000</v>
      </c>
      <c r="BB191" s="343">
        <f>+'[86]VENTAS TOTALES'!$F216</f>
        <v>0</v>
      </c>
      <c r="BC191" s="344">
        <f>+'[86]VENTAS TOTALES'!$G216</f>
        <v>438000</v>
      </c>
      <c r="BD191" s="344">
        <f>+'[86]VENTAS TOTALES'!$H216</f>
        <v>438000</v>
      </c>
      <c r="BE191" s="343">
        <f>+'[87]VENTAS TOTALES'!$F216</f>
        <v>0</v>
      </c>
      <c r="BF191" s="344">
        <f>+'[87]VENTAS TOTALES'!$G216</f>
        <v>0</v>
      </c>
      <c r="BG191" s="344">
        <f>+'[87]VENTAS TOTALES'!$H216</f>
        <v>0</v>
      </c>
      <c r="BH191" s="343">
        <f>+'[88]VENTAS TOTALES'!$F216</f>
        <v>0</v>
      </c>
      <c r="BI191" s="344">
        <f>+'[88]VENTAS TOTALES'!$G216</f>
        <v>0</v>
      </c>
      <c r="BJ191" s="344">
        <f>+'[88]VENTAS TOTALES'!$H216</f>
        <v>0</v>
      </c>
      <c r="BK191" s="343">
        <f>+'[89]VENTAS TOTALES'!$F216</f>
        <v>0</v>
      </c>
      <c r="BL191" s="344">
        <f>+'[89]VENTAS TOTALES'!$G216</f>
        <v>808000</v>
      </c>
      <c r="BM191" s="344">
        <f>+'[89]VENTAS TOTALES'!$H216</f>
        <v>808000</v>
      </c>
      <c r="BN191" s="343">
        <f>+'[90]VENTAS TOTALES'!$F216</f>
        <v>0</v>
      </c>
      <c r="BO191" s="344">
        <f>+'[90]VENTAS TOTALES'!$G216</f>
        <v>333000</v>
      </c>
      <c r="BP191" s="344">
        <f>+'[90]VENTAS TOTALES'!$H216</f>
        <v>333000</v>
      </c>
      <c r="BQ191" s="343">
        <f>+'[91]VENTAS TOTALES'!$F216</f>
        <v>0</v>
      </c>
      <c r="BR191" s="344">
        <f>+'[91]VENTAS TOTALES'!$G216</f>
        <v>544000</v>
      </c>
      <c r="BS191" s="344">
        <f>+'[91]VENTAS TOTALES'!$H216</f>
        <v>544000</v>
      </c>
      <c r="BT191" s="343">
        <f>+'[92]VENTAS TOTALES'!$F216</f>
        <v>0</v>
      </c>
      <c r="BU191" s="344">
        <f>+'[92]VENTAS TOTALES'!$G216</f>
        <v>462000</v>
      </c>
      <c r="BV191" s="344">
        <f>+'[92]VENTAS TOTALES'!$H216</f>
        <v>462000</v>
      </c>
      <c r="BW191" s="343">
        <f>+'[93]VENTAS TOTALES'!$F216</f>
        <v>0</v>
      </c>
      <c r="BX191" s="344">
        <f>+'[93]VENTAS TOTALES'!$G216</f>
        <v>630000</v>
      </c>
      <c r="BY191" s="344">
        <f>+'[93]VENTAS TOTALES'!$H216</f>
        <v>630000</v>
      </c>
      <c r="BZ191" s="343">
        <f>+'[94]VENTAS TOTALES'!$F216</f>
        <v>0</v>
      </c>
      <c r="CA191" s="344">
        <f>+'[94]VENTAS TOTALES'!$G216</f>
        <v>40000</v>
      </c>
      <c r="CB191" s="344">
        <f>+'[94]VENTAS TOTALES'!$H216</f>
        <v>40000</v>
      </c>
      <c r="CC191" s="343">
        <f>+'[95]VENTAS TOTALES'!$F216</f>
        <v>0</v>
      </c>
      <c r="CD191" s="344">
        <f>+'[95]VENTAS TOTALES'!$G216</f>
        <v>12000</v>
      </c>
      <c r="CE191" s="344">
        <f>+'[95]VENTAS TOTALES'!$H216</f>
        <v>12000</v>
      </c>
      <c r="CF191" s="343">
        <f>+'[96]VENTAS TOTALES'!$F216</f>
        <v>0</v>
      </c>
      <c r="CG191" s="344">
        <f>+'[96]VENTAS TOTALES'!$G216</f>
        <v>1939000</v>
      </c>
      <c r="CH191" s="344">
        <f>+'[96]VENTAS TOTALES'!$H216</f>
        <v>1939000</v>
      </c>
      <c r="CI191" s="343">
        <f>+'[97]VENTAS TOTALES'!$F216</f>
        <v>0</v>
      </c>
      <c r="CJ191" s="344">
        <f>+'[97]VENTAS TOTALES'!$G216</f>
        <v>989000</v>
      </c>
      <c r="CK191" s="344">
        <f>+'[97]VENTAS TOTALES'!$H216</f>
        <v>989000</v>
      </c>
      <c r="CL191" s="343">
        <f>+'[98]VENTAS TOTALES'!$F216</f>
        <v>0</v>
      </c>
      <c r="CM191" s="344">
        <f>+'[98]VENTAS TOTALES'!$G216</f>
        <v>604000</v>
      </c>
      <c r="CN191" s="344">
        <f>+'[98]VENTAS TOTALES'!$H216</f>
        <v>604000</v>
      </c>
      <c r="CO191" s="343">
        <f>+'[99]VENTAS TOTALES'!$F216</f>
        <v>0</v>
      </c>
      <c r="CP191" s="344">
        <f>+'[99]VENTAS TOTALES'!$G216</f>
        <v>694000</v>
      </c>
      <c r="CQ191" s="344">
        <f>+'[99]VENTAS TOTALES'!$H216</f>
        <v>694000</v>
      </c>
      <c r="CR191" s="343">
        <f>+'[100]VENTAS TOTALES'!$F216</f>
        <v>0</v>
      </c>
      <c r="CS191" s="344">
        <f>+'[100]VENTAS TOTALES'!$G216</f>
        <v>430000</v>
      </c>
      <c r="CT191" s="344">
        <f>+'[100]VENTAS TOTALES'!$H216</f>
        <v>430000</v>
      </c>
      <c r="CU191" s="343">
        <f>+'[101]VENTAS TOTALES'!$F216</f>
        <v>0</v>
      </c>
      <c r="CV191" s="344">
        <f>+'[101]VENTAS TOTALES'!$G216</f>
        <v>54000</v>
      </c>
      <c r="CW191" s="344">
        <f>+'[101]VENTAS TOTALES'!$H216</f>
        <v>54000</v>
      </c>
      <c r="CX191" s="343">
        <f>+'[102]VENTAS TOTALES'!$F216</f>
        <v>0</v>
      </c>
      <c r="CY191" s="344">
        <f>+'[102]VENTAS TOTALES'!$G216</f>
        <v>0</v>
      </c>
      <c r="CZ191" s="344">
        <f>+'[102]VENTAS TOTALES'!$H216</f>
        <v>0</v>
      </c>
    </row>
    <row r="192" spans="1:104" s="8" customFormat="1" ht="14.25" customHeight="1" thickBot="1" x14ac:dyDescent="0.25">
      <c r="A192" s="455"/>
      <c r="B192" s="380" t="s">
        <v>483</v>
      </c>
      <c r="C192" s="343">
        <f>+'[69]VENTAS TOTALES'!$F217</f>
        <v>0</v>
      </c>
      <c r="D192" s="344">
        <f>+'[69]VENTAS TOTALES'!$G217</f>
        <v>225000</v>
      </c>
      <c r="E192" s="344">
        <f>+'[69]VENTAS TOTALES'!$H217</f>
        <v>225000</v>
      </c>
      <c r="F192" s="343">
        <f>+'[70]VENTAS TOTALES'!$F217</f>
        <v>0</v>
      </c>
      <c r="G192" s="344">
        <f>+'[70]VENTAS TOTALES'!$G217</f>
        <v>67000</v>
      </c>
      <c r="H192" s="344">
        <f>+'[70]VENTAS TOTALES'!$H217</f>
        <v>67000</v>
      </c>
      <c r="I192" s="343">
        <f>+'[71]VENTAS TOTALES'!$F217</f>
        <v>0</v>
      </c>
      <c r="J192" s="344">
        <f>+'[71]VENTAS TOTALES'!$G217</f>
        <v>89000</v>
      </c>
      <c r="K192" s="344">
        <f>+'[71]VENTAS TOTALES'!$H217</f>
        <v>89000</v>
      </c>
      <c r="L192" s="343">
        <f>+'[72]VENTAS TOTALES'!$F217</f>
        <v>0</v>
      </c>
      <c r="M192" s="344">
        <f>+'[72]VENTAS TOTALES'!$G217</f>
        <v>122000</v>
      </c>
      <c r="N192" s="344">
        <f>+'[72]VENTAS TOTALES'!$H217</f>
        <v>122000</v>
      </c>
      <c r="O192" s="343">
        <f>+'[73]VENTAS TOTALES'!$F217</f>
        <v>0</v>
      </c>
      <c r="P192" s="344">
        <f>+'[73]VENTAS TOTALES'!$G217</f>
        <v>40000</v>
      </c>
      <c r="Q192" s="344">
        <f>+'[73]VENTAS TOTALES'!$H217</f>
        <v>40000</v>
      </c>
      <c r="R192" s="343">
        <f>+'[74]VENTAS TOTALES'!$F217</f>
        <v>0</v>
      </c>
      <c r="S192" s="344">
        <f>+'[74]VENTAS TOTALES'!$G217</f>
        <v>0</v>
      </c>
      <c r="T192" s="344">
        <f>+'[74]VENTAS TOTALES'!$H217</f>
        <v>0</v>
      </c>
      <c r="U192" s="343">
        <f>+'[75]VENTAS TOTALES'!$F217</f>
        <v>0</v>
      </c>
      <c r="V192" s="344">
        <f>+'[75]VENTAS TOTALES'!$G217</f>
        <v>184000</v>
      </c>
      <c r="W192" s="344">
        <f>+'[75]VENTAS TOTALES'!$H217</f>
        <v>184000</v>
      </c>
      <c r="X192" s="343">
        <f>+'[76]VENTAS TOTALES'!$F217</f>
        <v>0</v>
      </c>
      <c r="Y192" s="344">
        <f>+'[76]VENTAS TOTALES'!$G217</f>
        <v>115000</v>
      </c>
      <c r="Z192" s="344">
        <f>+'[76]VENTAS TOTALES'!$H217</f>
        <v>115000</v>
      </c>
      <c r="AA192" s="343">
        <f>+'[77]VENTAS TOTALES'!$F217</f>
        <v>0</v>
      </c>
      <c r="AB192" s="344">
        <f>+'[77]VENTAS TOTALES'!$G217</f>
        <v>124000</v>
      </c>
      <c r="AC192" s="344">
        <f>+'[77]VENTAS TOTALES'!$H217</f>
        <v>124000</v>
      </c>
      <c r="AD192" s="343">
        <f>+'[78]VENTAS TOTALES'!$F217</f>
        <v>0</v>
      </c>
      <c r="AE192" s="344">
        <f>+'[78]VENTAS TOTALES'!$G217</f>
        <v>132000</v>
      </c>
      <c r="AF192" s="344">
        <f>+'[78]VENTAS TOTALES'!$H217</f>
        <v>132000</v>
      </c>
      <c r="AG192" s="343">
        <f>+'[79]VENTAS TOTALES'!$F217</f>
        <v>0</v>
      </c>
      <c r="AH192" s="344">
        <f>+'[79]VENTAS TOTALES'!$G217</f>
        <v>72000</v>
      </c>
      <c r="AI192" s="344">
        <f>+'[79]VENTAS TOTALES'!$H217</f>
        <v>72000</v>
      </c>
      <c r="AJ192" s="343">
        <f>+'[80]VENTAS TOTALES'!$F217</f>
        <v>0</v>
      </c>
      <c r="AK192" s="344">
        <f>+'[80]VENTAS TOTALES'!$G217</f>
        <v>0</v>
      </c>
      <c r="AL192" s="344">
        <f>+'[80]VENTAS TOTALES'!$H217</f>
        <v>0</v>
      </c>
      <c r="AM192" s="343">
        <f>+'[81]VENTAS TOTALES'!$F217</f>
        <v>0</v>
      </c>
      <c r="AN192" s="344">
        <f>+'[81]VENTAS TOTALES'!$G217</f>
        <v>0</v>
      </c>
      <c r="AO192" s="344">
        <f>+'[81]VENTAS TOTALES'!$H217</f>
        <v>0</v>
      </c>
      <c r="AP192" s="343">
        <f>+'[82]VENTAS TOTALES'!$F217</f>
        <v>0</v>
      </c>
      <c r="AQ192" s="344">
        <f>+'[82]VENTAS TOTALES'!$G217</f>
        <v>225000</v>
      </c>
      <c r="AR192" s="344">
        <f>+'[82]VENTAS TOTALES'!$H217</f>
        <v>225000</v>
      </c>
      <c r="AS192" s="343">
        <f>+'[83]VENTAS TOTALES'!$F217</f>
        <v>0</v>
      </c>
      <c r="AT192" s="344">
        <f>+'[83]VENTAS TOTALES'!$G217</f>
        <v>78000</v>
      </c>
      <c r="AU192" s="344">
        <f>+'[83]VENTAS TOTALES'!$H217</f>
        <v>78000</v>
      </c>
      <c r="AV192" s="343">
        <f>+'[84]VENTAS TOTALES'!$F217</f>
        <v>0</v>
      </c>
      <c r="AW192" s="344">
        <f>+'[84]VENTAS TOTALES'!$G217</f>
        <v>0</v>
      </c>
      <c r="AX192" s="344">
        <f>+'[84]VENTAS TOTALES'!$H217</f>
        <v>0</v>
      </c>
      <c r="AY192" s="343">
        <f>+'[85]VENTAS TOTALES'!$F217</f>
        <v>0</v>
      </c>
      <c r="AZ192" s="344">
        <f>+'[85]VENTAS TOTALES'!$G217</f>
        <v>138000</v>
      </c>
      <c r="BA192" s="344">
        <f>+'[85]VENTAS TOTALES'!$H217</f>
        <v>138000</v>
      </c>
      <c r="BB192" s="343">
        <f>+'[86]VENTAS TOTALES'!$F217</f>
        <v>0</v>
      </c>
      <c r="BC192" s="344">
        <f>+'[86]VENTAS TOTALES'!$G217</f>
        <v>130000</v>
      </c>
      <c r="BD192" s="344">
        <f>+'[86]VENTAS TOTALES'!$H217</f>
        <v>130000</v>
      </c>
      <c r="BE192" s="343">
        <f>+'[87]VENTAS TOTALES'!$F217</f>
        <v>0</v>
      </c>
      <c r="BF192" s="344">
        <f>+'[87]VENTAS TOTALES'!$G217</f>
        <v>10000</v>
      </c>
      <c r="BG192" s="344">
        <f>+'[87]VENTAS TOTALES'!$H217</f>
        <v>10000</v>
      </c>
      <c r="BH192" s="343">
        <f>+'[88]VENTAS TOTALES'!$F217</f>
        <v>0</v>
      </c>
      <c r="BI192" s="344">
        <f>+'[88]VENTAS TOTALES'!$G217</f>
        <v>0</v>
      </c>
      <c r="BJ192" s="344">
        <f>+'[88]VENTAS TOTALES'!$H217</f>
        <v>0</v>
      </c>
      <c r="BK192" s="343">
        <f>+'[89]VENTAS TOTALES'!$F217</f>
        <v>0</v>
      </c>
      <c r="BL192" s="344">
        <f>+'[89]VENTAS TOTALES'!$G217</f>
        <v>182000</v>
      </c>
      <c r="BM192" s="344">
        <f>+'[89]VENTAS TOTALES'!$H217</f>
        <v>182000</v>
      </c>
      <c r="BN192" s="343">
        <f>+'[90]VENTAS TOTALES'!$F217</f>
        <v>0</v>
      </c>
      <c r="BO192" s="344">
        <f>+'[90]VENTAS TOTALES'!$G217</f>
        <v>54000</v>
      </c>
      <c r="BP192" s="344">
        <f>+'[90]VENTAS TOTALES'!$H217</f>
        <v>54000</v>
      </c>
      <c r="BQ192" s="343">
        <f>+'[91]VENTAS TOTALES'!$F217</f>
        <v>0</v>
      </c>
      <c r="BR192" s="344">
        <f>+'[91]VENTAS TOTALES'!$G217</f>
        <v>59000</v>
      </c>
      <c r="BS192" s="344">
        <f>+'[91]VENTAS TOTALES'!$H217</f>
        <v>59000</v>
      </c>
      <c r="BT192" s="343">
        <f>+'[92]VENTAS TOTALES'!$F217</f>
        <v>0</v>
      </c>
      <c r="BU192" s="344">
        <f>+'[92]VENTAS TOTALES'!$G217</f>
        <v>67000</v>
      </c>
      <c r="BV192" s="344">
        <f>+'[92]VENTAS TOTALES'!$H217</f>
        <v>67000</v>
      </c>
      <c r="BW192" s="343">
        <f>+'[93]VENTAS TOTALES'!$F217</f>
        <v>0</v>
      </c>
      <c r="BX192" s="344">
        <f>+'[93]VENTAS TOTALES'!$G217</f>
        <v>104000</v>
      </c>
      <c r="BY192" s="344">
        <f>+'[93]VENTAS TOTALES'!$H217</f>
        <v>104000</v>
      </c>
      <c r="BZ192" s="343">
        <f>+'[94]VENTAS TOTALES'!$F217</f>
        <v>0</v>
      </c>
      <c r="CA192" s="344">
        <f>+'[94]VENTAS TOTALES'!$G217</f>
        <v>20000</v>
      </c>
      <c r="CB192" s="344">
        <f>+'[94]VENTAS TOTALES'!$H217</f>
        <v>20000</v>
      </c>
      <c r="CC192" s="343">
        <f>+'[95]VENTAS TOTALES'!$F217</f>
        <v>0</v>
      </c>
      <c r="CD192" s="344">
        <f>+'[95]VENTAS TOTALES'!$G217</f>
        <v>0</v>
      </c>
      <c r="CE192" s="344">
        <f>+'[95]VENTAS TOTALES'!$H217</f>
        <v>0</v>
      </c>
      <c r="CF192" s="343">
        <f>+'[96]VENTAS TOTALES'!$F217</f>
        <v>0</v>
      </c>
      <c r="CG192" s="344">
        <f>+'[96]VENTAS TOTALES'!$G217</f>
        <v>446000</v>
      </c>
      <c r="CH192" s="344">
        <f>+'[96]VENTAS TOTALES'!$H217</f>
        <v>446000</v>
      </c>
      <c r="CI192" s="343">
        <f>+'[97]VENTAS TOTALES'!$F217</f>
        <v>0</v>
      </c>
      <c r="CJ192" s="344">
        <f>+'[97]VENTAS TOTALES'!$G217</f>
        <v>167000</v>
      </c>
      <c r="CK192" s="344">
        <f>+'[97]VENTAS TOTALES'!$H217</f>
        <v>167000</v>
      </c>
      <c r="CL192" s="343">
        <f>+'[98]VENTAS TOTALES'!$F217</f>
        <v>0</v>
      </c>
      <c r="CM192" s="344">
        <f>+'[98]VENTAS TOTALES'!$G217</f>
        <v>123000</v>
      </c>
      <c r="CN192" s="344">
        <f>+'[98]VENTAS TOTALES'!$H217</f>
        <v>123000</v>
      </c>
      <c r="CO192" s="343">
        <f>+'[99]VENTAS TOTALES'!$F217</f>
        <v>0</v>
      </c>
      <c r="CP192" s="344">
        <f>+'[99]VENTAS TOTALES'!$G217</f>
        <v>72000</v>
      </c>
      <c r="CQ192" s="344">
        <f>+'[99]VENTAS TOTALES'!$H217</f>
        <v>72000</v>
      </c>
      <c r="CR192" s="343">
        <f>+'[100]VENTAS TOTALES'!$F217</f>
        <v>0</v>
      </c>
      <c r="CS192" s="344">
        <f>+'[100]VENTAS TOTALES'!$G217</f>
        <v>138000</v>
      </c>
      <c r="CT192" s="344">
        <f>+'[100]VENTAS TOTALES'!$H217</f>
        <v>138000</v>
      </c>
      <c r="CU192" s="343">
        <f>+'[101]VENTAS TOTALES'!$F217</f>
        <v>0</v>
      </c>
      <c r="CV192" s="344">
        <f>+'[101]VENTAS TOTALES'!$G217</f>
        <v>22000</v>
      </c>
      <c r="CW192" s="344">
        <f>+'[101]VENTAS TOTALES'!$H217</f>
        <v>22000</v>
      </c>
      <c r="CX192" s="343">
        <f>+'[102]VENTAS TOTALES'!$F217</f>
        <v>0</v>
      </c>
      <c r="CY192" s="344">
        <f>+'[102]VENTAS TOTALES'!$G217</f>
        <v>0</v>
      </c>
      <c r="CZ192" s="344">
        <f>+'[102]VENTAS TOTALES'!$H217</f>
        <v>0</v>
      </c>
    </row>
    <row r="193" spans="1:104" s="8" customFormat="1" ht="14.25" customHeight="1" thickBot="1" x14ac:dyDescent="0.25">
      <c r="A193" s="455"/>
      <c r="B193" s="378" t="s">
        <v>486</v>
      </c>
      <c r="C193" s="343">
        <f>+'[69]VENTAS TOTALES'!$F218</f>
        <v>0</v>
      </c>
      <c r="D193" s="344">
        <f>+'[69]VENTAS TOTALES'!$G218</f>
        <v>423000</v>
      </c>
      <c r="E193" s="344">
        <f>+'[69]VENTAS TOTALES'!$H218</f>
        <v>423000</v>
      </c>
      <c r="F193" s="343">
        <f>+'[70]VENTAS TOTALES'!$F218</f>
        <v>0</v>
      </c>
      <c r="G193" s="344">
        <f>+'[70]VENTAS TOTALES'!$G218</f>
        <v>286000</v>
      </c>
      <c r="H193" s="344">
        <f>+'[70]VENTAS TOTALES'!$H218</f>
        <v>286000</v>
      </c>
      <c r="I193" s="343">
        <f>+'[71]VENTAS TOTALES'!$F218</f>
        <v>0</v>
      </c>
      <c r="J193" s="344">
        <f>+'[71]VENTAS TOTALES'!$G218</f>
        <v>253000</v>
      </c>
      <c r="K193" s="344">
        <f>+'[71]VENTAS TOTALES'!$H218</f>
        <v>253000</v>
      </c>
      <c r="L193" s="343">
        <f>+'[72]VENTAS TOTALES'!$F218</f>
        <v>0</v>
      </c>
      <c r="M193" s="344">
        <f>+'[72]VENTAS TOTALES'!$G218</f>
        <v>132000</v>
      </c>
      <c r="N193" s="344">
        <f>+'[72]VENTAS TOTALES'!$H218</f>
        <v>132000</v>
      </c>
      <c r="O193" s="343">
        <f>+'[73]VENTAS TOTALES'!$F218</f>
        <v>0</v>
      </c>
      <c r="P193" s="344">
        <f>+'[73]VENTAS TOTALES'!$G218</f>
        <v>96000</v>
      </c>
      <c r="Q193" s="344">
        <f>+'[73]VENTAS TOTALES'!$H218</f>
        <v>96000</v>
      </c>
      <c r="R193" s="343">
        <f>+'[74]VENTAS TOTALES'!$F218</f>
        <v>0</v>
      </c>
      <c r="S193" s="344">
        <f>+'[74]VENTAS TOTALES'!$G218</f>
        <v>0</v>
      </c>
      <c r="T193" s="344">
        <f>+'[74]VENTAS TOTALES'!$H218</f>
        <v>0</v>
      </c>
      <c r="U193" s="343">
        <f>+'[75]VENTAS TOTALES'!$F218</f>
        <v>0</v>
      </c>
      <c r="V193" s="344">
        <f>+'[75]VENTAS TOTALES'!$G218</f>
        <v>539000</v>
      </c>
      <c r="W193" s="344">
        <f>+'[75]VENTAS TOTALES'!$H218</f>
        <v>539000</v>
      </c>
      <c r="X193" s="343">
        <f>+'[76]VENTAS TOTALES'!$F218</f>
        <v>0</v>
      </c>
      <c r="Y193" s="344">
        <f>+'[76]VENTAS TOTALES'!$G218</f>
        <v>332000</v>
      </c>
      <c r="Z193" s="344">
        <f>+'[76]VENTAS TOTALES'!$H218</f>
        <v>332000</v>
      </c>
      <c r="AA193" s="343">
        <f>+'[77]VENTAS TOTALES'!$F218</f>
        <v>0</v>
      </c>
      <c r="AB193" s="344">
        <f>+'[77]VENTAS TOTALES'!$G218</f>
        <v>235000</v>
      </c>
      <c r="AC193" s="344">
        <f>+'[77]VENTAS TOTALES'!$H218</f>
        <v>235000</v>
      </c>
      <c r="AD193" s="343">
        <f>+'[78]VENTAS TOTALES'!$F218</f>
        <v>0</v>
      </c>
      <c r="AE193" s="344">
        <f>+'[78]VENTAS TOTALES'!$G218</f>
        <v>210000</v>
      </c>
      <c r="AF193" s="344">
        <f>+'[78]VENTAS TOTALES'!$H218</f>
        <v>210000</v>
      </c>
      <c r="AG193" s="343">
        <f>+'[79]VENTAS TOTALES'!$F218</f>
        <v>0</v>
      </c>
      <c r="AH193" s="344">
        <f>+'[79]VENTAS TOTALES'!$G218</f>
        <v>161000</v>
      </c>
      <c r="AI193" s="344">
        <f>+'[79]VENTAS TOTALES'!$H218</f>
        <v>161000</v>
      </c>
      <c r="AJ193" s="343">
        <f>+'[80]VENTAS TOTALES'!$F218</f>
        <v>0</v>
      </c>
      <c r="AK193" s="344">
        <f>+'[80]VENTAS TOTALES'!$G218</f>
        <v>93000</v>
      </c>
      <c r="AL193" s="344">
        <f>+'[80]VENTAS TOTALES'!$H218</f>
        <v>93000</v>
      </c>
      <c r="AM193" s="343">
        <f>+'[81]VENTAS TOTALES'!$F218</f>
        <v>0</v>
      </c>
      <c r="AN193" s="344">
        <f>+'[81]VENTAS TOTALES'!$G218</f>
        <v>0</v>
      </c>
      <c r="AO193" s="344">
        <f>+'[81]VENTAS TOTALES'!$H218</f>
        <v>0</v>
      </c>
      <c r="AP193" s="343">
        <f>+'[82]VENTAS TOTALES'!$F218</f>
        <v>0</v>
      </c>
      <c r="AQ193" s="344">
        <f>+'[82]VENTAS TOTALES'!$G218</f>
        <v>466000</v>
      </c>
      <c r="AR193" s="344">
        <f>+'[82]VENTAS TOTALES'!$H218</f>
        <v>466000</v>
      </c>
      <c r="AS193" s="343">
        <f>+'[83]VENTAS TOTALES'!$F218</f>
        <v>0</v>
      </c>
      <c r="AT193" s="344">
        <f>+'[83]VENTAS TOTALES'!$G218</f>
        <v>321000</v>
      </c>
      <c r="AU193" s="344">
        <f>+'[83]VENTAS TOTALES'!$H218</f>
        <v>321000</v>
      </c>
      <c r="AV193" s="343">
        <f>+'[84]VENTAS TOTALES'!$F218</f>
        <v>0</v>
      </c>
      <c r="AW193" s="344">
        <f>+'[84]VENTAS TOTALES'!$G218</f>
        <v>215000</v>
      </c>
      <c r="AX193" s="344">
        <f>+'[84]VENTAS TOTALES'!$H218</f>
        <v>215000</v>
      </c>
      <c r="AY193" s="343">
        <f>+'[85]VENTAS TOTALES'!$F218</f>
        <v>0</v>
      </c>
      <c r="AZ193" s="344">
        <f>+'[85]VENTAS TOTALES'!$G218</f>
        <v>244000</v>
      </c>
      <c r="BA193" s="344">
        <f>+'[85]VENTAS TOTALES'!$H218</f>
        <v>244000</v>
      </c>
      <c r="BB193" s="343">
        <f>+'[86]VENTAS TOTALES'!$F218</f>
        <v>0</v>
      </c>
      <c r="BC193" s="344">
        <f>+'[86]VENTAS TOTALES'!$G218</f>
        <v>248000</v>
      </c>
      <c r="BD193" s="344">
        <f>+'[86]VENTAS TOTALES'!$H218</f>
        <v>248000</v>
      </c>
      <c r="BE193" s="343">
        <f>+'[87]VENTAS TOTALES'!$F218</f>
        <v>0</v>
      </c>
      <c r="BF193" s="344">
        <f>+'[87]VENTAS TOTALES'!$G218</f>
        <v>25000</v>
      </c>
      <c r="BG193" s="344">
        <f>+'[87]VENTAS TOTALES'!$H218</f>
        <v>25000</v>
      </c>
      <c r="BH193" s="343">
        <f>+'[88]VENTAS TOTALES'!$F218</f>
        <v>0</v>
      </c>
      <c r="BI193" s="344">
        <f>+'[88]VENTAS TOTALES'!$G218</f>
        <v>0</v>
      </c>
      <c r="BJ193" s="344">
        <f>+'[88]VENTAS TOTALES'!$H218</f>
        <v>0</v>
      </c>
      <c r="BK193" s="343">
        <f>+'[89]VENTAS TOTALES'!$F218</f>
        <v>0</v>
      </c>
      <c r="BL193" s="344">
        <f>+'[89]VENTAS TOTALES'!$G218</f>
        <v>536000</v>
      </c>
      <c r="BM193" s="344">
        <f>+'[89]VENTAS TOTALES'!$H218</f>
        <v>536000</v>
      </c>
      <c r="BN193" s="343">
        <f>+'[90]VENTAS TOTALES'!$F218</f>
        <v>0</v>
      </c>
      <c r="BO193" s="344">
        <f>+'[90]VENTAS TOTALES'!$G218</f>
        <v>377000</v>
      </c>
      <c r="BP193" s="344">
        <f>+'[90]VENTAS TOTALES'!$H218</f>
        <v>377000</v>
      </c>
      <c r="BQ193" s="343">
        <f>+'[91]VENTAS TOTALES'!$F218</f>
        <v>0</v>
      </c>
      <c r="BR193" s="344">
        <f>+'[91]VENTAS TOTALES'!$G218</f>
        <v>281000</v>
      </c>
      <c r="BS193" s="344">
        <f>+'[91]VENTAS TOTALES'!$H218</f>
        <v>281000</v>
      </c>
      <c r="BT193" s="343">
        <f>+'[92]VENTAS TOTALES'!$F218</f>
        <v>0</v>
      </c>
      <c r="BU193" s="344">
        <f>+'[92]VENTAS TOTALES'!$G218</f>
        <v>241000</v>
      </c>
      <c r="BV193" s="344">
        <f>+'[92]VENTAS TOTALES'!$H218</f>
        <v>241000</v>
      </c>
      <c r="BW193" s="343">
        <f>+'[93]VENTAS TOTALES'!$F218</f>
        <v>0</v>
      </c>
      <c r="BX193" s="344">
        <f>+'[93]VENTAS TOTALES'!$G218</f>
        <v>325000</v>
      </c>
      <c r="BY193" s="344">
        <f>+'[93]VENTAS TOTALES'!$H218</f>
        <v>325000</v>
      </c>
      <c r="BZ193" s="343">
        <f>+'[94]VENTAS TOTALES'!$F218</f>
        <v>0</v>
      </c>
      <c r="CA193" s="344">
        <f>+'[94]VENTAS TOTALES'!$G218</f>
        <v>90000</v>
      </c>
      <c r="CB193" s="344">
        <f>+'[94]VENTAS TOTALES'!$H218</f>
        <v>90000</v>
      </c>
      <c r="CC193" s="343">
        <f>+'[95]VENTAS TOTALES'!$F218</f>
        <v>0</v>
      </c>
      <c r="CD193" s="344">
        <f>+'[95]VENTAS TOTALES'!$G218</f>
        <v>0</v>
      </c>
      <c r="CE193" s="344">
        <f>+'[95]VENTAS TOTALES'!$H218</f>
        <v>0</v>
      </c>
      <c r="CF193" s="343">
        <f>+'[96]VENTAS TOTALES'!$F218</f>
        <v>0</v>
      </c>
      <c r="CG193" s="344">
        <f>+'[96]VENTAS TOTALES'!$G218</f>
        <v>826000</v>
      </c>
      <c r="CH193" s="344">
        <f>+'[96]VENTAS TOTALES'!$H218</f>
        <v>826000</v>
      </c>
      <c r="CI193" s="343">
        <f>+'[97]VENTAS TOTALES'!$F218</f>
        <v>0</v>
      </c>
      <c r="CJ193" s="344">
        <f>+'[97]VENTAS TOTALES'!$G218</f>
        <v>374000</v>
      </c>
      <c r="CK193" s="344">
        <f>+'[97]VENTAS TOTALES'!$H218</f>
        <v>374000</v>
      </c>
      <c r="CL193" s="343">
        <f>+'[98]VENTAS TOTALES'!$F218</f>
        <v>0</v>
      </c>
      <c r="CM193" s="344">
        <f>+'[98]VENTAS TOTALES'!$G218</f>
        <v>398000</v>
      </c>
      <c r="CN193" s="344">
        <f>+'[98]VENTAS TOTALES'!$H218</f>
        <v>398000</v>
      </c>
      <c r="CO193" s="343">
        <f>+'[99]VENTAS TOTALES'!$F218</f>
        <v>0</v>
      </c>
      <c r="CP193" s="344">
        <f>+'[99]VENTAS TOTALES'!$G218</f>
        <v>195000</v>
      </c>
      <c r="CQ193" s="344">
        <f>+'[99]VENTAS TOTALES'!$H218</f>
        <v>195000</v>
      </c>
      <c r="CR193" s="343">
        <f>+'[100]VENTAS TOTALES'!$F218</f>
        <v>0</v>
      </c>
      <c r="CS193" s="344">
        <f>+'[100]VENTAS TOTALES'!$G218</f>
        <v>280000</v>
      </c>
      <c r="CT193" s="344">
        <f>+'[100]VENTAS TOTALES'!$H218</f>
        <v>280000</v>
      </c>
      <c r="CU193" s="343">
        <f>+'[101]VENTAS TOTALES'!$F218</f>
        <v>0</v>
      </c>
      <c r="CV193" s="344">
        <f>+'[101]VENTAS TOTALES'!$G218</f>
        <v>80000</v>
      </c>
      <c r="CW193" s="344">
        <f>+'[101]VENTAS TOTALES'!$H218</f>
        <v>80000</v>
      </c>
      <c r="CX193" s="343">
        <f>+'[102]VENTAS TOTALES'!$F218</f>
        <v>0</v>
      </c>
      <c r="CY193" s="344">
        <f>+'[102]VENTAS TOTALES'!$G218</f>
        <v>0</v>
      </c>
      <c r="CZ193" s="344">
        <f>+'[102]VENTAS TOTALES'!$H218</f>
        <v>0</v>
      </c>
    </row>
    <row r="194" spans="1:104" s="8" customFormat="1" ht="14.25" customHeight="1" thickBot="1" x14ac:dyDescent="0.25">
      <c r="A194" s="455"/>
      <c r="B194" s="387" t="s">
        <v>487</v>
      </c>
      <c r="C194" s="343">
        <f>+'[69]VENTAS TOTALES'!$F219</f>
        <v>0</v>
      </c>
      <c r="D194" s="344">
        <f>+'[69]VENTAS TOTALES'!$G219</f>
        <v>153000</v>
      </c>
      <c r="E194" s="344">
        <f>+'[69]VENTAS TOTALES'!$H219</f>
        <v>153000</v>
      </c>
      <c r="F194" s="343">
        <f>+'[70]VENTAS TOTALES'!$F219</f>
        <v>0</v>
      </c>
      <c r="G194" s="344">
        <f>+'[70]VENTAS TOTALES'!$G219</f>
        <v>133000</v>
      </c>
      <c r="H194" s="344">
        <f>+'[70]VENTAS TOTALES'!$H219</f>
        <v>133000</v>
      </c>
      <c r="I194" s="343">
        <f>+'[71]VENTAS TOTALES'!$F219</f>
        <v>0</v>
      </c>
      <c r="J194" s="344">
        <f>+'[71]VENTAS TOTALES'!$G219</f>
        <v>144000</v>
      </c>
      <c r="K194" s="344">
        <f>+'[71]VENTAS TOTALES'!$H219</f>
        <v>144000</v>
      </c>
      <c r="L194" s="343">
        <f>+'[72]VENTAS TOTALES'!$F219</f>
        <v>0</v>
      </c>
      <c r="M194" s="344">
        <f>+'[72]VENTAS TOTALES'!$G219</f>
        <v>64000</v>
      </c>
      <c r="N194" s="344">
        <f>+'[72]VENTAS TOTALES'!$H219</f>
        <v>64000</v>
      </c>
      <c r="O194" s="343">
        <f>+'[73]VENTAS TOTALES'!$F219</f>
        <v>0</v>
      </c>
      <c r="P194" s="344">
        <f>+'[73]VENTAS TOTALES'!$G219</f>
        <v>20000</v>
      </c>
      <c r="Q194" s="344">
        <f>+'[73]VENTAS TOTALES'!$H219</f>
        <v>20000</v>
      </c>
      <c r="R194" s="343">
        <f>+'[74]VENTAS TOTALES'!$F219</f>
        <v>0</v>
      </c>
      <c r="S194" s="344">
        <f>+'[74]VENTAS TOTALES'!$G219</f>
        <v>0</v>
      </c>
      <c r="T194" s="344">
        <f>+'[74]VENTAS TOTALES'!$H219</f>
        <v>0</v>
      </c>
      <c r="U194" s="343">
        <f>+'[75]VENTAS TOTALES'!$F219</f>
        <v>0</v>
      </c>
      <c r="V194" s="344">
        <f>+'[75]VENTAS TOTALES'!$G219</f>
        <v>272000</v>
      </c>
      <c r="W194" s="344">
        <f>+'[75]VENTAS TOTALES'!$H219</f>
        <v>272000</v>
      </c>
      <c r="X194" s="343">
        <f>+'[76]VENTAS TOTALES'!$F219</f>
        <v>0</v>
      </c>
      <c r="Y194" s="344">
        <f>+'[76]VENTAS TOTALES'!$G219</f>
        <v>151000</v>
      </c>
      <c r="Z194" s="344">
        <f>+'[76]VENTAS TOTALES'!$H219</f>
        <v>151000</v>
      </c>
      <c r="AA194" s="343">
        <f>+'[77]VENTAS TOTALES'!$F219</f>
        <v>0</v>
      </c>
      <c r="AB194" s="344">
        <f>+'[77]VENTAS TOTALES'!$G219</f>
        <v>75000</v>
      </c>
      <c r="AC194" s="344">
        <f>+'[77]VENTAS TOTALES'!$H219</f>
        <v>75000</v>
      </c>
      <c r="AD194" s="343">
        <f>+'[78]VENTAS TOTALES'!$F219</f>
        <v>0</v>
      </c>
      <c r="AE194" s="344">
        <f>+'[78]VENTAS TOTALES'!$G219</f>
        <v>81000</v>
      </c>
      <c r="AF194" s="344">
        <f>+'[78]VENTAS TOTALES'!$H219</f>
        <v>81000</v>
      </c>
      <c r="AG194" s="343">
        <f>+'[79]VENTAS TOTALES'!$F219</f>
        <v>0</v>
      </c>
      <c r="AH194" s="344">
        <f>+'[79]VENTAS TOTALES'!$G219</f>
        <v>71000</v>
      </c>
      <c r="AI194" s="344">
        <f>+'[79]VENTAS TOTALES'!$H219</f>
        <v>71000</v>
      </c>
      <c r="AJ194" s="343">
        <f>+'[80]VENTAS TOTALES'!$F219</f>
        <v>0</v>
      </c>
      <c r="AK194" s="344">
        <f>+'[80]VENTAS TOTALES'!$G219</f>
        <v>28000</v>
      </c>
      <c r="AL194" s="344">
        <f>+'[80]VENTAS TOTALES'!$H219</f>
        <v>28000</v>
      </c>
      <c r="AM194" s="343">
        <f>+'[81]VENTAS TOTALES'!$F219</f>
        <v>0</v>
      </c>
      <c r="AN194" s="344">
        <f>+'[81]VENTAS TOTALES'!$G219</f>
        <v>0</v>
      </c>
      <c r="AO194" s="344">
        <f>+'[81]VENTAS TOTALES'!$H219</f>
        <v>0</v>
      </c>
      <c r="AP194" s="343">
        <f>+'[82]VENTAS TOTALES'!$F219</f>
        <v>0</v>
      </c>
      <c r="AQ194" s="344">
        <f>+'[82]VENTAS TOTALES'!$G219</f>
        <v>284000</v>
      </c>
      <c r="AR194" s="344">
        <f>+'[82]VENTAS TOTALES'!$H219</f>
        <v>284000</v>
      </c>
      <c r="AS194" s="343">
        <f>+'[83]VENTAS TOTALES'!$F219</f>
        <v>0</v>
      </c>
      <c r="AT194" s="344">
        <f>+'[83]VENTAS TOTALES'!$G219</f>
        <v>79000</v>
      </c>
      <c r="AU194" s="344">
        <f>+'[83]VENTAS TOTALES'!$H219</f>
        <v>79000</v>
      </c>
      <c r="AV194" s="343">
        <f>+'[84]VENTAS TOTALES'!$F219</f>
        <v>0</v>
      </c>
      <c r="AW194" s="344">
        <f>+'[84]VENTAS TOTALES'!$G219</f>
        <v>119000</v>
      </c>
      <c r="AX194" s="344">
        <f>+'[84]VENTAS TOTALES'!$H219</f>
        <v>119000</v>
      </c>
      <c r="AY194" s="343">
        <f>+'[85]VENTAS TOTALES'!$F219</f>
        <v>0</v>
      </c>
      <c r="AZ194" s="344">
        <f>+'[85]VENTAS TOTALES'!$G219</f>
        <v>26000</v>
      </c>
      <c r="BA194" s="344">
        <f>+'[85]VENTAS TOTALES'!$H219</f>
        <v>26000</v>
      </c>
      <c r="BB194" s="343">
        <f>+'[86]VENTAS TOTALES'!$F219</f>
        <v>0</v>
      </c>
      <c r="BC194" s="344">
        <f>+'[86]VENTAS TOTALES'!$G219</f>
        <v>105000</v>
      </c>
      <c r="BD194" s="344">
        <f>+'[86]VENTAS TOTALES'!$H219</f>
        <v>105000</v>
      </c>
      <c r="BE194" s="343">
        <f>+'[87]VENTAS TOTALES'!$F219</f>
        <v>0</v>
      </c>
      <c r="BF194" s="344">
        <f>+'[87]VENTAS TOTALES'!$G219</f>
        <v>17000</v>
      </c>
      <c r="BG194" s="344">
        <f>+'[87]VENTAS TOTALES'!$H219</f>
        <v>17000</v>
      </c>
      <c r="BH194" s="343">
        <f>+'[88]VENTAS TOTALES'!$F219</f>
        <v>0</v>
      </c>
      <c r="BI194" s="344">
        <f>+'[88]VENTAS TOTALES'!$G219</f>
        <v>0</v>
      </c>
      <c r="BJ194" s="344">
        <f>+'[88]VENTAS TOTALES'!$H219</f>
        <v>0</v>
      </c>
      <c r="BK194" s="343">
        <f>+'[89]VENTAS TOTALES'!$F219</f>
        <v>0</v>
      </c>
      <c r="BL194" s="344">
        <f>+'[89]VENTAS TOTALES'!$G219</f>
        <v>189000</v>
      </c>
      <c r="BM194" s="344">
        <f>+'[89]VENTAS TOTALES'!$H219</f>
        <v>189000</v>
      </c>
      <c r="BN194" s="343">
        <f>+'[90]VENTAS TOTALES'!$F219</f>
        <v>0</v>
      </c>
      <c r="BO194" s="344">
        <f>+'[90]VENTAS TOTALES'!$G219</f>
        <v>128000</v>
      </c>
      <c r="BP194" s="344">
        <f>+'[90]VENTAS TOTALES'!$H219</f>
        <v>128000</v>
      </c>
      <c r="BQ194" s="343">
        <f>+'[91]VENTAS TOTALES'!$F219</f>
        <v>0</v>
      </c>
      <c r="BR194" s="344">
        <f>+'[91]VENTAS TOTALES'!$G219</f>
        <v>87000</v>
      </c>
      <c r="BS194" s="344">
        <f>+'[91]VENTAS TOTALES'!$H219</f>
        <v>87000</v>
      </c>
      <c r="BT194" s="343">
        <f>+'[92]VENTAS TOTALES'!$F219</f>
        <v>0</v>
      </c>
      <c r="BU194" s="344">
        <f>+'[92]VENTAS TOTALES'!$G219</f>
        <v>144000</v>
      </c>
      <c r="BV194" s="344">
        <f>+'[92]VENTAS TOTALES'!$H219</f>
        <v>144000</v>
      </c>
      <c r="BW194" s="343">
        <f>+'[93]VENTAS TOTALES'!$F219</f>
        <v>0</v>
      </c>
      <c r="BX194" s="344">
        <f>+'[93]VENTAS TOTALES'!$G219</f>
        <v>124000</v>
      </c>
      <c r="BY194" s="344">
        <f>+'[93]VENTAS TOTALES'!$H219</f>
        <v>124000</v>
      </c>
      <c r="BZ194" s="343">
        <f>+'[94]VENTAS TOTALES'!$F219</f>
        <v>0</v>
      </c>
      <c r="CA194" s="344">
        <f>+'[94]VENTAS TOTALES'!$G219</f>
        <v>56000</v>
      </c>
      <c r="CB194" s="344">
        <f>+'[94]VENTAS TOTALES'!$H219</f>
        <v>56000</v>
      </c>
      <c r="CC194" s="343">
        <f>+'[95]VENTAS TOTALES'!$F219</f>
        <v>0</v>
      </c>
      <c r="CD194" s="344">
        <f>+'[95]VENTAS TOTALES'!$G219</f>
        <v>0</v>
      </c>
      <c r="CE194" s="344">
        <f>+'[95]VENTAS TOTALES'!$H219</f>
        <v>0</v>
      </c>
      <c r="CF194" s="343">
        <f>+'[96]VENTAS TOTALES'!$F219</f>
        <v>0</v>
      </c>
      <c r="CG194" s="344">
        <f>+'[96]VENTAS TOTALES'!$G219</f>
        <v>322000</v>
      </c>
      <c r="CH194" s="344">
        <f>+'[96]VENTAS TOTALES'!$H219</f>
        <v>322000</v>
      </c>
      <c r="CI194" s="343">
        <f>+'[97]VENTAS TOTALES'!$F219</f>
        <v>0</v>
      </c>
      <c r="CJ194" s="344">
        <f>+'[97]VENTAS TOTALES'!$G219</f>
        <v>137000</v>
      </c>
      <c r="CK194" s="344">
        <f>+'[97]VENTAS TOTALES'!$H219</f>
        <v>137000</v>
      </c>
      <c r="CL194" s="343">
        <f>+'[98]VENTAS TOTALES'!$F219</f>
        <v>0</v>
      </c>
      <c r="CM194" s="344">
        <f>+'[98]VENTAS TOTALES'!$G219</f>
        <v>225000</v>
      </c>
      <c r="CN194" s="344">
        <f>+'[98]VENTAS TOTALES'!$H219</f>
        <v>225000</v>
      </c>
      <c r="CO194" s="343">
        <f>+'[99]VENTAS TOTALES'!$F219</f>
        <v>0</v>
      </c>
      <c r="CP194" s="344">
        <f>+'[99]VENTAS TOTALES'!$G219</f>
        <v>104000</v>
      </c>
      <c r="CQ194" s="344">
        <f>+'[99]VENTAS TOTALES'!$H219</f>
        <v>104000</v>
      </c>
      <c r="CR194" s="343">
        <f>+'[100]VENTAS TOTALES'!$F219</f>
        <v>0</v>
      </c>
      <c r="CS194" s="344">
        <f>+'[100]VENTAS TOTALES'!$G219</f>
        <v>116000</v>
      </c>
      <c r="CT194" s="344">
        <f>+'[100]VENTAS TOTALES'!$H219</f>
        <v>116000</v>
      </c>
      <c r="CU194" s="343">
        <f>+'[101]VENTAS TOTALES'!$F219</f>
        <v>0</v>
      </c>
      <c r="CV194" s="344">
        <f>+'[101]VENTAS TOTALES'!$G219</f>
        <v>35000</v>
      </c>
      <c r="CW194" s="344">
        <f>+'[101]VENTAS TOTALES'!$H219</f>
        <v>35000</v>
      </c>
      <c r="CX194" s="343">
        <f>+'[102]VENTAS TOTALES'!$F219</f>
        <v>0</v>
      </c>
      <c r="CY194" s="344">
        <f>+'[102]VENTAS TOTALES'!$G219</f>
        <v>0</v>
      </c>
      <c r="CZ194" s="344">
        <f>+'[102]VENTAS TOTALES'!$H219</f>
        <v>0</v>
      </c>
    </row>
    <row r="195" spans="1:104" s="8" customFormat="1" ht="14.25" customHeight="1" thickBot="1" x14ac:dyDescent="0.25">
      <c r="A195" s="456"/>
      <c r="B195" s="393" t="s">
        <v>495</v>
      </c>
      <c r="C195" s="343">
        <f>+'[69]VENTAS TOTALES'!$F220</f>
        <v>0</v>
      </c>
      <c r="D195" s="344">
        <f>+'[69]VENTAS TOTALES'!$G220</f>
        <v>99000</v>
      </c>
      <c r="E195" s="344">
        <f>+'[69]VENTAS TOTALES'!$H220</f>
        <v>99000</v>
      </c>
      <c r="F195" s="343">
        <f>+'[70]VENTAS TOTALES'!$F220</f>
        <v>0</v>
      </c>
      <c r="G195" s="344">
        <f>+'[70]VENTAS TOTALES'!$G220</f>
        <v>145000</v>
      </c>
      <c r="H195" s="344">
        <f>+'[70]VENTAS TOTALES'!$H220</f>
        <v>145000</v>
      </c>
      <c r="I195" s="343">
        <f>+'[71]VENTAS TOTALES'!$F220</f>
        <v>0</v>
      </c>
      <c r="J195" s="344">
        <f>+'[71]VENTAS TOTALES'!$G220</f>
        <v>93000</v>
      </c>
      <c r="K195" s="344">
        <f>+'[71]VENTAS TOTALES'!$H220</f>
        <v>93000</v>
      </c>
      <c r="L195" s="343">
        <f>+'[72]VENTAS TOTALES'!$F220</f>
        <v>0</v>
      </c>
      <c r="M195" s="344">
        <f>+'[72]VENTAS TOTALES'!$G220</f>
        <v>66000</v>
      </c>
      <c r="N195" s="344">
        <f>+'[72]VENTAS TOTALES'!$H220</f>
        <v>66000</v>
      </c>
      <c r="O195" s="343">
        <f>+'[73]VENTAS TOTALES'!$F220</f>
        <v>0</v>
      </c>
      <c r="P195" s="344">
        <f>+'[73]VENTAS TOTALES'!$G220</f>
        <v>110000</v>
      </c>
      <c r="Q195" s="344">
        <f>+'[73]VENTAS TOTALES'!$H220</f>
        <v>110000</v>
      </c>
      <c r="R195" s="343">
        <f>+'[74]VENTAS TOTALES'!$F220</f>
        <v>0</v>
      </c>
      <c r="S195" s="344">
        <f>+'[74]VENTAS TOTALES'!$G220</f>
        <v>14000</v>
      </c>
      <c r="T195" s="344">
        <f>+'[74]VENTAS TOTALES'!$H220</f>
        <v>14000</v>
      </c>
      <c r="U195" s="343">
        <f>+'[75]VENTAS TOTALES'!$F220</f>
        <v>0</v>
      </c>
      <c r="V195" s="344">
        <f>+'[75]VENTAS TOTALES'!$G220</f>
        <v>157000</v>
      </c>
      <c r="W195" s="344">
        <f>+'[75]VENTAS TOTALES'!$H220</f>
        <v>157000</v>
      </c>
      <c r="X195" s="343">
        <f>+'[76]VENTAS TOTALES'!$F220</f>
        <v>0</v>
      </c>
      <c r="Y195" s="344">
        <f>+'[76]VENTAS TOTALES'!$G220</f>
        <v>212000</v>
      </c>
      <c r="Z195" s="344">
        <f>+'[76]VENTAS TOTALES'!$H220</f>
        <v>212000</v>
      </c>
      <c r="AA195" s="343">
        <f>+'[77]VENTAS TOTALES'!$F220</f>
        <v>0</v>
      </c>
      <c r="AB195" s="344">
        <f>+'[77]VENTAS TOTALES'!$G220</f>
        <v>144000</v>
      </c>
      <c r="AC195" s="344">
        <f>+'[77]VENTAS TOTALES'!$H220</f>
        <v>144000</v>
      </c>
      <c r="AD195" s="343">
        <f>+'[78]VENTAS TOTALES'!$F220</f>
        <v>0</v>
      </c>
      <c r="AE195" s="344">
        <f>+'[78]VENTAS TOTALES'!$G220</f>
        <v>126000</v>
      </c>
      <c r="AF195" s="344">
        <f>+'[78]VENTAS TOTALES'!$H220</f>
        <v>126000</v>
      </c>
      <c r="AG195" s="343">
        <f>+'[79]VENTAS TOTALES'!$F220</f>
        <v>0</v>
      </c>
      <c r="AH195" s="344">
        <f>+'[79]VENTAS TOTALES'!$G220</f>
        <v>98000</v>
      </c>
      <c r="AI195" s="344">
        <f>+'[79]VENTAS TOTALES'!$H220</f>
        <v>98000</v>
      </c>
      <c r="AJ195" s="343">
        <f>+'[80]VENTAS TOTALES'!$F220</f>
        <v>0</v>
      </c>
      <c r="AK195" s="344">
        <f>+'[80]VENTAS TOTALES'!$G220</f>
        <v>71000</v>
      </c>
      <c r="AL195" s="344">
        <f>+'[80]VENTAS TOTALES'!$H220</f>
        <v>71000</v>
      </c>
      <c r="AM195" s="343">
        <f>+'[81]VENTAS TOTALES'!$F220</f>
        <v>0</v>
      </c>
      <c r="AN195" s="344">
        <f>+'[81]VENTAS TOTALES'!$G220</f>
        <v>0</v>
      </c>
      <c r="AO195" s="344">
        <f>+'[81]VENTAS TOTALES'!$H220</f>
        <v>0</v>
      </c>
      <c r="AP195" s="343">
        <f>+'[82]VENTAS TOTALES'!$F220</f>
        <v>0</v>
      </c>
      <c r="AQ195" s="344">
        <f>+'[82]VENTAS TOTALES'!$G220</f>
        <v>168000</v>
      </c>
      <c r="AR195" s="344">
        <f>+'[82]VENTAS TOTALES'!$H220</f>
        <v>168000</v>
      </c>
      <c r="AS195" s="343">
        <f>+'[83]VENTAS TOTALES'!$F220</f>
        <v>0</v>
      </c>
      <c r="AT195" s="344">
        <f>+'[83]VENTAS TOTALES'!$G220</f>
        <v>141000</v>
      </c>
      <c r="AU195" s="344">
        <f>+'[83]VENTAS TOTALES'!$H220</f>
        <v>141000</v>
      </c>
      <c r="AV195" s="343">
        <f>+'[84]VENTAS TOTALES'!$F220</f>
        <v>0</v>
      </c>
      <c r="AW195" s="344">
        <f>+'[84]VENTAS TOTALES'!$G220</f>
        <v>107000</v>
      </c>
      <c r="AX195" s="344">
        <f>+'[84]VENTAS TOTALES'!$H220</f>
        <v>107000</v>
      </c>
      <c r="AY195" s="343">
        <f>+'[85]VENTAS TOTALES'!$F220</f>
        <v>0</v>
      </c>
      <c r="AZ195" s="344">
        <f>+'[85]VENTAS TOTALES'!$G220</f>
        <v>104000</v>
      </c>
      <c r="BA195" s="344">
        <f>+'[85]VENTAS TOTALES'!$H220</f>
        <v>104000</v>
      </c>
      <c r="BB195" s="343">
        <f>+'[86]VENTAS TOTALES'!$F220</f>
        <v>0</v>
      </c>
      <c r="BC195" s="344">
        <f>+'[86]VENTAS TOTALES'!$G220</f>
        <v>142000</v>
      </c>
      <c r="BD195" s="344">
        <f>+'[86]VENTAS TOTALES'!$H220</f>
        <v>142000</v>
      </c>
      <c r="BE195" s="343">
        <f>+'[87]VENTAS TOTALES'!$F220</f>
        <v>0</v>
      </c>
      <c r="BF195" s="344">
        <f>+'[87]VENTAS TOTALES'!$G220</f>
        <v>119000</v>
      </c>
      <c r="BG195" s="344">
        <f>+'[87]VENTAS TOTALES'!$H220</f>
        <v>119000</v>
      </c>
      <c r="BH195" s="343">
        <f>+'[88]VENTAS TOTALES'!$F220</f>
        <v>0</v>
      </c>
      <c r="BI195" s="344">
        <f>+'[88]VENTAS TOTALES'!$G220</f>
        <v>19000</v>
      </c>
      <c r="BJ195" s="344">
        <f>+'[88]VENTAS TOTALES'!$H220</f>
        <v>19000</v>
      </c>
      <c r="BK195" s="343">
        <f>+'[89]VENTAS TOTALES'!$F220</f>
        <v>0</v>
      </c>
      <c r="BL195" s="344">
        <f>+'[89]VENTAS TOTALES'!$G220</f>
        <v>152000</v>
      </c>
      <c r="BM195" s="344">
        <f>+'[89]VENTAS TOTALES'!$H220</f>
        <v>152000</v>
      </c>
      <c r="BN195" s="343">
        <f>+'[90]VENTAS TOTALES'!$F220</f>
        <v>0</v>
      </c>
      <c r="BO195" s="344">
        <f>+'[90]VENTAS TOTALES'!$G220</f>
        <v>173000</v>
      </c>
      <c r="BP195" s="344">
        <f>+'[90]VENTAS TOTALES'!$H220</f>
        <v>173000</v>
      </c>
      <c r="BQ195" s="343">
        <f>+'[91]VENTAS TOTALES'!$F220</f>
        <v>0</v>
      </c>
      <c r="BR195" s="344">
        <f>+'[91]VENTAS TOTALES'!$G220</f>
        <v>352000</v>
      </c>
      <c r="BS195" s="344">
        <f>+'[91]VENTAS TOTALES'!$H220</f>
        <v>352000</v>
      </c>
      <c r="BT195" s="343">
        <f>+'[92]VENTAS TOTALES'!$F220</f>
        <v>0</v>
      </c>
      <c r="BU195" s="344">
        <f>+'[92]VENTAS TOTALES'!$G220</f>
        <v>55000</v>
      </c>
      <c r="BV195" s="344">
        <f>+'[92]VENTAS TOTALES'!$H220</f>
        <v>55000</v>
      </c>
      <c r="BW195" s="343">
        <f>+'[93]VENTAS TOTALES'!$F220</f>
        <v>0</v>
      </c>
      <c r="BX195" s="344">
        <f>+'[93]VENTAS TOTALES'!$G220</f>
        <v>114000</v>
      </c>
      <c r="BY195" s="344">
        <f>+'[93]VENTAS TOTALES'!$H220</f>
        <v>114000</v>
      </c>
      <c r="BZ195" s="343">
        <f>+'[94]VENTAS TOTALES'!$F220</f>
        <v>0</v>
      </c>
      <c r="CA195" s="344">
        <f>+'[94]VENTAS TOTALES'!$G220</f>
        <v>87000</v>
      </c>
      <c r="CB195" s="344">
        <f>+'[94]VENTAS TOTALES'!$H220</f>
        <v>87000</v>
      </c>
      <c r="CC195" s="343">
        <f>+'[95]VENTAS TOTALES'!$F220</f>
        <v>0</v>
      </c>
      <c r="CD195" s="344">
        <f>+'[95]VENTAS TOTALES'!$G220</f>
        <v>5000</v>
      </c>
      <c r="CE195" s="344">
        <f>+'[95]VENTAS TOTALES'!$H220</f>
        <v>5000</v>
      </c>
      <c r="CF195" s="343">
        <f>+'[96]VENTAS TOTALES'!$F220</f>
        <v>0</v>
      </c>
      <c r="CG195" s="344">
        <f>+'[96]VENTAS TOTALES'!$G220</f>
        <v>172000</v>
      </c>
      <c r="CH195" s="344">
        <f>+'[96]VENTAS TOTALES'!$H220</f>
        <v>172000</v>
      </c>
      <c r="CI195" s="343">
        <f>+'[97]VENTAS TOTALES'!$F220</f>
        <v>0</v>
      </c>
      <c r="CJ195" s="344">
        <f>+'[97]VENTAS TOTALES'!$G220</f>
        <v>167000</v>
      </c>
      <c r="CK195" s="344">
        <f>+'[97]VENTAS TOTALES'!$H220</f>
        <v>167000</v>
      </c>
      <c r="CL195" s="343">
        <f>+'[98]VENTAS TOTALES'!$F220</f>
        <v>0</v>
      </c>
      <c r="CM195" s="344">
        <f>+'[98]VENTAS TOTALES'!$G220</f>
        <v>168000</v>
      </c>
      <c r="CN195" s="344">
        <f>+'[98]VENTAS TOTALES'!$H220</f>
        <v>168000</v>
      </c>
      <c r="CO195" s="343">
        <f>+'[99]VENTAS TOTALES'!$F220</f>
        <v>0</v>
      </c>
      <c r="CP195" s="344">
        <f>+'[99]VENTAS TOTALES'!$G220</f>
        <v>140000</v>
      </c>
      <c r="CQ195" s="344">
        <f>+'[99]VENTAS TOTALES'!$H220</f>
        <v>140000</v>
      </c>
      <c r="CR195" s="343">
        <f>+'[100]VENTAS TOTALES'!$F220</f>
        <v>0</v>
      </c>
      <c r="CS195" s="344">
        <f>+'[100]VENTAS TOTALES'!$G220</f>
        <v>154000</v>
      </c>
      <c r="CT195" s="344">
        <f>+'[100]VENTAS TOTALES'!$H220</f>
        <v>154000</v>
      </c>
      <c r="CU195" s="343">
        <f>+'[101]VENTAS TOTALES'!$F220</f>
        <v>0</v>
      </c>
      <c r="CV195" s="344">
        <f>+'[101]VENTAS TOTALES'!$G220</f>
        <v>60000</v>
      </c>
      <c r="CW195" s="344">
        <f>+'[101]VENTAS TOTALES'!$H220</f>
        <v>60000</v>
      </c>
      <c r="CX195" s="343">
        <f>+'[102]VENTAS TOTALES'!$F220</f>
        <v>0</v>
      </c>
      <c r="CY195" s="344">
        <f>+'[102]VENTAS TOTALES'!$G220</f>
        <v>32000</v>
      </c>
      <c r="CZ195" s="344">
        <f>+'[102]VENTAS TOTALES'!$H220</f>
        <v>32000</v>
      </c>
    </row>
    <row r="196" spans="1:104" s="8" customFormat="1" ht="14.25" customHeight="1" thickBot="1" x14ac:dyDescent="0.25">
      <c r="A196" s="473" t="s">
        <v>394</v>
      </c>
      <c r="B196" s="342" t="s">
        <v>395</v>
      </c>
      <c r="C196" s="371">
        <f>'[69]VENTAS TOTALES'!$F223</f>
        <v>282</v>
      </c>
      <c r="D196" s="344">
        <f>'[69]VENTAS TOTALES'!$G223</f>
        <v>3721000</v>
      </c>
      <c r="E196" s="344">
        <f>+'[69]VENTAS TOTALES'!$H223</f>
        <v>4200400</v>
      </c>
      <c r="F196" s="371">
        <f>'[70]VENTAS TOTALES'!$F223</f>
        <v>247</v>
      </c>
      <c r="G196" s="344">
        <f>'[70]VENTAS TOTALES'!$G223</f>
        <v>4349200</v>
      </c>
      <c r="H196" s="344">
        <f>+'[70]VENTAS TOTALES'!$H223</f>
        <v>4769100</v>
      </c>
      <c r="I196" s="371">
        <f>'[71]VENTAS TOTALES'!$F223</f>
        <v>275</v>
      </c>
      <c r="J196" s="344">
        <f>'[71]VENTAS TOTALES'!$G223</f>
        <v>3005200</v>
      </c>
      <c r="K196" s="344">
        <f>+'[71]VENTAS TOTALES'!$H223</f>
        <v>3472700</v>
      </c>
      <c r="L196" s="371">
        <f>'[72]VENTAS TOTALES'!$F223</f>
        <v>166</v>
      </c>
      <c r="M196" s="344">
        <f>'[72]VENTAS TOTALES'!$G223</f>
        <v>2679600</v>
      </c>
      <c r="N196" s="344">
        <f>+'[72]VENTAS TOTALES'!$H223</f>
        <v>2961800</v>
      </c>
      <c r="O196" s="371">
        <f>'[73]VENTAS TOTALES'!$F223</f>
        <v>43</v>
      </c>
      <c r="P196" s="344">
        <f>'[73]VENTAS TOTALES'!$G223</f>
        <v>904500</v>
      </c>
      <c r="Q196" s="344">
        <f>+'[73]VENTAS TOTALES'!$H223</f>
        <v>977600</v>
      </c>
      <c r="R196" s="371">
        <f>'[74]VENTAS TOTALES'!$F223</f>
        <v>0</v>
      </c>
      <c r="S196" s="344">
        <f>'[74]VENTAS TOTALES'!$G223</f>
        <v>0</v>
      </c>
      <c r="T196" s="344">
        <f>+'[74]VENTAS TOTALES'!$H223</f>
        <v>0</v>
      </c>
      <c r="U196" s="371">
        <f>'[75]VENTAS TOTALES'!$F223</f>
        <v>389</v>
      </c>
      <c r="V196" s="344">
        <f>'[75]VENTAS TOTALES'!$G223</f>
        <v>5125500</v>
      </c>
      <c r="W196" s="344">
        <f>+'[75]VENTAS TOTALES'!$H223</f>
        <v>5786800</v>
      </c>
      <c r="X196" s="371">
        <f>'[76]VENTAS TOTALES'!$F223</f>
        <v>259</v>
      </c>
      <c r="Y196" s="344">
        <f>'[76]VENTAS TOTALES'!$G223</f>
        <v>3373100</v>
      </c>
      <c r="Z196" s="344">
        <f>+'[76]VENTAS TOTALES'!$H223</f>
        <v>3813400</v>
      </c>
      <c r="AA196" s="371">
        <f>'[77]VENTAS TOTALES'!$F223</f>
        <v>393</v>
      </c>
      <c r="AB196" s="344">
        <f>'[77]VENTAS TOTALES'!$G223</f>
        <v>2824800</v>
      </c>
      <c r="AC196" s="344">
        <f>+'[77]VENTAS TOTALES'!$H223</f>
        <v>3492900</v>
      </c>
      <c r="AD196" s="371">
        <f>'[78]VENTAS TOTALES'!$F223</f>
        <v>175</v>
      </c>
      <c r="AE196" s="344">
        <f>'[78]VENTAS TOTALES'!$G223</f>
        <v>3140000</v>
      </c>
      <c r="AF196" s="344">
        <f>+'[78]VENTAS TOTALES'!$H223</f>
        <v>3437500</v>
      </c>
      <c r="AG196" s="371">
        <f>'[79]VENTAS TOTALES'!$F223</f>
        <v>472</v>
      </c>
      <c r="AH196" s="344">
        <f>'[79]VENTAS TOTALES'!$G223</f>
        <v>1288300</v>
      </c>
      <c r="AI196" s="344">
        <f>+'[79]VENTAS TOTALES'!$H223</f>
        <v>2090700</v>
      </c>
      <c r="AJ196" s="371">
        <f>'[80]VENTAS TOTALES'!$F223</f>
        <v>164</v>
      </c>
      <c r="AK196" s="344">
        <f>'[80]VENTAS TOTALES'!$G223</f>
        <v>811800</v>
      </c>
      <c r="AL196" s="344">
        <f>+'[80]VENTAS TOTALES'!$H223</f>
        <v>1090600</v>
      </c>
      <c r="AM196" s="371">
        <f>'[81]VENTAS TOTALES'!$F223</f>
        <v>0</v>
      </c>
      <c r="AN196" s="344">
        <f>'[81]VENTAS TOTALES'!$G223</f>
        <v>0</v>
      </c>
      <c r="AO196" s="344">
        <f>+'[81]VENTAS TOTALES'!$H223</f>
        <v>0</v>
      </c>
      <c r="AP196" s="371">
        <f>'[82]VENTAS TOTALES'!$F223</f>
        <v>110</v>
      </c>
      <c r="AQ196" s="344">
        <f>'[82]VENTAS TOTALES'!$G223</f>
        <v>5880100</v>
      </c>
      <c r="AR196" s="344">
        <f>+'[82]VENTAS TOTALES'!$H223</f>
        <v>6067100</v>
      </c>
      <c r="AS196" s="371">
        <f>'[83]VENTAS TOTALES'!$F223</f>
        <v>110</v>
      </c>
      <c r="AT196" s="344">
        <f>'[83]VENTAS TOTALES'!$G223</f>
        <v>4490700</v>
      </c>
      <c r="AU196" s="344">
        <f>+'[83]VENTAS TOTALES'!$H223</f>
        <v>4677700</v>
      </c>
      <c r="AV196" s="371">
        <f>'[84]VENTAS TOTALES'!$F223</f>
        <v>519</v>
      </c>
      <c r="AW196" s="344">
        <f>'[84]VENTAS TOTALES'!$G223</f>
        <v>3528000</v>
      </c>
      <c r="AX196" s="344">
        <f>+'[84]VENTAS TOTALES'!$H223</f>
        <v>4410300</v>
      </c>
      <c r="AY196" s="371">
        <f>'[85]VENTAS TOTALES'!$F223</f>
        <v>405</v>
      </c>
      <c r="AZ196" s="344">
        <f>'[85]VENTAS TOTALES'!$G223</f>
        <v>2795600</v>
      </c>
      <c r="BA196" s="344">
        <f>+'[85]VENTAS TOTALES'!$H223</f>
        <v>3484100</v>
      </c>
      <c r="BB196" s="371">
        <f>'[86]VENTAS TOTALES'!$F223</f>
        <v>621</v>
      </c>
      <c r="BC196" s="344">
        <f>'[86]VENTAS TOTALES'!$G223</f>
        <v>2249300</v>
      </c>
      <c r="BD196" s="344">
        <f>+'[86]VENTAS TOTALES'!$H223</f>
        <v>3305000</v>
      </c>
      <c r="BE196" s="371">
        <f>'[87]VENTAS TOTALES'!$F223</f>
        <v>8</v>
      </c>
      <c r="BF196" s="344">
        <f>'[87]VENTAS TOTALES'!$G223</f>
        <v>804900</v>
      </c>
      <c r="BG196" s="344">
        <f>+'[87]VENTAS TOTALES'!$H223</f>
        <v>818500</v>
      </c>
      <c r="BH196" s="371">
        <f>'[88]VENTAS TOTALES'!$F223</f>
        <v>0</v>
      </c>
      <c r="BI196" s="344">
        <f>'[88]VENTAS TOTALES'!$G223</f>
        <v>0</v>
      </c>
      <c r="BJ196" s="344">
        <f>+'[88]VENTAS TOTALES'!$H223</f>
        <v>0</v>
      </c>
      <c r="BK196" s="371">
        <f>'[89]VENTAS TOTALES'!$F223</f>
        <v>594</v>
      </c>
      <c r="BL196" s="344">
        <f>'[89]VENTAS TOTALES'!$G223</f>
        <v>5317350</v>
      </c>
      <c r="BM196" s="344">
        <f>+'[89]VENTAS TOTALES'!$H223</f>
        <v>6327150</v>
      </c>
      <c r="BN196" s="371">
        <f>'[90]VENTAS TOTALES'!$F223</f>
        <v>643</v>
      </c>
      <c r="BO196" s="344">
        <f>'[90]VENTAS TOTALES'!$G223</f>
        <v>2568400</v>
      </c>
      <c r="BP196" s="344">
        <f>+'[90]VENTAS TOTALES'!$H223</f>
        <v>3661500</v>
      </c>
      <c r="BQ196" s="371">
        <f>'[91]VENTAS TOTALES'!$F223</f>
        <v>225</v>
      </c>
      <c r="BR196" s="344">
        <f>'[91]VENTAS TOTALES'!$G223</f>
        <v>1059500</v>
      </c>
      <c r="BS196" s="344">
        <f>+'[91]VENTAS TOTALES'!$H223</f>
        <v>1442000</v>
      </c>
      <c r="BT196" s="371">
        <f>'[92]VENTAS TOTALES'!$F223</f>
        <v>984</v>
      </c>
      <c r="BU196" s="344">
        <f>'[92]VENTAS TOTALES'!$G223</f>
        <v>2585100</v>
      </c>
      <c r="BV196" s="344">
        <f>+'[92]VENTAS TOTALES'!$H223</f>
        <v>4257900</v>
      </c>
      <c r="BW196" s="371">
        <f>'[93]VENTAS TOTALES'!$F223</f>
        <v>887</v>
      </c>
      <c r="BX196" s="344">
        <f>'[93]VENTAS TOTALES'!$G223</f>
        <v>2283100</v>
      </c>
      <c r="BY196" s="344">
        <f>+'[93]VENTAS TOTALES'!$H223</f>
        <v>3791000</v>
      </c>
      <c r="BZ196" s="371">
        <f>'[94]VENTAS TOTALES'!$F223</f>
        <v>2</v>
      </c>
      <c r="CA196" s="344">
        <f>'[94]VENTAS TOTALES'!$G223</f>
        <v>1119500</v>
      </c>
      <c r="CB196" s="344">
        <f>+'[94]VENTAS TOTALES'!$H223</f>
        <v>1122900</v>
      </c>
      <c r="CC196" s="371">
        <f>'[95]VENTAS TOTALES'!$F223</f>
        <v>0</v>
      </c>
      <c r="CD196" s="344">
        <f>'[95]VENTAS TOTALES'!$G223</f>
        <v>0</v>
      </c>
      <c r="CE196" s="344">
        <f>+'[95]VENTAS TOTALES'!$H223</f>
        <v>0</v>
      </c>
      <c r="CF196" s="371">
        <f>'[96]VENTAS TOTALES'!$F223</f>
        <v>470</v>
      </c>
      <c r="CG196" s="344">
        <f>'[96]VENTAS TOTALES'!$G223</f>
        <v>4612000</v>
      </c>
      <c r="CH196" s="344">
        <f>+'[96]VENTAS TOTALES'!$H223</f>
        <v>5411000</v>
      </c>
      <c r="CI196" s="371">
        <f>'[97]VENTAS TOTALES'!$F223</f>
        <v>322</v>
      </c>
      <c r="CJ196" s="344">
        <f>'[97]VENTAS TOTALES'!$G223</f>
        <v>5713300</v>
      </c>
      <c r="CK196" s="344">
        <f>+'[97]VENTAS TOTALES'!$H223</f>
        <v>6260700</v>
      </c>
      <c r="CL196" s="371">
        <f>'[98]VENTAS TOTALES'!$F223</f>
        <v>578</v>
      </c>
      <c r="CM196" s="344">
        <f>'[98]VENTAS TOTALES'!$G223</f>
        <v>2776000</v>
      </c>
      <c r="CN196" s="344">
        <f>+'[98]VENTAS TOTALES'!$H223</f>
        <v>3758600</v>
      </c>
      <c r="CO196" s="371">
        <f>'[99]VENTAS TOTALES'!$F223</f>
        <v>204</v>
      </c>
      <c r="CP196" s="344">
        <f>'[99]VENTAS TOTALES'!$G223</f>
        <v>2633900</v>
      </c>
      <c r="CQ196" s="344">
        <f>+'[99]VENTAS TOTALES'!$H223</f>
        <v>2980700</v>
      </c>
      <c r="CR196" s="371">
        <f>'[100]VENTAS TOTALES'!$F223</f>
        <v>53</v>
      </c>
      <c r="CS196" s="344">
        <f>'[100]VENTAS TOTALES'!$G223</f>
        <v>722300</v>
      </c>
      <c r="CT196" s="344">
        <f>+'[100]VENTAS TOTALES'!$H223</f>
        <v>812400</v>
      </c>
      <c r="CU196" s="371">
        <f>'[101]VENTAS TOTALES'!$F223</f>
        <v>37</v>
      </c>
      <c r="CV196" s="344">
        <f>'[101]VENTAS TOTALES'!$G223</f>
        <v>1185900</v>
      </c>
      <c r="CW196" s="344">
        <f>+'[101]VENTAS TOTALES'!$H223</f>
        <v>1248800</v>
      </c>
      <c r="CX196" s="371">
        <f>'[102]VENTAS TOTALES'!$F223</f>
        <v>0</v>
      </c>
      <c r="CY196" s="344">
        <f>'[102]VENTAS TOTALES'!$G223</f>
        <v>0</v>
      </c>
      <c r="CZ196" s="344">
        <f>+'[102]VENTAS TOTALES'!$H223</f>
        <v>0</v>
      </c>
    </row>
    <row r="197" spans="1:104" s="8" customFormat="1" ht="14.25" customHeight="1" thickBot="1" x14ac:dyDescent="0.25">
      <c r="A197" s="452"/>
      <c r="B197" s="345" t="s">
        <v>396</v>
      </c>
      <c r="C197" s="371">
        <f>'[69]VENTAS TOTALES'!$F224</f>
        <v>0</v>
      </c>
      <c r="D197" s="344">
        <f>'[69]VENTAS TOTALES'!$G224</f>
        <v>4243500</v>
      </c>
      <c r="E197" s="344">
        <f>+'[69]VENTAS TOTALES'!$H224</f>
        <v>4243500</v>
      </c>
      <c r="F197" s="371">
        <f>'[70]VENTAS TOTALES'!$F224</f>
        <v>0</v>
      </c>
      <c r="G197" s="344">
        <f>'[70]VENTAS TOTALES'!$G224</f>
        <v>3550000</v>
      </c>
      <c r="H197" s="344">
        <f>+'[70]VENTAS TOTALES'!$H224</f>
        <v>3550000</v>
      </c>
      <c r="I197" s="371">
        <f>'[71]VENTAS TOTALES'!$F224</f>
        <v>0</v>
      </c>
      <c r="J197" s="344">
        <f>'[71]VENTAS TOTALES'!$G224</f>
        <v>2437800</v>
      </c>
      <c r="K197" s="344">
        <f>+'[71]VENTAS TOTALES'!$H224</f>
        <v>2437800</v>
      </c>
      <c r="L197" s="371">
        <f>'[72]VENTAS TOTALES'!$F224</f>
        <v>0</v>
      </c>
      <c r="M197" s="344">
        <f>'[72]VENTAS TOTALES'!$G224</f>
        <v>2344800</v>
      </c>
      <c r="N197" s="344">
        <f>+'[72]VENTAS TOTALES'!$H224</f>
        <v>2344800</v>
      </c>
      <c r="O197" s="371">
        <f>'[73]VENTAS TOTALES'!$F224</f>
        <v>0</v>
      </c>
      <c r="P197" s="344">
        <f>'[73]VENTAS TOTALES'!$G224</f>
        <v>549500</v>
      </c>
      <c r="Q197" s="344">
        <f>+'[73]VENTAS TOTALES'!$H224</f>
        <v>549500</v>
      </c>
      <c r="R197" s="371">
        <f>'[74]VENTAS TOTALES'!$F224</f>
        <v>0</v>
      </c>
      <c r="S197" s="344">
        <f>'[74]VENTAS TOTALES'!$G224</f>
        <v>0</v>
      </c>
      <c r="T197" s="344">
        <f>+'[74]VENTAS TOTALES'!$H224</f>
        <v>0</v>
      </c>
      <c r="U197" s="371">
        <f>'[75]VENTAS TOTALES'!$F224</f>
        <v>0</v>
      </c>
      <c r="V197" s="344">
        <f>'[75]VENTAS TOTALES'!$G224</f>
        <v>4075400</v>
      </c>
      <c r="W197" s="344">
        <f>+'[75]VENTAS TOTALES'!$H224</f>
        <v>4075400</v>
      </c>
      <c r="X197" s="371">
        <f>'[76]VENTAS TOTALES'!$F224</f>
        <v>0</v>
      </c>
      <c r="Y197" s="344">
        <f>'[76]VENTAS TOTALES'!$G224</f>
        <v>2678300</v>
      </c>
      <c r="Z197" s="344">
        <f>+'[76]VENTAS TOTALES'!$H224</f>
        <v>2678300</v>
      </c>
      <c r="AA197" s="371">
        <f>'[77]VENTAS TOTALES'!$F224</f>
        <v>0</v>
      </c>
      <c r="AB197" s="344">
        <f>'[77]VENTAS TOTALES'!$G224</f>
        <v>2318400</v>
      </c>
      <c r="AC197" s="344">
        <f>+'[77]VENTAS TOTALES'!$H224</f>
        <v>2318400</v>
      </c>
      <c r="AD197" s="371">
        <f>'[78]VENTAS TOTALES'!$F224</f>
        <v>0</v>
      </c>
      <c r="AE197" s="344">
        <f>'[78]VENTAS TOTALES'!$G224</f>
        <v>2925900</v>
      </c>
      <c r="AF197" s="344">
        <f>+'[78]VENTAS TOTALES'!$H224</f>
        <v>2925900</v>
      </c>
      <c r="AG197" s="371">
        <f>'[79]VENTAS TOTALES'!$F224</f>
        <v>0</v>
      </c>
      <c r="AH197" s="344">
        <f>'[79]VENTAS TOTALES'!$G224</f>
        <v>2063800</v>
      </c>
      <c r="AI197" s="344">
        <f>+'[79]VENTAS TOTALES'!$H224</f>
        <v>2063800</v>
      </c>
      <c r="AJ197" s="371">
        <f>'[80]VENTAS TOTALES'!$F224</f>
        <v>0</v>
      </c>
      <c r="AK197" s="344">
        <f>'[80]VENTAS TOTALES'!$G224</f>
        <v>468400</v>
      </c>
      <c r="AL197" s="344">
        <f>+'[80]VENTAS TOTALES'!$H224</f>
        <v>468400</v>
      </c>
      <c r="AM197" s="371">
        <f>'[81]VENTAS TOTALES'!$F224</f>
        <v>0</v>
      </c>
      <c r="AN197" s="344">
        <f>'[81]VENTAS TOTALES'!$G224</f>
        <v>0</v>
      </c>
      <c r="AO197" s="344">
        <f>+'[81]VENTAS TOTALES'!$H224</f>
        <v>0</v>
      </c>
      <c r="AP197" s="371">
        <f>'[82]VENTAS TOTALES'!$F224</f>
        <v>0</v>
      </c>
      <c r="AQ197" s="344">
        <f>'[82]VENTAS TOTALES'!$G224</f>
        <v>3509900</v>
      </c>
      <c r="AR197" s="344">
        <f>+'[82]VENTAS TOTALES'!$H224</f>
        <v>3509900</v>
      </c>
      <c r="AS197" s="371">
        <f>'[83]VENTAS TOTALES'!$F224</f>
        <v>0</v>
      </c>
      <c r="AT197" s="344">
        <f>'[83]VENTAS TOTALES'!$G224</f>
        <v>2385100</v>
      </c>
      <c r="AU197" s="344">
        <f>+'[83]VENTAS TOTALES'!$H224</f>
        <v>2385100</v>
      </c>
      <c r="AV197" s="371">
        <f>'[84]VENTAS TOTALES'!$F224</f>
        <v>0</v>
      </c>
      <c r="AW197" s="344">
        <f>'[84]VENTAS TOTALES'!$G224</f>
        <v>3923900</v>
      </c>
      <c r="AX197" s="344">
        <f>+'[84]VENTAS TOTALES'!$H224</f>
        <v>3923900</v>
      </c>
      <c r="AY197" s="371">
        <f>'[85]VENTAS TOTALES'!$F224</f>
        <v>0</v>
      </c>
      <c r="AZ197" s="344">
        <f>'[85]VENTAS TOTALES'!$G224</f>
        <v>2595700</v>
      </c>
      <c r="BA197" s="344">
        <f>+'[85]VENTAS TOTALES'!$H224</f>
        <v>2595700</v>
      </c>
      <c r="BB197" s="371">
        <f>'[86]VENTAS TOTALES'!$F224</f>
        <v>0</v>
      </c>
      <c r="BC197" s="344">
        <f>'[86]VENTAS TOTALES'!$G224</f>
        <v>1993800</v>
      </c>
      <c r="BD197" s="344">
        <f>+'[86]VENTAS TOTALES'!$H224</f>
        <v>1993800</v>
      </c>
      <c r="BE197" s="371">
        <f>'[87]VENTAS TOTALES'!$F224</f>
        <v>0</v>
      </c>
      <c r="BF197" s="344">
        <f>'[87]VENTAS TOTALES'!$G224</f>
        <v>467900</v>
      </c>
      <c r="BG197" s="344">
        <f>+'[87]VENTAS TOTALES'!$H224</f>
        <v>467900</v>
      </c>
      <c r="BH197" s="371">
        <f>'[88]VENTAS TOTALES'!$F224</f>
        <v>0</v>
      </c>
      <c r="BI197" s="344">
        <f>'[88]VENTAS TOTALES'!$G224</f>
        <v>0</v>
      </c>
      <c r="BJ197" s="344">
        <f>+'[88]VENTAS TOTALES'!$H224</f>
        <v>0</v>
      </c>
      <c r="BK197" s="371">
        <f>'[89]VENTAS TOTALES'!$F224</f>
        <v>0</v>
      </c>
      <c r="BL197" s="344">
        <f>'[89]VENTAS TOTALES'!$G224</f>
        <v>4726300</v>
      </c>
      <c r="BM197" s="344">
        <f>+'[89]VENTAS TOTALES'!$H224</f>
        <v>4726300</v>
      </c>
      <c r="BN197" s="371">
        <f>'[90]VENTAS TOTALES'!$F224</f>
        <v>0</v>
      </c>
      <c r="BO197" s="344">
        <f>'[90]VENTAS TOTALES'!$G224</f>
        <v>3505800</v>
      </c>
      <c r="BP197" s="344">
        <f>+'[90]VENTAS TOTALES'!$H224</f>
        <v>3505800</v>
      </c>
      <c r="BQ197" s="371">
        <f>'[91]VENTAS TOTALES'!$F224</f>
        <v>0</v>
      </c>
      <c r="BR197" s="344">
        <f>'[91]VENTAS TOTALES'!$G224</f>
        <v>681400</v>
      </c>
      <c r="BS197" s="344">
        <f>+'[91]VENTAS TOTALES'!$H224</f>
        <v>681400</v>
      </c>
      <c r="BT197" s="371">
        <f>'[92]VENTAS TOTALES'!$F224</f>
        <v>0</v>
      </c>
      <c r="BU197" s="344">
        <f>'[92]VENTAS TOTALES'!$G224</f>
        <v>2503200</v>
      </c>
      <c r="BV197" s="344">
        <f>+'[92]VENTAS TOTALES'!$H224</f>
        <v>2503200</v>
      </c>
      <c r="BW197" s="371">
        <f>'[93]VENTAS TOTALES'!$F224</f>
        <v>0</v>
      </c>
      <c r="BX197" s="344">
        <f>'[93]VENTAS TOTALES'!$G224</f>
        <v>2560500</v>
      </c>
      <c r="BY197" s="344">
        <f>+'[93]VENTAS TOTALES'!$H224</f>
        <v>2560500</v>
      </c>
      <c r="BZ197" s="371">
        <f>'[94]VENTAS TOTALES'!$F224</f>
        <v>0</v>
      </c>
      <c r="CA197" s="344">
        <f>'[94]VENTAS TOTALES'!$G224</f>
        <v>541000</v>
      </c>
      <c r="CB197" s="344">
        <f>+'[94]VENTAS TOTALES'!$H224</f>
        <v>541000</v>
      </c>
      <c r="CC197" s="371">
        <f>'[95]VENTAS TOTALES'!$F224</f>
        <v>0</v>
      </c>
      <c r="CD197" s="344">
        <f>'[95]VENTAS TOTALES'!$G224</f>
        <v>0</v>
      </c>
      <c r="CE197" s="344">
        <f>+'[95]VENTAS TOTALES'!$H224</f>
        <v>0</v>
      </c>
      <c r="CF197" s="371">
        <f>'[96]VENTAS TOTALES'!$F224</f>
        <v>0</v>
      </c>
      <c r="CG197" s="344">
        <f>'[96]VENTAS TOTALES'!$G224</f>
        <v>4460500</v>
      </c>
      <c r="CH197" s="344">
        <f>+'[96]VENTAS TOTALES'!$H224</f>
        <v>4460500</v>
      </c>
      <c r="CI197" s="371">
        <f>'[97]VENTAS TOTALES'!$F224</f>
        <v>1</v>
      </c>
      <c r="CJ197" s="344">
        <f>'[97]VENTAS TOTALES'!$G224</f>
        <v>5422600</v>
      </c>
      <c r="CK197" s="344">
        <f>+'[97]VENTAS TOTALES'!$H224</f>
        <v>5424300</v>
      </c>
      <c r="CL197" s="371">
        <f>'[98]VENTAS TOTALES'!$F224</f>
        <v>3</v>
      </c>
      <c r="CM197" s="344">
        <f>'[98]VENTAS TOTALES'!$G224</f>
        <v>4128500</v>
      </c>
      <c r="CN197" s="344">
        <f>+'[98]VENTAS TOTALES'!$H224</f>
        <v>4133600</v>
      </c>
      <c r="CO197" s="371">
        <f>'[99]VENTAS TOTALES'!$F224</f>
        <v>0</v>
      </c>
      <c r="CP197" s="344">
        <f>'[99]VENTAS TOTALES'!$G224</f>
        <v>3221800</v>
      </c>
      <c r="CQ197" s="344">
        <f>+'[99]VENTAS TOTALES'!$H224</f>
        <v>3221800</v>
      </c>
      <c r="CR197" s="371">
        <f>'[100]VENTAS TOTALES'!$F224</f>
        <v>5</v>
      </c>
      <c r="CS197" s="344">
        <f>'[100]VENTAS TOTALES'!$G224</f>
        <v>1997200</v>
      </c>
      <c r="CT197" s="344">
        <f>+'[100]VENTAS TOTALES'!$H224</f>
        <v>2005700</v>
      </c>
      <c r="CU197" s="371">
        <f>'[101]VENTAS TOTALES'!$F224</f>
        <v>0</v>
      </c>
      <c r="CV197" s="344">
        <f>'[101]VENTAS TOTALES'!$G224</f>
        <v>495700</v>
      </c>
      <c r="CW197" s="344">
        <f>+'[101]VENTAS TOTALES'!$H224</f>
        <v>495700</v>
      </c>
      <c r="CX197" s="371">
        <f>'[102]VENTAS TOTALES'!$F224</f>
        <v>0</v>
      </c>
      <c r="CY197" s="344">
        <f>'[102]VENTAS TOTALES'!$G224</f>
        <v>0</v>
      </c>
      <c r="CZ197" s="344">
        <f>+'[102]VENTAS TOTALES'!$H224</f>
        <v>0</v>
      </c>
    </row>
    <row r="198" spans="1:104" s="8" customFormat="1" ht="14.25" customHeight="1" thickBot="1" x14ac:dyDescent="0.25">
      <c r="A198" s="452"/>
      <c r="B198" s="345" t="s">
        <v>397</v>
      </c>
      <c r="C198" s="371">
        <f>'[69]VENTAS TOTALES'!$F225</f>
        <v>716</v>
      </c>
      <c r="D198" s="344">
        <f>'[69]VENTAS TOTALES'!$G225</f>
        <v>2073000</v>
      </c>
      <c r="E198" s="344">
        <f>+'[69]VENTAS TOTALES'!$H225</f>
        <v>3290200</v>
      </c>
      <c r="F198" s="371">
        <f>'[70]VENTAS TOTALES'!$F225</f>
        <v>696</v>
      </c>
      <c r="G198" s="344">
        <f>'[70]VENTAS TOTALES'!$G225</f>
        <v>2054600</v>
      </c>
      <c r="H198" s="344">
        <f>+'[70]VENTAS TOTALES'!$H225</f>
        <v>3237800</v>
      </c>
      <c r="I198" s="371">
        <f>'[71]VENTAS TOTALES'!$F225</f>
        <v>441</v>
      </c>
      <c r="J198" s="344">
        <f>'[71]VENTAS TOTALES'!$G225</f>
        <v>1779600</v>
      </c>
      <c r="K198" s="344">
        <f>+'[71]VENTAS TOTALES'!$H225</f>
        <v>2529300</v>
      </c>
      <c r="L198" s="371">
        <f>'[72]VENTAS TOTALES'!$F225</f>
        <v>435</v>
      </c>
      <c r="M198" s="344">
        <f>'[72]VENTAS TOTALES'!$G225</f>
        <v>1107800</v>
      </c>
      <c r="N198" s="344">
        <f>+'[72]VENTAS TOTALES'!$H225</f>
        <v>1847300</v>
      </c>
      <c r="O198" s="371">
        <f>'[73]VENTAS TOTALES'!$F225</f>
        <v>395</v>
      </c>
      <c r="P198" s="344">
        <f>'[73]VENTAS TOTALES'!$G225</f>
        <v>489900</v>
      </c>
      <c r="Q198" s="344">
        <f>+'[73]VENTAS TOTALES'!$H225</f>
        <v>1161400</v>
      </c>
      <c r="R198" s="371">
        <f>'[74]VENTAS TOTALES'!$F225</f>
        <v>0</v>
      </c>
      <c r="S198" s="344">
        <f>'[74]VENTAS TOTALES'!$G225</f>
        <v>0</v>
      </c>
      <c r="T198" s="344">
        <f>+'[74]VENTAS TOTALES'!$H225</f>
        <v>0</v>
      </c>
      <c r="U198" s="371">
        <f>'[75]VENTAS TOTALES'!$F225</f>
        <v>794</v>
      </c>
      <c r="V198" s="344">
        <f>'[75]VENTAS TOTALES'!$G225</f>
        <v>2157600</v>
      </c>
      <c r="W198" s="344">
        <f>+'[75]VENTAS TOTALES'!$H225</f>
        <v>3507400</v>
      </c>
      <c r="X198" s="371">
        <f>'[76]VENTAS TOTALES'!$F225</f>
        <v>582</v>
      </c>
      <c r="Y198" s="344">
        <f>'[76]VENTAS TOTALES'!$G225</f>
        <v>1003600</v>
      </c>
      <c r="Z198" s="344">
        <f>+'[76]VENTAS TOTALES'!$H225</f>
        <v>1993000</v>
      </c>
      <c r="AA198" s="371">
        <f>'[77]VENTAS TOTALES'!$F225</f>
        <v>618</v>
      </c>
      <c r="AB198" s="344">
        <f>'[77]VENTAS TOTALES'!$G225</f>
        <v>942200</v>
      </c>
      <c r="AC198" s="344">
        <f>+'[77]VENTAS TOTALES'!$H225</f>
        <v>1992800</v>
      </c>
      <c r="AD198" s="371">
        <f>'[78]VENTAS TOTALES'!$F225</f>
        <v>469</v>
      </c>
      <c r="AE198" s="344">
        <f>'[78]VENTAS TOTALES'!$G225</f>
        <v>1198500</v>
      </c>
      <c r="AF198" s="344">
        <f>+'[78]VENTAS TOTALES'!$H225</f>
        <v>1995800</v>
      </c>
      <c r="AG198" s="371">
        <f>'[79]VENTAS TOTALES'!$F225</f>
        <v>509</v>
      </c>
      <c r="AH198" s="344">
        <f>'[79]VENTAS TOTALES'!$G225</f>
        <v>849000</v>
      </c>
      <c r="AI198" s="344">
        <f>+'[79]VENTAS TOTALES'!$H225</f>
        <v>1714300</v>
      </c>
      <c r="AJ198" s="371">
        <f>'[80]VENTAS TOTALES'!$F225</f>
        <v>464</v>
      </c>
      <c r="AK198" s="344">
        <f>'[80]VENTAS TOTALES'!$G225</f>
        <v>564200</v>
      </c>
      <c r="AL198" s="344">
        <f>+'[80]VENTAS TOTALES'!$H225</f>
        <v>1353000</v>
      </c>
      <c r="AM198" s="371">
        <f>'[81]VENTAS TOTALES'!$F225</f>
        <v>0</v>
      </c>
      <c r="AN198" s="344">
        <f>'[81]VENTAS TOTALES'!$G225</f>
        <v>0</v>
      </c>
      <c r="AO198" s="344">
        <f>+'[81]VENTAS TOTALES'!$H225</f>
        <v>0</v>
      </c>
      <c r="AP198" s="371">
        <f>'[82]VENTAS TOTALES'!$F225</f>
        <v>768</v>
      </c>
      <c r="AQ198" s="344">
        <f>'[82]VENTAS TOTALES'!$G225</f>
        <v>1641500</v>
      </c>
      <c r="AR198" s="344">
        <f>+'[82]VENTAS TOTALES'!$H225</f>
        <v>2947100</v>
      </c>
      <c r="AS198" s="371">
        <f>'[83]VENTAS TOTALES'!$F225</f>
        <v>694</v>
      </c>
      <c r="AT198" s="344">
        <f>'[83]VENTAS TOTALES'!$G225</f>
        <v>2190800</v>
      </c>
      <c r="AU198" s="344">
        <f>+'[83]VENTAS TOTALES'!$H225</f>
        <v>3370600</v>
      </c>
      <c r="AV198" s="371">
        <f>'[84]VENTAS TOTALES'!$F225</f>
        <v>637</v>
      </c>
      <c r="AW198" s="344">
        <f>'[84]VENTAS TOTALES'!$G225</f>
        <v>2710400</v>
      </c>
      <c r="AX198" s="344">
        <f>+'[84]VENTAS TOTALES'!$H225</f>
        <v>3793300</v>
      </c>
      <c r="AY198" s="371">
        <f>'[85]VENTAS TOTALES'!$F225</f>
        <v>608</v>
      </c>
      <c r="AZ198" s="344">
        <f>'[85]VENTAS TOTALES'!$G225</f>
        <v>1765400</v>
      </c>
      <c r="BA198" s="344">
        <f>+'[85]VENTAS TOTALES'!$H225</f>
        <v>2799000</v>
      </c>
      <c r="BB198" s="371">
        <f>'[86]VENTAS TOTALES'!$F225</f>
        <v>599</v>
      </c>
      <c r="BC198" s="344">
        <f>'[86]VENTAS TOTALES'!$G225</f>
        <v>1305400</v>
      </c>
      <c r="BD198" s="344">
        <f>+'[86]VENTAS TOTALES'!$H225</f>
        <v>2323700</v>
      </c>
      <c r="BE198" s="371">
        <f>'[87]VENTAS TOTALES'!$F225</f>
        <v>596</v>
      </c>
      <c r="BF198" s="344">
        <f>'[87]VENTAS TOTALES'!$G225</f>
        <v>455300</v>
      </c>
      <c r="BG198" s="344">
        <f>+'[87]VENTAS TOTALES'!$H225</f>
        <v>1468500</v>
      </c>
      <c r="BH198" s="371">
        <f>'[88]VENTAS TOTALES'!$F225</f>
        <v>0</v>
      </c>
      <c r="BI198" s="344">
        <f>'[88]VENTAS TOTALES'!$G225</f>
        <v>0</v>
      </c>
      <c r="BJ198" s="344">
        <f>+'[88]VENTAS TOTALES'!$H225</f>
        <v>0</v>
      </c>
      <c r="BK198" s="371">
        <f>'[89]VENTAS TOTALES'!$F225</f>
        <v>730</v>
      </c>
      <c r="BL198" s="344">
        <f>'[89]VENTAS TOTALES'!$G225</f>
        <v>2758600</v>
      </c>
      <c r="BM198" s="344">
        <f>+'[89]VENTAS TOTALES'!$H225</f>
        <v>3999600</v>
      </c>
      <c r="BN198" s="371">
        <f>'[90]VENTAS TOTALES'!$F225</f>
        <v>555</v>
      </c>
      <c r="BO198" s="344">
        <f>'[90]VENTAS TOTALES'!$G225</f>
        <v>1559900</v>
      </c>
      <c r="BP198" s="344">
        <f>+'[90]VENTAS TOTALES'!$H225</f>
        <v>2503400</v>
      </c>
      <c r="BQ198" s="371">
        <f>'[91]VENTAS TOTALES'!$F225</f>
        <v>571</v>
      </c>
      <c r="BR198" s="344">
        <f>'[91]VENTAS TOTALES'!$G225</f>
        <v>1822700</v>
      </c>
      <c r="BS198" s="344">
        <f>+'[91]VENTAS TOTALES'!$H225</f>
        <v>2793400</v>
      </c>
      <c r="BT198" s="371">
        <f>'[92]VENTAS TOTALES'!$F225</f>
        <v>614</v>
      </c>
      <c r="BU198" s="344">
        <f>'[92]VENTAS TOTALES'!$G225</f>
        <v>1137400</v>
      </c>
      <c r="BV198" s="344">
        <f>+'[92]VENTAS TOTALES'!$H225</f>
        <v>2181200</v>
      </c>
      <c r="BW198" s="371">
        <f>'[93]VENTAS TOTALES'!$F225</f>
        <v>636</v>
      </c>
      <c r="BX198" s="344">
        <f>'[93]VENTAS TOTALES'!$G225</f>
        <v>1325500</v>
      </c>
      <c r="BY198" s="344">
        <f>+'[93]VENTAS TOTALES'!$H225</f>
        <v>2406700</v>
      </c>
      <c r="BZ198" s="371">
        <f>'[94]VENTAS TOTALES'!$F225</f>
        <v>614</v>
      </c>
      <c r="CA198" s="344">
        <f>'[94]VENTAS TOTALES'!$G225</f>
        <v>996800</v>
      </c>
      <c r="CB198" s="344">
        <f>+'[94]VENTAS TOTALES'!$H225</f>
        <v>2040600</v>
      </c>
      <c r="CC198" s="371">
        <f>'[95]VENTAS TOTALES'!$F225</f>
        <v>0</v>
      </c>
      <c r="CD198" s="344">
        <f>'[95]VENTAS TOTALES'!$G225</f>
        <v>0</v>
      </c>
      <c r="CE198" s="344">
        <f>+'[95]VENTAS TOTALES'!$H225</f>
        <v>0</v>
      </c>
      <c r="CF198" s="371">
        <f>'[96]VENTAS TOTALES'!$F225</f>
        <v>1246</v>
      </c>
      <c r="CG198" s="344">
        <f>'[96]VENTAS TOTALES'!$G225</f>
        <v>2781400</v>
      </c>
      <c r="CH198" s="344">
        <f>+'[96]VENTAS TOTALES'!$H225</f>
        <v>4899600</v>
      </c>
      <c r="CI198" s="371">
        <f>'[97]VENTAS TOTALES'!$F225</f>
        <v>968</v>
      </c>
      <c r="CJ198" s="344">
        <f>'[97]VENTAS TOTALES'!$G225</f>
        <v>1676900</v>
      </c>
      <c r="CK198" s="344">
        <f>+'[97]VENTAS TOTALES'!$H225</f>
        <v>3322500</v>
      </c>
      <c r="CL198" s="371">
        <f>'[98]VENTAS TOTALES'!$F225</f>
        <v>862</v>
      </c>
      <c r="CM198" s="344">
        <f>'[98]VENTAS TOTALES'!$G225</f>
        <v>1766800</v>
      </c>
      <c r="CN198" s="344">
        <f>+'[98]VENTAS TOTALES'!$H225</f>
        <v>3232200</v>
      </c>
      <c r="CO198" s="371">
        <f>'[99]VENTAS TOTALES'!$F225</f>
        <v>695</v>
      </c>
      <c r="CP198" s="344">
        <f>'[99]VENTAS TOTALES'!$G225</f>
        <v>1449400</v>
      </c>
      <c r="CQ198" s="344">
        <f>+'[99]VENTAS TOTALES'!$H225</f>
        <v>2630900</v>
      </c>
      <c r="CR198" s="371">
        <f>'[100]VENTAS TOTALES'!$F225</f>
        <v>595</v>
      </c>
      <c r="CS198" s="344">
        <f>'[100]VENTAS TOTALES'!$G225</f>
        <v>884900</v>
      </c>
      <c r="CT198" s="344">
        <f>+'[100]VENTAS TOTALES'!$H225</f>
        <v>1896400</v>
      </c>
      <c r="CU198" s="371">
        <f>'[101]VENTAS TOTALES'!$F225</f>
        <v>636</v>
      </c>
      <c r="CV198" s="344">
        <f>'[101]VENTAS TOTALES'!$G225</f>
        <v>415700</v>
      </c>
      <c r="CW198" s="344">
        <f>+'[101]VENTAS TOTALES'!$H225</f>
        <v>1496900</v>
      </c>
      <c r="CX198" s="371">
        <f>'[102]VENTAS TOTALES'!$F225</f>
        <v>0</v>
      </c>
      <c r="CY198" s="344">
        <f>'[102]VENTAS TOTALES'!$G225</f>
        <v>0</v>
      </c>
      <c r="CZ198" s="344">
        <f>+'[102]VENTAS TOTALES'!$H225</f>
        <v>0</v>
      </c>
    </row>
    <row r="199" spans="1:104" s="8" customFormat="1" ht="14.25" customHeight="1" thickBot="1" x14ac:dyDescent="0.25">
      <c r="A199" s="452"/>
      <c r="B199" s="345" t="s">
        <v>398</v>
      </c>
      <c r="C199" s="371">
        <f>'[69]VENTAS TOTALES'!$F226</f>
        <v>1288</v>
      </c>
      <c r="D199" s="344">
        <f>'[69]VENTAS TOTALES'!$G226</f>
        <v>1524250</v>
      </c>
      <c r="E199" s="344">
        <f>+'[69]VENTAS TOTALES'!$H226</f>
        <v>3713850</v>
      </c>
      <c r="F199" s="371">
        <f>'[70]VENTAS TOTALES'!$F226</f>
        <v>1342</v>
      </c>
      <c r="G199" s="344">
        <f>'[70]VENTAS TOTALES'!$G226</f>
        <v>1401200</v>
      </c>
      <c r="H199" s="344">
        <f>+'[70]VENTAS TOTALES'!$H226</f>
        <v>3682600</v>
      </c>
      <c r="I199" s="371">
        <f>'[71]VENTAS TOTALES'!$F226</f>
        <v>1309</v>
      </c>
      <c r="J199" s="344">
        <f>'[71]VENTAS TOTALES'!$G226</f>
        <v>1473100</v>
      </c>
      <c r="K199" s="344">
        <f>+'[71]VENTAS TOTALES'!$H226</f>
        <v>3698400</v>
      </c>
      <c r="L199" s="371">
        <f>'[72]VENTAS TOTALES'!$F226</f>
        <v>1306</v>
      </c>
      <c r="M199" s="344">
        <f>'[72]VENTAS TOTALES'!$G226</f>
        <v>994300</v>
      </c>
      <c r="N199" s="344">
        <f>+'[72]VENTAS TOTALES'!$H226</f>
        <v>3214500</v>
      </c>
      <c r="O199" s="371">
        <f>'[73]VENTAS TOTALES'!$F226</f>
        <v>633</v>
      </c>
      <c r="P199" s="344">
        <f>'[73]VENTAS TOTALES'!$G226</f>
        <v>859700</v>
      </c>
      <c r="Q199" s="344">
        <f>+'[73]VENTAS TOTALES'!$H226</f>
        <v>1935800</v>
      </c>
      <c r="R199" s="371">
        <f>'[74]VENTAS TOTALES'!$F226</f>
        <v>0</v>
      </c>
      <c r="S199" s="344">
        <f>'[74]VENTAS TOTALES'!$G226</f>
        <v>0</v>
      </c>
      <c r="T199" s="344">
        <f>+'[74]VENTAS TOTALES'!$H226</f>
        <v>0</v>
      </c>
      <c r="U199" s="371">
        <f>'[75]VENTAS TOTALES'!$F226</f>
        <v>1204</v>
      </c>
      <c r="V199" s="344">
        <f>'[75]VENTAS TOTALES'!$G226</f>
        <v>1603050</v>
      </c>
      <c r="W199" s="344">
        <f>+'[75]VENTAS TOTALES'!$H226</f>
        <v>3649850</v>
      </c>
      <c r="X199" s="371">
        <f>'[76]VENTAS TOTALES'!$F226</f>
        <v>1357</v>
      </c>
      <c r="Y199" s="344">
        <f>'[76]VENTAS TOTALES'!$G226</f>
        <v>1180500</v>
      </c>
      <c r="Z199" s="344">
        <f>+'[76]VENTAS TOTALES'!$H226</f>
        <v>3487400</v>
      </c>
      <c r="AA199" s="371">
        <f>'[77]VENTAS TOTALES'!$F226</f>
        <v>1103</v>
      </c>
      <c r="AB199" s="344">
        <f>'[77]VENTAS TOTALES'!$G226</f>
        <v>845150</v>
      </c>
      <c r="AC199" s="344">
        <f>+'[77]VENTAS TOTALES'!$H226</f>
        <v>2720250</v>
      </c>
      <c r="AD199" s="371">
        <f>'[78]VENTAS TOTALES'!$F226</f>
        <v>1230</v>
      </c>
      <c r="AE199" s="344">
        <f>'[78]VENTAS TOTALES'!$G226</f>
        <v>908800</v>
      </c>
      <c r="AF199" s="344">
        <f>+'[78]VENTAS TOTALES'!$H226</f>
        <v>2999800</v>
      </c>
      <c r="AG199" s="371">
        <f>'[79]VENTAS TOTALES'!$F226</f>
        <v>1122</v>
      </c>
      <c r="AH199" s="344">
        <f>'[79]VENTAS TOTALES'!$G226</f>
        <v>896700</v>
      </c>
      <c r="AI199" s="344">
        <f>+'[79]VENTAS TOTALES'!$H226</f>
        <v>2804100</v>
      </c>
      <c r="AJ199" s="371">
        <f>'[80]VENTAS TOTALES'!$F226</f>
        <v>593</v>
      </c>
      <c r="AK199" s="344">
        <f>'[80]VENTAS TOTALES'!$G226</f>
        <v>630500</v>
      </c>
      <c r="AL199" s="344">
        <f>+'[80]VENTAS TOTALES'!$H226</f>
        <v>1638600</v>
      </c>
      <c r="AM199" s="371">
        <f>'[81]VENTAS TOTALES'!$F226</f>
        <v>0</v>
      </c>
      <c r="AN199" s="344">
        <f>'[81]VENTAS TOTALES'!$G226</f>
        <v>0</v>
      </c>
      <c r="AO199" s="344">
        <f>+'[81]VENTAS TOTALES'!$H226</f>
        <v>0</v>
      </c>
      <c r="AP199" s="371">
        <f>'[82]VENTAS TOTALES'!$F226</f>
        <v>1200</v>
      </c>
      <c r="AQ199" s="344">
        <f>'[82]VENTAS TOTALES'!$G226</f>
        <v>1213700</v>
      </c>
      <c r="AR199" s="344">
        <f>+'[82]VENTAS TOTALES'!$H226</f>
        <v>3253700</v>
      </c>
      <c r="AS199" s="371">
        <f>'[83]VENTAS TOTALES'!$F226</f>
        <v>1033</v>
      </c>
      <c r="AT199" s="344">
        <f>'[83]VENTAS TOTALES'!$G226</f>
        <v>824800</v>
      </c>
      <c r="AU199" s="344">
        <f>+'[83]VENTAS TOTALES'!$H226</f>
        <v>2580900</v>
      </c>
      <c r="AV199" s="371">
        <f>'[84]VENTAS TOTALES'!$F226</f>
        <v>1064</v>
      </c>
      <c r="AW199" s="344">
        <f>'[84]VENTAS TOTALES'!$G226</f>
        <v>1635900</v>
      </c>
      <c r="AX199" s="344">
        <f>+'[84]VENTAS TOTALES'!$H226</f>
        <v>3444700</v>
      </c>
      <c r="AY199" s="371">
        <f>'[85]VENTAS TOTALES'!$F226</f>
        <v>353</v>
      </c>
      <c r="AZ199" s="344">
        <f>'[85]VENTAS TOTALES'!$G226</f>
        <v>231300</v>
      </c>
      <c r="BA199" s="344">
        <f>+'[85]VENTAS TOTALES'!$H226</f>
        <v>831400</v>
      </c>
      <c r="BB199" s="371">
        <f>'[86]VENTAS TOTALES'!$F226</f>
        <v>1146</v>
      </c>
      <c r="BC199" s="344">
        <f>'[86]VENTAS TOTALES'!$G226</f>
        <v>932650</v>
      </c>
      <c r="BD199" s="344">
        <f>+'[86]VENTAS TOTALES'!$H226</f>
        <v>2880850</v>
      </c>
      <c r="BE199" s="371">
        <f>'[87]VENTAS TOTALES'!$F226</f>
        <v>905</v>
      </c>
      <c r="BF199" s="344">
        <f>'[87]VENTAS TOTALES'!$G226</f>
        <v>1014200</v>
      </c>
      <c r="BG199" s="344">
        <f>+'[87]VENTAS TOTALES'!$H226</f>
        <v>2552700</v>
      </c>
      <c r="BH199" s="371">
        <f>'[88]VENTAS TOTALES'!$F226</f>
        <v>0</v>
      </c>
      <c r="BI199" s="344">
        <f>'[88]VENTAS TOTALES'!$G226</f>
        <v>0</v>
      </c>
      <c r="BJ199" s="344">
        <f>+'[88]VENTAS TOTALES'!$H226</f>
        <v>0</v>
      </c>
      <c r="BK199" s="371">
        <f>'[89]VENTAS TOTALES'!$F226</f>
        <v>1387</v>
      </c>
      <c r="BL199" s="344">
        <f>'[89]VENTAS TOTALES'!$G226</f>
        <v>1101700</v>
      </c>
      <c r="BM199" s="344">
        <f>+'[89]VENTAS TOTALES'!$H226</f>
        <v>3459600</v>
      </c>
      <c r="BN199" s="371">
        <f>'[90]VENTAS TOTALES'!$F226</f>
        <v>1269</v>
      </c>
      <c r="BO199" s="344">
        <f>'[90]VENTAS TOTALES'!$G226</f>
        <v>1123300</v>
      </c>
      <c r="BP199" s="344">
        <f>+'[90]VENTAS TOTALES'!$H226</f>
        <v>3280600</v>
      </c>
      <c r="BQ199" s="371">
        <f>'[91]VENTAS TOTALES'!$F226</f>
        <v>1358</v>
      </c>
      <c r="BR199" s="344">
        <f>'[91]VENTAS TOTALES'!$G226</f>
        <v>1052400</v>
      </c>
      <c r="BS199" s="344">
        <f>+'[91]VENTAS TOTALES'!$H226</f>
        <v>3361000</v>
      </c>
      <c r="BT199" s="371">
        <f>'[92]VENTAS TOTALES'!$F226</f>
        <v>1184</v>
      </c>
      <c r="BU199" s="344">
        <f>'[92]VENTAS TOTALES'!$G226</f>
        <v>886900</v>
      </c>
      <c r="BV199" s="344">
        <f>+'[92]VENTAS TOTALES'!$H226</f>
        <v>2899700</v>
      </c>
      <c r="BW199" s="371">
        <f>'[93]VENTAS TOTALES'!$F226</f>
        <v>1281</v>
      </c>
      <c r="BX199" s="344">
        <f>'[93]VENTAS TOTALES'!$G226</f>
        <v>804200</v>
      </c>
      <c r="BY199" s="344">
        <f>+'[93]VENTAS TOTALES'!$H226</f>
        <v>2981900</v>
      </c>
      <c r="BZ199" s="371">
        <f>'[94]VENTAS TOTALES'!$F226</f>
        <v>880</v>
      </c>
      <c r="CA199" s="344">
        <f>'[94]VENTAS TOTALES'!$G226</f>
        <v>965300</v>
      </c>
      <c r="CB199" s="344">
        <f>+'[94]VENTAS TOTALES'!$H226</f>
        <v>2461300</v>
      </c>
      <c r="CC199" s="371">
        <f>'[95]VENTAS TOTALES'!$F226</f>
        <v>0</v>
      </c>
      <c r="CD199" s="344">
        <f>'[95]VENTAS TOTALES'!$G226</f>
        <v>0</v>
      </c>
      <c r="CE199" s="344">
        <f>+'[95]VENTAS TOTALES'!$H226</f>
        <v>0</v>
      </c>
      <c r="CF199" s="371">
        <f>'[96]VENTAS TOTALES'!$F226</f>
        <v>1358</v>
      </c>
      <c r="CG199" s="344">
        <f>'[96]VENTAS TOTALES'!$G226</f>
        <v>2027650</v>
      </c>
      <c r="CH199" s="344">
        <f>+'[96]VENTAS TOTALES'!$H226</f>
        <v>4336250</v>
      </c>
      <c r="CI199" s="371">
        <f>'[97]VENTAS TOTALES'!$F226</f>
        <v>206</v>
      </c>
      <c r="CJ199" s="344">
        <f>'[97]VENTAS TOTALES'!$G226</f>
        <v>3207000</v>
      </c>
      <c r="CK199" s="344">
        <f>+'[97]VENTAS TOTALES'!$H226</f>
        <v>3557200</v>
      </c>
      <c r="CL199" s="371">
        <f>'[98]VENTAS TOTALES'!$F226</f>
        <v>401</v>
      </c>
      <c r="CM199" s="344">
        <f>'[98]VENTAS TOTALES'!$G226</f>
        <v>1000900</v>
      </c>
      <c r="CN199" s="344">
        <f>+'[98]VENTAS TOTALES'!$H226</f>
        <v>1682600</v>
      </c>
      <c r="CO199" s="371">
        <f>'[99]VENTAS TOTALES'!$F226</f>
        <v>1228</v>
      </c>
      <c r="CP199" s="344">
        <f>'[99]VENTAS TOTALES'!$G226</f>
        <v>887200</v>
      </c>
      <c r="CQ199" s="344">
        <f>+'[99]VENTAS TOTALES'!$H226</f>
        <v>2974800</v>
      </c>
      <c r="CR199" s="371">
        <f>'[100]VENTAS TOTALES'!$F226</f>
        <v>1154</v>
      </c>
      <c r="CS199" s="344">
        <f>'[100]VENTAS TOTALES'!$G226</f>
        <v>915450</v>
      </c>
      <c r="CT199" s="344">
        <f>+'[100]VENTAS TOTALES'!$H226</f>
        <v>2877250</v>
      </c>
      <c r="CU199" s="371">
        <f>'[101]VENTAS TOTALES'!$F226</f>
        <v>599</v>
      </c>
      <c r="CV199" s="344">
        <f>'[101]VENTAS TOTALES'!$G226</f>
        <v>957200</v>
      </c>
      <c r="CW199" s="344">
        <f>+'[101]VENTAS TOTALES'!$H226</f>
        <v>1975500</v>
      </c>
      <c r="CX199" s="371">
        <f>'[102]VENTAS TOTALES'!$F226</f>
        <v>0</v>
      </c>
      <c r="CY199" s="344">
        <f>'[102]VENTAS TOTALES'!$G226</f>
        <v>0</v>
      </c>
      <c r="CZ199" s="344">
        <f>+'[102]VENTAS TOTALES'!$H226</f>
        <v>0</v>
      </c>
    </row>
    <row r="200" spans="1:104" s="8" customFormat="1" ht="14.25" customHeight="1" thickBot="1" x14ac:dyDescent="0.25">
      <c r="A200" s="452"/>
      <c r="B200" s="345" t="s">
        <v>399</v>
      </c>
      <c r="C200" s="371">
        <f>'[69]VENTAS TOTALES'!$F227</f>
        <v>534</v>
      </c>
      <c r="D200" s="344">
        <f>'[69]VENTAS TOTALES'!$G227</f>
        <v>1194300</v>
      </c>
      <c r="E200" s="344">
        <f>+'[69]VENTAS TOTALES'!$H227</f>
        <v>2102100</v>
      </c>
      <c r="F200" s="371">
        <f>'[70]VENTAS TOTALES'!$F227</f>
        <v>750</v>
      </c>
      <c r="G200" s="344">
        <f>'[70]VENTAS TOTALES'!$G227</f>
        <v>1232100</v>
      </c>
      <c r="H200" s="344">
        <f>+'[70]VENTAS TOTALES'!$H227</f>
        <v>2507100</v>
      </c>
      <c r="I200" s="371">
        <f>'[71]VENTAS TOTALES'!$F227</f>
        <v>520</v>
      </c>
      <c r="J200" s="344">
        <f>'[71]VENTAS TOTALES'!$G227</f>
        <v>958400</v>
      </c>
      <c r="K200" s="344">
        <f>+'[71]VENTAS TOTALES'!$H227</f>
        <v>1842400</v>
      </c>
      <c r="L200" s="371">
        <f>'[72]VENTAS TOTALES'!$F227</f>
        <v>733</v>
      </c>
      <c r="M200" s="344">
        <f>'[72]VENTAS TOTALES'!$G227</f>
        <v>864600</v>
      </c>
      <c r="N200" s="344">
        <f>+'[72]VENTAS TOTALES'!$H227</f>
        <v>2110700</v>
      </c>
      <c r="O200" s="371">
        <f>'[73]VENTAS TOTALES'!$F227</f>
        <v>696</v>
      </c>
      <c r="P200" s="344">
        <f>'[73]VENTAS TOTALES'!$G227</f>
        <v>361600</v>
      </c>
      <c r="Q200" s="344">
        <f>+'[73]VENTAS TOTALES'!$H227</f>
        <v>1544800</v>
      </c>
      <c r="R200" s="371">
        <f>'[74]VENTAS TOTALES'!$F227</f>
        <v>0</v>
      </c>
      <c r="S200" s="344">
        <f>'[74]VENTAS TOTALES'!$G227</f>
        <v>0</v>
      </c>
      <c r="T200" s="344">
        <f>+'[74]VENTAS TOTALES'!$H227</f>
        <v>0</v>
      </c>
      <c r="U200" s="371">
        <f>'[75]VENTAS TOTALES'!$F227</f>
        <v>721</v>
      </c>
      <c r="V200" s="344">
        <f>'[75]VENTAS TOTALES'!$G227</f>
        <v>1309600</v>
      </c>
      <c r="W200" s="344">
        <f>+'[75]VENTAS TOTALES'!$H227</f>
        <v>2535300</v>
      </c>
      <c r="X200" s="371">
        <f>'[76]VENTAS TOTALES'!$F227</f>
        <v>629</v>
      </c>
      <c r="Y200" s="344">
        <f>'[76]VENTAS TOTALES'!$G227</f>
        <v>1014450</v>
      </c>
      <c r="Z200" s="344">
        <f>+'[76]VENTAS TOTALES'!$H227</f>
        <v>2083750</v>
      </c>
      <c r="AA200" s="371">
        <f>'[77]VENTAS TOTALES'!$F227</f>
        <v>747</v>
      </c>
      <c r="AB200" s="344">
        <f>'[77]VENTAS TOTALES'!$G227</f>
        <v>1203100</v>
      </c>
      <c r="AC200" s="344">
        <f>+'[77]VENTAS TOTALES'!$H227</f>
        <v>2473000</v>
      </c>
      <c r="AD200" s="371">
        <f>'[78]VENTAS TOTALES'!$F227</f>
        <v>836</v>
      </c>
      <c r="AE200" s="344">
        <f>'[78]VENTAS TOTALES'!$G227</f>
        <v>1076100</v>
      </c>
      <c r="AF200" s="344">
        <f>+'[78]VENTAS TOTALES'!$H227</f>
        <v>2497300</v>
      </c>
      <c r="AG200" s="371">
        <f>'[79]VENTAS TOTALES'!$F227</f>
        <v>726</v>
      </c>
      <c r="AH200" s="344">
        <f>'[79]VENTAS TOTALES'!$G227</f>
        <v>766500</v>
      </c>
      <c r="AI200" s="344">
        <f>+'[79]VENTAS TOTALES'!$H227</f>
        <v>2000700</v>
      </c>
      <c r="AJ200" s="371">
        <f>'[80]VENTAS TOTALES'!$F227</f>
        <v>920</v>
      </c>
      <c r="AK200" s="344">
        <f>'[80]VENTAS TOTALES'!$G227</f>
        <v>322800</v>
      </c>
      <c r="AL200" s="344">
        <f>+'[80]VENTAS TOTALES'!$H227</f>
        <v>1886800</v>
      </c>
      <c r="AM200" s="371">
        <f>'[81]VENTAS TOTALES'!$F227</f>
        <v>0</v>
      </c>
      <c r="AN200" s="344">
        <f>'[81]VENTAS TOTALES'!$G227</f>
        <v>0</v>
      </c>
      <c r="AO200" s="344">
        <f>+'[81]VENTAS TOTALES'!$H227</f>
        <v>0</v>
      </c>
      <c r="AP200" s="371">
        <f>'[82]VENTAS TOTALES'!$F227</f>
        <v>607</v>
      </c>
      <c r="AQ200" s="344">
        <f>'[82]VENTAS TOTALES'!$G227</f>
        <v>1366801</v>
      </c>
      <c r="AR200" s="344">
        <f>+'[82]VENTAS TOTALES'!$H227</f>
        <v>2398701</v>
      </c>
      <c r="AS200" s="371">
        <f>'[83]VENTAS TOTALES'!$F227</f>
        <v>625</v>
      </c>
      <c r="AT200" s="344">
        <f>'[83]VENTAS TOTALES'!$G227</f>
        <v>1208000</v>
      </c>
      <c r="AU200" s="344">
        <f>+'[83]VENTAS TOTALES'!$H227</f>
        <v>2270500</v>
      </c>
      <c r="AV200" s="371">
        <f>'[84]VENTAS TOTALES'!$F227</f>
        <v>1020</v>
      </c>
      <c r="AW200" s="344">
        <f>'[84]VENTAS TOTALES'!$G227</f>
        <v>1148000</v>
      </c>
      <c r="AX200" s="344">
        <f>+'[84]VENTAS TOTALES'!$H227</f>
        <v>2882000</v>
      </c>
      <c r="AY200" s="371">
        <f>'[85]VENTAS TOTALES'!$F227</f>
        <v>755</v>
      </c>
      <c r="AZ200" s="344">
        <f>'[85]VENTAS TOTALES'!$G227</f>
        <v>812100</v>
      </c>
      <c r="BA200" s="344">
        <f>+'[85]VENTAS TOTALES'!$H227</f>
        <v>2095600</v>
      </c>
      <c r="BB200" s="371">
        <f>'[86]VENTAS TOTALES'!$F227</f>
        <v>1050</v>
      </c>
      <c r="BC200" s="344">
        <f>'[86]VENTAS TOTALES'!$G227</f>
        <v>496350</v>
      </c>
      <c r="BD200" s="344">
        <f>+'[86]VENTAS TOTALES'!$H227</f>
        <v>2281350</v>
      </c>
      <c r="BE200" s="371">
        <f>'[87]VENTAS TOTALES'!$F227</f>
        <v>653</v>
      </c>
      <c r="BF200" s="344">
        <f>'[87]VENTAS TOTALES'!$G227</f>
        <v>449950</v>
      </c>
      <c r="BG200" s="344">
        <f>+'[87]VENTAS TOTALES'!$H227</f>
        <v>1560050</v>
      </c>
      <c r="BH200" s="371">
        <f>'[88]VENTAS TOTALES'!$F227</f>
        <v>0</v>
      </c>
      <c r="BI200" s="344">
        <f>'[88]VENTAS TOTALES'!$G227</f>
        <v>0</v>
      </c>
      <c r="BJ200" s="344">
        <f>+'[88]VENTAS TOTALES'!$H227</f>
        <v>0</v>
      </c>
      <c r="BK200" s="371">
        <f>'[89]VENTAS TOTALES'!$F227</f>
        <v>1145</v>
      </c>
      <c r="BL200" s="344">
        <f>'[89]VENTAS TOTALES'!$G227</f>
        <v>1346600</v>
      </c>
      <c r="BM200" s="344">
        <f>+'[89]VENTAS TOTALES'!$H227</f>
        <v>3293100</v>
      </c>
      <c r="BN200" s="371">
        <f>'[90]VENTAS TOTALES'!$F227</f>
        <v>1106</v>
      </c>
      <c r="BO200" s="344">
        <f>'[90]VENTAS TOTALES'!$G227</f>
        <v>1060900</v>
      </c>
      <c r="BP200" s="344">
        <f>+'[90]VENTAS TOTALES'!$H227</f>
        <v>2941100</v>
      </c>
      <c r="BQ200" s="371">
        <f>'[91]VENTAS TOTALES'!$F227</f>
        <v>1026</v>
      </c>
      <c r="BR200" s="344">
        <f>'[91]VENTAS TOTALES'!$G227</f>
        <v>790700</v>
      </c>
      <c r="BS200" s="344">
        <f>+'[91]VENTAS TOTALES'!$H227</f>
        <v>2534900</v>
      </c>
      <c r="BT200" s="371">
        <f>'[92]VENTAS TOTALES'!$F227</f>
        <v>1015</v>
      </c>
      <c r="BU200" s="344">
        <f>'[92]VENTAS TOTALES'!$G227</f>
        <v>650700</v>
      </c>
      <c r="BV200" s="344">
        <f>+'[92]VENTAS TOTALES'!$H227</f>
        <v>2376200</v>
      </c>
      <c r="BW200" s="371">
        <f>'[93]VENTAS TOTALES'!$F227</f>
        <v>1003</v>
      </c>
      <c r="BX200" s="344">
        <f>'[93]VENTAS TOTALES'!$G227</f>
        <v>1072000</v>
      </c>
      <c r="BY200" s="344">
        <f>+'[93]VENTAS TOTALES'!$H227</f>
        <v>2777100</v>
      </c>
      <c r="BZ200" s="371">
        <f>'[94]VENTAS TOTALES'!$F227</f>
        <v>739</v>
      </c>
      <c r="CA200" s="344">
        <f>'[94]VENTAS TOTALES'!$G227</f>
        <v>423400</v>
      </c>
      <c r="CB200" s="344">
        <f>+'[94]VENTAS TOTALES'!$H227</f>
        <v>1679700</v>
      </c>
      <c r="CC200" s="371">
        <f>'[95]VENTAS TOTALES'!$F227</f>
        <v>0</v>
      </c>
      <c r="CD200" s="344">
        <f>'[95]VENTAS TOTALES'!$G227</f>
        <v>0</v>
      </c>
      <c r="CE200" s="344">
        <f>+'[95]VENTAS TOTALES'!$H227</f>
        <v>0</v>
      </c>
      <c r="CF200" s="371">
        <f>'[96]VENTAS TOTALES'!$F227</f>
        <v>834</v>
      </c>
      <c r="CG200" s="344">
        <f>'[96]VENTAS TOTALES'!$G227</f>
        <v>2320200</v>
      </c>
      <c r="CH200" s="344">
        <f>+'[96]VENTAS TOTALES'!$H227</f>
        <v>3738000</v>
      </c>
      <c r="CI200" s="371">
        <f>'[97]VENTAS TOTALES'!$F227</f>
        <v>962</v>
      </c>
      <c r="CJ200" s="344">
        <f>'[97]VENTAS TOTALES'!$G227</f>
        <v>923000</v>
      </c>
      <c r="CK200" s="344">
        <f>+'[97]VENTAS TOTALES'!$H227</f>
        <v>2558400</v>
      </c>
      <c r="CL200" s="371">
        <f>'[98]VENTAS TOTALES'!$F227</f>
        <v>1067</v>
      </c>
      <c r="CM200" s="344">
        <f>'[98]VENTAS TOTALES'!$G227</f>
        <v>1225500</v>
      </c>
      <c r="CN200" s="344">
        <f>+'[98]VENTAS TOTALES'!$H227</f>
        <v>3039400</v>
      </c>
      <c r="CO200" s="371">
        <f>'[99]VENTAS TOTALES'!$F227</f>
        <v>915</v>
      </c>
      <c r="CP200" s="344">
        <f>'[99]VENTAS TOTALES'!$G227</f>
        <v>1165100</v>
      </c>
      <c r="CQ200" s="344">
        <f>+'[99]VENTAS TOTALES'!$H227</f>
        <v>2720600</v>
      </c>
      <c r="CR200" s="371">
        <f>'[100]VENTAS TOTALES'!$F227</f>
        <v>921</v>
      </c>
      <c r="CS200" s="344">
        <f>'[100]VENTAS TOTALES'!$G227</f>
        <v>533100</v>
      </c>
      <c r="CT200" s="344">
        <f>+'[100]VENTAS TOTALES'!$H227</f>
        <v>2098800</v>
      </c>
      <c r="CU200" s="371">
        <f>'[101]VENTAS TOTALES'!$F227</f>
        <v>458</v>
      </c>
      <c r="CV200" s="344">
        <f>'[101]VENTAS TOTALES'!$G227</f>
        <v>316000</v>
      </c>
      <c r="CW200" s="344">
        <f>+'[101]VENTAS TOTALES'!$H227</f>
        <v>1094600</v>
      </c>
      <c r="CX200" s="371">
        <f>'[102]VENTAS TOTALES'!$F227</f>
        <v>0</v>
      </c>
      <c r="CY200" s="344">
        <f>'[102]VENTAS TOTALES'!$G227</f>
        <v>0</v>
      </c>
      <c r="CZ200" s="344">
        <f>+'[102]VENTAS TOTALES'!$H227</f>
        <v>0</v>
      </c>
    </row>
    <row r="201" spans="1:104" s="8" customFormat="1" ht="14.25" customHeight="1" thickBot="1" x14ac:dyDescent="0.25">
      <c r="A201" s="452"/>
      <c r="B201" s="345" t="s">
        <v>400</v>
      </c>
      <c r="C201" s="371">
        <f>'[69]VENTAS TOTALES'!$F228</f>
        <v>382</v>
      </c>
      <c r="D201" s="344">
        <f>'[69]VENTAS TOTALES'!$G228</f>
        <v>1919300</v>
      </c>
      <c r="E201" s="344">
        <f>+'[69]VENTAS TOTALES'!$H228</f>
        <v>2568700</v>
      </c>
      <c r="F201" s="371">
        <f>'[70]VENTAS TOTALES'!$F228</f>
        <v>314</v>
      </c>
      <c r="G201" s="344">
        <f>'[70]VENTAS TOTALES'!$G228</f>
        <v>1959700</v>
      </c>
      <c r="H201" s="344">
        <f>+'[70]VENTAS TOTALES'!$H228</f>
        <v>2493500</v>
      </c>
      <c r="I201" s="371">
        <f>'[71]VENTAS TOTALES'!$F228</f>
        <v>221</v>
      </c>
      <c r="J201" s="344">
        <f>'[71]VENTAS TOTALES'!$G228</f>
        <v>861100</v>
      </c>
      <c r="K201" s="344">
        <f>+'[71]VENTAS TOTALES'!$H228</f>
        <v>1236800</v>
      </c>
      <c r="L201" s="371">
        <f>'[72]VENTAS TOTALES'!$F228</f>
        <v>314</v>
      </c>
      <c r="M201" s="344">
        <f>'[72]VENTAS TOTALES'!$G228</f>
        <v>1028000</v>
      </c>
      <c r="N201" s="344">
        <f>+'[72]VENTAS TOTALES'!$H228</f>
        <v>1561800</v>
      </c>
      <c r="O201" s="371">
        <f>'[73]VENTAS TOTALES'!$F228</f>
        <v>207</v>
      </c>
      <c r="P201" s="344">
        <f>'[73]VENTAS TOTALES'!$G228</f>
        <v>281000</v>
      </c>
      <c r="Q201" s="344">
        <f>+'[73]VENTAS TOTALES'!$H228</f>
        <v>632900</v>
      </c>
      <c r="R201" s="371">
        <f>'[74]VENTAS TOTALES'!$F228</f>
        <v>0</v>
      </c>
      <c r="S201" s="344">
        <f>'[74]VENTAS TOTALES'!$G228</f>
        <v>0</v>
      </c>
      <c r="T201" s="344">
        <f>+'[74]VENTAS TOTALES'!$H228</f>
        <v>0</v>
      </c>
      <c r="U201" s="371">
        <f>'[75]VENTAS TOTALES'!$F228</f>
        <v>414</v>
      </c>
      <c r="V201" s="344">
        <f>'[75]VENTAS TOTALES'!$G228</f>
        <v>1710900</v>
      </c>
      <c r="W201" s="344">
        <f>+'[75]VENTAS TOTALES'!$H228</f>
        <v>2414700</v>
      </c>
      <c r="X201" s="371">
        <f>'[76]VENTAS TOTALES'!$F228</f>
        <v>340</v>
      </c>
      <c r="Y201" s="344">
        <f>'[76]VENTAS TOTALES'!$G228</f>
        <v>1063700</v>
      </c>
      <c r="Z201" s="344">
        <f>+'[76]VENTAS TOTALES'!$H228</f>
        <v>1641700</v>
      </c>
      <c r="AA201" s="371">
        <f>'[77]VENTAS TOTALES'!$F228</f>
        <v>459</v>
      </c>
      <c r="AB201" s="344">
        <f>'[77]VENTAS TOTALES'!$G228</f>
        <v>1056700</v>
      </c>
      <c r="AC201" s="344">
        <f>+'[77]VENTAS TOTALES'!$H228</f>
        <v>1837000</v>
      </c>
      <c r="AD201" s="371">
        <f>'[78]VENTAS TOTALES'!$F228</f>
        <v>420</v>
      </c>
      <c r="AE201" s="344">
        <f>'[78]VENTAS TOTALES'!$G228</f>
        <v>410800</v>
      </c>
      <c r="AF201" s="344">
        <f>+'[78]VENTAS TOTALES'!$H228</f>
        <v>1124800</v>
      </c>
      <c r="AG201" s="371">
        <f>'[79]VENTAS TOTALES'!$F228</f>
        <v>332</v>
      </c>
      <c r="AH201" s="344">
        <f>'[79]VENTAS TOTALES'!$G228</f>
        <v>829300</v>
      </c>
      <c r="AI201" s="344">
        <f>+'[79]VENTAS TOTALES'!$H228</f>
        <v>1393700</v>
      </c>
      <c r="AJ201" s="371">
        <f>'[80]VENTAS TOTALES'!$F228</f>
        <v>224</v>
      </c>
      <c r="AK201" s="344">
        <f>'[80]VENTAS TOTALES'!$G228</f>
        <v>376000</v>
      </c>
      <c r="AL201" s="344">
        <f>+'[80]VENTAS TOTALES'!$H228</f>
        <v>756800</v>
      </c>
      <c r="AM201" s="371">
        <f>'[81]VENTAS TOTALES'!$F228</f>
        <v>0</v>
      </c>
      <c r="AN201" s="344">
        <f>'[81]VENTAS TOTALES'!$G228</f>
        <v>0</v>
      </c>
      <c r="AO201" s="344">
        <f>+'[81]VENTAS TOTALES'!$H228</f>
        <v>0</v>
      </c>
      <c r="AP201" s="371">
        <f>'[82]VENTAS TOTALES'!$F228</f>
        <v>601</v>
      </c>
      <c r="AQ201" s="344">
        <f>'[82]VENTAS TOTALES'!$G228</f>
        <v>3337800</v>
      </c>
      <c r="AR201" s="344">
        <f>+'[82]VENTAS TOTALES'!$H228</f>
        <v>4359500</v>
      </c>
      <c r="AS201" s="371">
        <f>'[83]VENTAS TOTALES'!$F228</f>
        <v>151</v>
      </c>
      <c r="AT201" s="344">
        <f>'[83]VENTAS TOTALES'!$G228</f>
        <v>2722500</v>
      </c>
      <c r="AU201" s="344">
        <f>+'[83]VENTAS TOTALES'!$H228</f>
        <v>2979200</v>
      </c>
      <c r="AV201" s="371">
        <f>'[84]VENTAS TOTALES'!$F228</f>
        <v>698</v>
      </c>
      <c r="AW201" s="344">
        <f>'[84]VENTAS TOTALES'!$G228</f>
        <v>1443400</v>
      </c>
      <c r="AX201" s="344">
        <f>+'[84]VENTAS TOTALES'!$H228</f>
        <v>2630000</v>
      </c>
      <c r="AY201" s="371">
        <f>'[85]VENTAS TOTALES'!$F228</f>
        <v>287</v>
      </c>
      <c r="AZ201" s="344">
        <f>'[85]VENTAS TOTALES'!$G228</f>
        <v>191200</v>
      </c>
      <c r="BA201" s="344">
        <f>+'[85]VENTAS TOTALES'!$H228</f>
        <v>679100</v>
      </c>
      <c r="BB201" s="371">
        <f>'[86]VENTAS TOTALES'!$F228</f>
        <v>371</v>
      </c>
      <c r="BC201" s="344">
        <f>'[86]VENTAS TOTALES'!$G228</f>
        <v>1395400</v>
      </c>
      <c r="BD201" s="344">
        <f>+'[86]VENTAS TOTALES'!$H228</f>
        <v>2026100</v>
      </c>
      <c r="BE201" s="371">
        <f>'[87]VENTAS TOTALES'!$F228</f>
        <v>317</v>
      </c>
      <c r="BF201" s="344">
        <f>'[87]VENTAS TOTALES'!$G228</f>
        <v>310500</v>
      </c>
      <c r="BG201" s="344">
        <f>+'[87]VENTAS TOTALES'!$H228</f>
        <v>849400</v>
      </c>
      <c r="BH201" s="371">
        <f>'[88]VENTAS TOTALES'!$F228</f>
        <v>0</v>
      </c>
      <c r="BI201" s="344">
        <f>'[88]VENTAS TOTALES'!$G228</f>
        <v>0</v>
      </c>
      <c r="BJ201" s="344">
        <f>+'[88]VENTAS TOTALES'!$H228</f>
        <v>0</v>
      </c>
      <c r="BK201" s="371">
        <f>'[89]VENTAS TOTALES'!$F228</f>
        <v>665</v>
      </c>
      <c r="BL201" s="344">
        <f>'[89]VENTAS TOTALES'!$G228</f>
        <v>3063000</v>
      </c>
      <c r="BM201" s="344">
        <f>+'[89]VENTAS TOTALES'!$H228</f>
        <v>4193500</v>
      </c>
      <c r="BN201" s="371">
        <f>'[90]VENTAS TOTALES'!$F228</f>
        <v>510</v>
      </c>
      <c r="BO201" s="344">
        <f>'[90]VENTAS TOTALES'!$G228</f>
        <v>1249700</v>
      </c>
      <c r="BP201" s="344">
        <f>+'[90]VENTAS TOTALES'!$H228</f>
        <v>2116700</v>
      </c>
      <c r="BQ201" s="371">
        <f>'[91]VENTAS TOTALES'!$F228</f>
        <v>374</v>
      </c>
      <c r="BR201" s="344">
        <f>'[91]VENTAS TOTALES'!$G228</f>
        <v>1170700</v>
      </c>
      <c r="BS201" s="344">
        <f>+'[91]VENTAS TOTALES'!$H228</f>
        <v>1806500</v>
      </c>
      <c r="BT201" s="371">
        <f>'[92]VENTAS TOTALES'!$F228</f>
        <v>424</v>
      </c>
      <c r="BU201" s="344">
        <f>'[92]VENTAS TOTALES'!$G228</f>
        <v>978500</v>
      </c>
      <c r="BV201" s="344">
        <f>+'[92]VENTAS TOTALES'!$H228</f>
        <v>1699300</v>
      </c>
      <c r="BW201" s="371">
        <f>'[93]VENTAS TOTALES'!$F228</f>
        <v>477</v>
      </c>
      <c r="BX201" s="344">
        <f>'[93]VENTAS TOTALES'!$G228</f>
        <v>804700</v>
      </c>
      <c r="BY201" s="344">
        <f>+'[93]VENTAS TOTALES'!$H228</f>
        <v>1615600</v>
      </c>
      <c r="BZ201" s="371">
        <f>'[94]VENTAS TOTALES'!$F228</f>
        <v>260</v>
      </c>
      <c r="CA201" s="344">
        <f>'[94]VENTAS TOTALES'!$G228</f>
        <v>449600</v>
      </c>
      <c r="CB201" s="344">
        <f>+'[94]VENTAS TOTALES'!$H228</f>
        <v>891600</v>
      </c>
      <c r="CC201" s="371">
        <f>'[95]VENTAS TOTALES'!$F228</f>
        <v>0</v>
      </c>
      <c r="CD201" s="344">
        <f>'[95]VENTAS TOTALES'!$G228</f>
        <v>0</v>
      </c>
      <c r="CE201" s="344">
        <f>+'[95]VENTAS TOTALES'!$H228</f>
        <v>0</v>
      </c>
      <c r="CF201" s="371">
        <f>'[96]VENTAS TOTALES'!$F228</f>
        <v>760</v>
      </c>
      <c r="CG201" s="344">
        <f>'[96]VENTAS TOTALES'!$G228</f>
        <v>3468000</v>
      </c>
      <c r="CH201" s="344">
        <f>+'[96]VENTAS TOTALES'!$H228</f>
        <v>4760000</v>
      </c>
      <c r="CI201" s="371">
        <f>'[97]VENTAS TOTALES'!$F228</f>
        <v>337</v>
      </c>
      <c r="CJ201" s="344">
        <f>'[97]VENTAS TOTALES'!$G228</f>
        <v>1433700</v>
      </c>
      <c r="CK201" s="344">
        <f>+'[97]VENTAS TOTALES'!$H228</f>
        <v>2006600</v>
      </c>
      <c r="CL201" s="371">
        <f>'[98]VENTAS TOTALES'!$F228</f>
        <v>394</v>
      </c>
      <c r="CM201" s="344">
        <f>'[98]VENTAS TOTALES'!$G228</f>
        <v>1611500</v>
      </c>
      <c r="CN201" s="344">
        <f>+'[98]VENTAS TOTALES'!$H228</f>
        <v>2281300</v>
      </c>
      <c r="CO201" s="371">
        <f>'[99]VENTAS TOTALES'!$F228</f>
        <v>185</v>
      </c>
      <c r="CP201" s="344">
        <f>'[99]VENTAS TOTALES'!$G228</f>
        <v>981100</v>
      </c>
      <c r="CQ201" s="344">
        <f>+'[99]VENTAS TOTALES'!$H228</f>
        <v>1295600</v>
      </c>
      <c r="CR201" s="371">
        <f>'[100]VENTAS TOTALES'!$F228</f>
        <v>356</v>
      </c>
      <c r="CS201" s="344">
        <f>'[100]VENTAS TOTALES'!$G228</f>
        <v>1889400</v>
      </c>
      <c r="CT201" s="344">
        <f>+'[100]VENTAS TOTALES'!$H228</f>
        <v>2494600</v>
      </c>
      <c r="CU201" s="371">
        <f>'[101]VENTAS TOTALES'!$F228</f>
        <v>251</v>
      </c>
      <c r="CV201" s="344">
        <f>'[101]VENTAS TOTALES'!$G228</f>
        <v>523000</v>
      </c>
      <c r="CW201" s="344">
        <f>+'[101]VENTAS TOTALES'!$H228</f>
        <v>949700</v>
      </c>
      <c r="CX201" s="371">
        <f>'[102]VENTAS TOTALES'!$F228</f>
        <v>0</v>
      </c>
      <c r="CY201" s="344">
        <f>'[102]VENTAS TOTALES'!$G228</f>
        <v>0</v>
      </c>
      <c r="CZ201" s="344">
        <f>+'[102]VENTAS TOTALES'!$H228</f>
        <v>0</v>
      </c>
    </row>
    <row r="202" spans="1:104" s="8" customFormat="1" ht="14.25" customHeight="1" thickBot="1" x14ac:dyDescent="0.25">
      <c r="A202" s="452"/>
      <c r="B202" s="345" t="s">
        <v>401</v>
      </c>
      <c r="C202" s="371">
        <f>'[69]VENTAS TOTALES'!$F229</f>
        <v>940</v>
      </c>
      <c r="D202" s="344">
        <f>'[69]VENTAS TOTALES'!$G229</f>
        <v>2481800</v>
      </c>
      <c r="E202" s="344">
        <f>+'[69]VENTAS TOTALES'!$H229</f>
        <v>4079800</v>
      </c>
      <c r="F202" s="371">
        <f>'[70]VENTAS TOTALES'!$F229</f>
        <v>774</v>
      </c>
      <c r="G202" s="344">
        <f>'[70]VENTAS TOTALES'!$G229</f>
        <v>1843400</v>
      </c>
      <c r="H202" s="344">
        <f>+'[70]VENTAS TOTALES'!$H229</f>
        <v>3159200</v>
      </c>
      <c r="I202" s="371">
        <f>'[71]VENTAS TOTALES'!$F229</f>
        <v>610</v>
      </c>
      <c r="J202" s="344">
        <f>'[71]VENTAS TOTALES'!$G229</f>
        <v>1434300</v>
      </c>
      <c r="K202" s="344">
        <f>+'[71]VENTAS TOTALES'!$H229</f>
        <v>2471300</v>
      </c>
      <c r="L202" s="371">
        <f>'[72]VENTAS TOTALES'!$F229</f>
        <v>696</v>
      </c>
      <c r="M202" s="344">
        <f>'[72]VENTAS TOTALES'!$G229</f>
        <v>1478600</v>
      </c>
      <c r="N202" s="344">
        <f>+'[72]VENTAS TOTALES'!$H229</f>
        <v>2661800</v>
      </c>
      <c r="O202" s="371">
        <f>'[73]VENTAS TOTALES'!$F229</f>
        <v>333</v>
      </c>
      <c r="P202" s="344">
        <f>'[73]VENTAS TOTALES'!$G229</f>
        <v>899800</v>
      </c>
      <c r="Q202" s="344">
        <f>+'[73]VENTAS TOTALES'!$H229</f>
        <v>1465900</v>
      </c>
      <c r="R202" s="371">
        <f>'[74]VENTAS TOTALES'!$F229</f>
        <v>0</v>
      </c>
      <c r="S202" s="344">
        <f>'[74]VENTAS TOTALES'!$G229</f>
        <v>0</v>
      </c>
      <c r="T202" s="344">
        <f>+'[74]VENTAS TOTALES'!$H229</f>
        <v>0</v>
      </c>
      <c r="U202" s="371">
        <f>'[75]VENTAS TOTALES'!$F229</f>
        <v>991</v>
      </c>
      <c r="V202" s="344">
        <f>'[75]VENTAS TOTALES'!$G229</f>
        <v>2124300</v>
      </c>
      <c r="W202" s="344">
        <f>+'[75]VENTAS TOTALES'!$H229</f>
        <v>3809000</v>
      </c>
      <c r="X202" s="371">
        <f>'[76]VENTAS TOTALES'!$F229</f>
        <v>668</v>
      </c>
      <c r="Y202" s="344">
        <f>'[76]VENTAS TOTALES'!$G229</f>
        <v>1891950</v>
      </c>
      <c r="Z202" s="344">
        <f>+'[76]VENTAS TOTALES'!$H229</f>
        <v>3027550</v>
      </c>
      <c r="AA202" s="371">
        <f>'[77]VENTAS TOTALES'!$F229</f>
        <v>949</v>
      </c>
      <c r="AB202" s="344">
        <f>'[77]VENTAS TOTALES'!$G229</f>
        <v>1364900</v>
      </c>
      <c r="AC202" s="344">
        <f>+'[77]VENTAS TOTALES'!$H229</f>
        <v>2978200</v>
      </c>
      <c r="AD202" s="371">
        <f>'[78]VENTAS TOTALES'!$F229</f>
        <v>838</v>
      </c>
      <c r="AE202" s="344">
        <f>'[78]VENTAS TOTALES'!$G229</f>
        <v>1425700</v>
      </c>
      <c r="AF202" s="344">
        <f>+'[78]VENTAS TOTALES'!$H229</f>
        <v>2850300</v>
      </c>
      <c r="AG202" s="371">
        <f>'[79]VENTAS TOTALES'!$F229</f>
        <v>871</v>
      </c>
      <c r="AH202" s="344">
        <f>'[79]VENTAS TOTALES'!$G229</f>
        <v>1164600</v>
      </c>
      <c r="AI202" s="344">
        <f>+'[79]VENTAS TOTALES'!$H229</f>
        <v>2645300</v>
      </c>
      <c r="AJ202" s="371">
        <f>'[80]VENTAS TOTALES'!$F229</f>
        <v>623</v>
      </c>
      <c r="AK202" s="344">
        <f>'[80]VENTAS TOTALES'!$G229</f>
        <v>466500</v>
      </c>
      <c r="AL202" s="344">
        <f>+'[80]VENTAS TOTALES'!$H229</f>
        <v>1525600</v>
      </c>
      <c r="AM202" s="371">
        <f>'[81]VENTAS TOTALES'!$F229</f>
        <v>0</v>
      </c>
      <c r="AN202" s="344">
        <f>'[81]VENTAS TOTALES'!$G229</f>
        <v>0</v>
      </c>
      <c r="AO202" s="344">
        <f>+'[81]VENTAS TOTALES'!$H229</f>
        <v>0</v>
      </c>
      <c r="AP202" s="371">
        <f>'[82]VENTAS TOTALES'!$F229</f>
        <v>842</v>
      </c>
      <c r="AQ202" s="344">
        <f>'[82]VENTAS TOTALES'!$G229</f>
        <v>1484200</v>
      </c>
      <c r="AR202" s="344">
        <f>+'[82]VENTAS TOTALES'!$H229</f>
        <v>2915600</v>
      </c>
      <c r="AS202" s="371">
        <f>'[83]VENTAS TOTALES'!$F229</f>
        <v>945</v>
      </c>
      <c r="AT202" s="344">
        <f>'[83]VENTAS TOTALES'!$G229</f>
        <v>2055400</v>
      </c>
      <c r="AU202" s="344">
        <f>+'[83]VENTAS TOTALES'!$H229</f>
        <v>3661900</v>
      </c>
      <c r="AV202" s="371">
        <f>'[84]VENTAS TOTALES'!$F229</f>
        <v>1030</v>
      </c>
      <c r="AW202" s="344">
        <f>'[84]VENTAS TOTALES'!$G229</f>
        <v>1056200</v>
      </c>
      <c r="AX202" s="344">
        <f>+'[84]VENTAS TOTALES'!$H229</f>
        <v>2807200</v>
      </c>
      <c r="AY202" s="371">
        <f>'[85]VENTAS TOTALES'!$F229</f>
        <v>1321</v>
      </c>
      <c r="AZ202" s="344">
        <f>'[85]VENTAS TOTALES'!$G229</f>
        <v>968300</v>
      </c>
      <c r="BA202" s="344">
        <f>+'[85]VENTAS TOTALES'!$H229</f>
        <v>3214000</v>
      </c>
      <c r="BB202" s="371">
        <f>'[86]VENTAS TOTALES'!$F229</f>
        <v>1258</v>
      </c>
      <c r="BC202" s="344">
        <f>'[86]VENTAS TOTALES'!$G229</f>
        <v>1046900</v>
      </c>
      <c r="BD202" s="344">
        <f>+'[86]VENTAS TOTALES'!$H229</f>
        <v>3185500</v>
      </c>
      <c r="BE202" s="371">
        <f>'[87]VENTAS TOTALES'!$F229</f>
        <v>573</v>
      </c>
      <c r="BF202" s="344">
        <f>'[87]VENTAS TOTALES'!$G229</f>
        <v>427350</v>
      </c>
      <c r="BG202" s="344">
        <f>+'[87]VENTAS TOTALES'!$H229</f>
        <v>1401450</v>
      </c>
      <c r="BH202" s="371">
        <f>'[88]VENTAS TOTALES'!$F229</f>
        <v>0</v>
      </c>
      <c r="BI202" s="344">
        <f>'[88]VENTAS TOTALES'!$G229</f>
        <v>0</v>
      </c>
      <c r="BJ202" s="344">
        <f>+'[88]VENTAS TOTALES'!$H229</f>
        <v>0</v>
      </c>
      <c r="BK202" s="371">
        <f>'[89]VENTAS TOTALES'!$F229</f>
        <v>1024</v>
      </c>
      <c r="BL202" s="344">
        <f>'[89]VENTAS TOTALES'!$G229</f>
        <v>2140700</v>
      </c>
      <c r="BM202" s="344">
        <f>+'[89]VENTAS TOTALES'!$H229</f>
        <v>3881500</v>
      </c>
      <c r="BN202" s="371">
        <f>'[90]VENTAS TOTALES'!$F229</f>
        <v>670</v>
      </c>
      <c r="BO202" s="344">
        <f>'[90]VENTAS TOTALES'!$G229</f>
        <v>1723400</v>
      </c>
      <c r="BP202" s="344">
        <f>+'[90]VENTAS TOTALES'!$H229</f>
        <v>2862400</v>
      </c>
      <c r="BQ202" s="371">
        <f>'[91]VENTAS TOTALES'!$F229</f>
        <v>623</v>
      </c>
      <c r="BR202" s="344">
        <f>'[91]VENTAS TOTALES'!$G229</f>
        <v>1209800</v>
      </c>
      <c r="BS202" s="344">
        <f>+'[91]VENTAS TOTALES'!$H229</f>
        <v>2268900</v>
      </c>
      <c r="BT202" s="371">
        <f>'[92]VENTAS TOTALES'!$F229</f>
        <v>697</v>
      </c>
      <c r="BU202" s="344">
        <f>'[92]VENTAS TOTALES'!$G229</f>
        <v>1232700</v>
      </c>
      <c r="BV202" s="344">
        <f>+'[92]VENTAS TOTALES'!$H229</f>
        <v>2417600</v>
      </c>
      <c r="BW202" s="371">
        <f>'[93]VENTAS TOTALES'!$F229</f>
        <v>604</v>
      </c>
      <c r="BX202" s="344">
        <f>'[93]VENTAS TOTALES'!$G229</f>
        <v>1075200</v>
      </c>
      <c r="BY202" s="344">
        <f>+'[93]VENTAS TOTALES'!$H229</f>
        <v>2102000</v>
      </c>
      <c r="BZ202" s="371">
        <f>'[94]VENTAS TOTALES'!$F229</f>
        <v>418</v>
      </c>
      <c r="CA202" s="344">
        <f>'[94]VENTAS TOTALES'!$G229</f>
        <v>909900</v>
      </c>
      <c r="CB202" s="344">
        <f>+'[94]VENTAS TOTALES'!$H229</f>
        <v>1620500</v>
      </c>
      <c r="CC202" s="371">
        <f>'[95]VENTAS TOTALES'!$F229</f>
        <v>0</v>
      </c>
      <c r="CD202" s="344">
        <f>'[95]VENTAS TOTALES'!$G229</f>
        <v>0</v>
      </c>
      <c r="CE202" s="344">
        <f>+'[95]VENTAS TOTALES'!$H229</f>
        <v>0</v>
      </c>
      <c r="CF202" s="371">
        <f>'[96]VENTAS TOTALES'!$F229</f>
        <v>1008</v>
      </c>
      <c r="CG202" s="344">
        <f>'[96]VENTAS TOTALES'!$G229</f>
        <v>3810000</v>
      </c>
      <c r="CH202" s="344">
        <f>+'[96]VENTAS TOTALES'!$H229</f>
        <v>5523600</v>
      </c>
      <c r="CI202" s="371">
        <f>'[97]VENTAS TOTALES'!$F229</f>
        <v>683</v>
      </c>
      <c r="CJ202" s="344">
        <f>'[97]VENTAS TOTALES'!$G229</f>
        <v>2257400</v>
      </c>
      <c r="CK202" s="344">
        <f>+'[97]VENTAS TOTALES'!$H229</f>
        <v>3418500</v>
      </c>
      <c r="CL202" s="371">
        <f>'[98]VENTAS TOTALES'!$F229</f>
        <v>856</v>
      </c>
      <c r="CM202" s="344">
        <f>'[98]VENTAS TOTALES'!$G229</f>
        <v>1620250</v>
      </c>
      <c r="CN202" s="344">
        <f>+'[98]VENTAS TOTALES'!$H229</f>
        <v>3075450</v>
      </c>
      <c r="CO202" s="371">
        <f>'[99]VENTAS TOTALES'!$F229</f>
        <v>1304</v>
      </c>
      <c r="CP202" s="344">
        <f>'[99]VENTAS TOTALES'!$G229</f>
        <v>684400</v>
      </c>
      <c r="CQ202" s="344">
        <f>+'[99]VENTAS TOTALES'!$H229</f>
        <v>2901200</v>
      </c>
      <c r="CR202" s="371">
        <f>'[100]VENTAS TOTALES'!$F229</f>
        <v>910</v>
      </c>
      <c r="CS202" s="344">
        <f>'[100]VENTAS TOTALES'!$G229</f>
        <v>1636900</v>
      </c>
      <c r="CT202" s="344">
        <f>+'[100]VENTAS TOTALES'!$H229</f>
        <v>3183900</v>
      </c>
      <c r="CU202" s="371">
        <f>'[101]VENTAS TOTALES'!$F229</f>
        <v>623</v>
      </c>
      <c r="CV202" s="344">
        <f>'[101]VENTAS TOTALES'!$G229</f>
        <v>847450</v>
      </c>
      <c r="CW202" s="344">
        <f>+'[101]VENTAS TOTALES'!$H229</f>
        <v>1906550</v>
      </c>
      <c r="CX202" s="371">
        <f>'[102]VENTAS TOTALES'!$F229</f>
        <v>0</v>
      </c>
      <c r="CY202" s="344">
        <f>'[102]VENTAS TOTALES'!$G229</f>
        <v>0</v>
      </c>
      <c r="CZ202" s="344">
        <f>+'[102]VENTAS TOTALES'!$H229</f>
        <v>0</v>
      </c>
    </row>
    <row r="203" spans="1:104" s="8" customFormat="1" ht="14.25" customHeight="1" thickBot="1" x14ac:dyDescent="0.25">
      <c r="A203" s="452"/>
      <c r="B203" s="345" t="s">
        <v>402</v>
      </c>
      <c r="C203" s="371">
        <f>'[69]VENTAS TOTALES'!$F230</f>
        <v>1798</v>
      </c>
      <c r="D203" s="344">
        <f>'[69]VENTAS TOTALES'!$G230</f>
        <v>1399200</v>
      </c>
      <c r="E203" s="344">
        <f>+'[69]VENTAS TOTALES'!$H230</f>
        <v>4455800</v>
      </c>
      <c r="F203" s="371">
        <f>'[70]VENTAS TOTALES'!$F230</f>
        <v>2004</v>
      </c>
      <c r="G203" s="344">
        <f>'[70]VENTAS TOTALES'!$G230</f>
        <v>2042650</v>
      </c>
      <c r="H203" s="344">
        <f>+'[70]VENTAS TOTALES'!$H230</f>
        <v>5449450</v>
      </c>
      <c r="I203" s="371">
        <f>'[71]VENTAS TOTALES'!$F230</f>
        <v>1827</v>
      </c>
      <c r="J203" s="344">
        <f>'[71]VENTAS TOTALES'!$G230</f>
        <v>1568950</v>
      </c>
      <c r="K203" s="344">
        <f>+'[71]VENTAS TOTALES'!$H230</f>
        <v>4674850</v>
      </c>
      <c r="L203" s="371">
        <f>'[72]VENTAS TOTALES'!$F230</f>
        <v>1508</v>
      </c>
      <c r="M203" s="344">
        <f>'[72]VENTAS TOTALES'!$G230</f>
        <v>1183200</v>
      </c>
      <c r="N203" s="344">
        <f>+'[72]VENTAS TOTALES'!$H230</f>
        <v>3746800</v>
      </c>
      <c r="O203" s="371">
        <f>'[73]VENTAS TOTALES'!$F230</f>
        <v>1539</v>
      </c>
      <c r="P203" s="344">
        <f>'[73]VENTAS TOTALES'!$G230</f>
        <v>1012800</v>
      </c>
      <c r="Q203" s="344">
        <f>+'[73]VENTAS TOTALES'!$H230</f>
        <v>3629100</v>
      </c>
      <c r="R203" s="371">
        <f>'[74]VENTAS TOTALES'!$F230</f>
        <v>0</v>
      </c>
      <c r="S203" s="344">
        <f>'[74]VENTAS TOTALES'!$G230</f>
        <v>0</v>
      </c>
      <c r="T203" s="344">
        <f>+'[74]VENTAS TOTALES'!$H230</f>
        <v>0</v>
      </c>
      <c r="U203" s="371">
        <f>'[75]VENTAS TOTALES'!$F230</f>
        <v>1598</v>
      </c>
      <c r="V203" s="344">
        <f>'[75]VENTAS TOTALES'!$G230</f>
        <v>2006700</v>
      </c>
      <c r="W203" s="344">
        <f>+'[75]VENTAS TOTALES'!$H230</f>
        <v>4723300</v>
      </c>
      <c r="X203" s="371">
        <f>'[76]VENTAS TOTALES'!$F230</f>
        <v>1774</v>
      </c>
      <c r="Y203" s="344">
        <f>'[76]VENTAS TOTALES'!$G230</f>
        <v>1982400</v>
      </c>
      <c r="Z203" s="344">
        <f>+'[76]VENTAS TOTALES'!$H230</f>
        <v>4998200</v>
      </c>
      <c r="AA203" s="371">
        <f>'[77]VENTAS TOTALES'!$F230</f>
        <v>1339</v>
      </c>
      <c r="AB203" s="344">
        <f>'[77]VENTAS TOTALES'!$G230</f>
        <v>1406650</v>
      </c>
      <c r="AC203" s="344">
        <f>+'[77]VENTAS TOTALES'!$H230</f>
        <v>3682950</v>
      </c>
      <c r="AD203" s="371">
        <f>'[78]VENTAS TOTALES'!$F230</f>
        <v>1360</v>
      </c>
      <c r="AE203" s="344">
        <f>'[78]VENTAS TOTALES'!$G230</f>
        <v>1638900</v>
      </c>
      <c r="AF203" s="344">
        <f>+'[78]VENTAS TOTALES'!$H230</f>
        <v>3950900</v>
      </c>
      <c r="AG203" s="371">
        <f>'[79]VENTAS TOTALES'!$F230</f>
        <v>1209</v>
      </c>
      <c r="AH203" s="344">
        <f>'[79]VENTAS TOTALES'!$G230</f>
        <v>950200</v>
      </c>
      <c r="AI203" s="344">
        <f>+'[79]VENTAS TOTALES'!$H230</f>
        <v>3005500</v>
      </c>
      <c r="AJ203" s="371">
        <f>'[80]VENTAS TOTALES'!$F230</f>
        <v>916</v>
      </c>
      <c r="AK203" s="344">
        <f>'[80]VENTAS TOTALES'!$G230</f>
        <v>815800</v>
      </c>
      <c r="AL203" s="344">
        <f>+'[80]VENTAS TOTALES'!$H230</f>
        <v>2373000</v>
      </c>
      <c r="AM203" s="371">
        <f>'[81]VENTAS TOTALES'!$F230</f>
        <v>0</v>
      </c>
      <c r="AN203" s="344">
        <f>'[81]VENTAS TOTALES'!$G230</f>
        <v>0</v>
      </c>
      <c r="AO203" s="344">
        <f>+'[81]VENTAS TOTALES'!$H230</f>
        <v>0</v>
      </c>
      <c r="AP203" s="371">
        <f>'[82]VENTAS TOTALES'!$F230</f>
        <v>1607</v>
      </c>
      <c r="AQ203" s="344">
        <f>'[82]VENTAS TOTALES'!$G230</f>
        <v>1676500</v>
      </c>
      <c r="AR203" s="344">
        <f>+'[82]VENTAS TOTALES'!$H230</f>
        <v>4408400</v>
      </c>
      <c r="AS203" s="371">
        <f>'[83]VENTAS TOTALES'!$F230</f>
        <v>1638</v>
      </c>
      <c r="AT203" s="344">
        <f>'[83]VENTAS TOTALES'!$G230</f>
        <v>2353200</v>
      </c>
      <c r="AU203" s="344">
        <f>+'[83]VENTAS TOTALES'!$H230</f>
        <v>5137800</v>
      </c>
      <c r="AV203" s="371">
        <f>'[84]VENTAS TOTALES'!$F230</f>
        <v>1408</v>
      </c>
      <c r="AW203" s="344">
        <f>'[84]VENTAS TOTALES'!$G230</f>
        <v>1782900</v>
      </c>
      <c r="AX203" s="344">
        <f>+'[84]VENTAS TOTALES'!$H230</f>
        <v>4176500</v>
      </c>
      <c r="AY203" s="371">
        <f>'[85]VENTAS TOTALES'!$F230</f>
        <v>1080</v>
      </c>
      <c r="AZ203" s="344">
        <f>'[85]VENTAS TOTALES'!$G230</f>
        <v>1193900</v>
      </c>
      <c r="BA203" s="344">
        <f>+'[85]VENTAS TOTALES'!$H230</f>
        <v>3029900</v>
      </c>
      <c r="BB203" s="371">
        <f>'[86]VENTAS TOTALES'!$F230</f>
        <v>1301</v>
      </c>
      <c r="BC203" s="344">
        <f>'[86]VENTAS TOTALES'!$G230</f>
        <v>1439500</v>
      </c>
      <c r="BD203" s="344">
        <f>+'[86]VENTAS TOTALES'!$H230</f>
        <v>3651200</v>
      </c>
      <c r="BE203" s="371">
        <f>'[87]VENTAS TOTALES'!$F230</f>
        <v>1274</v>
      </c>
      <c r="BF203" s="344">
        <f>'[87]VENTAS TOTALES'!$G230</f>
        <v>947700</v>
      </c>
      <c r="BG203" s="344">
        <f>+'[87]VENTAS TOTALES'!$H230</f>
        <v>3113500</v>
      </c>
      <c r="BH203" s="371">
        <f>'[88]VENTAS TOTALES'!$F230</f>
        <v>0</v>
      </c>
      <c r="BI203" s="344">
        <f>'[88]VENTAS TOTALES'!$G230</f>
        <v>0</v>
      </c>
      <c r="BJ203" s="344">
        <f>+'[88]VENTAS TOTALES'!$H230</f>
        <v>0</v>
      </c>
      <c r="BK203" s="371">
        <f>'[89]VENTAS TOTALES'!$F230</f>
        <v>2005</v>
      </c>
      <c r="BL203" s="344">
        <f>'[89]VENTAS TOTALES'!$G230</f>
        <v>1663200</v>
      </c>
      <c r="BM203" s="344">
        <f>+'[89]VENTAS TOTALES'!$H230</f>
        <v>5071700</v>
      </c>
      <c r="BN203" s="371">
        <f>'[90]VENTAS TOTALES'!$F230</f>
        <v>1565</v>
      </c>
      <c r="BO203" s="344">
        <f>'[90]VENTAS TOTALES'!$G230</f>
        <v>1292600</v>
      </c>
      <c r="BP203" s="344">
        <f>+'[90]VENTAS TOTALES'!$H230</f>
        <v>3953100</v>
      </c>
      <c r="BQ203" s="371">
        <f>'[91]VENTAS TOTALES'!$F230</f>
        <v>1812</v>
      </c>
      <c r="BR203" s="344">
        <f>'[91]VENTAS TOTALES'!$G230</f>
        <v>1383400</v>
      </c>
      <c r="BS203" s="344">
        <f>+'[91]VENTAS TOTALES'!$H230</f>
        <v>4463800</v>
      </c>
      <c r="BT203" s="371">
        <f>'[92]VENTAS TOTALES'!$F230</f>
        <v>1766</v>
      </c>
      <c r="BU203" s="344">
        <f>'[92]VENTAS TOTALES'!$G230</f>
        <v>865200</v>
      </c>
      <c r="BV203" s="344">
        <f>+'[92]VENTAS TOTALES'!$H230</f>
        <v>3867400</v>
      </c>
      <c r="BW203" s="371">
        <f>'[93]VENTAS TOTALES'!$F230</f>
        <v>1810</v>
      </c>
      <c r="BX203" s="344">
        <f>'[93]VENTAS TOTALES'!$G230</f>
        <v>1342900</v>
      </c>
      <c r="BY203" s="344">
        <f>+'[93]VENTAS TOTALES'!$H230</f>
        <v>4419900</v>
      </c>
      <c r="BZ203" s="371">
        <f>'[94]VENTAS TOTALES'!$F230</f>
        <v>1954</v>
      </c>
      <c r="CA203" s="344">
        <f>'[94]VENTAS TOTALES'!$G230</f>
        <v>664100</v>
      </c>
      <c r="CB203" s="344">
        <f>+'[94]VENTAS TOTALES'!$H230</f>
        <v>3985900</v>
      </c>
      <c r="CC203" s="371">
        <f>'[95]VENTAS TOTALES'!$F230</f>
        <v>0</v>
      </c>
      <c r="CD203" s="344">
        <f>'[95]VENTAS TOTALES'!$G230</f>
        <v>0</v>
      </c>
      <c r="CE203" s="344">
        <f>+'[95]VENTAS TOTALES'!$H230</f>
        <v>0</v>
      </c>
      <c r="CF203" s="371">
        <f>'[96]VENTAS TOTALES'!$F230</f>
        <v>2255</v>
      </c>
      <c r="CG203" s="344">
        <f>'[96]VENTAS TOTALES'!$G230</f>
        <v>2766000</v>
      </c>
      <c r="CH203" s="344">
        <f>+'[96]VENTAS TOTALES'!$H230</f>
        <v>6599500</v>
      </c>
      <c r="CI203" s="371">
        <f>'[97]VENTAS TOTALES'!$F230</f>
        <v>1554</v>
      </c>
      <c r="CJ203" s="344">
        <f>'[97]VENTAS TOTALES'!$G230</f>
        <v>1524600</v>
      </c>
      <c r="CK203" s="344">
        <f>+'[97]VENTAS TOTALES'!$H230</f>
        <v>4166400</v>
      </c>
      <c r="CL203" s="371">
        <f>'[98]VENTAS TOTALES'!$F230</f>
        <v>1980</v>
      </c>
      <c r="CM203" s="344">
        <f>'[98]VENTAS TOTALES'!$G230</f>
        <v>1466900</v>
      </c>
      <c r="CN203" s="344">
        <f>+'[98]VENTAS TOTALES'!$H230</f>
        <v>4832900</v>
      </c>
      <c r="CO203" s="371">
        <f>'[99]VENTAS TOTALES'!$F230</f>
        <v>2051</v>
      </c>
      <c r="CP203" s="344">
        <f>'[99]VENTAS TOTALES'!$G230</f>
        <v>1253500</v>
      </c>
      <c r="CQ203" s="344">
        <f>+'[99]VENTAS TOTALES'!$H230</f>
        <v>4740200</v>
      </c>
      <c r="CR203" s="371">
        <f>'[100]VENTAS TOTALES'!$F230</f>
        <v>457</v>
      </c>
      <c r="CS203" s="344">
        <f>'[100]VENTAS TOTALES'!$G230</f>
        <v>475800</v>
      </c>
      <c r="CT203" s="344">
        <f>+'[100]VENTAS TOTALES'!$H230</f>
        <v>1252700</v>
      </c>
      <c r="CU203" s="371">
        <f>'[101]VENTAS TOTALES'!$F230</f>
        <v>707</v>
      </c>
      <c r="CV203" s="344">
        <f>'[101]VENTAS TOTALES'!$G230</f>
        <v>407600</v>
      </c>
      <c r="CW203" s="344">
        <f>+'[101]VENTAS TOTALES'!$H230</f>
        <v>1609500</v>
      </c>
      <c r="CX203" s="371">
        <f>'[102]VENTAS TOTALES'!$F230</f>
        <v>0</v>
      </c>
      <c r="CY203" s="344">
        <f>'[102]VENTAS TOTALES'!$G230</f>
        <v>0</v>
      </c>
      <c r="CZ203" s="344">
        <f>+'[102]VENTAS TOTALES'!$H230</f>
        <v>0</v>
      </c>
    </row>
    <row r="204" spans="1:104" s="8" customFormat="1" ht="14.25" customHeight="1" thickBot="1" x14ac:dyDescent="0.25">
      <c r="A204" s="452"/>
      <c r="B204" s="345" t="s">
        <v>403</v>
      </c>
      <c r="C204" s="371">
        <f>'[69]VENTAS TOTALES'!$F231</f>
        <v>0</v>
      </c>
      <c r="D204" s="344">
        <f>'[69]VENTAS TOTALES'!$G231</f>
        <v>5361100</v>
      </c>
      <c r="E204" s="344">
        <f>+'[69]VENTAS TOTALES'!$H231</f>
        <v>5361100</v>
      </c>
      <c r="F204" s="371">
        <f>'[70]VENTAS TOTALES'!$F231</f>
        <v>0</v>
      </c>
      <c r="G204" s="344">
        <f>'[70]VENTAS TOTALES'!$G231</f>
        <v>3783000</v>
      </c>
      <c r="H204" s="344">
        <f>+'[70]VENTAS TOTALES'!$H231</f>
        <v>3783000</v>
      </c>
      <c r="I204" s="371">
        <f>'[71]VENTAS TOTALES'!$F231</f>
        <v>0</v>
      </c>
      <c r="J204" s="344">
        <f>'[71]VENTAS TOTALES'!$G231</f>
        <v>2618300</v>
      </c>
      <c r="K204" s="344">
        <f>+'[71]VENTAS TOTALES'!$H231</f>
        <v>2618300</v>
      </c>
      <c r="L204" s="371">
        <f>'[72]VENTAS TOTALES'!$F231</f>
        <v>0</v>
      </c>
      <c r="M204" s="344">
        <f>'[72]VENTAS TOTALES'!$G231</f>
        <v>3151900</v>
      </c>
      <c r="N204" s="344">
        <f>+'[72]VENTAS TOTALES'!$H231</f>
        <v>3151900</v>
      </c>
      <c r="O204" s="371">
        <f>'[73]VENTAS TOTALES'!$F231</f>
        <v>0</v>
      </c>
      <c r="P204" s="344">
        <f>'[73]VENTAS TOTALES'!$G231</f>
        <v>1810500</v>
      </c>
      <c r="Q204" s="344">
        <f>+'[73]VENTAS TOTALES'!$H231</f>
        <v>1810500</v>
      </c>
      <c r="R204" s="371">
        <f>'[74]VENTAS TOTALES'!$F231</f>
        <v>0</v>
      </c>
      <c r="S204" s="344">
        <f>'[74]VENTAS TOTALES'!$G231</f>
        <v>0</v>
      </c>
      <c r="T204" s="344">
        <f>+'[74]VENTAS TOTALES'!$H231</f>
        <v>0</v>
      </c>
      <c r="U204" s="371">
        <f>'[75]VENTAS TOTALES'!$F231</f>
        <v>0</v>
      </c>
      <c r="V204" s="344">
        <f>'[75]VENTAS TOTALES'!$G231</f>
        <v>3747600</v>
      </c>
      <c r="W204" s="344">
        <f>+'[75]VENTAS TOTALES'!$H231</f>
        <v>3747600</v>
      </c>
      <c r="X204" s="371">
        <f>'[76]VENTAS TOTALES'!$F231</f>
        <v>0</v>
      </c>
      <c r="Y204" s="344">
        <f>'[76]VENTAS TOTALES'!$G231</f>
        <v>3118900</v>
      </c>
      <c r="Z204" s="344">
        <f>+'[76]VENTAS TOTALES'!$H231</f>
        <v>3118900</v>
      </c>
      <c r="AA204" s="371">
        <f>'[77]VENTAS TOTALES'!$F231</f>
        <v>26</v>
      </c>
      <c r="AB204" s="344">
        <f>'[77]VENTAS TOTALES'!$G231</f>
        <v>2489800</v>
      </c>
      <c r="AC204" s="344">
        <f>+'[77]VENTAS TOTALES'!$H231</f>
        <v>2534000</v>
      </c>
      <c r="AD204" s="371">
        <f>'[78]VENTAS TOTALES'!$F231</f>
        <v>2</v>
      </c>
      <c r="AE204" s="344">
        <f>'[78]VENTAS TOTALES'!$G231</f>
        <v>2697500</v>
      </c>
      <c r="AF204" s="344">
        <f>+'[78]VENTAS TOTALES'!$H231</f>
        <v>2700900</v>
      </c>
      <c r="AG204" s="371">
        <f>'[79]VENTAS TOTALES'!$F231</f>
        <v>1</v>
      </c>
      <c r="AH204" s="344">
        <f>'[79]VENTAS TOTALES'!$G231</f>
        <v>2822700</v>
      </c>
      <c r="AI204" s="344">
        <f>+'[79]VENTAS TOTALES'!$H231</f>
        <v>2824400</v>
      </c>
      <c r="AJ204" s="371">
        <f>'[80]VENTAS TOTALES'!$F231</f>
        <v>0</v>
      </c>
      <c r="AK204" s="344">
        <f>'[80]VENTAS TOTALES'!$G231</f>
        <v>1262200</v>
      </c>
      <c r="AL204" s="344">
        <f>+'[80]VENTAS TOTALES'!$H231</f>
        <v>1262200</v>
      </c>
      <c r="AM204" s="371">
        <f>'[81]VENTAS TOTALES'!$F231</f>
        <v>0</v>
      </c>
      <c r="AN204" s="344">
        <f>'[81]VENTAS TOTALES'!$G231</f>
        <v>0</v>
      </c>
      <c r="AO204" s="344">
        <f>+'[81]VENTAS TOTALES'!$H231</f>
        <v>0</v>
      </c>
      <c r="AP204" s="371">
        <f>'[82]VENTAS TOTALES'!$F231</f>
        <v>37</v>
      </c>
      <c r="AQ204" s="344">
        <f>'[82]VENTAS TOTALES'!$G231</f>
        <v>3603500</v>
      </c>
      <c r="AR204" s="344">
        <f>+'[82]VENTAS TOTALES'!$H231</f>
        <v>3666400</v>
      </c>
      <c r="AS204" s="371">
        <f>'[83]VENTAS TOTALES'!$F231</f>
        <v>47</v>
      </c>
      <c r="AT204" s="344">
        <f>'[83]VENTAS TOTALES'!$G231</f>
        <v>3781000</v>
      </c>
      <c r="AU204" s="344">
        <f>+'[83]VENTAS TOTALES'!$H231</f>
        <v>3860900</v>
      </c>
      <c r="AV204" s="371">
        <f>'[84]VENTAS TOTALES'!$F231</f>
        <v>0</v>
      </c>
      <c r="AW204" s="344">
        <f>'[84]VENTAS TOTALES'!$G231</f>
        <v>1543600</v>
      </c>
      <c r="AX204" s="344">
        <f>+'[84]VENTAS TOTALES'!$H231</f>
        <v>1543600</v>
      </c>
      <c r="AY204" s="371">
        <f>'[85]VENTAS TOTALES'!$F231</f>
        <v>0</v>
      </c>
      <c r="AZ204" s="344">
        <f>'[85]VENTAS TOTALES'!$G231</f>
        <v>1906200</v>
      </c>
      <c r="BA204" s="344">
        <f>+'[85]VENTAS TOTALES'!$H231</f>
        <v>1906200</v>
      </c>
      <c r="BB204" s="371">
        <f>'[86]VENTAS TOTALES'!$F231</f>
        <v>0</v>
      </c>
      <c r="BC204" s="344">
        <f>'[86]VENTAS TOTALES'!$G231</f>
        <v>4283000</v>
      </c>
      <c r="BD204" s="344">
        <f>+'[86]VENTAS TOTALES'!$H231</f>
        <v>4283000</v>
      </c>
      <c r="BE204" s="371">
        <f>'[87]VENTAS TOTALES'!$F231</f>
        <v>0</v>
      </c>
      <c r="BF204" s="344">
        <f>'[87]VENTAS TOTALES'!$G231</f>
        <v>1808800</v>
      </c>
      <c r="BG204" s="344">
        <f>+'[87]VENTAS TOTALES'!$H231</f>
        <v>1808800</v>
      </c>
      <c r="BH204" s="371">
        <f>'[88]VENTAS TOTALES'!$F231</f>
        <v>0</v>
      </c>
      <c r="BI204" s="344">
        <f>'[88]VENTAS TOTALES'!$G231</f>
        <v>0</v>
      </c>
      <c r="BJ204" s="344">
        <f>+'[88]VENTAS TOTALES'!$H231</f>
        <v>0</v>
      </c>
      <c r="BK204" s="371">
        <f>'[89]VENTAS TOTALES'!$F231</f>
        <v>0</v>
      </c>
      <c r="BL204" s="344">
        <f>'[89]VENTAS TOTALES'!$G231</f>
        <v>5552100</v>
      </c>
      <c r="BM204" s="344">
        <f>+'[89]VENTAS TOTALES'!$H231</f>
        <v>5552100</v>
      </c>
      <c r="BN204" s="371">
        <f>'[90]VENTAS TOTALES'!$F231</f>
        <v>0</v>
      </c>
      <c r="BO204" s="344">
        <f>'[90]VENTAS TOTALES'!$G231</f>
        <v>3412200</v>
      </c>
      <c r="BP204" s="344">
        <f>+'[90]VENTAS TOTALES'!$H231</f>
        <v>3412200</v>
      </c>
      <c r="BQ204" s="371">
        <f>'[91]VENTAS TOTALES'!$F231</f>
        <v>2</v>
      </c>
      <c r="BR204" s="344">
        <f>'[91]VENTAS TOTALES'!$G231</f>
        <v>3147600</v>
      </c>
      <c r="BS204" s="344">
        <f>+'[91]VENTAS TOTALES'!$H231</f>
        <v>3151000</v>
      </c>
      <c r="BT204" s="371">
        <f>'[92]VENTAS TOTALES'!$F231</f>
        <v>0</v>
      </c>
      <c r="BU204" s="344">
        <f>'[92]VENTAS TOTALES'!$G231</f>
        <v>2810900</v>
      </c>
      <c r="BV204" s="344">
        <f>+'[92]VENTAS TOTALES'!$H231</f>
        <v>2810900</v>
      </c>
      <c r="BW204" s="371">
        <f>'[93]VENTAS TOTALES'!$F231</f>
        <v>136</v>
      </c>
      <c r="BX204" s="344">
        <f>'[93]VENTAS TOTALES'!$G231</f>
        <v>2315300</v>
      </c>
      <c r="BY204" s="344">
        <f>+'[93]VENTAS TOTALES'!$H231</f>
        <v>2546500</v>
      </c>
      <c r="BZ204" s="371">
        <f>'[94]VENTAS TOTALES'!$F231</f>
        <v>19</v>
      </c>
      <c r="CA204" s="344">
        <f>'[94]VENTAS TOTALES'!$G231</f>
        <v>1819400</v>
      </c>
      <c r="CB204" s="344">
        <f>+'[94]VENTAS TOTALES'!$H231</f>
        <v>1851700</v>
      </c>
      <c r="CC204" s="371">
        <f>'[95]VENTAS TOTALES'!$F231</f>
        <v>0</v>
      </c>
      <c r="CD204" s="344">
        <f>'[95]VENTAS TOTALES'!$G231</f>
        <v>0</v>
      </c>
      <c r="CE204" s="344">
        <f>+'[95]VENTAS TOTALES'!$H231</f>
        <v>0</v>
      </c>
      <c r="CF204" s="371">
        <f>'[96]VENTAS TOTALES'!$F231</f>
        <v>326</v>
      </c>
      <c r="CG204" s="344">
        <f>'[96]VENTAS TOTALES'!$G231</f>
        <v>5320900</v>
      </c>
      <c r="CH204" s="344">
        <f>+'[96]VENTAS TOTALES'!$H231</f>
        <v>5875100</v>
      </c>
      <c r="CI204" s="371">
        <f>'[97]VENTAS TOTALES'!$F231</f>
        <v>150</v>
      </c>
      <c r="CJ204" s="344">
        <f>'[97]VENTAS TOTALES'!$G231</f>
        <v>4469000</v>
      </c>
      <c r="CK204" s="344">
        <f>+'[97]VENTAS TOTALES'!$H231</f>
        <v>4724000</v>
      </c>
      <c r="CL204" s="371">
        <f>'[98]VENTAS TOTALES'!$F231</f>
        <v>119</v>
      </c>
      <c r="CM204" s="344">
        <f>'[98]VENTAS TOTALES'!$G231</f>
        <v>4710800</v>
      </c>
      <c r="CN204" s="344">
        <f>+'[98]VENTAS TOTALES'!$H231</f>
        <v>4913100</v>
      </c>
      <c r="CO204" s="371">
        <f>'[99]VENTAS TOTALES'!$F231</f>
        <v>163</v>
      </c>
      <c r="CP204" s="344">
        <f>'[99]VENTAS TOTALES'!$G231</f>
        <v>3258100</v>
      </c>
      <c r="CQ204" s="344">
        <f>+'[99]VENTAS TOTALES'!$H231</f>
        <v>3535200</v>
      </c>
      <c r="CR204" s="371">
        <f>'[100]VENTAS TOTALES'!$F231</f>
        <v>154</v>
      </c>
      <c r="CS204" s="344">
        <f>'[100]VENTAS TOTALES'!$G231</f>
        <v>3097600</v>
      </c>
      <c r="CT204" s="344">
        <f>+'[100]VENTAS TOTALES'!$H231</f>
        <v>3359400</v>
      </c>
      <c r="CU204" s="371">
        <f>'[101]VENTAS TOTALES'!$F231</f>
        <v>99</v>
      </c>
      <c r="CV204" s="344">
        <f>'[101]VENTAS TOTALES'!$G231</f>
        <v>1184900</v>
      </c>
      <c r="CW204" s="344">
        <f>+'[101]VENTAS TOTALES'!$H231</f>
        <v>1353200</v>
      </c>
      <c r="CX204" s="371">
        <f>'[102]VENTAS TOTALES'!$F231</f>
        <v>0</v>
      </c>
      <c r="CY204" s="344">
        <f>'[102]VENTAS TOTALES'!$G231</f>
        <v>0</v>
      </c>
      <c r="CZ204" s="344">
        <f>+'[102]VENTAS TOTALES'!$H231</f>
        <v>0</v>
      </c>
    </row>
    <row r="205" spans="1:104" s="8" customFormat="1" ht="14.25" customHeight="1" thickBot="1" x14ac:dyDescent="0.25">
      <c r="A205" s="452"/>
      <c r="B205" s="345" t="s">
        <v>404</v>
      </c>
      <c r="C205" s="371">
        <f>'[69]VENTAS TOTALES'!$F232</f>
        <v>4</v>
      </c>
      <c r="D205" s="344">
        <f>'[69]VENTAS TOTALES'!$G232</f>
        <v>3435000</v>
      </c>
      <c r="E205" s="344">
        <f>+'[69]VENTAS TOTALES'!$H232</f>
        <v>3441800</v>
      </c>
      <c r="F205" s="371">
        <f>'[70]VENTAS TOTALES'!$F232</f>
        <v>0</v>
      </c>
      <c r="G205" s="344">
        <f>'[70]VENTAS TOTALES'!$G232</f>
        <v>2507300</v>
      </c>
      <c r="H205" s="344">
        <f>+'[70]VENTAS TOTALES'!$H232</f>
        <v>2507300</v>
      </c>
      <c r="I205" s="371">
        <f>'[71]VENTAS TOTALES'!$F232</f>
        <v>0</v>
      </c>
      <c r="J205" s="344">
        <f>'[71]VENTAS TOTALES'!$G232</f>
        <v>2588500</v>
      </c>
      <c r="K205" s="344">
        <f>+'[71]VENTAS TOTALES'!$H232</f>
        <v>2588500</v>
      </c>
      <c r="L205" s="371">
        <f>'[72]VENTAS TOTALES'!$F232</f>
        <v>0</v>
      </c>
      <c r="M205" s="344">
        <f>'[72]VENTAS TOTALES'!$G232</f>
        <v>1682300</v>
      </c>
      <c r="N205" s="344">
        <f>+'[72]VENTAS TOTALES'!$H232</f>
        <v>1682300</v>
      </c>
      <c r="O205" s="371">
        <f>'[73]VENTAS TOTALES'!$F232</f>
        <v>0</v>
      </c>
      <c r="P205" s="344">
        <f>'[73]VENTAS TOTALES'!$G232</f>
        <v>64000</v>
      </c>
      <c r="Q205" s="344">
        <f>+'[73]VENTAS TOTALES'!$H232</f>
        <v>64000</v>
      </c>
      <c r="R205" s="371">
        <f>'[74]VENTAS TOTALES'!$F232</f>
        <v>0</v>
      </c>
      <c r="S205" s="344">
        <f>'[74]VENTAS TOTALES'!$G232</f>
        <v>0</v>
      </c>
      <c r="T205" s="344">
        <f>+'[74]VENTAS TOTALES'!$H232</f>
        <v>0</v>
      </c>
      <c r="U205" s="371">
        <f>'[75]VENTAS TOTALES'!$F232</f>
        <v>1</v>
      </c>
      <c r="V205" s="344">
        <f>'[75]VENTAS TOTALES'!$G232</f>
        <v>3126600</v>
      </c>
      <c r="W205" s="344">
        <f>+'[75]VENTAS TOTALES'!$H232</f>
        <v>3128300</v>
      </c>
      <c r="X205" s="371">
        <f>'[76]VENTAS TOTALES'!$F232</f>
        <v>0</v>
      </c>
      <c r="Y205" s="344">
        <f>'[76]VENTAS TOTALES'!$G232</f>
        <v>2969750</v>
      </c>
      <c r="Z205" s="344">
        <f>+'[76]VENTAS TOTALES'!$H232</f>
        <v>2969750</v>
      </c>
      <c r="AA205" s="371">
        <f>'[77]VENTAS TOTALES'!$F232</f>
        <v>0</v>
      </c>
      <c r="AB205" s="344">
        <f>'[77]VENTAS TOTALES'!$G232</f>
        <v>2780000</v>
      </c>
      <c r="AC205" s="344">
        <f>+'[77]VENTAS TOTALES'!$H232</f>
        <v>2780000</v>
      </c>
      <c r="AD205" s="371">
        <f>'[78]VENTAS TOTALES'!$F232</f>
        <v>0</v>
      </c>
      <c r="AE205" s="344">
        <f>'[78]VENTAS TOTALES'!$G232</f>
        <v>2843300</v>
      </c>
      <c r="AF205" s="344">
        <f>+'[78]VENTAS TOTALES'!$H232</f>
        <v>2843300</v>
      </c>
      <c r="AG205" s="371">
        <f>'[79]VENTAS TOTALES'!$F232</f>
        <v>0</v>
      </c>
      <c r="AH205" s="344">
        <f>'[79]VENTAS TOTALES'!$G232</f>
        <v>2328050</v>
      </c>
      <c r="AI205" s="344">
        <f>+'[79]VENTAS TOTALES'!$H232</f>
        <v>2328050</v>
      </c>
      <c r="AJ205" s="371">
        <f>'[80]VENTAS TOTALES'!$F232</f>
        <v>0</v>
      </c>
      <c r="AK205" s="344">
        <f>'[80]VENTAS TOTALES'!$G232</f>
        <v>516000</v>
      </c>
      <c r="AL205" s="344">
        <f>+'[80]VENTAS TOTALES'!$H232</f>
        <v>516000</v>
      </c>
      <c r="AM205" s="371">
        <f>'[81]VENTAS TOTALES'!$F232</f>
        <v>0</v>
      </c>
      <c r="AN205" s="344">
        <f>'[81]VENTAS TOTALES'!$G232</f>
        <v>0</v>
      </c>
      <c r="AO205" s="344">
        <f>+'[81]VENTAS TOTALES'!$H232</f>
        <v>0</v>
      </c>
      <c r="AP205" s="371">
        <f>'[82]VENTAS TOTALES'!$F232</f>
        <v>1</v>
      </c>
      <c r="AQ205" s="344">
        <f>'[82]VENTAS TOTALES'!$G232</f>
        <v>3865700</v>
      </c>
      <c r="AR205" s="344">
        <f>+'[82]VENTAS TOTALES'!$H232</f>
        <v>3867400</v>
      </c>
      <c r="AS205" s="371">
        <f>'[83]VENTAS TOTALES'!$F232</f>
        <v>0</v>
      </c>
      <c r="AT205" s="344">
        <f>'[83]VENTAS TOTALES'!$G232</f>
        <v>489200</v>
      </c>
      <c r="AU205" s="344">
        <f>+'[83]VENTAS TOTALES'!$H232</f>
        <v>489200</v>
      </c>
      <c r="AV205" s="371">
        <f>'[84]VENTAS TOTALES'!$F232</f>
        <v>0</v>
      </c>
      <c r="AW205" s="344">
        <f>'[84]VENTAS TOTALES'!$G232</f>
        <v>703600</v>
      </c>
      <c r="AX205" s="344">
        <f>+'[84]VENTAS TOTALES'!$H232</f>
        <v>703600</v>
      </c>
      <c r="AY205" s="371">
        <f>'[85]VENTAS TOTALES'!$F232</f>
        <v>0</v>
      </c>
      <c r="AZ205" s="344">
        <f>'[85]VENTAS TOTALES'!$G232</f>
        <v>2503400</v>
      </c>
      <c r="BA205" s="344">
        <f>+'[85]VENTAS TOTALES'!$H232</f>
        <v>2503400</v>
      </c>
      <c r="BB205" s="371">
        <f>'[86]VENTAS TOTALES'!$F232</f>
        <v>0</v>
      </c>
      <c r="BC205" s="344">
        <f>'[86]VENTAS TOTALES'!$G232</f>
        <v>2196700</v>
      </c>
      <c r="BD205" s="344">
        <f>+'[86]VENTAS TOTALES'!$H232</f>
        <v>2196700</v>
      </c>
      <c r="BE205" s="371">
        <f>'[87]VENTAS TOTALES'!$F232</f>
        <v>2</v>
      </c>
      <c r="BF205" s="344">
        <f>'[87]VENTAS TOTALES'!$G232</f>
        <v>507000</v>
      </c>
      <c r="BG205" s="344">
        <f>+'[87]VENTAS TOTALES'!$H232</f>
        <v>510400</v>
      </c>
      <c r="BH205" s="371">
        <f>'[88]VENTAS TOTALES'!$F232</f>
        <v>0</v>
      </c>
      <c r="BI205" s="344">
        <f>'[88]VENTAS TOTALES'!$G232</f>
        <v>0</v>
      </c>
      <c r="BJ205" s="344">
        <f>+'[88]VENTAS TOTALES'!$H232</f>
        <v>0</v>
      </c>
      <c r="BK205" s="371">
        <f>'[89]VENTAS TOTALES'!$F232</f>
        <v>0</v>
      </c>
      <c r="BL205" s="344">
        <f>'[89]VENTAS TOTALES'!$G232</f>
        <v>3998400</v>
      </c>
      <c r="BM205" s="344">
        <f>+'[89]VENTAS TOTALES'!$H232</f>
        <v>3998400</v>
      </c>
      <c r="BN205" s="371">
        <f>'[90]VENTAS TOTALES'!$F232</f>
        <v>3</v>
      </c>
      <c r="BO205" s="344">
        <f>'[90]VENTAS TOTALES'!$G232</f>
        <v>3306300</v>
      </c>
      <c r="BP205" s="344">
        <f>+'[90]VENTAS TOTALES'!$H232</f>
        <v>3311400</v>
      </c>
      <c r="BQ205" s="371">
        <f>'[91]VENTAS TOTALES'!$F232</f>
        <v>0</v>
      </c>
      <c r="BR205" s="344">
        <f>'[91]VENTAS TOTALES'!$G232</f>
        <v>2720000</v>
      </c>
      <c r="BS205" s="344">
        <f>+'[91]VENTAS TOTALES'!$H232</f>
        <v>2720000</v>
      </c>
      <c r="BT205" s="371">
        <f>'[92]VENTAS TOTALES'!$F232</f>
        <v>0</v>
      </c>
      <c r="BU205" s="344">
        <f>'[92]VENTAS TOTALES'!$G232</f>
        <v>2455000</v>
      </c>
      <c r="BV205" s="344">
        <f>+'[92]VENTAS TOTALES'!$H232</f>
        <v>2455000</v>
      </c>
      <c r="BW205" s="371">
        <f>'[93]VENTAS TOTALES'!$F232</f>
        <v>0</v>
      </c>
      <c r="BX205" s="344">
        <f>'[93]VENTAS TOTALES'!$G232</f>
        <v>2429500</v>
      </c>
      <c r="BY205" s="344">
        <f>+'[93]VENTAS TOTALES'!$H232</f>
        <v>2429500</v>
      </c>
      <c r="BZ205" s="371">
        <f>'[94]VENTAS TOTALES'!$F232</f>
        <v>0</v>
      </c>
      <c r="CA205" s="344">
        <f>'[94]VENTAS TOTALES'!$G232</f>
        <v>555500</v>
      </c>
      <c r="CB205" s="344">
        <f>+'[94]VENTAS TOTALES'!$H232</f>
        <v>555500</v>
      </c>
      <c r="CC205" s="371">
        <f>'[95]VENTAS TOTALES'!$F232</f>
        <v>0</v>
      </c>
      <c r="CD205" s="344">
        <f>'[95]VENTAS TOTALES'!$G232</f>
        <v>0</v>
      </c>
      <c r="CE205" s="344">
        <f>+'[95]VENTAS TOTALES'!$H232</f>
        <v>0</v>
      </c>
      <c r="CF205" s="371">
        <f>'[96]VENTAS TOTALES'!$F232</f>
        <v>0</v>
      </c>
      <c r="CG205" s="344">
        <f>'[96]VENTAS TOTALES'!$G232</f>
        <v>3430500</v>
      </c>
      <c r="CH205" s="344">
        <f>+'[96]VENTAS TOTALES'!$H232</f>
        <v>3430500</v>
      </c>
      <c r="CI205" s="371">
        <f>'[97]VENTAS TOTALES'!$F232</f>
        <v>7</v>
      </c>
      <c r="CJ205" s="344">
        <f>'[97]VENTAS TOTALES'!$G232</f>
        <v>3721600</v>
      </c>
      <c r="CK205" s="344">
        <f>+'[97]VENTAS TOTALES'!$H232</f>
        <v>3733500</v>
      </c>
      <c r="CL205" s="371">
        <f>'[98]VENTAS TOTALES'!$F232</f>
        <v>0</v>
      </c>
      <c r="CM205" s="344">
        <f>'[98]VENTAS TOTALES'!$G232</f>
        <v>2673300</v>
      </c>
      <c r="CN205" s="344">
        <f>+'[98]VENTAS TOTALES'!$H232</f>
        <v>2673300</v>
      </c>
      <c r="CO205" s="371">
        <f>'[99]VENTAS TOTALES'!$F232</f>
        <v>0</v>
      </c>
      <c r="CP205" s="344">
        <f>'[99]VENTAS TOTALES'!$G232</f>
        <v>2205800</v>
      </c>
      <c r="CQ205" s="344">
        <f>+'[99]VENTAS TOTALES'!$H232</f>
        <v>2205800</v>
      </c>
      <c r="CR205" s="371">
        <f>'[100]VENTAS TOTALES'!$F232</f>
        <v>0</v>
      </c>
      <c r="CS205" s="344">
        <f>'[100]VENTAS TOTALES'!$G232</f>
        <v>2024900</v>
      </c>
      <c r="CT205" s="344">
        <f>+'[100]VENTAS TOTALES'!$H232</f>
        <v>2024900</v>
      </c>
      <c r="CU205" s="371">
        <f>'[101]VENTAS TOTALES'!$F232</f>
        <v>0</v>
      </c>
      <c r="CV205" s="344">
        <f>'[101]VENTAS TOTALES'!$G232</f>
        <v>212100</v>
      </c>
      <c r="CW205" s="344">
        <f>+'[101]VENTAS TOTALES'!$H232</f>
        <v>212100</v>
      </c>
      <c r="CX205" s="371">
        <f>'[102]VENTAS TOTALES'!$F232</f>
        <v>0</v>
      </c>
      <c r="CY205" s="344">
        <f>'[102]VENTAS TOTALES'!$G232</f>
        <v>0</v>
      </c>
      <c r="CZ205" s="344">
        <f>+'[102]VENTAS TOTALES'!$H232</f>
        <v>0</v>
      </c>
    </row>
    <row r="206" spans="1:104" s="8" customFormat="1" ht="14.25" customHeight="1" thickBot="1" x14ac:dyDescent="0.25">
      <c r="A206" s="452"/>
      <c r="B206" s="345" t="s">
        <v>405</v>
      </c>
      <c r="C206" s="371">
        <f>'[69]VENTAS TOTALES'!$F233</f>
        <v>1216</v>
      </c>
      <c r="D206" s="344">
        <f>'[69]VENTAS TOTALES'!$G233</f>
        <v>1670100</v>
      </c>
      <c r="E206" s="344">
        <f>+'[69]VENTAS TOTALES'!$H233</f>
        <v>3737300</v>
      </c>
      <c r="F206" s="371">
        <f>'[70]VENTAS TOTALES'!$F233</f>
        <v>1161</v>
      </c>
      <c r="G206" s="344">
        <f>'[70]VENTAS TOTALES'!$G233</f>
        <v>1164700</v>
      </c>
      <c r="H206" s="344">
        <f>+'[70]VENTAS TOTALES'!$H233</f>
        <v>3138400</v>
      </c>
      <c r="I206" s="371">
        <f>'[71]VENTAS TOTALES'!$F233</f>
        <v>1156</v>
      </c>
      <c r="J206" s="344">
        <f>'[71]VENTAS TOTALES'!$G233</f>
        <v>1024050</v>
      </c>
      <c r="K206" s="344">
        <f>+'[71]VENTAS TOTALES'!$H233</f>
        <v>2989250</v>
      </c>
      <c r="L206" s="371">
        <f>'[72]VENTAS TOTALES'!$F233</f>
        <v>1328</v>
      </c>
      <c r="M206" s="344">
        <f>'[72]VENTAS TOTALES'!$G233</f>
        <v>1324000</v>
      </c>
      <c r="N206" s="344">
        <f>+'[72]VENTAS TOTALES'!$H233</f>
        <v>3581600</v>
      </c>
      <c r="O206" s="371">
        <f>'[73]VENTAS TOTALES'!$F233</f>
        <v>872</v>
      </c>
      <c r="P206" s="344">
        <f>'[73]VENTAS TOTALES'!$G233</f>
        <v>310500</v>
      </c>
      <c r="Q206" s="344">
        <f>+'[73]VENTAS TOTALES'!$H233</f>
        <v>1792900</v>
      </c>
      <c r="R206" s="371">
        <f>'[74]VENTAS TOTALES'!$F233</f>
        <v>0</v>
      </c>
      <c r="S206" s="344">
        <f>'[74]VENTAS TOTALES'!$G233</f>
        <v>0</v>
      </c>
      <c r="T206" s="344">
        <f>+'[74]VENTAS TOTALES'!$H233</f>
        <v>0</v>
      </c>
      <c r="U206" s="371">
        <f>'[75]VENTAS TOTALES'!$F233</f>
        <v>1551</v>
      </c>
      <c r="V206" s="344">
        <f>'[75]VENTAS TOTALES'!$G233</f>
        <v>1572700</v>
      </c>
      <c r="W206" s="344">
        <f>+'[75]VENTAS TOTALES'!$H233</f>
        <v>4209400</v>
      </c>
      <c r="X206" s="371">
        <f>'[76]VENTAS TOTALES'!$F233</f>
        <v>1154</v>
      </c>
      <c r="Y206" s="344">
        <f>'[76]VENTAS TOTALES'!$G233</f>
        <v>752350</v>
      </c>
      <c r="Z206" s="344">
        <f>+'[76]VENTAS TOTALES'!$H233</f>
        <v>2714150</v>
      </c>
      <c r="AA206" s="371">
        <f>'[77]VENTAS TOTALES'!$F233</f>
        <v>1110</v>
      </c>
      <c r="AB206" s="344">
        <f>'[77]VENTAS TOTALES'!$G233</f>
        <v>1013000</v>
      </c>
      <c r="AC206" s="344">
        <f>+'[77]VENTAS TOTALES'!$H233</f>
        <v>2900000</v>
      </c>
      <c r="AD206" s="371">
        <f>'[78]VENTAS TOTALES'!$F233</f>
        <v>1058</v>
      </c>
      <c r="AE206" s="344">
        <f>'[78]VENTAS TOTALES'!$G233</f>
        <v>1013800</v>
      </c>
      <c r="AF206" s="344">
        <f>+'[78]VENTAS TOTALES'!$H233</f>
        <v>2812400</v>
      </c>
      <c r="AG206" s="371">
        <f>'[79]VENTAS TOTALES'!$F233</f>
        <v>1146</v>
      </c>
      <c r="AH206" s="344">
        <f>'[79]VENTAS TOTALES'!$G233</f>
        <v>966300</v>
      </c>
      <c r="AI206" s="344">
        <f>+'[79]VENTAS TOTALES'!$H233</f>
        <v>2914500</v>
      </c>
      <c r="AJ206" s="371">
        <f>'[80]VENTAS TOTALES'!$F233</f>
        <v>804</v>
      </c>
      <c r="AK206" s="344">
        <f>'[80]VENTAS TOTALES'!$G233</f>
        <v>244000</v>
      </c>
      <c r="AL206" s="344">
        <f>+'[80]VENTAS TOTALES'!$H233</f>
        <v>1610800</v>
      </c>
      <c r="AM206" s="371">
        <f>'[81]VENTAS TOTALES'!$F233</f>
        <v>0</v>
      </c>
      <c r="AN206" s="344">
        <f>'[81]VENTAS TOTALES'!$G233</f>
        <v>0</v>
      </c>
      <c r="AO206" s="344">
        <f>+'[81]VENTAS TOTALES'!$H233</f>
        <v>0</v>
      </c>
      <c r="AP206" s="371">
        <f>'[82]VENTAS TOTALES'!$F233</f>
        <v>1184</v>
      </c>
      <c r="AQ206" s="344">
        <f>'[82]VENTAS TOTALES'!$G233</f>
        <v>2000100</v>
      </c>
      <c r="AR206" s="344">
        <f>+'[82]VENTAS TOTALES'!$H233</f>
        <v>4012900</v>
      </c>
      <c r="AS206" s="371">
        <f>'[83]VENTAS TOTALES'!$F233</f>
        <v>1526</v>
      </c>
      <c r="AT206" s="344">
        <f>'[83]VENTAS TOTALES'!$G233</f>
        <v>1423100</v>
      </c>
      <c r="AU206" s="344">
        <f>+'[83]VENTAS TOTALES'!$H233</f>
        <v>4017300</v>
      </c>
      <c r="AV206" s="371">
        <f>'[84]VENTAS TOTALES'!$F233</f>
        <v>671</v>
      </c>
      <c r="AW206" s="344">
        <f>'[84]VENTAS TOTALES'!$G233</f>
        <v>1170500</v>
      </c>
      <c r="AX206" s="344">
        <f>+'[84]VENTAS TOTALES'!$H233</f>
        <v>2311200</v>
      </c>
      <c r="AY206" s="371">
        <f>'[85]VENTAS TOTALES'!$F233</f>
        <v>1013</v>
      </c>
      <c r="AZ206" s="344">
        <f>'[85]VENTAS TOTALES'!$G233</f>
        <v>1070200</v>
      </c>
      <c r="BA206" s="344">
        <f>+'[85]VENTAS TOTALES'!$H233</f>
        <v>2792300</v>
      </c>
      <c r="BB206" s="371">
        <f>'[86]VENTAS TOTALES'!$F233</f>
        <v>1143</v>
      </c>
      <c r="BC206" s="344">
        <f>'[86]VENTAS TOTALES'!$G233</f>
        <v>971200</v>
      </c>
      <c r="BD206" s="344">
        <f>+'[86]VENTAS TOTALES'!$H233</f>
        <v>2914300</v>
      </c>
      <c r="BE206" s="371">
        <f>'[87]VENTAS TOTALES'!$F233</f>
        <v>832</v>
      </c>
      <c r="BF206" s="344">
        <f>'[87]VENTAS TOTALES'!$G233</f>
        <v>304500</v>
      </c>
      <c r="BG206" s="344">
        <f>+'[87]VENTAS TOTALES'!$H233</f>
        <v>1718900</v>
      </c>
      <c r="BH206" s="371">
        <f>'[88]VENTAS TOTALES'!$F233</f>
        <v>0</v>
      </c>
      <c r="BI206" s="344">
        <f>'[88]VENTAS TOTALES'!$G233</f>
        <v>0</v>
      </c>
      <c r="BJ206" s="344">
        <f>+'[88]VENTAS TOTALES'!$H233</f>
        <v>0</v>
      </c>
      <c r="BK206" s="371">
        <f>'[89]VENTAS TOTALES'!$F233</f>
        <v>1479</v>
      </c>
      <c r="BL206" s="344">
        <f>'[89]VENTAS TOTALES'!$G233</f>
        <v>1752200</v>
      </c>
      <c r="BM206" s="344">
        <f>+'[89]VENTAS TOTALES'!$H233</f>
        <v>4266500</v>
      </c>
      <c r="BN206" s="371">
        <f>'[90]VENTAS TOTALES'!$F233</f>
        <v>1316</v>
      </c>
      <c r="BO206" s="344">
        <f>'[90]VENTAS TOTALES'!$G233</f>
        <v>1200900</v>
      </c>
      <c r="BP206" s="344">
        <f>+'[90]VENTAS TOTALES'!$H233</f>
        <v>3438100</v>
      </c>
      <c r="BQ206" s="371">
        <f>'[91]VENTAS TOTALES'!$F233</f>
        <v>1064</v>
      </c>
      <c r="BR206" s="344">
        <f>'[91]VENTAS TOTALES'!$G233</f>
        <v>1043200</v>
      </c>
      <c r="BS206" s="344">
        <f>+'[91]VENTAS TOTALES'!$H233</f>
        <v>2852000</v>
      </c>
      <c r="BT206" s="371">
        <f>'[92]VENTAS TOTALES'!$F233</f>
        <v>563</v>
      </c>
      <c r="BU206" s="344">
        <f>'[92]VENTAS TOTALES'!$G233</f>
        <v>1122300</v>
      </c>
      <c r="BV206" s="344">
        <f>+'[92]VENTAS TOTALES'!$H233</f>
        <v>2079400</v>
      </c>
      <c r="BW206" s="371">
        <f>'[93]VENTAS TOTALES'!$F233</f>
        <v>560</v>
      </c>
      <c r="BX206" s="344">
        <f>'[93]VENTAS TOTALES'!$G233</f>
        <v>1235800</v>
      </c>
      <c r="BY206" s="344">
        <f>+'[93]VENTAS TOTALES'!$H233</f>
        <v>2187800</v>
      </c>
      <c r="BZ206" s="371">
        <f>'[94]VENTAS TOTALES'!$F233</f>
        <v>471</v>
      </c>
      <c r="CA206" s="344">
        <f>'[94]VENTAS TOTALES'!$G233</f>
        <v>581500</v>
      </c>
      <c r="CB206" s="344">
        <f>+'[94]VENTAS TOTALES'!$H233</f>
        <v>1382200</v>
      </c>
      <c r="CC206" s="371">
        <f>'[95]VENTAS TOTALES'!$F233</f>
        <v>0</v>
      </c>
      <c r="CD206" s="344">
        <f>'[95]VENTAS TOTALES'!$G233</f>
        <v>0</v>
      </c>
      <c r="CE206" s="344">
        <f>+'[95]VENTAS TOTALES'!$H233</f>
        <v>0</v>
      </c>
      <c r="CF206" s="371">
        <f>'[96]VENTAS TOTALES'!$F233</f>
        <v>2119</v>
      </c>
      <c r="CG206" s="344">
        <f>'[96]VENTAS TOTALES'!$G233</f>
        <v>1810500</v>
      </c>
      <c r="CH206" s="344">
        <f>+'[96]VENTAS TOTALES'!$H233</f>
        <v>5412800</v>
      </c>
      <c r="CI206" s="371">
        <f>'[97]VENTAS TOTALES'!$F233</f>
        <v>1665</v>
      </c>
      <c r="CJ206" s="344">
        <f>'[97]VENTAS TOTALES'!$G233</f>
        <v>1958900</v>
      </c>
      <c r="CK206" s="344">
        <f>+'[97]VENTAS TOTALES'!$H233</f>
        <v>4789400</v>
      </c>
      <c r="CL206" s="371">
        <f>'[98]VENTAS TOTALES'!$F233</f>
        <v>902</v>
      </c>
      <c r="CM206" s="344">
        <f>'[98]VENTAS TOTALES'!$G233</f>
        <v>1484200</v>
      </c>
      <c r="CN206" s="344">
        <f>+'[98]VENTAS TOTALES'!$H233</f>
        <v>3017600</v>
      </c>
      <c r="CO206" s="371">
        <f>'[99]VENTAS TOTALES'!$F233</f>
        <v>784</v>
      </c>
      <c r="CP206" s="344">
        <f>'[99]VENTAS TOTALES'!$G233</f>
        <v>1152400</v>
      </c>
      <c r="CQ206" s="344">
        <f>+'[99]VENTAS TOTALES'!$H233</f>
        <v>2485200</v>
      </c>
      <c r="CR206" s="371">
        <f>'[100]VENTAS TOTALES'!$F233</f>
        <v>825</v>
      </c>
      <c r="CS206" s="344">
        <f>'[100]VENTAS TOTALES'!$G233</f>
        <v>1651300</v>
      </c>
      <c r="CT206" s="344">
        <f>+'[100]VENTAS TOTALES'!$H233</f>
        <v>3053800</v>
      </c>
      <c r="CU206" s="371">
        <f>'[101]VENTAS TOTALES'!$F233</f>
        <v>719</v>
      </c>
      <c r="CV206" s="344">
        <f>'[101]VENTAS TOTALES'!$G233</f>
        <v>226000</v>
      </c>
      <c r="CW206" s="344">
        <f>+'[101]VENTAS TOTALES'!$H233</f>
        <v>1448300</v>
      </c>
      <c r="CX206" s="371">
        <f>'[102]VENTAS TOTALES'!$F233</f>
        <v>0</v>
      </c>
      <c r="CY206" s="344">
        <f>'[102]VENTAS TOTALES'!$G233</f>
        <v>0</v>
      </c>
      <c r="CZ206" s="344">
        <f>+'[102]VENTAS TOTALES'!$H233</f>
        <v>0</v>
      </c>
    </row>
    <row r="207" spans="1:104" s="8" customFormat="1" ht="14.25" customHeight="1" thickBot="1" x14ac:dyDescent="0.25">
      <c r="A207" s="452"/>
      <c r="B207" s="345" t="s">
        <v>406</v>
      </c>
      <c r="C207" s="371">
        <f>'[69]VENTAS TOTALES'!$F234</f>
        <v>1353</v>
      </c>
      <c r="D207" s="344">
        <f>'[69]VENTAS TOTALES'!$G234</f>
        <v>1306800</v>
      </c>
      <c r="E207" s="344">
        <f>+'[69]VENTAS TOTALES'!$H234</f>
        <v>3606900</v>
      </c>
      <c r="F207" s="371">
        <f>'[70]VENTAS TOTALES'!$F234</f>
        <v>1435</v>
      </c>
      <c r="G207" s="344">
        <f>'[70]VENTAS TOTALES'!$G234</f>
        <v>1087000</v>
      </c>
      <c r="H207" s="344">
        <f>+'[70]VENTAS TOTALES'!$H234</f>
        <v>3526500</v>
      </c>
      <c r="I207" s="371">
        <f>'[71]VENTAS TOTALES'!$F234</f>
        <v>1374</v>
      </c>
      <c r="J207" s="344">
        <f>'[71]VENTAS TOTALES'!$G234</f>
        <v>795200</v>
      </c>
      <c r="K207" s="344">
        <f>+'[71]VENTAS TOTALES'!$H234</f>
        <v>3131000</v>
      </c>
      <c r="L207" s="371">
        <f>'[72]VENTAS TOTALES'!$F234</f>
        <v>1242</v>
      </c>
      <c r="M207" s="344">
        <f>'[72]VENTAS TOTALES'!$G234</f>
        <v>851200</v>
      </c>
      <c r="N207" s="344">
        <f>+'[72]VENTAS TOTALES'!$H234</f>
        <v>2962600</v>
      </c>
      <c r="O207" s="371">
        <f>'[73]VENTAS TOTALES'!$F234</f>
        <v>1141</v>
      </c>
      <c r="P207" s="344">
        <f>'[73]VENTAS TOTALES'!$G234</f>
        <v>248000</v>
      </c>
      <c r="Q207" s="344">
        <f>+'[73]VENTAS TOTALES'!$H234</f>
        <v>2187700</v>
      </c>
      <c r="R207" s="371">
        <f>'[74]VENTAS TOTALES'!$F234</f>
        <v>0</v>
      </c>
      <c r="S207" s="344">
        <f>'[74]VENTAS TOTALES'!$G234</f>
        <v>0</v>
      </c>
      <c r="T207" s="344">
        <f>+'[74]VENTAS TOTALES'!$H234</f>
        <v>0</v>
      </c>
      <c r="U207" s="371">
        <f>'[75]VENTAS TOTALES'!$F234</f>
        <v>273</v>
      </c>
      <c r="V207" s="344">
        <f>'[75]VENTAS TOTALES'!$G234</f>
        <v>236300</v>
      </c>
      <c r="W207" s="344">
        <f>+'[75]VENTAS TOTALES'!$H234</f>
        <v>700400</v>
      </c>
      <c r="X207" s="371">
        <f>'[76]VENTAS TOTALES'!$F234</f>
        <v>1386</v>
      </c>
      <c r="Y207" s="344">
        <f>'[76]VENTAS TOTALES'!$G234</f>
        <v>791500</v>
      </c>
      <c r="Z207" s="344">
        <f>+'[76]VENTAS TOTALES'!$H234</f>
        <v>3147700</v>
      </c>
      <c r="AA207" s="371">
        <f>'[77]VENTAS TOTALES'!$F234</f>
        <v>1391</v>
      </c>
      <c r="AB207" s="344">
        <f>'[77]VENTAS TOTALES'!$G234</f>
        <v>803050</v>
      </c>
      <c r="AC207" s="344">
        <f>+'[77]VENTAS TOTALES'!$H234</f>
        <v>3167750</v>
      </c>
      <c r="AD207" s="371">
        <f>'[78]VENTAS TOTALES'!$F234</f>
        <v>1434</v>
      </c>
      <c r="AE207" s="344">
        <f>'[78]VENTAS TOTALES'!$G234</f>
        <v>619050</v>
      </c>
      <c r="AF207" s="344">
        <f>+'[78]VENTAS TOTALES'!$H234</f>
        <v>3056850</v>
      </c>
      <c r="AG207" s="371">
        <f>'[79]VENTAS TOTALES'!$F234</f>
        <v>1185</v>
      </c>
      <c r="AH207" s="344">
        <f>'[79]VENTAS TOTALES'!$G234</f>
        <v>478500</v>
      </c>
      <c r="AI207" s="344">
        <f>+'[79]VENTAS TOTALES'!$H234</f>
        <v>2493000</v>
      </c>
      <c r="AJ207" s="371">
        <f>'[80]VENTAS TOTALES'!$F234</f>
        <v>1057</v>
      </c>
      <c r="AK207" s="344">
        <f>'[80]VENTAS TOTALES'!$G234</f>
        <v>719400</v>
      </c>
      <c r="AL207" s="344">
        <f>+'[80]VENTAS TOTALES'!$H234</f>
        <v>2516300</v>
      </c>
      <c r="AM207" s="371">
        <f>'[81]VENTAS TOTALES'!$F234</f>
        <v>0</v>
      </c>
      <c r="AN207" s="344">
        <f>'[81]VENTAS TOTALES'!$G234</f>
        <v>0</v>
      </c>
      <c r="AO207" s="344">
        <f>+'[81]VENTAS TOTALES'!$H234</f>
        <v>0</v>
      </c>
      <c r="AP207" s="371">
        <f>'[82]VENTAS TOTALES'!$F234</f>
        <v>1675</v>
      </c>
      <c r="AQ207" s="344">
        <f>'[82]VENTAS TOTALES'!$G234</f>
        <v>1127500</v>
      </c>
      <c r="AR207" s="344">
        <f>+'[82]VENTAS TOTALES'!$H234</f>
        <v>3975000</v>
      </c>
      <c r="AS207" s="371">
        <f>'[83]VENTAS TOTALES'!$F234</f>
        <v>930</v>
      </c>
      <c r="AT207" s="344">
        <f>'[83]VENTAS TOTALES'!$G234</f>
        <v>936100</v>
      </c>
      <c r="AU207" s="344">
        <f>+'[83]VENTAS TOTALES'!$H234</f>
        <v>2517100</v>
      </c>
      <c r="AV207" s="371">
        <f>'[84]VENTAS TOTALES'!$F234</f>
        <v>1417</v>
      </c>
      <c r="AW207" s="344">
        <f>'[84]VENTAS TOTALES'!$G234</f>
        <v>995300</v>
      </c>
      <c r="AX207" s="344">
        <f>+'[84]VENTAS TOTALES'!$H234</f>
        <v>3404200</v>
      </c>
      <c r="AY207" s="371">
        <f>'[85]VENTAS TOTALES'!$F234</f>
        <v>1201</v>
      </c>
      <c r="AZ207" s="344">
        <f>'[85]VENTAS TOTALES'!$G234</f>
        <v>605000</v>
      </c>
      <c r="BA207" s="344">
        <f>+'[85]VENTAS TOTALES'!$H234</f>
        <v>2646700</v>
      </c>
      <c r="BB207" s="371">
        <f>'[86]VENTAS TOTALES'!$F234</f>
        <v>1423</v>
      </c>
      <c r="BC207" s="344">
        <f>'[86]VENTAS TOTALES'!$G234</f>
        <v>946700</v>
      </c>
      <c r="BD207" s="344">
        <f>+'[86]VENTAS TOTALES'!$H234</f>
        <v>3365800</v>
      </c>
      <c r="BE207" s="371">
        <f>'[87]VENTAS TOTALES'!$F234</f>
        <v>1383</v>
      </c>
      <c r="BF207" s="344">
        <f>'[87]VENTAS TOTALES'!$G234</f>
        <v>865700</v>
      </c>
      <c r="BG207" s="344">
        <f>+'[87]VENTAS TOTALES'!$H234</f>
        <v>3216800</v>
      </c>
      <c r="BH207" s="371">
        <f>'[88]VENTAS TOTALES'!$F234</f>
        <v>0</v>
      </c>
      <c r="BI207" s="344">
        <f>'[88]VENTAS TOTALES'!$G234</f>
        <v>0</v>
      </c>
      <c r="BJ207" s="344">
        <f>+'[88]VENTAS TOTALES'!$H234</f>
        <v>0</v>
      </c>
      <c r="BK207" s="371">
        <f>'[89]VENTAS TOTALES'!$F234</f>
        <v>1490</v>
      </c>
      <c r="BL207" s="344">
        <f>'[89]VENTAS TOTALES'!$G234</f>
        <v>947750</v>
      </c>
      <c r="BM207" s="344">
        <f>+'[89]VENTAS TOTALES'!$H234</f>
        <v>3480750</v>
      </c>
      <c r="BN207" s="371">
        <f>'[90]VENTAS TOTALES'!$F234</f>
        <v>1268</v>
      </c>
      <c r="BO207" s="344">
        <f>'[90]VENTAS TOTALES'!$G234</f>
        <v>628600</v>
      </c>
      <c r="BP207" s="344">
        <f>+'[90]VENTAS TOTALES'!$H234</f>
        <v>2784200</v>
      </c>
      <c r="BQ207" s="371">
        <f>'[91]VENTAS TOTALES'!$F234</f>
        <v>1391</v>
      </c>
      <c r="BR207" s="344">
        <f>'[91]VENTAS TOTALES'!$G234</f>
        <v>818200</v>
      </c>
      <c r="BS207" s="344">
        <f>+'[91]VENTAS TOTALES'!$H234</f>
        <v>3182900</v>
      </c>
      <c r="BT207" s="371">
        <f>'[92]VENTAS TOTALES'!$F234</f>
        <v>717</v>
      </c>
      <c r="BU207" s="344">
        <f>'[92]VENTAS TOTALES'!$G234</f>
        <v>306300</v>
      </c>
      <c r="BV207" s="344">
        <f>+'[92]VENTAS TOTALES'!$H234</f>
        <v>1525200</v>
      </c>
      <c r="BW207" s="371">
        <f>'[93]VENTAS TOTALES'!$F234</f>
        <v>573</v>
      </c>
      <c r="BX207" s="344">
        <f>'[93]VENTAS TOTALES'!$G234</f>
        <v>423200</v>
      </c>
      <c r="BY207" s="344">
        <f>+'[93]VENTAS TOTALES'!$H234</f>
        <v>1397300</v>
      </c>
      <c r="BZ207" s="371">
        <f>'[94]VENTAS TOTALES'!$F234</f>
        <v>821</v>
      </c>
      <c r="CA207" s="344">
        <f>'[94]VENTAS TOTALES'!$G234</f>
        <v>508800</v>
      </c>
      <c r="CB207" s="344">
        <f>+'[94]VENTAS TOTALES'!$H234</f>
        <v>1904500</v>
      </c>
      <c r="CC207" s="371">
        <f>'[95]VENTAS TOTALES'!$F234</f>
        <v>0</v>
      </c>
      <c r="CD207" s="344">
        <f>'[95]VENTAS TOTALES'!$G234</f>
        <v>0</v>
      </c>
      <c r="CE207" s="344">
        <f>+'[95]VENTAS TOTALES'!$H234</f>
        <v>0</v>
      </c>
      <c r="CF207" s="371">
        <f>'[96]VENTAS TOTALES'!$F234</f>
        <v>1352</v>
      </c>
      <c r="CG207" s="344">
        <f>'[96]VENTAS TOTALES'!$G234</f>
        <v>1211700</v>
      </c>
      <c r="CH207" s="344">
        <f>+'[96]VENTAS TOTALES'!$H234</f>
        <v>3510100</v>
      </c>
      <c r="CI207" s="371">
        <f>'[97]VENTAS TOTALES'!$F234</f>
        <v>1492</v>
      </c>
      <c r="CJ207" s="344">
        <f>'[97]VENTAS TOTALES'!$G234</f>
        <v>977100</v>
      </c>
      <c r="CK207" s="344">
        <f>+'[97]VENTAS TOTALES'!$H234</f>
        <v>3513500</v>
      </c>
      <c r="CL207" s="371">
        <f>'[98]VENTAS TOTALES'!$F234</f>
        <v>865</v>
      </c>
      <c r="CM207" s="344">
        <f>'[98]VENTAS TOTALES'!$G234</f>
        <v>414800</v>
      </c>
      <c r="CN207" s="344">
        <f>+'[98]VENTAS TOTALES'!$H234</f>
        <v>1885300</v>
      </c>
      <c r="CO207" s="371">
        <f>'[99]VENTAS TOTALES'!$F234</f>
        <v>1671</v>
      </c>
      <c r="CP207" s="344">
        <f>'[99]VENTAS TOTALES'!$G234</f>
        <v>762000</v>
      </c>
      <c r="CQ207" s="344">
        <f>+'[99]VENTAS TOTALES'!$H234</f>
        <v>3602700</v>
      </c>
      <c r="CR207" s="371">
        <f>'[100]VENTAS TOTALES'!$F234</f>
        <v>1394</v>
      </c>
      <c r="CS207" s="344">
        <f>'[100]VENTAS TOTALES'!$G234</f>
        <v>477400</v>
      </c>
      <c r="CT207" s="344">
        <f>+'[100]VENTAS TOTALES'!$H234</f>
        <v>2847200</v>
      </c>
      <c r="CU207" s="371">
        <f>'[101]VENTAS TOTALES'!$F234</f>
        <v>556</v>
      </c>
      <c r="CV207" s="344">
        <f>'[101]VENTAS TOTALES'!$G234</f>
        <v>194400</v>
      </c>
      <c r="CW207" s="344">
        <f>+'[101]VENTAS TOTALES'!$H234</f>
        <v>1139600</v>
      </c>
      <c r="CX207" s="371">
        <f>'[102]VENTAS TOTALES'!$F234</f>
        <v>0</v>
      </c>
      <c r="CY207" s="344">
        <f>'[102]VENTAS TOTALES'!$G234</f>
        <v>0</v>
      </c>
      <c r="CZ207" s="344">
        <f>+'[102]VENTAS TOTALES'!$H234</f>
        <v>0</v>
      </c>
    </row>
    <row r="208" spans="1:104" s="8" customFormat="1" ht="14.25" customHeight="1" thickBot="1" x14ac:dyDescent="0.25">
      <c r="A208" s="452"/>
      <c r="B208" s="345" t="s">
        <v>407</v>
      </c>
      <c r="C208" s="371">
        <f>'[69]VENTAS TOTALES'!$F235</f>
        <v>10</v>
      </c>
      <c r="D208" s="344">
        <f>'[69]VENTAS TOTALES'!$G235</f>
        <v>1016500</v>
      </c>
      <c r="E208" s="344">
        <f>+'[69]VENTAS TOTALES'!$H235</f>
        <v>1033500</v>
      </c>
      <c r="F208" s="371">
        <f>'[70]VENTAS TOTALES'!$F235</f>
        <v>2</v>
      </c>
      <c r="G208" s="344">
        <f>'[70]VENTAS TOTALES'!$G235</f>
        <v>768400</v>
      </c>
      <c r="H208" s="344">
        <f>+'[70]VENTAS TOTALES'!$H235</f>
        <v>771800</v>
      </c>
      <c r="I208" s="371">
        <f>'[71]VENTAS TOTALES'!$F235</f>
        <v>0</v>
      </c>
      <c r="J208" s="344">
        <f>'[71]VENTAS TOTALES'!$G235</f>
        <v>734200</v>
      </c>
      <c r="K208" s="344">
        <f>+'[71]VENTAS TOTALES'!$H235</f>
        <v>734200</v>
      </c>
      <c r="L208" s="371">
        <f>'[72]VENTAS TOTALES'!$F235</f>
        <v>30</v>
      </c>
      <c r="M208" s="344">
        <f>'[72]VENTAS TOTALES'!$G235</f>
        <v>1017100</v>
      </c>
      <c r="N208" s="344">
        <f>+'[72]VENTAS TOTALES'!$H235</f>
        <v>1068100</v>
      </c>
      <c r="O208" s="371">
        <f>'[73]VENTAS TOTALES'!$F235</f>
        <v>0</v>
      </c>
      <c r="P208" s="344">
        <f>'[73]VENTAS TOTALES'!$G235</f>
        <v>63700</v>
      </c>
      <c r="Q208" s="344">
        <f>+'[73]VENTAS TOTALES'!$H235</f>
        <v>63700</v>
      </c>
      <c r="R208" s="371">
        <f>'[74]VENTAS TOTALES'!$F235</f>
        <v>0</v>
      </c>
      <c r="S208" s="344">
        <f>'[74]VENTAS TOTALES'!$G235</f>
        <v>0</v>
      </c>
      <c r="T208" s="344">
        <f>+'[74]VENTAS TOTALES'!$H235</f>
        <v>0</v>
      </c>
      <c r="U208" s="371">
        <f>'[75]VENTAS TOTALES'!$F235</f>
        <v>17</v>
      </c>
      <c r="V208" s="344">
        <f>'[75]VENTAS TOTALES'!$G235</f>
        <v>1176400</v>
      </c>
      <c r="W208" s="344">
        <f>+'[75]VENTAS TOTALES'!$H235</f>
        <v>1205300</v>
      </c>
      <c r="X208" s="371">
        <f>'[76]VENTAS TOTALES'!$F235</f>
        <v>0</v>
      </c>
      <c r="Y208" s="344">
        <f>'[76]VENTAS TOTALES'!$G235</f>
        <v>476500</v>
      </c>
      <c r="Z208" s="344">
        <f>+'[76]VENTAS TOTALES'!$H235</f>
        <v>476500</v>
      </c>
      <c r="AA208" s="371">
        <f>'[77]VENTAS TOTALES'!$F235</f>
        <v>10</v>
      </c>
      <c r="AB208" s="344">
        <f>'[77]VENTAS TOTALES'!$G235</f>
        <v>850600</v>
      </c>
      <c r="AC208" s="344">
        <f>+'[77]VENTAS TOTALES'!$H235</f>
        <v>867600</v>
      </c>
      <c r="AD208" s="371">
        <f>'[78]VENTAS TOTALES'!$F235</f>
        <v>0</v>
      </c>
      <c r="AE208" s="344">
        <f>'[78]VENTAS TOTALES'!$G235</f>
        <v>574400</v>
      </c>
      <c r="AF208" s="344">
        <f>+'[78]VENTAS TOTALES'!$H235</f>
        <v>574400</v>
      </c>
      <c r="AG208" s="371">
        <f>'[79]VENTAS TOTALES'!$F235</f>
        <v>10</v>
      </c>
      <c r="AH208" s="344">
        <f>'[79]VENTAS TOTALES'!$G235</f>
        <v>527100</v>
      </c>
      <c r="AI208" s="344">
        <f>+'[79]VENTAS TOTALES'!$H235</f>
        <v>544100</v>
      </c>
      <c r="AJ208" s="371">
        <f>'[80]VENTAS TOTALES'!$F235</f>
        <v>0</v>
      </c>
      <c r="AK208" s="344">
        <f>'[80]VENTAS TOTALES'!$G235</f>
        <v>138100</v>
      </c>
      <c r="AL208" s="344">
        <f>+'[80]VENTAS TOTALES'!$H235</f>
        <v>138100</v>
      </c>
      <c r="AM208" s="371">
        <f>'[81]VENTAS TOTALES'!$F235</f>
        <v>0</v>
      </c>
      <c r="AN208" s="344">
        <f>'[81]VENTAS TOTALES'!$G235</f>
        <v>0</v>
      </c>
      <c r="AO208" s="344">
        <f>+'[81]VENTAS TOTALES'!$H235</f>
        <v>0</v>
      </c>
      <c r="AP208" s="371">
        <f>'[82]VENTAS TOTALES'!$F235</f>
        <v>12</v>
      </c>
      <c r="AQ208" s="344">
        <f>'[82]VENTAS TOTALES'!$G235</f>
        <v>1027400</v>
      </c>
      <c r="AR208" s="344">
        <f>+'[82]VENTAS TOTALES'!$H235</f>
        <v>1047800</v>
      </c>
      <c r="AS208" s="371">
        <f>'[83]VENTAS TOTALES'!$F235</f>
        <v>0</v>
      </c>
      <c r="AT208" s="344">
        <f>'[83]VENTAS TOTALES'!$G235</f>
        <v>750700</v>
      </c>
      <c r="AU208" s="344">
        <f>+'[83]VENTAS TOTALES'!$H235</f>
        <v>750700</v>
      </c>
      <c r="AV208" s="371">
        <f>'[84]VENTAS TOTALES'!$F235</f>
        <v>4</v>
      </c>
      <c r="AW208" s="344">
        <f>'[84]VENTAS TOTALES'!$G235</f>
        <v>794500</v>
      </c>
      <c r="AX208" s="344">
        <f>+'[84]VENTAS TOTALES'!$H235</f>
        <v>801300</v>
      </c>
      <c r="AY208" s="371">
        <f>'[85]VENTAS TOTALES'!$F235</f>
        <v>10</v>
      </c>
      <c r="AZ208" s="344">
        <f>'[85]VENTAS TOTALES'!$G235</f>
        <v>564400</v>
      </c>
      <c r="BA208" s="344">
        <f>+'[85]VENTAS TOTALES'!$H235</f>
        <v>581400</v>
      </c>
      <c r="BB208" s="371">
        <f>'[86]VENTAS TOTALES'!$F235</f>
        <v>0</v>
      </c>
      <c r="BC208" s="344">
        <f>'[86]VENTAS TOTALES'!$G235</f>
        <v>390900</v>
      </c>
      <c r="BD208" s="344">
        <f>+'[86]VENTAS TOTALES'!$H235</f>
        <v>390900</v>
      </c>
      <c r="BE208" s="371">
        <f>'[87]VENTAS TOTALES'!$F235</f>
        <v>0</v>
      </c>
      <c r="BF208" s="344">
        <f>'[87]VENTAS TOTALES'!$G235</f>
        <v>70100</v>
      </c>
      <c r="BG208" s="344">
        <f>+'[87]VENTAS TOTALES'!$H235</f>
        <v>70100</v>
      </c>
      <c r="BH208" s="371">
        <f>'[88]VENTAS TOTALES'!$F235</f>
        <v>0</v>
      </c>
      <c r="BI208" s="344">
        <f>'[88]VENTAS TOTALES'!$G235</f>
        <v>0</v>
      </c>
      <c r="BJ208" s="344">
        <f>+'[88]VENTAS TOTALES'!$H235</f>
        <v>0</v>
      </c>
      <c r="BK208" s="371">
        <f>'[89]VENTAS TOTALES'!$F235</f>
        <v>0</v>
      </c>
      <c r="BL208" s="344">
        <f>'[89]VENTAS TOTALES'!$G235</f>
        <v>657500</v>
      </c>
      <c r="BM208" s="344">
        <f>+'[89]VENTAS TOTALES'!$H235</f>
        <v>657500</v>
      </c>
      <c r="BN208" s="371">
        <f>'[90]VENTAS TOTALES'!$F235</f>
        <v>15</v>
      </c>
      <c r="BO208" s="344">
        <f>'[90]VENTAS TOTALES'!$G235</f>
        <v>751400</v>
      </c>
      <c r="BP208" s="344">
        <f>+'[90]VENTAS TOTALES'!$H235</f>
        <v>776900</v>
      </c>
      <c r="BQ208" s="371">
        <f>'[91]VENTAS TOTALES'!$F235</f>
        <v>0</v>
      </c>
      <c r="BR208" s="344">
        <f>'[91]VENTAS TOTALES'!$G235</f>
        <v>545800</v>
      </c>
      <c r="BS208" s="344">
        <f>+'[91]VENTAS TOTALES'!$H235</f>
        <v>545800</v>
      </c>
      <c r="BT208" s="371">
        <f>'[92]VENTAS TOTALES'!$F235</f>
        <v>5</v>
      </c>
      <c r="BU208" s="344">
        <f>'[92]VENTAS TOTALES'!$G235</f>
        <v>589400</v>
      </c>
      <c r="BV208" s="344">
        <f>+'[92]VENTAS TOTALES'!$H235</f>
        <v>597900</v>
      </c>
      <c r="BW208" s="371">
        <f>'[93]VENTAS TOTALES'!$F235</f>
        <v>13</v>
      </c>
      <c r="BX208" s="344">
        <f>'[93]VENTAS TOTALES'!$G235</f>
        <v>383400</v>
      </c>
      <c r="BY208" s="344">
        <f>+'[93]VENTAS TOTALES'!$H235</f>
        <v>405500</v>
      </c>
      <c r="BZ208" s="371">
        <f>'[94]VENTAS TOTALES'!$F235</f>
        <v>0</v>
      </c>
      <c r="CA208" s="344">
        <f>'[94]VENTAS TOTALES'!$G235</f>
        <v>121100</v>
      </c>
      <c r="CB208" s="344">
        <f>+'[94]VENTAS TOTALES'!$H235</f>
        <v>121100</v>
      </c>
      <c r="CC208" s="371">
        <f>'[95]VENTAS TOTALES'!$F235</f>
        <v>0</v>
      </c>
      <c r="CD208" s="344">
        <f>'[95]VENTAS TOTALES'!$G235</f>
        <v>0</v>
      </c>
      <c r="CE208" s="344">
        <f>+'[95]VENTAS TOTALES'!$H235</f>
        <v>0</v>
      </c>
      <c r="CF208" s="371">
        <f>'[96]VENTAS TOTALES'!$F235</f>
        <v>15</v>
      </c>
      <c r="CG208" s="344">
        <f>'[96]VENTAS TOTALES'!$G235</f>
        <v>2574400</v>
      </c>
      <c r="CH208" s="344">
        <f>+'[96]VENTAS TOTALES'!$H235</f>
        <v>2599900</v>
      </c>
      <c r="CI208" s="371">
        <f>'[97]VENTAS TOTALES'!$F235</f>
        <v>10</v>
      </c>
      <c r="CJ208" s="344">
        <f>'[97]VENTAS TOTALES'!$G235</f>
        <v>1257500</v>
      </c>
      <c r="CK208" s="344">
        <f>+'[97]VENTAS TOTALES'!$H235</f>
        <v>1274500</v>
      </c>
      <c r="CL208" s="371">
        <f>'[98]VENTAS TOTALES'!$F235</f>
        <v>0</v>
      </c>
      <c r="CM208" s="344">
        <f>'[98]VENTAS TOTALES'!$G235</f>
        <v>921700</v>
      </c>
      <c r="CN208" s="344">
        <f>+'[98]VENTAS TOTALES'!$H235</f>
        <v>921700</v>
      </c>
      <c r="CO208" s="371">
        <f>'[99]VENTAS TOTALES'!$F235</f>
        <v>1</v>
      </c>
      <c r="CP208" s="344">
        <f>'[99]VENTAS TOTALES'!$G235</f>
        <v>1277000</v>
      </c>
      <c r="CQ208" s="344">
        <f>+'[99]VENTAS TOTALES'!$H235</f>
        <v>1278700</v>
      </c>
      <c r="CR208" s="371">
        <f>'[100]VENTAS TOTALES'!$F235</f>
        <v>0</v>
      </c>
      <c r="CS208" s="344">
        <f>'[100]VENTAS TOTALES'!$G235</f>
        <v>600000</v>
      </c>
      <c r="CT208" s="344">
        <f>+'[100]VENTAS TOTALES'!$H235</f>
        <v>600000</v>
      </c>
      <c r="CU208" s="371">
        <f>'[101]VENTAS TOTALES'!$F235</f>
        <v>0</v>
      </c>
      <c r="CV208" s="344">
        <f>'[101]VENTAS TOTALES'!$G235</f>
        <v>114600</v>
      </c>
      <c r="CW208" s="344">
        <f>+'[101]VENTAS TOTALES'!$H235</f>
        <v>114600</v>
      </c>
      <c r="CX208" s="371">
        <f>'[102]VENTAS TOTALES'!$F235</f>
        <v>0</v>
      </c>
      <c r="CY208" s="344">
        <f>'[102]VENTAS TOTALES'!$G235</f>
        <v>0</v>
      </c>
      <c r="CZ208" s="344">
        <f>+'[102]VENTAS TOTALES'!$H235</f>
        <v>0</v>
      </c>
    </row>
    <row r="209" spans="1:104" s="8" customFormat="1" ht="14.25" customHeight="1" thickBot="1" x14ac:dyDescent="0.25">
      <c r="A209" s="452"/>
      <c r="B209" s="345" t="s">
        <v>408</v>
      </c>
      <c r="C209" s="371">
        <f>'[69]VENTAS TOTALES'!$F236</f>
        <v>0</v>
      </c>
      <c r="D209" s="344">
        <f>'[69]VENTAS TOTALES'!$G236</f>
        <v>865500</v>
      </c>
      <c r="E209" s="344">
        <f>+'[69]VENTAS TOTALES'!$H236</f>
        <v>865500</v>
      </c>
      <c r="F209" s="371">
        <f>'[70]VENTAS TOTALES'!$F236</f>
        <v>0</v>
      </c>
      <c r="G209" s="344">
        <f>'[70]VENTAS TOTALES'!$G236</f>
        <v>709550</v>
      </c>
      <c r="H209" s="344">
        <f>+'[70]VENTAS TOTALES'!$H236</f>
        <v>709550</v>
      </c>
      <c r="I209" s="371">
        <f>'[71]VENTAS TOTALES'!$F236</f>
        <v>0</v>
      </c>
      <c r="J209" s="344">
        <f>'[71]VENTAS TOTALES'!$G236</f>
        <v>926100</v>
      </c>
      <c r="K209" s="344">
        <f>+'[71]VENTAS TOTALES'!$H236</f>
        <v>926100</v>
      </c>
      <c r="L209" s="371">
        <f>'[72]VENTAS TOTALES'!$F236</f>
        <v>0</v>
      </c>
      <c r="M209" s="344">
        <f>'[72]VENTAS TOTALES'!$G236</f>
        <v>539500</v>
      </c>
      <c r="N209" s="344">
        <f>+'[72]VENTAS TOTALES'!$H236</f>
        <v>539500</v>
      </c>
      <c r="O209" s="371">
        <f>'[73]VENTAS TOTALES'!$F236</f>
        <v>0</v>
      </c>
      <c r="P209" s="344">
        <f>'[73]VENTAS TOTALES'!$G236</f>
        <v>546600</v>
      </c>
      <c r="Q209" s="344">
        <f>+'[73]VENTAS TOTALES'!$H236</f>
        <v>546600</v>
      </c>
      <c r="R209" s="371">
        <f>'[74]VENTAS TOTALES'!$F236</f>
        <v>0</v>
      </c>
      <c r="S209" s="344">
        <f>'[74]VENTAS TOTALES'!$G236</f>
        <v>0</v>
      </c>
      <c r="T209" s="344">
        <f>+'[74]VENTAS TOTALES'!$H236</f>
        <v>0</v>
      </c>
      <c r="U209" s="371">
        <f>'[75]VENTAS TOTALES'!$F236</f>
        <v>14</v>
      </c>
      <c r="V209" s="344">
        <f>'[75]VENTAS TOTALES'!$G236</f>
        <v>1258550</v>
      </c>
      <c r="W209" s="344">
        <f>+'[75]VENTAS TOTALES'!$H236</f>
        <v>1282350</v>
      </c>
      <c r="X209" s="371">
        <f>'[76]VENTAS TOTALES'!$F236</f>
        <v>0</v>
      </c>
      <c r="Y209" s="344">
        <f>'[76]VENTAS TOTALES'!$G236</f>
        <v>728050</v>
      </c>
      <c r="Z209" s="344">
        <f>+'[76]VENTAS TOTALES'!$H236</f>
        <v>728050</v>
      </c>
      <c r="AA209" s="371">
        <f>'[77]VENTAS TOTALES'!$F236</f>
        <v>0</v>
      </c>
      <c r="AB209" s="344">
        <f>'[77]VENTAS TOTALES'!$G236</f>
        <v>710400</v>
      </c>
      <c r="AC209" s="344">
        <f>+'[77]VENTAS TOTALES'!$H236</f>
        <v>710400</v>
      </c>
      <c r="AD209" s="371">
        <f>'[78]VENTAS TOTALES'!$F236</f>
        <v>0</v>
      </c>
      <c r="AE209" s="344">
        <f>'[78]VENTAS TOTALES'!$G236</f>
        <v>592100</v>
      </c>
      <c r="AF209" s="344">
        <f>+'[78]VENTAS TOTALES'!$H236</f>
        <v>592100</v>
      </c>
      <c r="AG209" s="371">
        <f>'[79]VENTAS TOTALES'!$F236</f>
        <v>2</v>
      </c>
      <c r="AH209" s="344">
        <f>'[79]VENTAS TOTALES'!$G236</f>
        <v>187800</v>
      </c>
      <c r="AI209" s="344">
        <f>+'[79]VENTAS TOTALES'!$H236</f>
        <v>191200</v>
      </c>
      <c r="AJ209" s="371">
        <f>'[80]VENTAS TOTALES'!$F236</f>
        <v>10</v>
      </c>
      <c r="AK209" s="344">
        <f>'[80]VENTAS TOTALES'!$G236</f>
        <v>179400</v>
      </c>
      <c r="AL209" s="344">
        <f>+'[80]VENTAS TOTALES'!$H236</f>
        <v>196400</v>
      </c>
      <c r="AM209" s="371">
        <f>'[81]VENTAS TOTALES'!$F236</f>
        <v>0</v>
      </c>
      <c r="AN209" s="344">
        <f>'[81]VENTAS TOTALES'!$G236</f>
        <v>0</v>
      </c>
      <c r="AO209" s="344">
        <f>+'[81]VENTAS TOTALES'!$H236</f>
        <v>0</v>
      </c>
      <c r="AP209" s="371">
        <f>'[82]VENTAS TOTALES'!$F236</f>
        <v>0</v>
      </c>
      <c r="AQ209" s="344">
        <f>'[82]VENTAS TOTALES'!$G236</f>
        <v>1047000</v>
      </c>
      <c r="AR209" s="344">
        <f>+'[82]VENTAS TOTALES'!$H236</f>
        <v>1047000</v>
      </c>
      <c r="AS209" s="371">
        <f>'[83]VENTAS TOTALES'!$F236</f>
        <v>4</v>
      </c>
      <c r="AT209" s="344">
        <f>'[83]VENTAS TOTALES'!$G236</f>
        <v>1547700</v>
      </c>
      <c r="AU209" s="344">
        <f>+'[83]VENTAS TOTALES'!$H236</f>
        <v>1554500</v>
      </c>
      <c r="AV209" s="371">
        <f>'[84]VENTAS TOTALES'!$F236</f>
        <v>0</v>
      </c>
      <c r="AW209" s="344">
        <f>'[84]VENTAS TOTALES'!$G236</f>
        <v>2715900</v>
      </c>
      <c r="AX209" s="344">
        <f>+'[84]VENTAS TOTALES'!$H236</f>
        <v>2715900</v>
      </c>
      <c r="AY209" s="371">
        <f>'[85]VENTAS TOTALES'!$F236</f>
        <v>0</v>
      </c>
      <c r="AZ209" s="344">
        <f>'[85]VENTAS TOTALES'!$G236</f>
        <v>894350</v>
      </c>
      <c r="BA209" s="344">
        <f>+'[85]VENTAS TOTALES'!$H236</f>
        <v>894350</v>
      </c>
      <c r="BB209" s="371">
        <f>'[86]VENTAS TOTALES'!$F236</f>
        <v>1</v>
      </c>
      <c r="BC209" s="344">
        <f>'[86]VENTAS TOTALES'!$G236</f>
        <v>680800</v>
      </c>
      <c r="BD209" s="344">
        <f>+'[86]VENTAS TOTALES'!$H236</f>
        <v>682500</v>
      </c>
      <c r="BE209" s="371">
        <f>'[87]VENTAS TOTALES'!$F236</f>
        <v>0</v>
      </c>
      <c r="BF209" s="344">
        <f>'[87]VENTAS TOTALES'!$G236</f>
        <v>161400</v>
      </c>
      <c r="BG209" s="344">
        <f>+'[87]VENTAS TOTALES'!$H236</f>
        <v>161400</v>
      </c>
      <c r="BH209" s="371">
        <f>'[88]VENTAS TOTALES'!$F236</f>
        <v>0</v>
      </c>
      <c r="BI209" s="344">
        <f>'[88]VENTAS TOTALES'!$G236</f>
        <v>0</v>
      </c>
      <c r="BJ209" s="344">
        <f>+'[88]VENTAS TOTALES'!$H236</f>
        <v>0</v>
      </c>
      <c r="BK209" s="371">
        <f>'[89]VENTAS TOTALES'!$F236</f>
        <v>0</v>
      </c>
      <c r="BL209" s="344">
        <f>'[89]VENTAS TOTALES'!$G236</f>
        <v>245100</v>
      </c>
      <c r="BM209" s="344">
        <f>+'[89]VENTAS TOTALES'!$H236</f>
        <v>245100</v>
      </c>
      <c r="BN209" s="371">
        <f>'[90]VENTAS TOTALES'!$F236</f>
        <v>0</v>
      </c>
      <c r="BO209" s="344">
        <f>'[90]VENTAS TOTALES'!$G236</f>
        <v>781400</v>
      </c>
      <c r="BP209" s="344">
        <f>+'[90]VENTAS TOTALES'!$H236</f>
        <v>781400</v>
      </c>
      <c r="BQ209" s="371">
        <f>'[91]VENTAS TOTALES'!$F236</f>
        <v>0</v>
      </c>
      <c r="BR209" s="344">
        <f>'[91]VENTAS TOTALES'!$G236</f>
        <v>436300</v>
      </c>
      <c r="BS209" s="344">
        <f>+'[91]VENTAS TOTALES'!$H236</f>
        <v>436300</v>
      </c>
      <c r="BT209" s="371">
        <f>'[92]VENTAS TOTALES'!$F236</f>
        <v>0</v>
      </c>
      <c r="BU209" s="344">
        <f>'[92]VENTAS TOTALES'!$G236</f>
        <v>633800</v>
      </c>
      <c r="BV209" s="344">
        <f>+'[92]VENTAS TOTALES'!$H236</f>
        <v>633800</v>
      </c>
      <c r="BW209" s="371">
        <f>'[93]VENTAS TOTALES'!$F236</f>
        <v>0</v>
      </c>
      <c r="BX209" s="344">
        <f>'[93]VENTAS TOTALES'!$G236</f>
        <v>444500</v>
      </c>
      <c r="BY209" s="344">
        <f>+'[93]VENTAS TOTALES'!$H236</f>
        <v>444500</v>
      </c>
      <c r="BZ209" s="371">
        <f>'[94]VENTAS TOTALES'!$F236</f>
        <v>0</v>
      </c>
      <c r="CA209" s="344">
        <f>'[94]VENTAS TOTALES'!$G236</f>
        <v>282000</v>
      </c>
      <c r="CB209" s="344">
        <f>+'[94]VENTAS TOTALES'!$H236</f>
        <v>282000</v>
      </c>
      <c r="CC209" s="371">
        <f>'[95]VENTAS TOTALES'!$F236</f>
        <v>0</v>
      </c>
      <c r="CD209" s="344">
        <f>'[95]VENTAS TOTALES'!$G236</f>
        <v>0</v>
      </c>
      <c r="CE209" s="344">
        <f>+'[95]VENTAS TOTALES'!$H236</f>
        <v>0</v>
      </c>
      <c r="CF209" s="371">
        <f>'[96]VENTAS TOTALES'!$F236</f>
        <v>8</v>
      </c>
      <c r="CG209" s="344">
        <f>'[96]VENTAS TOTALES'!$G236</f>
        <v>1458400</v>
      </c>
      <c r="CH209" s="344">
        <f>+'[96]VENTAS TOTALES'!$H236</f>
        <v>1472000</v>
      </c>
      <c r="CI209" s="371">
        <f>'[97]VENTAS TOTALES'!$F236</f>
        <v>0</v>
      </c>
      <c r="CJ209" s="344">
        <f>'[97]VENTAS TOTALES'!$G236</f>
        <v>746400</v>
      </c>
      <c r="CK209" s="344">
        <f>+'[97]VENTAS TOTALES'!$H236</f>
        <v>746400</v>
      </c>
      <c r="CL209" s="371">
        <f>'[98]VENTAS TOTALES'!$F236</f>
        <v>6</v>
      </c>
      <c r="CM209" s="344">
        <f>'[98]VENTAS TOTALES'!$G236</f>
        <v>715300</v>
      </c>
      <c r="CN209" s="344">
        <f>+'[98]VENTAS TOTALES'!$H236</f>
        <v>725500</v>
      </c>
      <c r="CO209" s="371">
        <f>'[99]VENTAS TOTALES'!$F236</f>
        <v>0</v>
      </c>
      <c r="CP209" s="344">
        <f>'[99]VENTAS TOTALES'!$G236</f>
        <v>952500</v>
      </c>
      <c r="CQ209" s="344">
        <f>+'[99]VENTAS TOTALES'!$H236</f>
        <v>952500</v>
      </c>
      <c r="CR209" s="371">
        <f>'[100]VENTAS TOTALES'!$F236</f>
        <v>28</v>
      </c>
      <c r="CS209" s="344">
        <f>'[100]VENTAS TOTALES'!$G236</f>
        <v>673700</v>
      </c>
      <c r="CT209" s="344">
        <f>+'[100]VENTAS TOTALES'!$H236</f>
        <v>721300</v>
      </c>
      <c r="CU209" s="371">
        <f>'[101]VENTAS TOTALES'!$F236</f>
        <v>0</v>
      </c>
      <c r="CV209" s="344">
        <f>'[101]VENTAS TOTALES'!$G236</f>
        <v>75000</v>
      </c>
      <c r="CW209" s="344">
        <f>+'[101]VENTAS TOTALES'!$H236</f>
        <v>75000</v>
      </c>
      <c r="CX209" s="371">
        <f>'[102]VENTAS TOTALES'!$F236</f>
        <v>0</v>
      </c>
      <c r="CY209" s="344">
        <f>'[102]VENTAS TOTALES'!$G236</f>
        <v>0</v>
      </c>
      <c r="CZ209" s="344">
        <f>+'[102]VENTAS TOTALES'!$H236</f>
        <v>0</v>
      </c>
    </row>
    <row r="210" spans="1:104" s="8" customFormat="1" ht="14.25" customHeight="1" thickBot="1" x14ac:dyDescent="0.25">
      <c r="A210" s="452"/>
      <c r="B210" s="345" t="s">
        <v>409</v>
      </c>
      <c r="C210" s="371">
        <f>'[69]VENTAS TOTALES'!$F237</f>
        <v>259</v>
      </c>
      <c r="D210" s="344">
        <f>'[69]VENTAS TOTALES'!$G237</f>
        <v>1923900</v>
      </c>
      <c r="E210" s="344">
        <f>+'[69]VENTAS TOTALES'!$H237</f>
        <v>2364200</v>
      </c>
      <c r="F210" s="371">
        <f>'[70]VENTAS TOTALES'!$F237</f>
        <v>532</v>
      </c>
      <c r="G210" s="344">
        <f>'[70]VENTAS TOTALES'!$G237</f>
        <v>1207000</v>
      </c>
      <c r="H210" s="344">
        <f>+'[70]VENTAS TOTALES'!$H237</f>
        <v>2111400</v>
      </c>
      <c r="I210" s="371">
        <f>'[71]VENTAS TOTALES'!$F237</f>
        <v>95</v>
      </c>
      <c r="J210" s="344">
        <f>'[71]VENTAS TOTALES'!$G237</f>
        <v>1115300</v>
      </c>
      <c r="K210" s="344">
        <f>+'[71]VENTAS TOTALES'!$H237</f>
        <v>1276800</v>
      </c>
      <c r="L210" s="371">
        <f>'[72]VENTAS TOTALES'!$F237</f>
        <v>17</v>
      </c>
      <c r="M210" s="344">
        <f>'[72]VENTAS TOTALES'!$G237</f>
        <v>1193200</v>
      </c>
      <c r="N210" s="344">
        <f>+'[72]VENTAS TOTALES'!$H237</f>
        <v>1222100</v>
      </c>
      <c r="O210" s="371">
        <f>'[73]VENTAS TOTALES'!$F237</f>
        <v>995</v>
      </c>
      <c r="P210" s="344">
        <f>'[73]VENTAS TOTALES'!$G237</f>
        <v>585900</v>
      </c>
      <c r="Q210" s="344">
        <f>+'[73]VENTAS TOTALES'!$H237</f>
        <v>2277400</v>
      </c>
      <c r="R210" s="371">
        <f>'[74]VENTAS TOTALES'!$F237</f>
        <v>0</v>
      </c>
      <c r="S210" s="344">
        <f>'[74]VENTAS TOTALES'!$G237</f>
        <v>0</v>
      </c>
      <c r="T210" s="344">
        <f>+'[74]VENTAS TOTALES'!$H237</f>
        <v>0</v>
      </c>
      <c r="U210" s="371">
        <f>'[75]VENTAS TOTALES'!$F237</f>
        <v>15</v>
      </c>
      <c r="V210" s="344">
        <f>'[75]VENTAS TOTALES'!$G237</f>
        <v>1637400</v>
      </c>
      <c r="W210" s="344">
        <f>+'[75]VENTAS TOTALES'!$H237</f>
        <v>1662900</v>
      </c>
      <c r="X210" s="371">
        <f>'[76]VENTAS TOTALES'!$F237</f>
        <v>11</v>
      </c>
      <c r="Y210" s="344">
        <f>'[76]VENTAS TOTALES'!$G237</f>
        <v>1651200</v>
      </c>
      <c r="Z210" s="344">
        <f>+'[76]VENTAS TOTALES'!$H237</f>
        <v>1669900</v>
      </c>
      <c r="AA210" s="371">
        <f>'[77]VENTAS TOTALES'!$F237</f>
        <v>53</v>
      </c>
      <c r="AB210" s="344">
        <f>'[77]VENTAS TOTALES'!$G237</f>
        <v>1242800</v>
      </c>
      <c r="AC210" s="344">
        <f>+'[77]VENTAS TOTALES'!$H237</f>
        <v>1332900</v>
      </c>
      <c r="AD210" s="371">
        <f>'[78]VENTAS TOTALES'!$F237</f>
        <v>87</v>
      </c>
      <c r="AE210" s="344">
        <f>'[78]VENTAS TOTALES'!$G237</f>
        <v>2381800</v>
      </c>
      <c r="AF210" s="344">
        <f>+'[78]VENTAS TOTALES'!$H237</f>
        <v>2529700</v>
      </c>
      <c r="AG210" s="371">
        <f>'[79]VENTAS TOTALES'!$F237</f>
        <v>233</v>
      </c>
      <c r="AH210" s="344">
        <f>'[79]VENTAS TOTALES'!$G237</f>
        <v>376900</v>
      </c>
      <c r="AI210" s="344">
        <f>+'[79]VENTAS TOTALES'!$H237</f>
        <v>773000</v>
      </c>
      <c r="AJ210" s="371">
        <f>'[80]VENTAS TOTALES'!$F237</f>
        <v>847</v>
      </c>
      <c r="AK210" s="344">
        <f>'[80]VENTAS TOTALES'!$G237</f>
        <v>766200</v>
      </c>
      <c r="AL210" s="344">
        <f>+'[80]VENTAS TOTALES'!$H237</f>
        <v>2206100</v>
      </c>
      <c r="AM210" s="371">
        <f>'[81]VENTAS TOTALES'!$F237</f>
        <v>0</v>
      </c>
      <c r="AN210" s="344">
        <f>'[81]VENTAS TOTALES'!$G237</f>
        <v>0</v>
      </c>
      <c r="AO210" s="344">
        <f>+'[81]VENTAS TOTALES'!$H237</f>
        <v>0</v>
      </c>
      <c r="AP210" s="371">
        <f>'[82]VENTAS TOTALES'!$F237</f>
        <v>40</v>
      </c>
      <c r="AQ210" s="344">
        <f>'[82]VENTAS TOTALES'!$G237</f>
        <v>2414900</v>
      </c>
      <c r="AR210" s="344">
        <f>+'[82]VENTAS TOTALES'!$H237</f>
        <v>2482900</v>
      </c>
      <c r="AS210" s="371">
        <f>'[83]VENTAS TOTALES'!$F237</f>
        <v>23</v>
      </c>
      <c r="AT210" s="344">
        <f>'[83]VENTAS TOTALES'!$G237</f>
        <v>1958800</v>
      </c>
      <c r="AU210" s="344">
        <f>+'[83]VENTAS TOTALES'!$H237</f>
        <v>1997900</v>
      </c>
      <c r="AV210" s="371">
        <f>'[84]VENTAS TOTALES'!$F237</f>
        <v>33</v>
      </c>
      <c r="AW210" s="344">
        <f>'[84]VENTAS TOTALES'!$G237</f>
        <v>2149900</v>
      </c>
      <c r="AX210" s="344">
        <f>+'[84]VENTAS TOTALES'!$H237</f>
        <v>2206000</v>
      </c>
      <c r="AY210" s="371">
        <f>'[85]VENTAS TOTALES'!$F237</f>
        <v>259</v>
      </c>
      <c r="AZ210" s="344">
        <f>'[85]VENTAS TOTALES'!$G237</f>
        <v>850000</v>
      </c>
      <c r="BA210" s="344">
        <f>+'[85]VENTAS TOTALES'!$H237</f>
        <v>1290300</v>
      </c>
      <c r="BB210" s="371">
        <f>'[86]VENTAS TOTALES'!$F237</f>
        <v>50</v>
      </c>
      <c r="BC210" s="344">
        <f>'[86]VENTAS TOTALES'!$G237</f>
        <v>1236200</v>
      </c>
      <c r="BD210" s="344">
        <f>+'[86]VENTAS TOTALES'!$H237</f>
        <v>1321200</v>
      </c>
      <c r="BE210" s="371">
        <f>'[87]VENTAS TOTALES'!$F237</f>
        <v>405</v>
      </c>
      <c r="BF210" s="344">
        <f>'[87]VENTAS TOTALES'!$G237</f>
        <v>569200</v>
      </c>
      <c r="BG210" s="344">
        <f>+'[87]VENTAS TOTALES'!$H237</f>
        <v>1257700</v>
      </c>
      <c r="BH210" s="371">
        <f>'[88]VENTAS TOTALES'!$F237</f>
        <v>0</v>
      </c>
      <c r="BI210" s="344">
        <f>'[88]VENTAS TOTALES'!$G237</f>
        <v>0</v>
      </c>
      <c r="BJ210" s="344">
        <f>+'[88]VENTAS TOTALES'!$H237</f>
        <v>0</v>
      </c>
      <c r="BK210" s="371">
        <f>'[89]VENTAS TOTALES'!$F237</f>
        <v>27</v>
      </c>
      <c r="BL210" s="344">
        <f>'[89]VENTAS TOTALES'!$G237</f>
        <v>1939100</v>
      </c>
      <c r="BM210" s="344">
        <f>+'[89]VENTAS TOTALES'!$H237</f>
        <v>1985000</v>
      </c>
      <c r="BN210" s="371">
        <f>'[90]VENTAS TOTALES'!$F237</f>
        <v>2</v>
      </c>
      <c r="BO210" s="344">
        <f>'[90]VENTAS TOTALES'!$G237</f>
        <v>874600</v>
      </c>
      <c r="BP210" s="344">
        <f>+'[90]VENTAS TOTALES'!$H237</f>
        <v>878000</v>
      </c>
      <c r="BQ210" s="371">
        <f>'[91]VENTAS TOTALES'!$F237</f>
        <v>20</v>
      </c>
      <c r="BR210" s="344">
        <f>'[91]VENTAS TOTALES'!$G237</f>
        <v>1452200</v>
      </c>
      <c r="BS210" s="344">
        <f>+'[91]VENTAS TOTALES'!$H237</f>
        <v>1486200</v>
      </c>
      <c r="BT210" s="371">
        <f>'[92]VENTAS TOTALES'!$F237</f>
        <v>464</v>
      </c>
      <c r="BU210" s="344">
        <f>'[92]VENTAS TOTALES'!$G237</f>
        <v>703200</v>
      </c>
      <c r="BV210" s="344">
        <f>+'[92]VENTAS TOTALES'!$H237</f>
        <v>1492000</v>
      </c>
      <c r="BW210" s="371">
        <f>'[93]VENTAS TOTALES'!$F237</f>
        <v>276</v>
      </c>
      <c r="BX210" s="344">
        <f>'[93]VENTAS TOTALES'!$G237</f>
        <v>1760100</v>
      </c>
      <c r="BY210" s="344">
        <f>+'[93]VENTAS TOTALES'!$H237</f>
        <v>2229300</v>
      </c>
      <c r="BZ210" s="371">
        <f>'[94]VENTAS TOTALES'!$F237</f>
        <v>624</v>
      </c>
      <c r="CA210" s="344">
        <f>'[94]VENTAS TOTALES'!$G237</f>
        <v>571600</v>
      </c>
      <c r="CB210" s="344">
        <f>+'[94]VENTAS TOTALES'!$H237</f>
        <v>1632400</v>
      </c>
      <c r="CC210" s="371">
        <f>'[95]VENTAS TOTALES'!$F237</f>
        <v>0</v>
      </c>
      <c r="CD210" s="344">
        <f>'[95]VENTAS TOTALES'!$G237</f>
        <v>0</v>
      </c>
      <c r="CE210" s="344">
        <f>+'[95]VENTAS TOTALES'!$H237</f>
        <v>0</v>
      </c>
      <c r="CF210" s="371">
        <f>'[96]VENTAS TOTALES'!$F237</f>
        <v>134</v>
      </c>
      <c r="CG210" s="344">
        <f>'[96]VENTAS TOTALES'!$G237</f>
        <v>2904400</v>
      </c>
      <c r="CH210" s="344">
        <f>+'[96]VENTAS TOTALES'!$H237</f>
        <v>3132200</v>
      </c>
      <c r="CI210" s="371">
        <f>'[97]VENTAS TOTALES'!$F237</f>
        <v>131</v>
      </c>
      <c r="CJ210" s="344">
        <f>'[97]VENTAS TOTALES'!$G237</f>
        <v>2283600</v>
      </c>
      <c r="CK210" s="344">
        <f>+'[97]VENTAS TOTALES'!$H237</f>
        <v>2506300</v>
      </c>
      <c r="CL210" s="371">
        <f>'[98]VENTAS TOTALES'!$F237</f>
        <v>285</v>
      </c>
      <c r="CM210" s="344">
        <f>'[98]VENTAS TOTALES'!$G237</f>
        <v>1661000</v>
      </c>
      <c r="CN210" s="344">
        <f>+'[98]VENTAS TOTALES'!$H237</f>
        <v>2145500</v>
      </c>
      <c r="CO210" s="371">
        <f>'[99]VENTAS TOTALES'!$F237</f>
        <v>300</v>
      </c>
      <c r="CP210" s="344">
        <f>'[99]VENTAS TOTALES'!$G237</f>
        <v>1224200</v>
      </c>
      <c r="CQ210" s="344">
        <f>+'[99]VENTAS TOTALES'!$H237</f>
        <v>1734200</v>
      </c>
      <c r="CR210" s="371">
        <f>'[100]VENTAS TOTALES'!$F237</f>
        <v>355</v>
      </c>
      <c r="CS210" s="344">
        <f>'[100]VENTAS TOTALES'!$G237</f>
        <v>1395900</v>
      </c>
      <c r="CT210" s="344">
        <f>+'[100]VENTAS TOTALES'!$H237</f>
        <v>1999400</v>
      </c>
      <c r="CU210" s="371">
        <f>'[101]VENTAS TOTALES'!$F237</f>
        <v>772</v>
      </c>
      <c r="CV210" s="344">
        <f>'[101]VENTAS TOTALES'!$G237</f>
        <v>278600</v>
      </c>
      <c r="CW210" s="344">
        <f>+'[101]VENTAS TOTALES'!$H237</f>
        <v>1591000</v>
      </c>
      <c r="CX210" s="371">
        <f>'[102]VENTAS TOTALES'!$F237</f>
        <v>0</v>
      </c>
      <c r="CY210" s="344">
        <f>'[102]VENTAS TOTALES'!$G237</f>
        <v>0</v>
      </c>
      <c r="CZ210" s="344">
        <f>+'[102]VENTAS TOTALES'!$H237</f>
        <v>0</v>
      </c>
    </row>
    <row r="211" spans="1:104" s="8" customFormat="1" ht="14.25" customHeight="1" thickBot="1" x14ac:dyDescent="0.25">
      <c r="A211" s="452"/>
      <c r="B211" s="345" t="s">
        <v>427</v>
      </c>
      <c r="C211" s="371">
        <f>'[69]VENTAS TOTALES'!$F238</f>
        <v>816</v>
      </c>
      <c r="D211" s="344">
        <f>'[69]VENTAS TOTALES'!$G238</f>
        <v>1662650</v>
      </c>
      <c r="E211" s="344">
        <f>+'[69]VENTAS TOTALES'!$H238</f>
        <v>3049850</v>
      </c>
      <c r="F211" s="371">
        <f>'[70]VENTAS TOTALES'!$F238</f>
        <v>756</v>
      </c>
      <c r="G211" s="344">
        <f>'[70]VENTAS TOTALES'!$G238</f>
        <v>1480400</v>
      </c>
      <c r="H211" s="344">
        <f>+'[70]VENTAS TOTALES'!$H238</f>
        <v>2765600</v>
      </c>
      <c r="I211" s="371">
        <f>'[71]VENTAS TOTALES'!$F238</f>
        <v>513</v>
      </c>
      <c r="J211" s="344">
        <f>'[71]VENTAS TOTALES'!$G238</f>
        <v>679400</v>
      </c>
      <c r="K211" s="344">
        <f>+'[71]VENTAS TOTALES'!$H238</f>
        <v>1551500</v>
      </c>
      <c r="L211" s="371">
        <f>'[72]VENTAS TOTALES'!$F238</f>
        <v>637</v>
      </c>
      <c r="M211" s="344">
        <f>'[72]VENTAS TOTALES'!$G238</f>
        <v>927700</v>
      </c>
      <c r="N211" s="344">
        <f>+'[72]VENTAS TOTALES'!$H238</f>
        <v>2010600</v>
      </c>
      <c r="O211" s="371">
        <f>'[73]VENTAS TOTALES'!$F238</f>
        <v>209</v>
      </c>
      <c r="P211" s="344">
        <f>'[73]VENTAS TOTALES'!$G238</f>
        <v>286100</v>
      </c>
      <c r="Q211" s="344">
        <f>+'[73]VENTAS TOTALES'!$H238</f>
        <v>641400</v>
      </c>
      <c r="R211" s="371">
        <f>'[74]VENTAS TOTALES'!$F238</f>
        <v>0</v>
      </c>
      <c r="S211" s="344">
        <f>'[74]VENTAS TOTALES'!$G238</f>
        <v>0</v>
      </c>
      <c r="T211" s="344">
        <f>+'[74]VENTAS TOTALES'!$H238</f>
        <v>0</v>
      </c>
      <c r="U211" s="371">
        <f>'[75]VENTAS TOTALES'!$F238</f>
        <v>1198</v>
      </c>
      <c r="V211" s="344">
        <f>'[75]VENTAS TOTALES'!$G238</f>
        <v>1671100</v>
      </c>
      <c r="W211" s="344">
        <f>+'[75]VENTAS TOTALES'!$H238</f>
        <v>3707700</v>
      </c>
      <c r="X211" s="371">
        <f>'[76]VENTAS TOTALES'!$F238</f>
        <v>958</v>
      </c>
      <c r="Y211" s="344">
        <f>'[76]VENTAS TOTALES'!$G238</f>
        <v>1155500</v>
      </c>
      <c r="Z211" s="344">
        <f>+'[76]VENTAS TOTALES'!$H238</f>
        <v>2784100</v>
      </c>
      <c r="AA211" s="371">
        <f>'[77]VENTAS TOTALES'!$F238</f>
        <v>546</v>
      </c>
      <c r="AB211" s="344">
        <f>'[77]VENTAS TOTALES'!$G238</f>
        <v>589200</v>
      </c>
      <c r="AC211" s="344">
        <f>+'[77]VENTAS TOTALES'!$H238</f>
        <v>1517400</v>
      </c>
      <c r="AD211" s="371">
        <f>'[78]VENTAS TOTALES'!$F238</f>
        <v>565</v>
      </c>
      <c r="AE211" s="344">
        <f>'[78]VENTAS TOTALES'!$G238</f>
        <v>705200</v>
      </c>
      <c r="AF211" s="344">
        <f>+'[78]VENTAS TOTALES'!$H238</f>
        <v>1665700</v>
      </c>
      <c r="AG211" s="371">
        <f>'[79]VENTAS TOTALES'!$F238</f>
        <v>262</v>
      </c>
      <c r="AH211" s="344">
        <f>'[79]VENTAS TOTALES'!$G238</f>
        <v>1254400</v>
      </c>
      <c r="AI211" s="344">
        <f>+'[79]VENTAS TOTALES'!$H238</f>
        <v>1699800</v>
      </c>
      <c r="AJ211" s="371">
        <f>'[80]VENTAS TOTALES'!$F238</f>
        <v>276</v>
      </c>
      <c r="AK211" s="344">
        <f>'[80]VENTAS TOTALES'!$G238</f>
        <v>486800</v>
      </c>
      <c r="AL211" s="344">
        <f>+'[80]VENTAS TOTALES'!$H238</f>
        <v>956000</v>
      </c>
      <c r="AM211" s="371">
        <f>'[81]VENTAS TOTALES'!$F238</f>
        <v>0</v>
      </c>
      <c r="AN211" s="344">
        <f>'[81]VENTAS TOTALES'!$G238</f>
        <v>0</v>
      </c>
      <c r="AO211" s="344">
        <f>+'[81]VENTAS TOTALES'!$H238</f>
        <v>0</v>
      </c>
      <c r="AP211" s="371">
        <f>'[82]VENTAS TOTALES'!$F238</f>
        <v>768</v>
      </c>
      <c r="AQ211" s="344">
        <f>'[82]VENTAS TOTALES'!$G238</f>
        <v>1679300</v>
      </c>
      <c r="AR211" s="344">
        <f>+'[82]VENTAS TOTALES'!$H238</f>
        <v>2984900</v>
      </c>
      <c r="AS211" s="371">
        <f>'[83]VENTAS TOTALES'!$F238</f>
        <v>581</v>
      </c>
      <c r="AT211" s="344">
        <f>'[83]VENTAS TOTALES'!$G238</f>
        <v>2706000</v>
      </c>
      <c r="AU211" s="344">
        <f>+'[83]VENTAS TOTALES'!$H238</f>
        <v>3693700</v>
      </c>
      <c r="AV211" s="371">
        <f>'[84]VENTAS TOTALES'!$F238</f>
        <v>645</v>
      </c>
      <c r="AW211" s="344">
        <f>'[84]VENTAS TOTALES'!$G238</f>
        <v>1758100</v>
      </c>
      <c r="AX211" s="344">
        <f>+'[84]VENTAS TOTALES'!$H238</f>
        <v>2854600</v>
      </c>
      <c r="AY211" s="371">
        <f>'[85]VENTAS TOTALES'!$F238</f>
        <v>570</v>
      </c>
      <c r="AZ211" s="344">
        <f>'[85]VENTAS TOTALES'!$G238</f>
        <v>1558800</v>
      </c>
      <c r="BA211" s="344">
        <f>+'[85]VENTAS TOTALES'!$H238</f>
        <v>2527800</v>
      </c>
      <c r="BB211" s="371">
        <f>'[86]VENTAS TOTALES'!$F238</f>
        <v>728</v>
      </c>
      <c r="BC211" s="344">
        <f>'[86]VENTAS TOTALES'!$G238</f>
        <v>1196400</v>
      </c>
      <c r="BD211" s="344">
        <f>+'[86]VENTAS TOTALES'!$H238</f>
        <v>2434000</v>
      </c>
      <c r="BE211" s="371">
        <f>'[87]VENTAS TOTALES'!$F238</f>
        <v>485</v>
      </c>
      <c r="BF211" s="344">
        <f>'[87]VENTAS TOTALES'!$G238</f>
        <v>513400</v>
      </c>
      <c r="BG211" s="344">
        <f>+'[87]VENTAS TOTALES'!$H238</f>
        <v>1337900</v>
      </c>
      <c r="BH211" s="371">
        <f>'[88]VENTAS TOTALES'!$F238</f>
        <v>0</v>
      </c>
      <c r="BI211" s="344">
        <f>'[88]VENTAS TOTALES'!$G238</f>
        <v>0</v>
      </c>
      <c r="BJ211" s="344">
        <f>+'[88]VENTAS TOTALES'!$H238</f>
        <v>0</v>
      </c>
      <c r="BK211" s="371">
        <f>'[89]VENTAS TOTALES'!$F238</f>
        <v>835</v>
      </c>
      <c r="BL211" s="344">
        <f>'[89]VENTAS TOTALES'!$G238</f>
        <v>1522600</v>
      </c>
      <c r="BM211" s="344">
        <f>+'[89]VENTAS TOTALES'!$H238</f>
        <v>2942100</v>
      </c>
      <c r="BN211" s="371">
        <f>'[90]VENTAS TOTALES'!$F238</f>
        <v>856</v>
      </c>
      <c r="BO211" s="344">
        <f>'[90]VENTAS TOTALES'!$G238</f>
        <v>1310600</v>
      </c>
      <c r="BP211" s="344">
        <f>+'[90]VENTAS TOTALES'!$H238</f>
        <v>2765800</v>
      </c>
      <c r="BQ211" s="371">
        <f>'[91]VENTAS TOTALES'!$F238</f>
        <v>875</v>
      </c>
      <c r="BR211" s="344">
        <f>'[91]VENTAS TOTALES'!$G238</f>
        <v>1160600</v>
      </c>
      <c r="BS211" s="344">
        <f>+'[91]VENTAS TOTALES'!$H238</f>
        <v>2648100</v>
      </c>
      <c r="BT211" s="371">
        <f>'[92]VENTAS TOTALES'!$F238</f>
        <v>783</v>
      </c>
      <c r="BU211" s="344">
        <f>'[92]VENTAS TOTALES'!$G238</f>
        <v>1136200</v>
      </c>
      <c r="BV211" s="344">
        <f>+'[92]VENTAS TOTALES'!$H238</f>
        <v>2467300</v>
      </c>
      <c r="BW211" s="371">
        <f>'[93]VENTAS TOTALES'!$F238</f>
        <v>539</v>
      </c>
      <c r="BX211" s="344">
        <f>'[93]VENTAS TOTALES'!$G238</f>
        <v>1056300</v>
      </c>
      <c r="BY211" s="344">
        <f>+'[93]VENTAS TOTALES'!$H238</f>
        <v>1972600</v>
      </c>
      <c r="BZ211" s="371">
        <f>'[94]VENTAS TOTALES'!$F238</f>
        <v>636</v>
      </c>
      <c r="CA211" s="344">
        <f>'[94]VENTAS TOTALES'!$G238</f>
        <v>327000</v>
      </c>
      <c r="CB211" s="344">
        <f>+'[94]VENTAS TOTALES'!$H238</f>
        <v>1408200</v>
      </c>
      <c r="CC211" s="371">
        <f>'[95]VENTAS TOTALES'!$F238</f>
        <v>0</v>
      </c>
      <c r="CD211" s="344">
        <f>'[95]VENTAS TOTALES'!$G238</f>
        <v>0</v>
      </c>
      <c r="CE211" s="344">
        <f>+'[95]VENTAS TOTALES'!$H238</f>
        <v>0</v>
      </c>
      <c r="CF211" s="371">
        <f>'[96]VENTAS TOTALES'!$F238</f>
        <v>963</v>
      </c>
      <c r="CG211" s="344">
        <f>'[96]VENTAS TOTALES'!$G238</f>
        <v>3063150</v>
      </c>
      <c r="CH211" s="344">
        <f>+'[96]VENTAS TOTALES'!$H238</f>
        <v>4700250</v>
      </c>
      <c r="CI211" s="371">
        <f>'[97]VENTAS TOTALES'!$F238</f>
        <v>852</v>
      </c>
      <c r="CJ211" s="344">
        <f>'[97]VENTAS TOTALES'!$G238</f>
        <v>2454250</v>
      </c>
      <c r="CK211" s="344">
        <f>+'[97]VENTAS TOTALES'!$H238</f>
        <v>3902650</v>
      </c>
      <c r="CL211" s="371">
        <f>'[98]VENTAS TOTALES'!$F238</f>
        <v>594</v>
      </c>
      <c r="CM211" s="344">
        <f>'[98]VENTAS TOTALES'!$G238</f>
        <v>1528500</v>
      </c>
      <c r="CN211" s="344">
        <f>+'[98]VENTAS TOTALES'!$H238</f>
        <v>2538300</v>
      </c>
      <c r="CO211" s="371">
        <f>'[99]VENTAS TOTALES'!$F238</f>
        <v>812</v>
      </c>
      <c r="CP211" s="344">
        <f>'[99]VENTAS TOTALES'!$G238</f>
        <v>1615300</v>
      </c>
      <c r="CQ211" s="344">
        <f>+'[99]VENTAS TOTALES'!$H238</f>
        <v>2995700</v>
      </c>
      <c r="CR211" s="371">
        <f>'[100]VENTAS TOTALES'!$F238</f>
        <v>905</v>
      </c>
      <c r="CS211" s="344">
        <f>'[100]VENTAS TOTALES'!$G238</f>
        <v>1148800</v>
      </c>
      <c r="CT211" s="344">
        <f>+'[100]VENTAS TOTALES'!$H238</f>
        <v>2687300</v>
      </c>
      <c r="CU211" s="371">
        <f>'[101]VENTAS TOTALES'!$F238</f>
        <v>634</v>
      </c>
      <c r="CV211" s="344">
        <f>'[101]VENTAS TOTALES'!$G238</f>
        <v>518300</v>
      </c>
      <c r="CW211" s="344">
        <f>+'[101]VENTAS TOTALES'!$H238</f>
        <v>1596100</v>
      </c>
      <c r="CX211" s="371">
        <f>'[102]VENTAS TOTALES'!$F238</f>
        <v>0</v>
      </c>
      <c r="CY211" s="344">
        <f>'[102]VENTAS TOTALES'!$G238</f>
        <v>0</v>
      </c>
      <c r="CZ211" s="344">
        <f>+'[102]VENTAS TOTALES'!$H238</f>
        <v>0</v>
      </c>
    </row>
    <row r="212" spans="1:104" s="8" customFormat="1" ht="14.25" customHeight="1" thickBot="1" x14ac:dyDescent="0.25">
      <c r="A212" s="452"/>
      <c r="B212" s="345" t="s">
        <v>428</v>
      </c>
      <c r="C212" s="371">
        <f>'[69]VENTAS TOTALES'!$F239</f>
        <v>386</v>
      </c>
      <c r="D212" s="344">
        <f>'[69]VENTAS TOTALES'!$G239</f>
        <v>3519000</v>
      </c>
      <c r="E212" s="344">
        <f>+'[69]VENTAS TOTALES'!$H239</f>
        <v>4175200</v>
      </c>
      <c r="F212" s="371">
        <f>'[70]VENTAS TOTALES'!$F239</f>
        <v>269</v>
      </c>
      <c r="G212" s="344">
        <f>'[70]VENTAS TOTALES'!$G239</f>
        <v>2550200</v>
      </c>
      <c r="H212" s="344">
        <f>+'[70]VENTAS TOTALES'!$H239</f>
        <v>3007500</v>
      </c>
      <c r="I212" s="371">
        <f>'[71]VENTAS TOTALES'!$F239</f>
        <v>179</v>
      </c>
      <c r="J212" s="344">
        <f>'[71]VENTAS TOTALES'!$G239</f>
        <v>2043200</v>
      </c>
      <c r="K212" s="344">
        <f>+'[71]VENTAS TOTALES'!$H239</f>
        <v>2347500</v>
      </c>
      <c r="L212" s="371">
        <f>'[72]VENTAS TOTALES'!$F239</f>
        <v>328</v>
      </c>
      <c r="M212" s="344">
        <f>'[72]VENTAS TOTALES'!$G239</f>
        <v>1635200</v>
      </c>
      <c r="N212" s="344">
        <f>+'[72]VENTAS TOTALES'!$H239</f>
        <v>2192800</v>
      </c>
      <c r="O212" s="371">
        <f>'[73]VENTAS TOTALES'!$F239</f>
        <v>149</v>
      </c>
      <c r="P212" s="344">
        <f>'[73]VENTAS TOTALES'!$G239</f>
        <v>796000</v>
      </c>
      <c r="Q212" s="344">
        <f>+'[73]VENTAS TOTALES'!$H239</f>
        <v>1049300</v>
      </c>
      <c r="R212" s="371">
        <f>'[74]VENTAS TOTALES'!$F239</f>
        <v>0</v>
      </c>
      <c r="S212" s="344">
        <f>'[74]VENTAS TOTALES'!$G239</f>
        <v>0</v>
      </c>
      <c r="T212" s="344">
        <f>+'[74]VENTAS TOTALES'!$H239</f>
        <v>0</v>
      </c>
      <c r="U212" s="371">
        <f>'[75]VENTAS TOTALES'!$F239</f>
        <v>306</v>
      </c>
      <c r="V212" s="344">
        <f>'[75]VENTAS TOTALES'!$G239</f>
        <v>3621700</v>
      </c>
      <c r="W212" s="344">
        <f>+'[75]VENTAS TOTALES'!$H239</f>
        <v>4141900</v>
      </c>
      <c r="X212" s="371">
        <f>'[76]VENTAS TOTALES'!$F239</f>
        <v>472</v>
      </c>
      <c r="Y212" s="344">
        <f>'[76]VENTAS TOTALES'!$G239</f>
        <v>2192800</v>
      </c>
      <c r="Z212" s="344">
        <f>+'[76]VENTAS TOTALES'!$H239</f>
        <v>2995200</v>
      </c>
      <c r="AA212" s="371">
        <f>'[77]VENTAS TOTALES'!$F239</f>
        <v>249</v>
      </c>
      <c r="AB212" s="344">
        <f>'[77]VENTAS TOTALES'!$G239</f>
        <v>2146850</v>
      </c>
      <c r="AC212" s="344">
        <f>+'[77]VENTAS TOTALES'!$H239</f>
        <v>2570150</v>
      </c>
      <c r="AD212" s="371">
        <f>'[78]VENTAS TOTALES'!$F239</f>
        <v>215</v>
      </c>
      <c r="AE212" s="344">
        <f>'[78]VENTAS TOTALES'!$G239</f>
        <v>2707600</v>
      </c>
      <c r="AF212" s="344">
        <f>+'[78]VENTAS TOTALES'!$H239</f>
        <v>3073100</v>
      </c>
      <c r="AG212" s="371">
        <f>'[79]VENTAS TOTALES'!$F239</f>
        <v>211</v>
      </c>
      <c r="AH212" s="344">
        <f>'[79]VENTAS TOTALES'!$G239</f>
        <v>1641600</v>
      </c>
      <c r="AI212" s="344">
        <f>+'[79]VENTAS TOTALES'!$H239</f>
        <v>2000300</v>
      </c>
      <c r="AJ212" s="371">
        <f>'[80]VENTAS TOTALES'!$F239</f>
        <v>76</v>
      </c>
      <c r="AK212" s="344">
        <f>'[80]VENTAS TOTALES'!$G239</f>
        <v>612400</v>
      </c>
      <c r="AL212" s="344">
        <f>+'[80]VENTAS TOTALES'!$H239</f>
        <v>741600</v>
      </c>
      <c r="AM212" s="371">
        <f>'[81]VENTAS TOTALES'!$F239</f>
        <v>0</v>
      </c>
      <c r="AN212" s="344">
        <f>'[81]VENTAS TOTALES'!$G239</f>
        <v>0</v>
      </c>
      <c r="AO212" s="344">
        <f>+'[81]VENTAS TOTALES'!$H239</f>
        <v>0</v>
      </c>
      <c r="AP212" s="371">
        <f>'[82]VENTAS TOTALES'!$F239</f>
        <v>225</v>
      </c>
      <c r="AQ212" s="344">
        <f>'[82]VENTAS TOTALES'!$G239</f>
        <v>3725150</v>
      </c>
      <c r="AR212" s="344">
        <f>+'[82]VENTAS TOTALES'!$H239</f>
        <v>4107650</v>
      </c>
      <c r="AS212" s="371">
        <f>'[83]VENTAS TOTALES'!$F239</f>
        <v>215</v>
      </c>
      <c r="AT212" s="344">
        <f>'[83]VENTAS TOTALES'!$G239</f>
        <v>3686500</v>
      </c>
      <c r="AU212" s="344">
        <f>+'[83]VENTAS TOTALES'!$H239</f>
        <v>4052000</v>
      </c>
      <c r="AV212" s="371">
        <f>'[84]VENTAS TOTALES'!$F239</f>
        <v>119</v>
      </c>
      <c r="AW212" s="344">
        <f>'[84]VENTAS TOTALES'!$G239</f>
        <v>1142800</v>
      </c>
      <c r="AX212" s="344">
        <f>+'[84]VENTAS TOTALES'!$H239</f>
        <v>1345100</v>
      </c>
      <c r="AY212" s="371">
        <f>'[85]VENTAS TOTALES'!$F239</f>
        <v>208</v>
      </c>
      <c r="AZ212" s="344">
        <f>'[85]VENTAS TOTALES'!$G239</f>
        <v>797500</v>
      </c>
      <c r="BA212" s="344">
        <f>+'[85]VENTAS TOTALES'!$H239</f>
        <v>1151100</v>
      </c>
      <c r="BB212" s="371">
        <f>'[86]VENTAS TOTALES'!$F239</f>
        <v>399</v>
      </c>
      <c r="BC212" s="344">
        <f>'[86]VENTAS TOTALES'!$G239</f>
        <v>1774100</v>
      </c>
      <c r="BD212" s="344">
        <f>+'[86]VENTAS TOTALES'!$H239</f>
        <v>2452400</v>
      </c>
      <c r="BE212" s="371">
        <f>'[87]VENTAS TOTALES'!$F239</f>
        <v>170</v>
      </c>
      <c r="BF212" s="344">
        <f>'[87]VENTAS TOTALES'!$G239</f>
        <v>339400</v>
      </c>
      <c r="BG212" s="344">
        <f>+'[87]VENTAS TOTALES'!$H239</f>
        <v>628400</v>
      </c>
      <c r="BH212" s="371">
        <f>'[88]VENTAS TOTALES'!$F239</f>
        <v>0</v>
      </c>
      <c r="BI212" s="344">
        <f>'[88]VENTAS TOTALES'!$G239</f>
        <v>0</v>
      </c>
      <c r="BJ212" s="344">
        <f>+'[88]VENTAS TOTALES'!$H239</f>
        <v>0</v>
      </c>
      <c r="BK212" s="371">
        <f>'[89]VENTAS TOTALES'!$F239</f>
        <v>305</v>
      </c>
      <c r="BL212" s="344">
        <f>'[89]VENTAS TOTALES'!$G239</f>
        <v>3475550</v>
      </c>
      <c r="BM212" s="344">
        <f>+'[89]VENTAS TOTALES'!$H239</f>
        <v>3994050</v>
      </c>
      <c r="BN212" s="371">
        <f>'[90]VENTAS TOTALES'!$F239</f>
        <v>273</v>
      </c>
      <c r="BO212" s="344">
        <f>'[90]VENTAS TOTALES'!$G239</f>
        <v>2153100</v>
      </c>
      <c r="BP212" s="344">
        <f>+'[90]VENTAS TOTALES'!$H239</f>
        <v>2617200</v>
      </c>
      <c r="BQ212" s="371">
        <f>'[91]VENTAS TOTALES'!$F239</f>
        <v>358</v>
      </c>
      <c r="BR212" s="344">
        <f>'[91]VENTAS TOTALES'!$G239</f>
        <v>1944400</v>
      </c>
      <c r="BS212" s="344">
        <f>+'[91]VENTAS TOTALES'!$H239</f>
        <v>2553000</v>
      </c>
      <c r="BT212" s="371">
        <f>'[92]VENTAS TOTALES'!$F239</f>
        <v>381</v>
      </c>
      <c r="BU212" s="344">
        <f>'[92]VENTAS TOTALES'!$G239</f>
        <v>2063900</v>
      </c>
      <c r="BV212" s="344">
        <f>+'[92]VENTAS TOTALES'!$H239</f>
        <v>2711600</v>
      </c>
      <c r="BW212" s="371">
        <f>'[93]VENTAS TOTALES'!$F239</f>
        <v>158</v>
      </c>
      <c r="BX212" s="344">
        <f>'[93]VENTAS TOTALES'!$G239</f>
        <v>1708400</v>
      </c>
      <c r="BY212" s="344">
        <f>+'[93]VENTAS TOTALES'!$H239</f>
        <v>1977000</v>
      </c>
      <c r="BZ212" s="371">
        <f>'[94]VENTAS TOTALES'!$F239</f>
        <v>138</v>
      </c>
      <c r="CA212" s="344">
        <f>'[94]VENTAS TOTALES'!$G239</f>
        <v>674400</v>
      </c>
      <c r="CB212" s="344">
        <f>+'[94]VENTAS TOTALES'!$H239</f>
        <v>909000</v>
      </c>
      <c r="CC212" s="371">
        <f>'[95]VENTAS TOTALES'!$F239</f>
        <v>0</v>
      </c>
      <c r="CD212" s="344">
        <f>'[95]VENTAS TOTALES'!$G239</f>
        <v>0</v>
      </c>
      <c r="CE212" s="344">
        <f>+'[95]VENTAS TOTALES'!$H239</f>
        <v>0</v>
      </c>
      <c r="CF212" s="371">
        <f>'[96]VENTAS TOTALES'!$F239</f>
        <v>427</v>
      </c>
      <c r="CG212" s="344">
        <f>'[96]VENTAS TOTALES'!$G239</f>
        <v>3508600</v>
      </c>
      <c r="CH212" s="344">
        <f>+'[96]VENTAS TOTALES'!$H239</f>
        <v>4234500</v>
      </c>
      <c r="CI212" s="371">
        <f>'[97]VENTAS TOTALES'!$F239</f>
        <v>479</v>
      </c>
      <c r="CJ212" s="344">
        <f>'[97]VENTAS TOTALES'!$G239</f>
        <v>4333600</v>
      </c>
      <c r="CK212" s="344">
        <f>+'[97]VENTAS TOTALES'!$H239</f>
        <v>5147900</v>
      </c>
      <c r="CL212" s="371">
        <f>'[98]VENTAS TOTALES'!$F239</f>
        <v>112</v>
      </c>
      <c r="CM212" s="344">
        <f>'[98]VENTAS TOTALES'!$G239</f>
        <v>2659900</v>
      </c>
      <c r="CN212" s="344">
        <f>+'[98]VENTAS TOTALES'!$H239</f>
        <v>2850300</v>
      </c>
      <c r="CO212" s="371">
        <f>'[99]VENTAS TOTALES'!$F239</f>
        <v>218</v>
      </c>
      <c r="CP212" s="344">
        <f>'[99]VENTAS TOTALES'!$G239</f>
        <v>1966800</v>
      </c>
      <c r="CQ212" s="344">
        <f>+'[99]VENTAS TOTALES'!$H239</f>
        <v>2337400</v>
      </c>
      <c r="CR212" s="371">
        <f>'[100]VENTAS TOTALES'!$F239</f>
        <v>178</v>
      </c>
      <c r="CS212" s="344">
        <f>'[100]VENTAS TOTALES'!$G239</f>
        <v>1898100</v>
      </c>
      <c r="CT212" s="344">
        <f>+'[100]VENTAS TOTALES'!$H239</f>
        <v>2200700</v>
      </c>
      <c r="CU212" s="371">
        <f>'[101]VENTAS TOTALES'!$F239</f>
        <v>208</v>
      </c>
      <c r="CV212" s="344">
        <f>'[101]VENTAS TOTALES'!$G239</f>
        <v>496700</v>
      </c>
      <c r="CW212" s="344">
        <f>+'[101]VENTAS TOTALES'!$H239</f>
        <v>850300</v>
      </c>
      <c r="CX212" s="371">
        <f>'[102]VENTAS TOTALES'!$F239</f>
        <v>0</v>
      </c>
      <c r="CY212" s="344">
        <f>'[102]VENTAS TOTALES'!$G239</f>
        <v>0</v>
      </c>
      <c r="CZ212" s="344">
        <f>+'[102]VENTAS TOTALES'!$H239</f>
        <v>0</v>
      </c>
    </row>
    <row r="213" spans="1:104" s="8" customFormat="1" ht="14.25" customHeight="1" thickBot="1" x14ac:dyDescent="0.25">
      <c r="A213" s="452"/>
      <c r="B213" s="345" t="s">
        <v>429</v>
      </c>
      <c r="C213" s="371">
        <f>'[69]VENTAS TOTALES'!$F240</f>
        <v>783</v>
      </c>
      <c r="D213" s="344">
        <f>'[69]VENTAS TOTALES'!$G240</f>
        <v>2253100</v>
      </c>
      <c r="E213" s="344">
        <f>+'[69]VENTAS TOTALES'!$H240</f>
        <v>3584200</v>
      </c>
      <c r="F213" s="371">
        <f>'[70]VENTAS TOTALES'!$F240</f>
        <v>727</v>
      </c>
      <c r="G213" s="344">
        <f>'[70]VENTAS TOTALES'!$G240</f>
        <v>1444600</v>
      </c>
      <c r="H213" s="344">
        <f>+'[70]VENTAS TOTALES'!$H240</f>
        <v>2680500</v>
      </c>
      <c r="I213" s="371">
        <f>'[71]VENTAS TOTALES'!$F240</f>
        <v>703</v>
      </c>
      <c r="J213" s="344">
        <f>'[71]VENTAS TOTALES'!$G240</f>
        <v>1195900</v>
      </c>
      <c r="K213" s="344">
        <f>+'[71]VENTAS TOTALES'!$H240</f>
        <v>2391000</v>
      </c>
      <c r="L213" s="371">
        <f>'[72]VENTAS TOTALES'!$F240</f>
        <v>914</v>
      </c>
      <c r="M213" s="344">
        <f>'[72]VENTAS TOTALES'!$G240</f>
        <v>979100</v>
      </c>
      <c r="N213" s="344">
        <f>+'[72]VENTAS TOTALES'!$H240</f>
        <v>2532900</v>
      </c>
      <c r="O213" s="371">
        <f>'[73]VENTAS TOTALES'!$F240</f>
        <v>792</v>
      </c>
      <c r="P213" s="344">
        <f>'[73]VENTAS TOTALES'!$G240</f>
        <v>559200</v>
      </c>
      <c r="Q213" s="344">
        <f>+'[73]VENTAS TOTALES'!$H240</f>
        <v>1905600</v>
      </c>
      <c r="R213" s="371">
        <f>'[74]VENTAS TOTALES'!$F240</f>
        <v>0</v>
      </c>
      <c r="S213" s="344">
        <f>'[74]VENTAS TOTALES'!$G240</f>
        <v>0</v>
      </c>
      <c r="T213" s="344">
        <f>+'[74]VENTAS TOTALES'!$H240</f>
        <v>0</v>
      </c>
      <c r="U213" s="371">
        <f>'[75]VENTAS TOTALES'!$F240</f>
        <v>844</v>
      </c>
      <c r="V213" s="344">
        <f>'[75]VENTAS TOTALES'!$G240</f>
        <v>1583400</v>
      </c>
      <c r="W213" s="344">
        <f>+'[75]VENTAS TOTALES'!$H240</f>
        <v>3018200</v>
      </c>
      <c r="X213" s="371">
        <f>'[76]VENTAS TOTALES'!$F240</f>
        <v>907</v>
      </c>
      <c r="Y213" s="344">
        <f>'[76]VENTAS TOTALES'!$G240</f>
        <v>1102150</v>
      </c>
      <c r="Z213" s="344">
        <f>+'[76]VENTAS TOTALES'!$H240</f>
        <v>2644050</v>
      </c>
      <c r="AA213" s="371">
        <f>'[77]VENTAS TOTALES'!$F240</f>
        <v>832</v>
      </c>
      <c r="AB213" s="344">
        <f>'[77]VENTAS TOTALES'!$G240</f>
        <v>1093750</v>
      </c>
      <c r="AC213" s="344">
        <f>+'[77]VENTAS TOTALES'!$H240</f>
        <v>2508150</v>
      </c>
      <c r="AD213" s="371">
        <f>'[78]VENTAS TOTALES'!$F240</f>
        <v>920</v>
      </c>
      <c r="AE213" s="344">
        <f>'[78]VENTAS TOTALES'!$G240</f>
        <v>1079100</v>
      </c>
      <c r="AF213" s="344">
        <f>+'[78]VENTAS TOTALES'!$H240</f>
        <v>2643100</v>
      </c>
      <c r="AG213" s="371">
        <f>'[79]VENTAS TOTALES'!$F240</f>
        <v>937</v>
      </c>
      <c r="AH213" s="344">
        <f>'[79]VENTAS TOTALES'!$G240</f>
        <v>915100</v>
      </c>
      <c r="AI213" s="344">
        <f>+'[79]VENTAS TOTALES'!$H240</f>
        <v>2508000</v>
      </c>
      <c r="AJ213" s="371">
        <f>'[80]VENTAS TOTALES'!$F240</f>
        <v>842</v>
      </c>
      <c r="AK213" s="344">
        <f>'[80]VENTAS TOTALES'!$G240</f>
        <v>565700</v>
      </c>
      <c r="AL213" s="344">
        <f>+'[80]VENTAS TOTALES'!$H240</f>
        <v>1997100</v>
      </c>
      <c r="AM213" s="371">
        <f>'[81]VENTAS TOTALES'!$F240</f>
        <v>0</v>
      </c>
      <c r="AN213" s="344">
        <f>'[81]VENTAS TOTALES'!$G240</f>
        <v>0</v>
      </c>
      <c r="AO213" s="344">
        <f>+'[81]VENTAS TOTALES'!$H240</f>
        <v>0</v>
      </c>
      <c r="AP213" s="371">
        <f>'[82]VENTAS TOTALES'!$F240</f>
        <v>1022</v>
      </c>
      <c r="AQ213" s="344">
        <f>'[82]VENTAS TOTALES'!$G240</f>
        <v>1552750</v>
      </c>
      <c r="AR213" s="344">
        <f>+'[82]VENTAS TOTALES'!$H240</f>
        <v>3290150</v>
      </c>
      <c r="AS213" s="371">
        <f>'[83]VENTAS TOTALES'!$F240</f>
        <v>760</v>
      </c>
      <c r="AT213" s="344">
        <f>'[83]VENTAS TOTALES'!$G240</f>
        <v>1572700</v>
      </c>
      <c r="AU213" s="344">
        <f>+'[83]VENTAS TOTALES'!$H240</f>
        <v>2864700</v>
      </c>
      <c r="AV213" s="371">
        <f>'[84]VENTAS TOTALES'!$F240</f>
        <v>853</v>
      </c>
      <c r="AW213" s="344">
        <f>'[84]VENTAS TOTALES'!$G240</f>
        <v>1679500</v>
      </c>
      <c r="AX213" s="344">
        <f>+'[84]VENTAS TOTALES'!$H240</f>
        <v>3129600</v>
      </c>
      <c r="AY213" s="371">
        <f>'[85]VENTAS TOTALES'!$F240</f>
        <v>863</v>
      </c>
      <c r="AZ213" s="344">
        <f>'[85]VENTAS TOTALES'!$G240</f>
        <v>1256700</v>
      </c>
      <c r="BA213" s="344">
        <f>+'[85]VENTAS TOTALES'!$H240</f>
        <v>2723800</v>
      </c>
      <c r="BB213" s="371">
        <f>'[86]VENTAS TOTALES'!$F240</f>
        <v>977</v>
      </c>
      <c r="BC213" s="344">
        <f>'[86]VENTAS TOTALES'!$G240</f>
        <v>1324400</v>
      </c>
      <c r="BD213" s="344">
        <f>+'[86]VENTAS TOTALES'!$H240</f>
        <v>2985300</v>
      </c>
      <c r="BE213" s="371">
        <f>'[87]VENTAS TOTALES'!$F240</f>
        <v>872</v>
      </c>
      <c r="BF213" s="344">
        <f>'[87]VENTAS TOTALES'!$G240</f>
        <v>848200</v>
      </c>
      <c r="BG213" s="344">
        <f>+'[87]VENTAS TOTALES'!$H240</f>
        <v>2330600</v>
      </c>
      <c r="BH213" s="371">
        <f>'[88]VENTAS TOTALES'!$F240</f>
        <v>0</v>
      </c>
      <c r="BI213" s="344">
        <f>'[88]VENTAS TOTALES'!$G240</f>
        <v>0</v>
      </c>
      <c r="BJ213" s="344">
        <f>+'[88]VENTAS TOTALES'!$H240</f>
        <v>0</v>
      </c>
      <c r="BK213" s="371">
        <f>'[89]VENTAS TOTALES'!$F240</f>
        <v>1042</v>
      </c>
      <c r="BL213" s="344">
        <f>'[89]VENTAS TOTALES'!$G240</f>
        <v>1723800</v>
      </c>
      <c r="BM213" s="344">
        <f>+'[89]VENTAS TOTALES'!$H240</f>
        <v>3495200</v>
      </c>
      <c r="BN213" s="371">
        <f>'[90]VENTAS TOTALES'!$F240</f>
        <v>771</v>
      </c>
      <c r="BO213" s="344">
        <f>'[90]VENTAS TOTALES'!$G240</f>
        <v>1171900</v>
      </c>
      <c r="BP213" s="344">
        <f>+'[90]VENTAS TOTALES'!$H240</f>
        <v>2482600</v>
      </c>
      <c r="BQ213" s="371">
        <f>'[91]VENTAS TOTALES'!$F240</f>
        <v>705</v>
      </c>
      <c r="BR213" s="344">
        <f>'[91]VENTAS TOTALES'!$G240</f>
        <v>790400</v>
      </c>
      <c r="BS213" s="344">
        <f>+'[91]VENTAS TOTALES'!$H240</f>
        <v>1988900</v>
      </c>
      <c r="BT213" s="371">
        <f>'[92]VENTAS TOTALES'!$F240</f>
        <v>852</v>
      </c>
      <c r="BU213" s="344">
        <f>'[92]VENTAS TOTALES'!$G240</f>
        <v>1039100</v>
      </c>
      <c r="BV213" s="344">
        <f>+'[92]VENTAS TOTALES'!$H240</f>
        <v>2487500</v>
      </c>
      <c r="BW213" s="371">
        <f>'[93]VENTAS TOTALES'!$F240</f>
        <v>878</v>
      </c>
      <c r="BX213" s="344">
        <f>'[93]VENTAS TOTALES'!$G240</f>
        <v>931700</v>
      </c>
      <c r="BY213" s="344">
        <f>+'[93]VENTAS TOTALES'!$H240</f>
        <v>2424300</v>
      </c>
      <c r="BZ213" s="371">
        <f>'[94]VENTAS TOTALES'!$F240</f>
        <v>815</v>
      </c>
      <c r="CA213" s="344">
        <f>'[94]VENTAS TOTALES'!$G240</f>
        <v>567500</v>
      </c>
      <c r="CB213" s="344">
        <f>+'[94]VENTAS TOTALES'!$H240</f>
        <v>1953000</v>
      </c>
      <c r="CC213" s="371">
        <f>'[95]VENTAS TOTALES'!$F240</f>
        <v>0</v>
      </c>
      <c r="CD213" s="344">
        <f>'[95]VENTAS TOTALES'!$G240</f>
        <v>0</v>
      </c>
      <c r="CE213" s="344">
        <f>+'[95]VENTAS TOTALES'!$H240</f>
        <v>0</v>
      </c>
      <c r="CF213" s="371">
        <f>'[96]VENTAS TOTALES'!$F240</f>
        <v>1083</v>
      </c>
      <c r="CG213" s="344">
        <f>'[96]VENTAS TOTALES'!$G240</f>
        <v>2187500</v>
      </c>
      <c r="CH213" s="344">
        <f>+'[96]VENTAS TOTALES'!$H240</f>
        <v>4028600</v>
      </c>
      <c r="CI213" s="371">
        <f>'[97]VENTAS TOTALES'!$F240</f>
        <v>1018</v>
      </c>
      <c r="CJ213" s="344">
        <f>'[97]VENTAS TOTALES'!$G240</f>
        <v>1676700</v>
      </c>
      <c r="CK213" s="344">
        <f>+'[97]VENTAS TOTALES'!$H240</f>
        <v>3407300</v>
      </c>
      <c r="CL213" s="371">
        <f>'[98]VENTAS TOTALES'!$F240</f>
        <v>919</v>
      </c>
      <c r="CM213" s="344">
        <f>'[98]VENTAS TOTALES'!$G240</f>
        <v>1631750</v>
      </c>
      <c r="CN213" s="344">
        <f>+'[98]VENTAS TOTALES'!$H240</f>
        <v>3194050</v>
      </c>
      <c r="CO213" s="371">
        <f>'[99]VENTAS TOTALES'!$F240</f>
        <v>1042</v>
      </c>
      <c r="CP213" s="344">
        <f>'[99]VENTAS TOTALES'!$G240</f>
        <v>774600</v>
      </c>
      <c r="CQ213" s="344">
        <f>+'[99]VENTAS TOTALES'!$H240</f>
        <v>2546000</v>
      </c>
      <c r="CR213" s="371">
        <f>'[100]VENTAS TOTALES'!$F240</f>
        <v>935</v>
      </c>
      <c r="CS213" s="344">
        <f>'[100]VENTAS TOTALES'!$G240</f>
        <v>674500</v>
      </c>
      <c r="CT213" s="344">
        <f>+'[100]VENTAS TOTALES'!$H240</f>
        <v>2264000</v>
      </c>
      <c r="CU213" s="371">
        <f>'[101]VENTAS TOTALES'!$F240</f>
        <v>927</v>
      </c>
      <c r="CV213" s="344">
        <f>'[101]VENTAS TOTALES'!$G240</f>
        <v>441700</v>
      </c>
      <c r="CW213" s="344">
        <f>+'[101]VENTAS TOTALES'!$H240</f>
        <v>2017600</v>
      </c>
      <c r="CX213" s="371">
        <f>'[102]VENTAS TOTALES'!$F240</f>
        <v>0</v>
      </c>
      <c r="CY213" s="344">
        <f>'[102]VENTAS TOTALES'!$G240</f>
        <v>0</v>
      </c>
      <c r="CZ213" s="344">
        <f>+'[102]VENTAS TOTALES'!$H240</f>
        <v>0</v>
      </c>
    </row>
    <row r="214" spans="1:104" s="8" customFormat="1" ht="14.25" customHeight="1" thickBot="1" x14ac:dyDescent="0.25">
      <c r="A214" s="452"/>
      <c r="B214" s="345" t="s">
        <v>438</v>
      </c>
      <c r="C214" s="371">
        <f>'[69]VENTAS TOTALES'!$F241</f>
        <v>789</v>
      </c>
      <c r="D214" s="344">
        <f>'[69]VENTAS TOTALES'!$G241</f>
        <v>2424100</v>
      </c>
      <c r="E214" s="344">
        <f>+'[69]VENTAS TOTALES'!$H241</f>
        <v>3765400</v>
      </c>
      <c r="F214" s="371">
        <f>'[70]VENTAS TOTALES'!$F241</f>
        <v>844</v>
      </c>
      <c r="G214" s="344">
        <f>'[70]VENTAS TOTALES'!$G241</f>
        <v>1437000</v>
      </c>
      <c r="H214" s="344">
        <f>+'[70]VENTAS TOTALES'!$H241</f>
        <v>2871800</v>
      </c>
      <c r="I214" s="371">
        <f>'[71]VENTAS TOTALES'!$F241</f>
        <v>548</v>
      </c>
      <c r="J214" s="344">
        <f>'[71]VENTAS TOTALES'!$G241</f>
        <v>1248200</v>
      </c>
      <c r="K214" s="344">
        <f>+'[71]VENTAS TOTALES'!$H241</f>
        <v>2179800</v>
      </c>
      <c r="L214" s="371">
        <f>'[72]VENTAS TOTALES'!$F241</f>
        <v>808</v>
      </c>
      <c r="M214" s="344">
        <f>'[72]VENTAS TOTALES'!$G241</f>
        <v>1042500</v>
      </c>
      <c r="N214" s="344">
        <f>+'[72]VENTAS TOTALES'!$H241</f>
        <v>2416100</v>
      </c>
      <c r="O214" s="371">
        <f>'[73]VENTAS TOTALES'!$F241</f>
        <v>483</v>
      </c>
      <c r="P214" s="344">
        <f>'[73]VENTAS TOTALES'!$G241</f>
        <v>494500</v>
      </c>
      <c r="Q214" s="344">
        <f>+'[73]VENTAS TOTALES'!$H241</f>
        <v>1315600</v>
      </c>
      <c r="R214" s="371">
        <f>'[74]VENTAS TOTALES'!$F241</f>
        <v>0</v>
      </c>
      <c r="S214" s="344">
        <f>'[74]VENTAS TOTALES'!$G241</f>
        <v>0</v>
      </c>
      <c r="T214" s="344">
        <f>+'[74]VENTAS TOTALES'!$H241</f>
        <v>0</v>
      </c>
      <c r="U214" s="371">
        <f>'[75]VENTAS TOTALES'!$F241</f>
        <v>1039</v>
      </c>
      <c r="V214" s="344">
        <f>'[75]VENTAS TOTALES'!$G241</f>
        <v>2023800</v>
      </c>
      <c r="W214" s="344">
        <f>+'[75]VENTAS TOTALES'!$H241</f>
        <v>3790100</v>
      </c>
      <c r="X214" s="371">
        <f>'[76]VENTAS TOTALES'!$F241</f>
        <v>814</v>
      </c>
      <c r="Y214" s="344">
        <f>'[76]VENTAS TOTALES'!$G241</f>
        <v>1430200</v>
      </c>
      <c r="Z214" s="344">
        <f>+'[76]VENTAS TOTALES'!$H241</f>
        <v>2814000</v>
      </c>
      <c r="AA214" s="371">
        <f>'[77]VENTAS TOTALES'!$F241</f>
        <v>656</v>
      </c>
      <c r="AB214" s="344">
        <f>'[77]VENTAS TOTALES'!$G241</f>
        <v>1023300</v>
      </c>
      <c r="AC214" s="344">
        <f>+'[77]VENTAS TOTALES'!$H241</f>
        <v>2138500</v>
      </c>
      <c r="AD214" s="371">
        <f>'[78]VENTAS TOTALES'!$F241</f>
        <v>912</v>
      </c>
      <c r="AE214" s="344">
        <f>'[78]VENTAS TOTALES'!$G241</f>
        <v>884700</v>
      </c>
      <c r="AF214" s="344">
        <f>+'[78]VENTAS TOTALES'!$H241</f>
        <v>2435100</v>
      </c>
      <c r="AG214" s="371">
        <f>'[79]VENTAS TOTALES'!$F241</f>
        <v>710</v>
      </c>
      <c r="AH214" s="344">
        <f>'[79]VENTAS TOTALES'!$G241</f>
        <v>862400</v>
      </c>
      <c r="AI214" s="344">
        <f>+'[79]VENTAS TOTALES'!$H241</f>
        <v>2069400</v>
      </c>
      <c r="AJ214" s="371">
        <f>'[80]VENTAS TOTALES'!$F241</f>
        <v>490</v>
      </c>
      <c r="AK214" s="344">
        <f>'[80]VENTAS TOTALES'!$G241</f>
        <v>479700</v>
      </c>
      <c r="AL214" s="344">
        <f>+'[80]VENTAS TOTALES'!$H241</f>
        <v>1312700</v>
      </c>
      <c r="AM214" s="371">
        <f>'[81]VENTAS TOTALES'!$F241</f>
        <v>0</v>
      </c>
      <c r="AN214" s="344">
        <f>'[81]VENTAS TOTALES'!$G241</f>
        <v>0</v>
      </c>
      <c r="AO214" s="344">
        <f>+'[81]VENTAS TOTALES'!$H241</f>
        <v>0</v>
      </c>
      <c r="AP214" s="371">
        <f>'[82]VENTAS TOTALES'!$F241</f>
        <v>1060</v>
      </c>
      <c r="AQ214" s="344">
        <f>'[82]VENTAS TOTALES'!$G241</f>
        <v>1917800</v>
      </c>
      <c r="AR214" s="344">
        <f>+'[82]VENTAS TOTALES'!$H241</f>
        <v>3719800</v>
      </c>
      <c r="AS214" s="371">
        <f>'[83]VENTAS TOTALES'!$F241</f>
        <v>973</v>
      </c>
      <c r="AT214" s="344">
        <f>'[83]VENTAS TOTALES'!$G241</f>
        <v>1424400</v>
      </c>
      <c r="AU214" s="344">
        <f>+'[83]VENTAS TOTALES'!$H241</f>
        <v>3078500</v>
      </c>
      <c r="AV214" s="371">
        <f>'[84]VENTAS TOTALES'!$F241</f>
        <v>695</v>
      </c>
      <c r="AW214" s="344">
        <f>'[84]VENTAS TOTALES'!$G241</f>
        <v>1368300</v>
      </c>
      <c r="AX214" s="344">
        <f>+'[84]VENTAS TOTALES'!$H241</f>
        <v>2549800</v>
      </c>
      <c r="AY214" s="371">
        <f>'[85]VENTAS TOTALES'!$F241</f>
        <v>579</v>
      </c>
      <c r="AZ214" s="344">
        <f>'[85]VENTAS TOTALES'!$G241</f>
        <v>1340000</v>
      </c>
      <c r="BA214" s="344">
        <f>+'[85]VENTAS TOTALES'!$H241</f>
        <v>2324300</v>
      </c>
      <c r="BB214" s="371">
        <f>'[86]VENTAS TOTALES'!$F241</f>
        <v>727</v>
      </c>
      <c r="BC214" s="344">
        <f>'[86]VENTAS TOTALES'!$G241</f>
        <v>982400</v>
      </c>
      <c r="BD214" s="344">
        <f>+'[86]VENTAS TOTALES'!$H241</f>
        <v>2218300</v>
      </c>
      <c r="BE214" s="371">
        <f>'[87]VENTAS TOTALES'!$F241</f>
        <v>533</v>
      </c>
      <c r="BF214" s="344">
        <f>'[87]VENTAS TOTALES'!$G241</f>
        <v>427800</v>
      </c>
      <c r="BG214" s="344">
        <f>+'[87]VENTAS TOTALES'!$H241</f>
        <v>1333900</v>
      </c>
      <c r="BH214" s="371">
        <f>'[88]VENTAS TOTALES'!$F241</f>
        <v>0</v>
      </c>
      <c r="BI214" s="344">
        <f>'[88]VENTAS TOTALES'!$G241</f>
        <v>0</v>
      </c>
      <c r="BJ214" s="344">
        <f>+'[88]VENTAS TOTALES'!$H241</f>
        <v>0</v>
      </c>
      <c r="BK214" s="371">
        <f>'[89]VENTAS TOTALES'!$F241</f>
        <v>837</v>
      </c>
      <c r="BL214" s="344">
        <f>'[89]VENTAS TOTALES'!$G241</f>
        <v>1951800</v>
      </c>
      <c r="BM214" s="344">
        <f>+'[89]VENTAS TOTALES'!$H241</f>
        <v>3374700</v>
      </c>
      <c r="BN214" s="371">
        <f>'[90]VENTAS TOTALES'!$F241</f>
        <v>832</v>
      </c>
      <c r="BO214" s="344">
        <f>'[90]VENTAS TOTALES'!$G241</f>
        <v>1053900</v>
      </c>
      <c r="BP214" s="344">
        <f>+'[90]VENTAS TOTALES'!$H241</f>
        <v>2468300</v>
      </c>
      <c r="BQ214" s="371">
        <f>'[91]VENTAS TOTALES'!$F241</f>
        <v>458</v>
      </c>
      <c r="BR214" s="344">
        <f>'[91]VENTAS TOTALES'!$G241</f>
        <v>749200</v>
      </c>
      <c r="BS214" s="344">
        <f>+'[91]VENTAS TOTALES'!$H241</f>
        <v>1527800</v>
      </c>
      <c r="BT214" s="371">
        <f>'[92]VENTAS TOTALES'!$F241</f>
        <v>723</v>
      </c>
      <c r="BU214" s="344">
        <f>'[92]VENTAS TOTALES'!$G241</f>
        <v>969600</v>
      </c>
      <c r="BV214" s="344">
        <f>+'[92]VENTAS TOTALES'!$H241</f>
        <v>2198700</v>
      </c>
      <c r="BW214" s="371">
        <f>'[93]VENTAS TOTALES'!$F241</f>
        <v>753</v>
      </c>
      <c r="BX214" s="344">
        <f>'[93]VENTAS TOTALES'!$G241</f>
        <v>1650600</v>
      </c>
      <c r="BY214" s="344">
        <f>+'[93]VENTAS TOTALES'!$H241</f>
        <v>2930700</v>
      </c>
      <c r="BZ214" s="371">
        <f>'[94]VENTAS TOTALES'!$F241</f>
        <v>522</v>
      </c>
      <c r="CA214" s="344">
        <f>'[94]VENTAS TOTALES'!$G241</f>
        <v>420000</v>
      </c>
      <c r="CB214" s="344">
        <f>+'[94]VENTAS TOTALES'!$H241</f>
        <v>1307400</v>
      </c>
      <c r="CC214" s="371">
        <f>'[95]VENTAS TOTALES'!$F241</f>
        <v>0</v>
      </c>
      <c r="CD214" s="344">
        <f>'[95]VENTAS TOTALES'!$G241</f>
        <v>0</v>
      </c>
      <c r="CE214" s="344">
        <f>+'[95]VENTAS TOTALES'!$H241</f>
        <v>0</v>
      </c>
      <c r="CF214" s="371">
        <f>'[96]VENTAS TOTALES'!$F241</f>
        <v>716</v>
      </c>
      <c r="CG214" s="344">
        <f>'[96]VENTAS TOTALES'!$G241</f>
        <v>2113600</v>
      </c>
      <c r="CH214" s="344">
        <f>+'[96]VENTAS TOTALES'!$H241</f>
        <v>3330800</v>
      </c>
      <c r="CI214" s="371">
        <f>'[97]VENTAS TOTALES'!$F241</f>
        <v>456</v>
      </c>
      <c r="CJ214" s="344">
        <f>'[97]VENTAS TOTALES'!$G241</f>
        <v>1006200</v>
      </c>
      <c r="CK214" s="344">
        <f>+'[97]VENTAS TOTALES'!$H241</f>
        <v>1781400</v>
      </c>
      <c r="CL214" s="371">
        <f>'[98]VENTAS TOTALES'!$F241</f>
        <v>253</v>
      </c>
      <c r="CM214" s="344">
        <f>'[98]VENTAS TOTALES'!$G241</f>
        <v>721900</v>
      </c>
      <c r="CN214" s="344">
        <f>+'[98]VENTAS TOTALES'!$H241</f>
        <v>1152000</v>
      </c>
      <c r="CO214" s="371">
        <f>'[99]VENTAS TOTALES'!$F241</f>
        <v>569</v>
      </c>
      <c r="CP214" s="344">
        <f>'[99]VENTAS TOTALES'!$G241</f>
        <v>1339800</v>
      </c>
      <c r="CQ214" s="344">
        <f>+'[99]VENTAS TOTALES'!$H241</f>
        <v>2307100</v>
      </c>
      <c r="CR214" s="371">
        <f>'[100]VENTAS TOTALES'!$F241</f>
        <v>662</v>
      </c>
      <c r="CS214" s="344">
        <f>'[100]VENTAS TOTALES'!$G241</f>
        <v>697800</v>
      </c>
      <c r="CT214" s="344">
        <f>+'[100]VENTAS TOTALES'!$H241</f>
        <v>1823200</v>
      </c>
      <c r="CU214" s="371">
        <f>'[101]VENTAS TOTALES'!$F241</f>
        <v>386</v>
      </c>
      <c r="CV214" s="344">
        <f>'[101]VENTAS TOTALES'!$G241</f>
        <v>363400</v>
      </c>
      <c r="CW214" s="344">
        <f>+'[101]VENTAS TOTALES'!$H241</f>
        <v>1019600</v>
      </c>
      <c r="CX214" s="371">
        <f>'[102]VENTAS TOTALES'!$F241</f>
        <v>0</v>
      </c>
      <c r="CY214" s="344">
        <f>'[102]VENTAS TOTALES'!$G241</f>
        <v>0</v>
      </c>
      <c r="CZ214" s="344">
        <f>+'[102]VENTAS TOTALES'!$H241</f>
        <v>0</v>
      </c>
    </row>
    <row r="215" spans="1:104" s="8" customFormat="1" ht="14.25" customHeight="1" thickBot="1" x14ac:dyDescent="0.25">
      <c r="A215" s="452"/>
      <c r="B215" s="345" t="s">
        <v>439</v>
      </c>
      <c r="C215" s="371">
        <f>'[69]VENTAS TOTALES'!$F242</f>
        <v>1190</v>
      </c>
      <c r="D215" s="344">
        <f>'[69]VENTAS TOTALES'!$G242</f>
        <v>2896300</v>
      </c>
      <c r="E215" s="344">
        <f>+'[69]VENTAS TOTALES'!$H242</f>
        <v>4919300</v>
      </c>
      <c r="F215" s="371">
        <f>'[70]VENTAS TOTALES'!$F242</f>
        <v>781</v>
      </c>
      <c r="G215" s="344">
        <f>'[70]VENTAS TOTALES'!$G242</f>
        <v>2057201</v>
      </c>
      <c r="H215" s="344">
        <f>+'[70]VENTAS TOTALES'!$H242</f>
        <v>3384901</v>
      </c>
      <c r="I215" s="371">
        <f>'[71]VENTAS TOTALES'!$F242</f>
        <v>750</v>
      </c>
      <c r="J215" s="344">
        <f>'[71]VENTAS TOTALES'!$G242</f>
        <v>1650200</v>
      </c>
      <c r="K215" s="344">
        <f>+'[71]VENTAS TOTALES'!$H242</f>
        <v>2925200</v>
      </c>
      <c r="L215" s="371">
        <f>'[72]VENTAS TOTALES'!$F242</f>
        <v>759</v>
      </c>
      <c r="M215" s="344">
        <f>'[72]VENTAS TOTALES'!$G242</f>
        <v>1329900</v>
      </c>
      <c r="N215" s="344">
        <f>+'[72]VENTAS TOTALES'!$H242</f>
        <v>2620200</v>
      </c>
      <c r="O215" s="371">
        <f>'[73]VENTAS TOTALES'!$F242</f>
        <v>424</v>
      </c>
      <c r="P215" s="344">
        <f>'[73]VENTAS TOTALES'!$G242</f>
        <v>973550</v>
      </c>
      <c r="Q215" s="344">
        <f>+'[73]VENTAS TOTALES'!$H242</f>
        <v>1694350</v>
      </c>
      <c r="R215" s="371">
        <f>'[74]VENTAS TOTALES'!$F242</f>
        <v>0</v>
      </c>
      <c r="S215" s="344">
        <f>'[74]VENTAS TOTALES'!$G242</f>
        <v>0</v>
      </c>
      <c r="T215" s="344">
        <f>+'[74]VENTAS TOTALES'!$H242</f>
        <v>0</v>
      </c>
      <c r="U215" s="371">
        <f>'[75]VENTAS TOTALES'!$F242</f>
        <v>1278</v>
      </c>
      <c r="V215" s="344">
        <f>'[75]VENTAS TOTALES'!$G242</f>
        <v>2021050</v>
      </c>
      <c r="W215" s="344">
        <f>+'[75]VENTAS TOTALES'!$H242</f>
        <v>4193650</v>
      </c>
      <c r="X215" s="371">
        <f>'[76]VENTAS TOTALES'!$F242</f>
        <v>1038</v>
      </c>
      <c r="Y215" s="344">
        <f>'[76]VENTAS TOTALES'!$G242</f>
        <v>1417400</v>
      </c>
      <c r="Z215" s="344">
        <f>+'[76]VENTAS TOTALES'!$H242</f>
        <v>3182000</v>
      </c>
      <c r="AA215" s="371">
        <f>'[77]VENTAS TOTALES'!$F242</f>
        <v>967</v>
      </c>
      <c r="AB215" s="344">
        <f>'[77]VENTAS TOTALES'!$G242</f>
        <v>1317900</v>
      </c>
      <c r="AC215" s="344">
        <f>+'[77]VENTAS TOTALES'!$H242</f>
        <v>2961800</v>
      </c>
      <c r="AD215" s="371">
        <f>'[78]VENTAS TOTALES'!$F242</f>
        <v>887</v>
      </c>
      <c r="AE215" s="344">
        <f>'[78]VENTAS TOTALES'!$G242</f>
        <v>1442700</v>
      </c>
      <c r="AF215" s="344">
        <f>+'[78]VENTAS TOTALES'!$H242</f>
        <v>2950600</v>
      </c>
      <c r="AG215" s="371">
        <f>'[79]VENTAS TOTALES'!$F242</f>
        <v>799</v>
      </c>
      <c r="AH215" s="344">
        <f>'[79]VENTAS TOTALES'!$G242</f>
        <v>1195100</v>
      </c>
      <c r="AI215" s="344">
        <f>+'[79]VENTAS TOTALES'!$H242</f>
        <v>2553400</v>
      </c>
      <c r="AJ215" s="371">
        <f>'[80]VENTAS TOTALES'!$F242</f>
        <v>499</v>
      </c>
      <c r="AK215" s="344">
        <f>'[80]VENTAS TOTALES'!$G242</f>
        <v>725700</v>
      </c>
      <c r="AL215" s="344">
        <f>+'[80]VENTAS TOTALES'!$H242</f>
        <v>1574000</v>
      </c>
      <c r="AM215" s="371">
        <f>'[81]VENTAS TOTALES'!$F242</f>
        <v>0</v>
      </c>
      <c r="AN215" s="344">
        <f>'[81]VENTAS TOTALES'!$G242</f>
        <v>0</v>
      </c>
      <c r="AO215" s="344">
        <f>+'[81]VENTAS TOTALES'!$H242</f>
        <v>0</v>
      </c>
      <c r="AP215" s="371">
        <f>'[82]VENTAS TOTALES'!$F242</f>
        <v>1173</v>
      </c>
      <c r="AQ215" s="344">
        <f>'[82]VENTAS TOTALES'!$G242</f>
        <v>3180500</v>
      </c>
      <c r="AR215" s="344">
        <f>+'[82]VENTAS TOTALES'!$H242</f>
        <v>5174600</v>
      </c>
      <c r="AS215" s="371">
        <f>'[83]VENTAS TOTALES'!$F242</f>
        <v>875</v>
      </c>
      <c r="AT215" s="344">
        <f>'[83]VENTAS TOTALES'!$G242</f>
        <v>2586500</v>
      </c>
      <c r="AU215" s="344">
        <f>+'[83]VENTAS TOTALES'!$H242</f>
        <v>4074000</v>
      </c>
      <c r="AV215" s="371">
        <f>'[84]VENTAS TOTALES'!$F242</f>
        <v>1123</v>
      </c>
      <c r="AW215" s="344">
        <f>'[84]VENTAS TOTALES'!$G242</f>
        <v>2757400</v>
      </c>
      <c r="AX215" s="344">
        <f>+'[84]VENTAS TOTALES'!$H242</f>
        <v>4666500</v>
      </c>
      <c r="AY215" s="371">
        <f>'[85]VENTAS TOTALES'!$F242</f>
        <v>883</v>
      </c>
      <c r="AZ215" s="344">
        <f>'[85]VENTAS TOTALES'!$G242</f>
        <v>2971000</v>
      </c>
      <c r="BA215" s="344">
        <f>+'[85]VENTAS TOTALES'!$H242</f>
        <v>4472100</v>
      </c>
      <c r="BB215" s="371">
        <f>'[86]VENTAS TOTALES'!$F242</f>
        <v>1009</v>
      </c>
      <c r="BC215" s="344">
        <f>'[86]VENTAS TOTALES'!$G242</f>
        <v>1764400</v>
      </c>
      <c r="BD215" s="344">
        <f>+'[86]VENTAS TOTALES'!$H242</f>
        <v>3479700</v>
      </c>
      <c r="BE215" s="371">
        <f>'[87]VENTAS TOTALES'!$F242</f>
        <v>445</v>
      </c>
      <c r="BF215" s="344">
        <f>'[87]VENTAS TOTALES'!$G242</f>
        <v>1104300</v>
      </c>
      <c r="BG215" s="344">
        <f>+'[87]VENTAS TOTALES'!$H242</f>
        <v>1860800</v>
      </c>
      <c r="BH215" s="371">
        <f>'[88]VENTAS TOTALES'!$F242</f>
        <v>0</v>
      </c>
      <c r="BI215" s="344">
        <f>'[88]VENTAS TOTALES'!$G242</f>
        <v>0</v>
      </c>
      <c r="BJ215" s="344">
        <f>+'[88]VENTAS TOTALES'!$H242</f>
        <v>0</v>
      </c>
      <c r="BK215" s="371">
        <f>'[89]VENTAS TOTALES'!$F242</f>
        <v>1214</v>
      </c>
      <c r="BL215" s="344">
        <f>'[89]VENTAS TOTALES'!$G242</f>
        <v>2411100</v>
      </c>
      <c r="BM215" s="344">
        <f>+'[89]VENTAS TOTALES'!$H242</f>
        <v>4474900</v>
      </c>
      <c r="BN215" s="371">
        <f>'[90]VENTAS TOTALES'!$F242</f>
        <v>1042</v>
      </c>
      <c r="BO215" s="344">
        <f>'[90]VENTAS TOTALES'!$G242</f>
        <v>1331500</v>
      </c>
      <c r="BP215" s="344">
        <f>+'[90]VENTAS TOTALES'!$H242</f>
        <v>3102900</v>
      </c>
      <c r="BQ215" s="371">
        <f>'[91]VENTAS TOTALES'!$F242</f>
        <v>1178</v>
      </c>
      <c r="BR215" s="344">
        <f>'[91]VENTAS TOTALES'!$G242</f>
        <v>1014400</v>
      </c>
      <c r="BS215" s="344">
        <f>+'[91]VENTAS TOTALES'!$H242</f>
        <v>3017000</v>
      </c>
      <c r="BT215" s="371">
        <f>'[92]VENTAS TOTALES'!$F242</f>
        <v>1174</v>
      </c>
      <c r="BU215" s="344">
        <f>'[92]VENTAS TOTALES'!$G242</f>
        <v>1162700</v>
      </c>
      <c r="BV215" s="344">
        <f>+'[92]VENTAS TOTALES'!$H242</f>
        <v>3158500</v>
      </c>
      <c r="BW215" s="371">
        <f>'[93]VENTAS TOTALES'!$F242</f>
        <v>968</v>
      </c>
      <c r="BX215" s="344">
        <f>'[93]VENTAS TOTALES'!$G242</f>
        <v>1386800</v>
      </c>
      <c r="BY215" s="344">
        <f>+'[93]VENTAS TOTALES'!$H242</f>
        <v>3032400</v>
      </c>
      <c r="BZ215" s="371">
        <f>'[94]VENTAS TOTALES'!$F242</f>
        <v>638</v>
      </c>
      <c r="CA215" s="344">
        <f>'[94]VENTAS TOTALES'!$G242</f>
        <v>611850</v>
      </c>
      <c r="CB215" s="344">
        <f>+'[94]VENTAS TOTALES'!$H242</f>
        <v>1696450</v>
      </c>
      <c r="CC215" s="371">
        <f>'[95]VENTAS TOTALES'!$F242</f>
        <v>0</v>
      </c>
      <c r="CD215" s="344">
        <f>'[95]VENTAS TOTALES'!$G242</f>
        <v>0</v>
      </c>
      <c r="CE215" s="344">
        <f>+'[95]VENTAS TOTALES'!$H242</f>
        <v>0</v>
      </c>
      <c r="CF215" s="371">
        <f>'[96]VENTAS TOTALES'!$F242</f>
        <v>1353</v>
      </c>
      <c r="CG215" s="344">
        <f>'[96]VENTAS TOTALES'!$G242</f>
        <v>3368350</v>
      </c>
      <c r="CH215" s="344">
        <f>+'[96]VENTAS TOTALES'!$H242</f>
        <v>5668450</v>
      </c>
      <c r="CI215" s="371">
        <f>'[97]VENTAS TOTALES'!$F242</f>
        <v>1232</v>
      </c>
      <c r="CJ215" s="344">
        <f>'[97]VENTAS TOTALES'!$G242</f>
        <v>2476700</v>
      </c>
      <c r="CK215" s="344">
        <f>+'[97]VENTAS TOTALES'!$H242</f>
        <v>4571100</v>
      </c>
      <c r="CL215" s="371">
        <f>'[98]VENTAS TOTALES'!$F242</f>
        <v>1095</v>
      </c>
      <c r="CM215" s="344">
        <f>'[98]VENTAS TOTALES'!$G242</f>
        <v>1822400</v>
      </c>
      <c r="CN215" s="344">
        <f>+'[98]VENTAS TOTALES'!$H242</f>
        <v>3683900</v>
      </c>
      <c r="CO215" s="371">
        <f>'[99]VENTAS TOTALES'!$F242</f>
        <v>995</v>
      </c>
      <c r="CP215" s="344">
        <f>'[99]VENTAS TOTALES'!$G242</f>
        <v>1587700</v>
      </c>
      <c r="CQ215" s="344">
        <f>+'[99]VENTAS TOTALES'!$H242</f>
        <v>3279200</v>
      </c>
      <c r="CR215" s="371">
        <f>'[100]VENTAS TOTALES'!$F242</f>
        <v>1057</v>
      </c>
      <c r="CS215" s="344">
        <f>'[100]VENTAS TOTALES'!$G242</f>
        <v>1242500</v>
      </c>
      <c r="CT215" s="344">
        <f>+'[100]VENTAS TOTALES'!$H242</f>
        <v>3039400</v>
      </c>
      <c r="CU215" s="371">
        <f>'[101]VENTAS TOTALES'!$F242</f>
        <v>579</v>
      </c>
      <c r="CV215" s="344">
        <f>'[101]VENTAS TOTALES'!$G242</f>
        <v>917000</v>
      </c>
      <c r="CW215" s="344">
        <f>+'[101]VENTAS TOTALES'!$H242</f>
        <v>1901300</v>
      </c>
      <c r="CX215" s="371">
        <f>'[102]VENTAS TOTALES'!$F242</f>
        <v>0</v>
      </c>
      <c r="CY215" s="344">
        <f>'[102]VENTAS TOTALES'!$G242</f>
        <v>0</v>
      </c>
      <c r="CZ215" s="344">
        <f>+'[102]VENTAS TOTALES'!$H242</f>
        <v>0</v>
      </c>
    </row>
    <row r="216" spans="1:104" s="8" customFormat="1" ht="14.25" customHeight="1" thickBot="1" x14ac:dyDescent="0.25">
      <c r="A216" s="452"/>
      <c r="B216" s="345" t="s">
        <v>440</v>
      </c>
      <c r="C216" s="371">
        <f>'[69]VENTAS TOTALES'!$F243</f>
        <v>976</v>
      </c>
      <c r="D216" s="344">
        <f>'[69]VENTAS TOTALES'!$G243</f>
        <v>1815100</v>
      </c>
      <c r="E216" s="344">
        <f>+'[69]VENTAS TOTALES'!$H243</f>
        <v>3474300</v>
      </c>
      <c r="F216" s="371">
        <f>'[70]VENTAS TOTALES'!$F243</f>
        <v>819</v>
      </c>
      <c r="G216" s="344">
        <f>'[70]VENTAS TOTALES'!$G243</f>
        <v>1460800</v>
      </c>
      <c r="H216" s="344">
        <f>+'[70]VENTAS TOTALES'!$H243</f>
        <v>2853100</v>
      </c>
      <c r="I216" s="371">
        <f>'[71]VENTAS TOTALES'!$F243</f>
        <v>702</v>
      </c>
      <c r="J216" s="344">
        <f>'[71]VENTAS TOTALES'!$G243</f>
        <v>1375700</v>
      </c>
      <c r="K216" s="344">
        <f>+'[71]VENTAS TOTALES'!$H243</f>
        <v>2569100</v>
      </c>
      <c r="L216" s="371">
        <f>'[72]VENTAS TOTALES'!$F243</f>
        <v>880</v>
      </c>
      <c r="M216" s="344">
        <f>'[72]VENTAS TOTALES'!$G243</f>
        <v>1136400</v>
      </c>
      <c r="N216" s="344">
        <f>+'[72]VENTAS TOTALES'!$H243</f>
        <v>2632400</v>
      </c>
      <c r="O216" s="371">
        <f>'[73]VENTAS TOTALES'!$F243</f>
        <v>253</v>
      </c>
      <c r="P216" s="344">
        <f>'[73]VENTAS TOTALES'!$G243</f>
        <v>159100</v>
      </c>
      <c r="Q216" s="344">
        <f>+'[73]VENTAS TOTALES'!$H243</f>
        <v>589200</v>
      </c>
      <c r="R216" s="371">
        <f>'[74]VENTAS TOTALES'!$F243</f>
        <v>0</v>
      </c>
      <c r="S216" s="344">
        <f>'[74]VENTAS TOTALES'!$G243</f>
        <v>0</v>
      </c>
      <c r="T216" s="344">
        <f>+'[74]VENTAS TOTALES'!$H243</f>
        <v>0</v>
      </c>
      <c r="U216" s="371">
        <f>'[75]VENTAS TOTALES'!$F243</f>
        <v>354</v>
      </c>
      <c r="V216" s="344">
        <f>'[75]VENTAS TOTALES'!$G243</f>
        <v>373200</v>
      </c>
      <c r="W216" s="344">
        <f>+'[75]VENTAS TOTALES'!$H243</f>
        <v>975000</v>
      </c>
      <c r="X216" s="371">
        <f>'[76]VENTAS TOTALES'!$F243</f>
        <v>834</v>
      </c>
      <c r="Y216" s="344">
        <f>'[76]VENTAS TOTALES'!$G243</f>
        <v>1145600</v>
      </c>
      <c r="Z216" s="344">
        <f>+'[76]VENTAS TOTALES'!$H243</f>
        <v>2563400</v>
      </c>
      <c r="AA216" s="371">
        <f>'[77]VENTAS TOTALES'!$F243</f>
        <v>679</v>
      </c>
      <c r="AB216" s="344">
        <f>'[77]VENTAS TOTALES'!$G243</f>
        <v>1101100</v>
      </c>
      <c r="AC216" s="344">
        <f>+'[77]VENTAS TOTALES'!$H243</f>
        <v>2255400</v>
      </c>
      <c r="AD216" s="371">
        <f>'[78]VENTAS TOTALES'!$F243</f>
        <v>756</v>
      </c>
      <c r="AE216" s="344">
        <f>'[78]VENTAS TOTALES'!$G243</f>
        <v>955900</v>
      </c>
      <c r="AF216" s="344">
        <f>+'[78]VENTAS TOTALES'!$H243</f>
        <v>2241100</v>
      </c>
      <c r="AG216" s="371">
        <f>'[79]VENTAS TOTALES'!$F243</f>
        <v>836</v>
      </c>
      <c r="AH216" s="344">
        <f>'[79]VENTAS TOTALES'!$G243</f>
        <v>849900</v>
      </c>
      <c r="AI216" s="344">
        <f>+'[79]VENTAS TOTALES'!$H243</f>
        <v>2271100</v>
      </c>
      <c r="AJ216" s="371">
        <f>'[80]VENTAS TOTALES'!$F243</f>
        <v>277</v>
      </c>
      <c r="AK216" s="344">
        <f>'[80]VENTAS TOTALES'!$G243</f>
        <v>124600</v>
      </c>
      <c r="AL216" s="344">
        <f>+'[80]VENTAS TOTALES'!$H243</f>
        <v>595500</v>
      </c>
      <c r="AM216" s="371">
        <f>'[81]VENTAS TOTALES'!$F243</f>
        <v>0</v>
      </c>
      <c r="AN216" s="344">
        <f>'[81]VENTAS TOTALES'!$G243</f>
        <v>0</v>
      </c>
      <c r="AO216" s="344">
        <f>+'[81]VENTAS TOTALES'!$H243</f>
        <v>0</v>
      </c>
      <c r="AP216" s="371">
        <f>'[82]VENTAS TOTALES'!$F243</f>
        <v>938</v>
      </c>
      <c r="AQ216" s="344">
        <f>'[82]VENTAS TOTALES'!$G243</f>
        <v>1912900</v>
      </c>
      <c r="AR216" s="344">
        <f>+'[82]VENTAS TOTALES'!$H243</f>
        <v>3507500</v>
      </c>
      <c r="AS216" s="371">
        <f>'[83]VENTAS TOTALES'!$F243</f>
        <v>863</v>
      </c>
      <c r="AT216" s="344">
        <f>'[83]VENTAS TOTALES'!$G243</f>
        <v>1843500</v>
      </c>
      <c r="AU216" s="344">
        <f>+'[83]VENTAS TOTALES'!$H243</f>
        <v>3310600</v>
      </c>
      <c r="AV216" s="371">
        <f>'[84]VENTAS TOTALES'!$F243</f>
        <v>788</v>
      </c>
      <c r="AW216" s="344">
        <f>'[84]VENTAS TOTALES'!$G243</f>
        <v>1082300</v>
      </c>
      <c r="AX216" s="344">
        <f>+'[84]VENTAS TOTALES'!$H243</f>
        <v>2421900</v>
      </c>
      <c r="AY216" s="371">
        <f>'[85]VENTAS TOTALES'!$F243</f>
        <v>545</v>
      </c>
      <c r="AZ216" s="344">
        <f>'[85]VENTAS TOTALES'!$G243</f>
        <v>622800</v>
      </c>
      <c r="BA216" s="344">
        <f>+'[85]VENTAS TOTALES'!$H243</f>
        <v>1549300</v>
      </c>
      <c r="BB216" s="371">
        <f>'[86]VENTAS TOTALES'!$F243</f>
        <v>1054</v>
      </c>
      <c r="BC216" s="344">
        <f>'[86]VENTAS TOTALES'!$G243</f>
        <v>864900</v>
      </c>
      <c r="BD216" s="344">
        <f>+'[86]VENTAS TOTALES'!$H243</f>
        <v>2656700</v>
      </c>
      <c r="BE216" s="371">
        <f>'[87]VENTAS TOTALES'!$F243</f>
        <v>295</v>
      </c>
      <c r="BF216" s="344">
        <f>'[87]VENTAS TOTALES'!$G243</f>
        <v>287800</v>
      </c>
      <c r="BG216" s="344">
        <f>+'[87]VENTAS TOTALES'!$H243</f>
        <v>789300</v>
      </c>
      <c r="BH216" s="371">
        <f>'[88]VENTAS TOTALES'!$F243</f>
        <v>0</v>
      </c>
      <c r="BI216" s="344">
        <f>'[88]VENTAS TOTALES'!$G243</f>
        <v>0</v>
      </c>
      <c r="BJ216" s="344">
        <f>+'[88]VENTAS TOTALES'!$H243</f>
        <v>0</v>
      </c>
      <c r="BK216" s="371">
        <f>'[89]VENTAS TOTALES'!$F243</f>
        <v>1011</v>
      </c>
      <c r="BL216" s="344">
        <f>'[89]VENTAS TOTALES'!$G243</f>
        <v>1574600</v>
      </c>
      <c r="BM216" s="344">
        <f>+'[89]VENTAS TOTALES'!$H243</f>
        <v>3293300</v>
      </c>
      <c r="BN216" s="371">
        <f>'[90]VENTAS TOTALES'!$F243</f>
        <v>943</v>
      </c>
      <c r="BO216" s="344">
        <f>'[90]VENTAS TOTALES'!$G243</f>
        <v>1088700</v>
      </c>
      <c r="BP216" s="344">
        <f>+'[90]VENTAS TOTALES'!$H243</f>
        <v>2691800</v>
      </c>
      <c r="BQ216" s="371">
        <f>'[91]VENTAS TOTALES'!$F243</f>
        <v>826</v>
      </c>
      <c r="BR216" s="344">
        <f>'[91]VENTAS TOTALES'!$G243</f>
        <v>892300</v>
      </c>
      <c r="BS216" s="344">
        <f>+'[91]VENTAS TOTALES'!$H243</f>
        <v>2296500</v>
      </c>
      <c r="BT216" s="371">
        <f>'[92]VENTAS TOTALES'!$F243</f>
        <v>1057</v>
      </c>
      <c r="BU216" s="344">
        <f>'[92]VENTAS TOTALES'!$G243</f>
        <v>1203200</v>
      </c>
      <c r="BV216" s="344">
        <f>+'[92]VENTAS TOTALES'!$H243</f>
        <v>3000100</v>
      </c>
      <c r="BW216" s="371">
        <f>'[93]VENTAS TOTALES'!$F243</f>
        <v>148</v>
      </c>
      <c r="BX216" s="344">
        <f>'[93]VENTAS TOTALES'!$G243</f>
        <v>121800</v>
      </c>
      <c r="BY216" s="344">
        <f>+'[93]VENTAS TOTALES'!$H243</f>
        <v>373400</v>
      </c>
      <c r="BZ216" s="371">
        <f>'[94]VENTAS TOTALES'!$F243</f>
        <v>295</v>
      </c>
      <c r="CA216" s="344">
        <f>'[94]VENTAS TOTALES'!$G243</f>
        <v>190400</v>
      </c>
      <c r="CB216" s="344">
        <f>+'[94]VENTAS TOTALES'!$H243</f>
        <v>691900</v>
      </c>
      <c r="CC216" s="371">
        <f>'[95]VENTAS TOTALES'!$F243</f>
        <v>0</v>
      </c>
      <c r="CD216" s="344">
        <f>'[95]VENTAS TOTALES'!$G243</f>
        <v>0</v>
      </c>
      <c r="CE216" s="344">
        <f>+'[95]VENTAS TOTALES'!$H243</f>
        <v>0</v>
      </c>
      <c r="CF216" s="371">
        <f>'[96]VENTAS TOTALES'!$F243</f>
        <v>953</v>
      </c>
      <c r="CG216" s="344">
        <f>'[96]VENTAS TOTALES'!$G243</f>
        <v>1539600</v>
      </c>
      <c r="CH216" s="344">
        <f>+'[96]VENTAS TOTALES'!$H243</f>
        <v>3159700</v>
      </c>
      <c r="CI216" s="371">
        <f>'[97]VENTAS TOTALES'!$F243</f>
        <v>778</v>
      </c>
      <c r="CJ216" s="344">
        <f>'[97]VENTAS TOTALES'!$G243</f>
        <v>1524700</v>
      </c>
      <c r="CK216" s="344">
        <f>+'[97]VENTAS TOTALES'!$H243</f>
        <v>2847300</v>
      </c>
      <c r="CL216" s="371">
        <f>'[98]VENTAS TOTALES'!$F243</f>
        <v>626</v>
      </c>
      <c r="CM216" s="344">
        <f>'[98]VENTAS TOTALES'!$G243</f>
        <v>910500</v>
      </c>
      <c r="CN216" s="344">
        <f>+'[98]VENTAS TOTALES'!$H243</f>
        <v>1974700</v>
      </c>
      <c r="CO216" s="371">
        <f>'[99]VENTAS TOTALES'!$F243</f>
        <v>814</v>
      </c>
      <c r="CP216" s="344">
        <f>'[99]VENTAS TOTALES'!$G243</f>
        <v>1087700</v>
      </c>
      <c r="CQ216" s="344">
        <f>+'[99]VENTAS TOTALES'!$H243</f>
        <v>2471500</v>
      </c>
      <c r="CR216" s="371">
        <f>'[100]VENTAS TOTALES'!$F243</f>
        <v>972</v>
      </c>
      <c r="CS216" s="344">
        <f>'[100]VENTAS TOTALES'!$G243</f>
        <v>779300</v>
      </c>
      <c r="CT216" s="344">
        <f>+'[100]VENTAS TOTALES'!$H243</f>
        <v>2431700</v>
      </c>
      <c r="CU216" s="371">
        <f>'[101]VENTAS TOTALES'!$F243</f>
        <v>326</v>
      </c>
      <c r="CV216" s="344">
        <f>'[101]VENTAS TOTALES'!$G243</f>
        <v>216000</v>
      </c>
      <c r="CW216" s="344">
        <f>+'[101]VENTAS TOTALES'!$H243</f>
        <v>770200</v>
      </c>
      <c r="CX216" s="371">
        <f>'[102]VENTAS TOTALES'!$F243</f>
        <v>0</v>
      </c>
      <c r="CY216" s="344">
        <f>'[102]VENTAS TOTALES'!$G243</f>
        <v>0</v>
      </c>
      <c r="CZ216" s="344">
        <f>+'[102]VENTAS TOTALES'!$H243</f>
        <v>0</v>
      </c>
    </row>
    <row r="217" spans="1:104" s="8" customFormat="1" ht="14.25" customHeight="1" thickBot="1" x14ac:dyDescent="0.25">
      <c r="A217" s="452"/>
      <c r="B217" s="345" t="s">
        <v>441</v>
      </c>
      <c r="C217" s="371">
        <f>'[69]VENTAS TOTALES'!$F244</f>
        <v>339</v>
      </c>
      <c r="D217" s="344">
        <f>'[69]VENTAS TOTALES'!$G244</f>
        <v>1152100</v>
      </c>
      <c r="E217" s="344">
        <f>+'[69]VENTAS TOTALES'!$H244</f>
        <v>1728400</v>
      </c>
      <c r="F217" s="371">
        <f>'[70]VENTAS TOTALES'!$F244</f>
        <v>587</v>
      </c>
      <c r="G217" s="344">
        <f>'[70]VENTAS TOTALES'!$G244</f>
        <v>1064850</v>
      </c>
      <c r="H217" s="344">
        <f>+'[70]VENTAS TOTALES'!$H244</f>
        <v>2062750</v>
      </c>
      <c r="I217" s="371">
        <f>'[71]VENTAS TOTALES'!$F244</f>
        <v>425</v>
      </c>
      <c r="J217" s="344">
        <f>'[71]VENTAS TOTALES'!$G244</f>
        <v>1050700</v>
      </c>
      <c r="K217" s="344">
        <f>+'[71]VENTAS TOTALES'!$H244</f>
        <v>1773200</v>
      </c>
      <c r="L217" s="371">
        <f>'[72]VENTAS TOTALES'!$F244</f>
        <v>662</v>
      </c>
      <c r="M217" s="344">
        <f>'[72]VENTAS TOTALES'!$G244</f>
        <v>656600</v>
      </c>
      <c r="N217" s="344">
        <f>+'[72]VENTAS TOTALES'!$H244</f>
        <v>1782000</v>
      </c>
      <c r="O217" s="371">
        <f>'[73]VENTAS TOTALES'!$F244</f>
        <v>410</v>
      </c>
      <c r="P217" s="344">
        <f>'[73]VENTAS TOTALES'!$G244</f>
        <v>551100</v>
      </c>
      <c r="Q217" s="344">
        <f>+'[73]VENTAS TOTALES'!$H244</f>
        <v>1248100</v>
      </c>
      <c r="R217" s="371">
        <f>'[74]VENTAS TOTALES'!$F244</f>
        <v>0</v>
      </c>
      <c r="S217" s="344">
        <f>'[74]VENTAS TOTALES'!$G244</f>
        <v>0</v>
      </c>
      <c r="T217" s="344">
        <f>+'[74]VENTAS TOTALES'!$H244</f>
        <v>0</v>
      </c>
      <c r="U217" s="371">
        <f>'[75]VENTAS TOTALES'!$F244</f>
        <v>341</v>
      </c>
      <c r="V217" s="344">
        <f>'[75]VENTAS TOTALES'!$G244</f>
        <v>793000</v>
      </c>
      <c r="W217" s="344">
        <f>+'[75]VENTAS TOTALES'!$H244</f>
        <v>1372700</v>
      </c>
      <c r="X217" s="371">
        <f>'[76]VENTAS TOTALES'!$F244</f>
        <v>673</v>
      </c>
      <c r="Y217" s="344">
        <f>'[76]VENTAS TOTALES'!$G244</f>
        <v>674500</v>
      </c>
      <c r="Z217" s="344">
        <f>+'[76]VENTAS TOTALES'!$H244</f>
        <v>1818600</v>
      </c>
      <c r="AA217" s="371">
        <f>'[77]VENTAS TOTALES'!$F244</f>
        <v>595</v>
      </c>
      <c r="AB217" s="344">
        <f>'[77]VENTAS TOTALES'!$G244</f>
        <v>795900</v>
      </c>
      <c r="AC217" s="344">
        <f>+'[77]VENTAS TOTALES'!$H244</f>
        <v>1807400</v>
      </c>
      <c r="AD217" s="371">
        <f>'[78]VENTAS TOTALES'!$F244</f>
        <v>696</v>
      </c>
      <c r="AE217" s="344">
        <f>'[78]VENTAS TOTALES'!$G244</f>
        <v>728800</v>
      </c>
      <c r="AF217" s="344">
        <f>+'[78]VENTAS TOTALES'!$H244</f>
        <v>1912000</v>
      </c>
      <c r="AG217" s="371">
        <f>'[79]VENTAS TOTALES'!$F244</f>
        <v>540</v>
      </c>
      <c r="AH217" s="344">
        <f>'[79]VENTAS TOTALES'!$G244</f>
        <v>884800</v>
      </c>
      <c r="AI217" s="344">
        <f>+'[79]VENTAS TOTALES'!$H244</f>
        <v>1802800</v>
      </c>
      <c r="AJ217" s="371">
        <f>'[80]VENTAS TOTALES'!$F244</f>
        <v>509</v>
      </c>
      <c r="AK217" s="344">
        <f>'[80]VENTAS TOTALES'!$G244</f>
        <v>477600</v>
      </c>
      <c r="AL217" s="344">
        <f>+'[80]VENTAS TOTALES'!$H244</f>
        <v>1342900</v>
      </c>
      <c r="AM217" s="371">
        <f>'[81]VENTAS TOTALES'!$F244</f>
        <v>0</v>
      </c>
      <c r="AN217" s="344">
        <f>'[81]VENTAS TOTALES'!$G244</f>
        <v>0</v>
      </c>
      <c r="AO217" s="344">
        <f>+'[81]VENTAS TOTALES'!$H244</f>
        <v>0</v>
      </c>
      <c r="AP217" s="371">
        <f>'[82]VENTAS TOTALES'!$F244</f>
        <v>508</v>
      </c>
      <c r="AQ217" s="344">
        <f>'[82]VENTAS TOTALES'!$G244</f>
        <v>1359700</v>
      </c>
      <c r="AR217" s="344">
        <f>+'[82]VENTAS TOTALES'!$H244</f>
        <v>2223300</v>
      </c>
      <c r="AS217" s="371">
        <f>'[83]VENTAS TOTALES'!$F244</f>
        <v>450</v>
      </c>
      <c r="AT217" s="344">
        <f>'[83]VENTAS TOTALES'!$G244</f>
        <v>1687700</v>
      </c>
      <c r="AU217" s="344">
        <f>+'[83]VENTAS TOTALES'!$H244</f>
        <v>2452700</v>
      </c>
      <c r="AV217" s="371">
        <f>'[84]VENTAS TOTALES'!$F244</f>
        <v>541</v>
      </c>
      <c r="AW217" s="344">
        <f>'[84]VENTAS TOTALES'!$G244</f>
        <v>1431700</v>
      </c>
      <c r="AX217" s="344">
        <f>+'[84]VENTAS TOTALES'!$H244</f>
        <v>2351400</v>
      </c>
      <c r="AY217" s="371">
        <f>'[85]VENTAS TOTALES'!$F244</f>
        <v>420</v>
      </c>
      <c r="AZ217" s="344">
        <f>'[85]VENTAS TOTALES'!$G244</f>
        <v>1365900</v>
      </c>
      <c r="BA217" s="344">
        <f>+'[85]VENTAS TOTALES'!$H244</f>
        <v>2079900</v>
      </c>
      <c r="BB217" s="371">
        <f>'[86]VENTAS TOTALES'!$F244</f>
        <v>497</v>
      </c>
      <c r="BC217" s="344">
        <f>'[86]VENTAS TOTALES'!$G244</f>
        <v>1114900</v>
      </c>
      <c r="BD217" s="344">
        <f>+'[86]VENTAS TOTALES'!$H244</f>
        <v>1959800</v>
      </c>
      <c r="BE217" s="371">
        <f>'[87]VENTAS TOTALES'!$F244</f>
        <v>353</v>
      </c>
      <c r="BF217" s="344">
        <f>'[87]VENTAS TOTALES'!$G244</f>
        <v>593850</v>
      </c>
      <c r="BG217" s="344">
        <f>+'[87]VENTAS TOTALES'!$H244</f>
        <v>1193950</v>
      </c>
      <c r="BH217" s="371">
        <f>'[88]VENTAS TOTALES'!$F244</f>
        <v>0</v>
      </c>
      <c r="BI217" s="344">
        <f>'[88]VENTAS TOTALES'!$G244</f>
        <v>0</v>
      </c>
      <c r="BJ217" s="344">
        <f>+'[88]VENTAS TOTALES'!$H244</f>
        <v>0</v>
      </c>
      <c r="BK217" s="371">
        <f>'[89]VENTAS TOTALES'!$F244</f>
        <v>540</v>
      </c>
      <c r="BL217" s="344">
        <f>'[89]VENTAS TOTALES'!$G244</f>
        <v>940300</v>
      </c>
      <c r="BM217" s="344">
        <f>+'[89]VENTAS TOTALES'!$H244</f>
        <v>1858300</v>
      </c>
      <c r="BN217" s="371">
        <f>'[90]VENTAS TOTALES'!$F244</f>
        <v>638</v>
      </c>
      <c r="BO217" s="344">
        <f>'[90]VENTAS TOTALES'!$G244</f>
        <v>1281800</v>
      </c>
      <c r="BP217" s="344">
        <f>+'[90]VENTAS TOTALES'!$H244</f>
        <v>2366400</v>
      </c>
      <c r="BQ217" s="371">
        <f>'[91]VENTAS TOTALES'!$F244</f>
        <v>570</v>
      </c>
      <c r="BR217" s="344">
        <f>'[91]VENTAS TOTALES'!$G244</f>
        <v>1376600</v>
      </c>
      <c r="BS217" s="344">
        <f>+'[91]VENTAS TOTALES'!$H244</f>
        <v>2345600</v>
      </c>
      <c r="BT217" s="371">
        <f>'[92]VENTAS TOTALES'!$F244</f>
        <v>628</v>
      </c>
      <c r="BU217" s="344">
        <f>'[92]VENTAS TOTALES'!$G244</f>
        <v>976700</v>
      </c>
      <c r="BV217" s="344">
        <f>+'[92]VENTAS TOTALES'!$H244</f>
        <v>2044300</v>
      </c>
      <c r="BW217" s="371">
        <f>'[93]VENTAS TOTALES'!$F244</f>
        <v>719</v>
      </c>
      <c r="BX217" s="344">
        <f>'[93]VENTAS TOTALES'!$G244</f>
        <v>1189900</v>
      </c>
      <c r="BY217" s="344">
        <f>+'[93]VENTAS TOTALES'!$H244</f>
        <v>2412200</v>
      </c>
      <c r="BZ217" s="371">
        <f>'[94]VENTAS TOTALES'!$F244</f>
        <v>280</v>
      </c>
      <c r="CA217" s="344">
        <f>'[94]VENTAS TOTALES'!$G244</f>
        <v>351950</v>
      </c>
      <c r="CB217" s="344">
        <f>+'[94]VENTAS TOTALES'!$H244</f>
        <v>827950</v>
      </c>
      <c r="CC217" s="371">
        <f>'[95]VENTAS TOTALES'!$F244</f>
        <v>0</v>
      </c>
      <c r="CD217" s="344">
        <f>'[95]VENTAS TOTALES'!$G244</f>
        <v>0</v>
      </c>
      <c r="CE217" s="344">
        <f>+'[95]VENTAS TOTALES'!$H244</f>
        <v>0</v>
      </c>
      <c r="CF217" s="371">
        <f>'[96]VENTAS TOTALES'!$F244</f>
        <v>673</v>
      </c>
      <c r="CG217" s="344">
        <f>'[96]VENTAS TOTALES'!$G244</f>
        <v>1916100</v>
      </c>
      <c r="CH217" s="344">
        <f>+'[96]VENTAS TOTALES'!$H244</f>
        <v>3060200</v>
      </c>
      <c r="CI217" s="371">
        <f>'[97]VENTAS TOTALES'!$F244</f>
        <v>707</v>
      </c>
      <c r="CJ217" s="344">
        <f>'[97]VENTAS TOTALES'!$G244</f>
        <v>1392000</v>
      </c>
      <c r="CK217" s="344">
        <f>+'[97]VENTAS TOTALES'!$H244</f>
        <v>2593900</v>
      </c>
      <c r="CL217" s="371">
        <f>'[98]VENTAS TOTALES'!$F244</f>
        <v>705</v>
      </c>
      <c r="CM217" s="344">
        <f>'[98]VENTAS TOTALES'!$G244</f>
        <v>1086800</v>
      </c>
      <c r="CN217" s="344">
        <f>+'[98]VENTAS TOTALES'!$H244</f>
        <v>2285300</v>
      </c>
      <c r="CO217" s="371">
        <f>'[99]VENTAS TOTALES'!$F244</f>
        <v>590</v>
      </c>
      <c r="CP217" s="344">
        <f>'[99]VENTAS TOTALES'!$G244</f>
        <v>904700</v>
      </c>
      <c r="CQ217" s="344">
        <f>+'[99]VENTAS TOTALES'!$H244</f>
        <v>1907700</v>
      </c>
      <c r="CR217" s="371">
        <f>'[100]VENTAS TOTALES'!$F244</f>
        <v>507</v>
      </c>
      <c r="CS217" s="344">
        <f>'[100]VENTAS TOTALES'!$G244</f>
        <v>1027600</v>
      </c>
      <c r="CT217" s="344">
        <f>+'[100]VENTAS TOTALES'!$H244</f>
        <v>1889500</v>
      </c>
      <c r="CU217" s="371">
        <f>'[101]VENTAS TOTALES'!$F244</f>
        <v>352</v>
      </c>
      <c r="CV217" s="344">
        <f>'[101]VENTAS TOTALES'!$G244</f>
        <v>453100</v>
      </c>
      <c r="CW217" s="344">
        <f>+'[101]VENTAS TOTALES'!$H244</f>
        <v>1051500</v>
      </c>
      <c r="CX217" s="371">
        <f>'[102]VENTAS TOTALES'!$F244</f>
        <v>0</v>
      </c>
      <c r="CY217" s="344">
        <f>'[102]VENTAS TOTALES'!$G244</f>
        <v>0</v>
      </c>
      <c r="CZ217" s="344">
        <f>+'[102]VENTAS TOTALES'!$H244</f>
        <v>0</v>
      </c>
    </row>
    <row r="218" spans="1:104" s="8" customFormat="1" ht="14.25" customHeight="1" thickBot="1" x14ac:dyDescent="0.25">
      <c r="A218" s="452"/>
      <c r="B218" s="345" t="s">
        <v>442</v>
      </c>
      <c r="C218" s="371">
        <f>'[69]VENTAS TOTALES'!$F245</f>
        <v>1052</v>
      </c>
      <c r="D218" s="344">
        <f>'[69]VENTAS TOTALES'!$G245</f>
        <v>413100</v>
      </c>
      <c r="E218" s="344">
        <f>+'[69]VENTAS TOTALES'!$H245</f>
        <v>2201500</v>
      </c>
      <c r="F218" s="371">
        <f>'[70]VENTAS TOTALES'!$F245</f>
        <v>454</v>
      </c>
      <c r="G218" s="344">
        <f>'[70]VENTAS TOTALES'!$G245</f>
        <v>316200</v>
      </c>
      <c r="H218" s="344">
        <f>+'[70]VENTAS TOTALES'!$H245</f>
        <v>1088000</v>
      </c>
      <c r="I218" s="371">
        <f>'[71]VENTAS TOTALES'!$F245</f>
        <v>413</v>
      </c>
      <c r="J218" s="344">
        <f>'[71]VENTAS TOTALES'!$G245</f>
        <v>812600</v>
      </c>
      <c r="K218" s="344">
        <f>+'[71]VENTAS TOTALES'!$H245</f>
        <v>1514700</v>
      </c>
      <c r="L218" s="371">
        <f>'[72]VENTAS TOTALES'!$F245</f>
        <v>315</v>
      </c>
      <c r="M218" s="344">
        <f>'[72]VENTAS TOTALES'!$G245</f>
        <v>255300</v>
      </c>
      <c r="N218" s="344">
        <f>+'[72]VENTAS TOTALES'!$H245</f>
        <v>790800</v>
      </c>
      <c r="O218" s="371">
        <f>'[73]VENTAS TOTALES'!$F245</f>
        <v>581</v>
      </c>
      <c r="P218" s="344">
        <f>'[73]VENTAS TOTALES'!$G245</f>
        <v>582400</v>
      </c>
      <c r="Q218" s="344">
        <f>+'[73]VENTAS TOTALES'!$H245</f>
        <v>1570100</v>
      </c>
      <c r="R218" s="371">
        <f>'[74]VENTAS TOTALES'!$F245</f>
        <v>0</v>
      </c>
      <c r="S218" s="344">
        <f>'[74]VENTAS TOTALES'!$G245</f>
        <v>0</v>
      </c>
      <c r="T218" s="344">
        <f>+'[74]VENTAS TOTALES'!$H245</f>
        <v>0</v>
      </c>
      <c r="U218" s="371">
        <f>'[75]VENTAS TOTALES'!$F245</f>
        <v>435</v>
      </c>
      <c r="V218" s="344">
        <f>'[75]VENTAS TOTALES'!$G245</f>
        <v>814300</v>
      </c>
      <c r="W218" s="344">
        <f>+'[75]VENTAS TOTALES'!$H245</f>
        <v>1553800</v>
      </c>
      <c r="X218" s="371">
        <f>'[76]VENTAS TOTALES'!$F245</f>
        <v>372</v>
      </c>
      <c r="Y218" s="344">
        <f>'[76]VENTAS TOTALES'!$G245</f>
        <v>874100</v>
      </c>
      <c r="Z218" s="344">
        <f>+'[76]VENTAS TOTALES'!$H245</f>
        <v>1506500</v>
      </c>
      <c r="AA218" s="371">
        <f>'[77]VENTAS TOTALES'!$F245</f>
        <v>341</v>
      </c>
      <c r="AB218" s="344">
        <f>'[77]VENTAS TOTALES'!$G245</f>
        <v>511000</v>
      </c>
      <c r="AC218" s="344">
        <f>+'[77]VENTAS TOTALES'!$H245</f>
        <v>1090700</v>
      </c>
      <c r="AD218" s="371">
        <f>'[78]VENTAS TOTALES'!$F245</f>
        <v>219</v>
      </c>
      <c r="AE218" s="344">
        <f>'[78]VENTAS TOTALES'!$G245</f>
        <v>148700</v>
      </c>
      <c r="AF218" s="344">
        <f>+'[78]VENTAS TOTALES'!$H245</f>
        <v>521000</v>
      </c>
      <c r="AG218" s="371">
        <f>'[79]VENTAS TOTALES'!$F245</f>
        <v>406</v>
      </c>
      <c r="AH218" s="344">
        <f>'[79]VENTAS TOTALES'!$G245</f>
        <v>529400</v>
      </c>
      <c r="AI218" s="344">
        <f>+'[79]VENTAS TOTALES'!$H245</f>
        <v>1219600</v>
      </c>
      <c r="AJ218" s="371">
        <f>'[80]VENTAS TOTALES'!$F245</f>
        <v>267</v>
      </c>
      <c r="AK218" s="344">
        <f>'[80]VENTAS TOTALES'!$G245</f>
        <v>477600</v>
      </c>
      <c r="AL218" s="344">
        <f>+'[80]VENTAS TOTALES'!$H245</f>
        <v>931500</v>
      </c>
      <c r="AM218" s="371">
        <f>'[81]VENTAS TOTALES'!$F245</f>
        <v>0</v>
      </c>
      <c r="AN218" s="344">
        <f>'[81]VENTAS TOTALES'!$G245</f>
        <v>0</v>
      </c>
      <c r="AO218" s="344">
        <f>+'[81]VENTAS TOTALES'!$H245</f>
        <v>0</v>
      </c>
      <c r="AP218" s="371">
        <f>'[82]VENTAS TOTALES'!$F245</f>
        <v>516</v>
      </c>
      <c r="AQ218" s="344">
        <f>'[82]VENTAS TOTALES'!$G245</f>
        <v>1534200</v>
      </c>
      <c r="AR218" s="344">
        <f>+'[82]VENTAS TOTALES'!$H245</f>
        <v>2411400</v>
      </c>
      <c r="AS218" s="371">
        <f>'[83]VENTAS TOTALES'!$F245</f>
        <v>399</v>
      </c>
      <c r="AT218" s="344">
        <f>'[83]VENTAS TOTALES'!$G245</f>
        <v>1172900</v>
      </c>
      <c r="AU218" s="344">
        <f>+'[83]VENTAS TOTALES'!$H245</f>
        <v>1851200</v>
      </c>
      <c r="AV218" s="371">
        <f>'[84]VENTAS TOTALES'!$F245</f>
        <v>171</v>
      </c>
      <c r="AW218" s="344">
        <f>'[84]VENTAS TOTALES'!$G245</f>
        <v>379300</v>
      </c>
      <c r="AX218" s="344">
        <f>+'[84]VENTAS TOTALES'!$H245</f>
        <v>670000</v>
      </c>
      <c r="AY218" s="371">
        <f>'[85]VENTAS TOTALES'!$F245</f>
        <v>426</v>
      </c>
      <c r="AZ218" s="344">
        <f>'[85]VENTAS TOTALES'!$G245</f>
        <v>766500</v>
      </c>
      <c r="BA218" s="344">
        <f>+'[85]VENTAS TOTALES'!$H245</f>
        <v>1490700</v>
      </c>
      <c r="BB218" s="371">
        <f>'[86]VENTAS TOTALES'!$F245</f>
        <v>586</v>
      </c>
      <c r="BC218" s="344">
        <f>'[86]VENTAS TOTALES'!$G245</f>
        <v>891400</v>
      </c>
      <c r="BD218" s="344">
        <f>+'[86]VENTAS TOTALES'!$H245</f>
        <v>1887600</v>
      </c>
      <c r="BE218" s="371">
        <f>'[87]VENTAS TOTALES'!$F245</f>
        <v>444</v>
      </c>
      <c r="BF218" s="344">
        <f>'[87]VENTAS TOTALES'!$G245</f>
        <v>698300</v>
      </c>
      <c r="BG218" s="344">
        <f>+'[87]VENTAS TOTALES'!$H245</f>
        <v>1453100</v>
      </c>
      <c r="BH218" s="371">
        <f>'[88]VENTAS TOTALES'!$F245</f>
        <v>0</v>
      </c>
      <c r="BI218" s="344">
        <f>'[88]VENTAS TOTALES'!$G245</f>
        <v>0</v>
      </c>
      <c r="BJ218" s="344">
        <f>+'[88]VENTAS TOTALES'!$H245</f>
        <v>0</v>
      </c>
      <c r="BK218" s="371">
        <f>'[89]VENTAS TOTALES'!$F245</f>
        <v>213</v>
      </c>
      <c r="BL218" s="344">
        <f>'[89]VENTAS TOTALES'!$G245</f>
        <v>401200</v>
      </c>
      <c r="BM218" s="344">
        <f>+'[89]VENTAS TOTALES'!$H245</f>
        <v>763300</v>
      </c>
      <c r="BN218" s="371">
        <f>'[90]VENTAS TOTALES'!$F245</f>
        <v>574</v>
      </c>
      <c r="BO218" s="344">
        <f>'[90]VENTAS TOTALES'!$G245</f>
        <v>744900</v>
      </c>
      <c r="BP218" s="344">
        <f>+'[90]VENTAS TOTALES'!$H245</f>
        <v>1720700</v>
      </c>
      <c r="BQ218" s="371">
        <f>'[91]VENTAS TOTALES'!$F245</f>
        <v>519</v>
      </c>
      <c r="BR218" s="344">
        <f>'[91]VENTAS TOTALES'!$G245</f>
        <v>857400</v>
      </c>
      <c r="BS218" s="344">
        <f>+'[91]VENTAS TOTALES'!$H245</f>
        <v>1739700</v>
      </c>
      <c r="BT218" s="371">
        <f>'[92]VENTAS TOTALES'!$F245</f>
        <v>529</v>
      </c>
      <c r="BU218" s="344">
        <f>'[92]VENTAS TOTALES'!$G245</f>
        <v>778500</v>
      </c>
      <c r="BV218" s="344">
        <f>+'[92]VENTAS TOTALES'!$H245</f>
        <v>1677800</v>
      </c>
      <c r="BW218" s="371">
        <f>'[93]VENTAS TOTALES'!$F245</f>
        <v>497</v>
      </c>
      <c r="BX218" s="344">
        <f>'[93]VENTAS TOTALES'!$G245</f>
        <v>758000</v>
      </c>
      <c r="BY218" s="344">
        <f>+'[93]VENTAS TOTALES'!$H245</f>
        <v>1602900</v>
      </c>
      <c r="BZ218" s="371">
        <f>'[94]VENTAS TOTALES'!$F245</f>
        <v>290</v>
      </c>
      <c r="CA218" s="344">
        <f>'[94]VENTAS TOTALES'!$G245</f>
        <v>586200</v>
      </c>
      <c r="CB218" s="344">
        <f>+'[94]VENTAS TOTALES'!$H245</f>
        <v>1079200</v>
      </c>
      <c r="CC218" s="371">
        <f>'[95]VENTAS TOTALES'!$F245</f>
        <v>0</v>
      </c>
      <c r="CD218" s="344">
        <f>'[95]VENTAS TOTALES'!$G245</f>
        <v>0</v>
      </c>
      <c r="CE218" s="344">
        <f>+'[95]VENTAS TOTALES'!$H245</f>
        <v>0</v>
      </c>
      <c r="CF218" s="371">
        <f>'[96]VENTAS TOTALES'!$F245</f>
        <v>498</v>
      </c>
      <c r="CG218" s="344">
        <f>'[96]VENTAS TOTALES'!$G245</f>
        <v>1345400</v>
      </c>
      <c r="CH218" s="344">
        <f>+'[96]VENTAS TOTALES'!$H245</f>
        <v>2192000</v>
      </c>
      <c r="CI218" s="371">
        <f>'[97]VENTAS TOTALES'!$F245</f>
        <v>503</v>
      </c>
      <c r="CJ218" s="344">
        <f>'[97]VENTAS TOTALES'!$G245</f>
        <v>2211700</v>
      </c>
      <c r="CK218" s="344">
        <f>+'[97]VENTAS TOTALES'!$H245</f>
        <v>3066800</v>
      </c>
      <c r="CL218" s="371">
        <f>'[98]VENTAS TOTALES'!$F245</f>
        <v>390</v>
      </c>
      <c r="CM218" s="344">
        <f>'[98]VENTAS TOTALES'!$G245</f>
        <v>1734400</v>
      </c>
      <c r="CN218" s="344">
        <f>+'[98]VENTAS TOTALES'!$H245</f>
        <v>2397400</v>
      </c>
      <c r="CO218" s="371">
        <f>'[99]VENTAS TOTALES'!$F245</f>
        <v>407</v>
      </c>
      <c r="CP218" s="344">
        <f>'[99]VENTAS TOTALES'!$G245</f>
        <v>773900</v>
      </c>
      <c r="CQ218" s="344">
        <f>+'[99]VENTAS TOTALES'!$H245</f>
        <v>1465800</v>
      </c>
      <c r="CR218" s="371">
        <f>'[100]VENTAS TOTALES'!$F245</f>
        <v>388</v>
      </c>
      <c r="CS218" s="344">
        <f>'[100]VENTAS TOTALES'!$G245</f>
        <v>946600</v>
      </c>
      <c r="CT218" s="344">
        <f>+'[100]VENTAS TOTALES'!$H245</f>
        <v>1606200</v>
      </c>
      <c r="CU218" s="371">
        <f>'[101]VENTAS TOTALES'!$F245</f>
        <v>368</v>
      </c>
      <c r="CV218" s="344">
        <f>'[101]VENTAS TOTALES'!$G245</f>
        <v>610200</v>
      </c>
      <c r="CW218" s="344">
        <f>+'[101]VENTAS TOTALES'!$H245</f>
        <v>1235800</v>
      </c>
      <c r="CX218" s="371">
        <f>'[102]VENTAS TOTALES'!$F245</f>
        <v>0</v>
      </c>
      <c r="CY218" s="344">
        <f>'[102]VENTAS TOTALES'!$G245</f>
        <v>0</v>
      </c>
      <c r="CZ218" s="344">
        <f>+'[102]VENTAS TOTALES'!$H245</f>
        <v>0</v>
      </c>
    </row>
    <row r="219" spans="1:104" s="8" customFormat="1" ht="14.25" customHeight="1" thickBot="1" x14ac:dyDescent="0.25">
      <c r="A219" s="452"/>
      <c r="B219" s="345" t="s">
        <v>443</v>
      </c>
      <c r="C219" s="371">
        <f>'[69]VENTAS TOTALES'!$F246</f>
        <v>1129</v>
      </c>
      <c r="D219" s="344">
        <f>'[69]VENTAS TOTALES'!$G246</f>
        <v>4633800</v>
      </c>
      <c r="E219" s="344">
        <f>+'[69]VENTAS TOTALES'!$H246</f>
        <v>6553100</v>
      </c>
      <c r="F219" s="371">
        <f>'[70]VENTAS TOTALES'!$F246</f>
        <v>1023</v>
      </c>
      <c r="G219" s="344">
        <f>'[70]VENTAS TOTALES'!$G246</f>
        <v>3456550</v>
      </c>
      <c r="H219" s="344">
        <f>+'[70]VENTAS TOTALES'!$H246</f>
        <v>5195650</v>
      </c>
      <c r="I219" s="371">
        <f>'[71]VENTAS TOTALES'!$F246</f>
        <v>881</v>
      </c>
      <c r="J219" s="344">
        <f>'[71]VENTAS TOTALES'!$G246</f>
        <v>2619400</v>
      </c>
      <c r="K219" s="344">
        <f>+'[71]VENTAS TOTALES'!$H246</f>
        <v>4117100</v>
      </c>
      <c r="L219" s="371">
        <f>'[72]VENTAS TOTALES'!$F246</f>
        <v>752</v>
      </c>
      <c r="M219" s="344">
        <f>'[72]VENTAS TOTALES'!$G246</f>
        <v>2049600</v>
      </c>
      <c r="N219" s="344">
        <f>+'[72]VENTAS TOTALES'!$H246</f>
        <v>3328000</v>
      </c>
      <c r="O219" s="371">
        <f>'[73]VENTAS TOTALES'!$F246</f>
        <v>619</v>
      </c>
      <c r="P219" s="344">
        <f>'[73]VENTAS TOTALES'!$G246</f>
        <v>801700</v>
      </c>
      <c r="Q219" s="344">
        <f>+'[73]VENTAS TOTALES'!$H246</f>
        <v>1854000</v>
      </c>
      <c r="R219" s="371">
        <f>'[74]VENTAS TOTALES'!$F246</f>
        <v>0</v>
      </c>
      <c r="S219" s="344">
        <f>'[74]VENTAS TOTALES'!$G246</f>
        <v>0</v>
      </c>
      <c r="T219" s="344">
        <f>+'[74]VENTAS TOTALES'!$H246</f>
        <v>0</v>
      </c>
      <c r="U219" s="371">
        <f>'[75]VENTAS TOTALES'!$F246</f>
        <v>1173</v>
      </c>
      <c r="V219" s="344">
        <f>'[75]VENTAS TOTALES'!$G246</f>
        <v>3787400</v>
      </c>
      <c r="W219" s="344">
        <f>+'[75]VENTAS TOTALES'!$H246</f>
        <v>5781500</v>
      </c>
      <c r="X219" s="371">
        <f>'[76]VENTAS TOTALES'!$F246</f>
        <v>796</v>
      </c>
      <c r="Y219" s="344">
        <f>'[76]VENTAS TOTALES'!$G246</f>
        <v>2600100</v>
      </c>
      <c r="Z219" s="344">
        <f>+'[76]VENTAS TOTALES'!$H246</f>
        <v>3953300</v>
      </c>
      <c r="AA219" s="371">
        <f>'[77]VENTAS TOTALES'!$F246</f>
        <v>1031</v>
      </c>
      <c r="AB219" s="344">
        <f>'[77]VENTAS TOTALES'!$G246</f>
        <v>2212850</v>
      </c>
      <c r="AC219" s="344">
        <f>+'[77]VENTAS TOTALES'!$H246</f>
        <v>3965550</v>
      </c>
      <c r="AD219" s="371">
        <f>'[78]VENTAS TOTALES'!$F246</f>
        <v>171</v>
      </c>
      <c r="AE219" s="344">
        <f>'[78]VENTAS TOTALES'!$G246</f>
        <v>1245500</v>
      </c>
      <c r="AF219" s="344">
        <f>+'[78]VENTAS TOTALES'!$H246</f>
        <v>1536200</v>
      </c>
      <c r="AG219" s="371">
        <f>'[79]VENTAS TOTALES'!$F246</f>
        <v>546</v>
      </c>
      <c r="AH219" s="344">
        <f>'[79]VENTAS TOTALES'!$G246</f>
        <v>1281300</v>
      </c>
      <c r="AI219" s="344">
        <f>+'[79]VENTAS TOTALES'!$H246</f>
        <v>2209500</v>
      </c>
      <c r="AJ219" s="371">
        <f>'[80]VENTAS TOTALES'!$F246</f>
        <v>447</v>
      </c>
      <c r="AK219" s="344">
        <f>'[80]VENTAS TOTALES'!$G246</f>
        <v>518700</v>
      </c>
      <c r="AL219" s="344">
        <f>+'[80]VENTAS TOTALES'!$H246</f>
        <v>1278600</v>
      </c>
      <c r="AM219" s="371">
        <f>'[81]VENTAS TOTALES'!$F246</f>
        <v>0</v>
      </c>
      <c r="AN219" s="344">
        <f>'[81]VENTAS TOTALES'!$G246</f>
        <v>0</v>
      </c>
      <c r="AO219" s="344">
        <f>+'[81]VENTAS TOTALES'!$H246</f>
        <v>0</v>
      </c>
      <c r="AP219" s="371">
        <f>'[82]VENTAS TOTALES'!$F246</f>
        <v>1164</v>
      </c>
      <c r="AQ219" s="344">
        <f>'[82]VENTAS TOTALES'!$G246</f>
        <v>3835650</v>
      </c>
      <c r="AR219" s="344">
        <f>+'[82]VENTAS TOTALES'!$H246</f>
        <v>5814450</v>
      </c>
      <c r="AS219" s="371">
        <f>'[83]VENTAS TOTALES'!$F246</f>
        <v>856</v>
      </c>
      <c r="AT219" s="344">
        <f>'[83]VENTAS TOTALES'!$G246</f>
        <v>4564700</v>
      </c>
      <c r="AU219" s="344">
        <f>+'[83]VENTAS TOTALES'!$H246</f>
        <v>6019900</v>
      </c>
      <c r="AV219" s="371">
        <f>'[84]VENTAS TOTALES'!$F246</f>
        <v>955</v>
      </c>
      <c r="AW219" s="344">
        <f>'[84]VENTAS TOTALES'!$G246</f>
        <v>3105300</v>
      </c>
      <c r="AX219" s="344">
        <f>+'[84]VENTAS TOTALES'!$H246</f>
        <v>4728800</v>
      </c>
      <c r="AY219" s="371">
        <f>'[85]VENTAS TOTALES'!$F246</f>
        <v>674</v>
      </c>
      <c r="AZ219" s="344">
        <f>'[85]VENTAS TOTALES'!$G246</f>
        <v>1911400</v>
      </c>
      <c r="BA219" s="344">
        <f>+'[85]VENTAS TOTALES'!$H246</f>
        <v>3057200</v>
      </c>
      <c r="BB219" s="371">
        <f>'[86]VENTAS TOTALES'!$F246</f>
        <v>907</v>
      </c>
      <c r="BC219" s="344">
        <f>'[86]VENTAS TOTALES'!$G246</f>
        <v>2189700</v>
      </c>
      <c r="BD219" s="344">
        <f>+'[86]VENTAS TOTALES'!$H246</f>
        <v>3731600</v>
      </c>
      <c r="BE219" s="371">
        <f>'[87]VENTAS TOTALES'!$F246</f>
        <v>498</v>
      </c>
      <c r="BF219" s="344">
        <f>'[87]VENTAS TOTALES'!$G246</f>
        <v>687500</v>
      </c>
      <c r="BG219" s="344">
        <f>+'[87]VENTAS TOTALES'!$H246</f>
        <v>1534100</v>
      </c>
      <c r="BH219" s="371">
        <f>'[88]VENTAS TOTALES'!$F246</f>
        <v>0</v>
      </c>
      <c r="BI219" s="344">
        <f>'[88]VENTAS TOTALES'!$G246</f>
        <v>0</v>
      </c>
      <c r="BJ219" s="344">
        <f>+'[88]VENTAS TOTALES'!$H246</f>
        <v>0</v>
      </c>
      <c r="BK219" s="371">
        <f>'[89]VENTAS TOTALES'!$F246</f>
        <v>1163</v>
      </c>
      <c r="BL219" s="344">
        <f>'[89]VENTAS TOTALES'!$G246</f>
        <v>3239900</v>
      </c>
      <c r="BM219" s="344">
        <f>+'[89]VENTAS TOTALES'!$H246</f>
        <v>5217000</v>
      </c>
      <c r="BN219" s="371">
        <f>'[90]VENTAS TOTALES'!$F246</f>
        <v>795</v>
      </c>
      <c r="BO219" s="344">
        <f>'[90]VENTAS TOTALES'!$G246</f>
        <v>2338000</v>
      </c>
      <c r="BP219" s="344">
        <f>+'[90]VENTAS TOTALES'!$H246</f>
        <v>3689500</v>
      </c>
      <c r="BQ219" s="371">
        <f>'[91]VENTAS TOTALES'!$F246</f>
        <v>975</v>
      </c>
      <c r="BR219" s="344">
        <f>'[91]VENTAS TOTALES'!$G246</f>
        <v>2273500</v>
      </c>
      <c r="BS219" s="344">
        <f>+'[91]VENTAS TOTALES'!$H246</f>
        <v>3931000</v>
      </c>
      <c r="BT219" s="371">
        <f>'[92]VENTAS TOTALES'!$F246</f>
        <v>1005</v>
      </c>
      <c r="BU219" s="344">
        <f>'[92]VENTAS TOTALES'!$G246</f>
        <v>2398900</v>
      </c>
      <c r="BV219" s="344">
        <f>+'[92]VENTAS TOTALES'!$H246</f>
        <v>4107400</v>
      </c>
      <c r="BW219" s="371">
        <f>'[93]VENTAS TOTALES'!$F246</f>
        <v>793</v>
      </c>
      <c r="BX219" s="344">
        <f>'[93]VENTAS TOTALES'!$G246</f>
        <v>1925700</v>
      </c>
      <c r="BY219" s="344">
        <f>+'[93]VENTAS TOTALES'!$H246</f>
        <v>3273800</v>
      </c>
      <c r="BZ219" s="371">
        <f>'[94]VENTAS TOTALES'!$F246</f>
        <v>269</v>
      </c>
      <c r="CA219" s="344">
        <f>'[94]VENTAS TOTALES'!$G246</f>
        <v>591300</v>
      </c>
      <c r="CB219" s="344">
        <f>+'[94]VENTAS TOTALES'!$H246</f>
        <v>1048600</v>
      </c>
      <c r="CC219" s="371">
        <f>'[95]VENTAS TOTALES'!$F246</f>
        <v>0</v>
      </c>
      <c r="CD219" s="344">
        <f>'[95]VENTAS TOTALES'!$G246</f>
        <v>0</v>
      </c>
      <c r="CE219" s="344">
        <f>+'[95]VENTAS TOTALES'!$H246</f>
        <v>0</v>
      </c>
      <c r="CF219" s="371">
        <f>'[96]VENTAS TOTALES'!$F246</f>
        <v>1387</v>
      </c>
      <c r="CG219" s="344">
        <f>'[96]VENTAS TOTALES'!$G246</f>
        <v>5679500</v>
      </c>
      <c r="CH219" s="344">
        <f>+'[96]VENTAS TOTALES'!$H246</f>
        <v>8037400</v>
      </c>
      <c r="CI219" s="371">
        <f>'[97]VENTAS TOTALES'!$F246</f>
        <v>1375</v>
      </c>
      <c r="CJ219" s="344">
        <f>'[97]VENTAS TOTALES'!$G246</f>
        <v>5037600</v>
      </c>
      <c r="CK219" s="344">
        <f>+'[97]VENTAS TOTALES'!$H246</f>
        <v>7375100</v>
      </c>
      <c r="CL219" s="371">
        <f>'[98]VENTAS TOTALES'!$F246</f>
        <v>1188</v>
      </c>
      <c r="CM219" s="344">
        <f>'[98]VENTAS TOTALES'!$G246</f>
        <v>3239700</v>
      </c>
      <c r="CN219" s="344">
        <f>+'[98]VENTAS TOTALES'!$H246</f>
        <v>5259300</v>
      </c>
      <c r="CO219" s="371">
        <f>'[99]VENTAS TOTALES'!$F246</f>
        <v>1034</v>
      </c>
      <c r="CP219" s="344">
        <f>'[99]VENTAS TOTALES'!$G246</f>
        <v>2975100</v>
      </c>
      <c r="CQ219" s="344">
        <f>+'[99]VENTAS TOTALES'!$H246</f>
        <v>4732900</v>
      </c>
      <c r="CR219" s="371">
        <f>'[100]VENTAS TOTALES'!$F246</f>
        <v>605</v>
      </c>
      <c r="CS219" s="344">
        <f>'[100]VENTAS TOTALES'!$G246</f>
        <v>1237700</v>
      </c>
      <c r="CT219" s="344">
        <f>+'[100]VENTAS TOTALES'!$H246</f>
        <v>2266200</v>
      </c>
      <c r="CU219" s="371">
        <f>'[101]VENTAS TOTALES'!$F246</f>
        <v>15</v>
      </c>
      <c r="CV219" s="344">
        <f>'[101]VENTAS TOTALES'!$G246</f>
        <v>8900</v>
      </c>
      <c r="CW219" s="344">
        <f>+'[101]VENTAS TOTALES'!$H246</f>
        <v>34400</v>
      </c>
      <c r="CX219" s="371">
        <f>'[102]VENTAS TOTALES'!$F246</f>
        <v>0</v>
      </c>
      <c r="CY219" s="344">
        <f>'[102]VENTAS TOTALES'!$G246</f>
        <v>0</v>
      </c>
      <c r="CZ219" s="344">
        <f>+'[102]VENTAS TOTALES'!$H246</f>
        <v>0</v>
      </c>
    </row>
    <row r="220" spans="1:104" s="8" customFormat="1" ht="14.25" customHeight="1" thickBot="1" x14ac:dyDescent="0.25">
      <c r="A220" s="452"/>
      <c r="B220" s="345" t="s">
        <v>444</v>
      </c>
      <c r="C220" s="371">
        <f>'[69]VENTAS TOTALES'!$F247</f>
        <v>470</v>
      </c>
      <c r="D220" s="344">
        <f>'[69]VENTAS TOTALES'!$G247</f>
        <v>1796300</v>
      </c>
      <c r="E220" s="344">
        <f>+'[69]VENTAS TOTALES'!$H247</f>
        <v>2595300</v>
      </c>
      <c r="F220" s="371">
        <f>'[70]VENTAS TOTALES'!$F247</f>
        <v>1275</v>
      </c>
      <c r="G220" s="344">
        <f>'[70]VENTAS TOTALES'!$G247</f>
        <v>548500</v>
      </c>
      <c r="H220" s="344">
        <f>+'[70]VENTAS TOTALES'!$H247</f>
        <v>2716000</v>
      </c>
      <c r="I220" s="371">
        <f>'[71]VENTAS TOTALES'!$F247</f>
        <v>1321</v>
      </c>
      <c r="J220" s="344">
        <f>'[71]VENTAS TOTALES'!$G247</f>
        <v>498700</v>
      </c>
      <c r="K220" s="344">
        <f>+'[71]VENTAS TOTALES'!$H247</f>
        <v>2744400</v>
      </c>
      <c r="L220" s="371">
        <f>'[72]VENTAS TOTALES'!$F247</f>
        <v>1198</v>
      </c>
      <c r="M220" s="344">
        <f>'[72]VENTAS TOTALES'!$G247</f>
        <v>539200</v>
      </c>
      <c r="N220" s="344">
        <f>+'[72]VENTAS TOTALES'!$H247</f>
        <v>2575800</v>
      </c>
      <c r="O220" s="371">
        <f>'[73]VENTAS TOTALES'!$F247</f>
        <v>1210</v>
      </c>
      <c r="P220" s="344">
        <f>'[73]VENTAS TOTALES'!$G247</f>
        <v>486100</v>
      </c>
      <c r="Q220" s="344">
        <f>+'[73]VENTAS TOTALES'!$H247</f>
        <v>2543100</v>
      </c>
      <c r="R220" s="371">
        <f>'[74]VENTAS TOTALES'!$F247</f>
        <v>0</v>
      </c>
      <c r="S220" s="344">
        <f>'[74]VENTAS TOTALES'!$G247</f>
        <v>0</v>
      </c>
      <c r="T220" s="344">
        <f>+'[74]VENTAS TOTALES'!$H247</f>
        <v>0</v>
      </c>
      <c r="U220" s="371">
        <f>'[75]VENTAS TOTALES'!$F247</f>
        <v>1352</v>
      </c>
      <c r="V220" s="344">
        <f>'[75]VENTAS TOTALES'!$G247</f>
        <v>569800</v>
      </c>
      <c r="W220" s="344">
        <f>+'[75]VENTAS TOTALES'!$H247</f>
        <v>2868200</v>
      </c>
      <c r="X220" s="371">
        <f>'[76]VENTAS TOTALES'!$F247</f>
        <v>866</v>
      </c>
      <c r="Y220" s="344">
        <f>'[76]VENTAS TOTALES'!$G247</f>
        <v>571400</v>
      </c>
      <c r="Z220" s="344">
        <f>+'[76]VENTAS TOTALES'!$H247</f>
        <v>2043600</v>
      </c>
      <c r="AA220" s="371">
        <f>'[77]VENTAS TOTALES'!$F247</f>
        <v>1252</v>
      </c>
      <c r="AB220" s="344">
        <f>'[77]VENTAS TOTALES'!$G247</f>
        <v>590100</v>
      </c>
      <c r="AC220" s="344">
        <f>+'[77]VENTAS TOTALES'!$H247</f>
        <v>2718500</v>
      </c>
      <c r="AD220" s="371">
        <f>'[78]VENTAS TOTALES'!$F247</f>
        <v>1234</v>
      </c>
      <c r="AE220" s="344">
        <f>'[78]VENTAS TOTALES'!$G247</f>
        <v>654600</v>
      </c>
      <c r="AF220" s="344">
        <f>+'[78]VENTAS TOTALES'!$H247</f>
        <v>2752400</v>
      </c>
      <c r="AG220" s="371">
        <f>'[79]VENTAS TOTALES'!$F247</f>
        <v>1062</v>
      </c>
      <c r="AH220" s="344">
        <f>'[79]VENTAS TOTALES'!$G247</f>
        <v>438800</v>
      </c>
      <c r="AI220" s="344">
        <f>+'[79]VENTAS TOTALES'!$H247</f>
        <v>2244200</v>
      </c>
      <c r="AJ220" s="371">
        <f>'[80]VENTAS TOTALES'!$F247</f>
        <v>1006</v>
      </c>
      <c r="AK220" s="344">
        <f>'[80]VENTAS TOTALES'!$G247</f>
        <v>390300</v>
      </c>
      <c r="AL220" s="344">
        <f>+'[80]VENTAS TOTALES'!$H247</f>
        <v>2100500</v>
      </c>
      <c r="AM220" s="371">
        <f>'[81]VENTAS TOTALES'!$F247</f>
        <v>0</v>
      </c>
      <c r="AN220" s="344">
        <f>'[81]VENTAS TOTALES'!$G247</f>
        <v>0</v>
      </c>
      <c r="AO220" s="344">
        <f>+'[81]VENTAS TOTALES'!$H247</f>
        <v>0</v>
      </c>
      <c r="AP220" s="371">
        <f>'[82]VENTAS TOTALES'!$F247</f>
        <v>1302</v>
      </c>
      <c r="AQ220" s="344">
        <f>'[82]VENTAS TOTALES'!$G247</f>
        <v>515200</v>
      </c>
      <c r="AR220" s="344">
        <f>+'[82]VENTAS TOTALES'!$H247</f>
        <v>2728600</v>
      </c>
      <c r="AS220" s="371">
        <f>'[83]VENTAS TOTALES'!$F247</f>
        <v>1144</v>
      </c>
      <c r="AT220" s="344">
        <f>'[83]VENTAS TOTALES'!$G247</f>
        <v>1056600</v>
      </c>
      <c r="AU220" s="344">
        <f>+'[83]VENTAS TOTALES'!$H247</f>
        <v>3001400</v>
      </c>
      <c r="AV220" s="371">
        <f>'[84]VENTAS TOTALES'!$F247</f>
        <v>1310</v>
      </c>
      <c r="AW220" s="344">
        <f>'[84]VENTAS TOTALES'!$G247</f>
        <v>722800</v>
      </c>
      <c r="AX220" s="344">
        <f>+'[84]VENTAS TOTALES'!$H247</f>
        <v>2949800</v>
      </c>
      <c r="AY220" s="371">
        <f>'[85]VENTAS TOTALES'!$F247</f>
        <v>1024</v>
      </c>
      <c r="AZ220" s="344">
        <f>'[85]VENTAS TOTALES'!$G247</f>
        <v>362300</v>
      </c>
      <c r="BA220" s="344">
        <f>+'[85]VENTAS TOTALES'!$H247</f>
        <v>2103100</v>
      </c>
      <c r="BB220" s="371">
        <f>'[86]VENTAS TOTALES'!$F247</f>
        <v>1270</v>
      </c>
      <c r="BC220" s="344">
        <f>'[86]VENTAS TOTALES'!$G247</f>
        <v>469100</v>
      </c>
      <c r="BD220" s="344">
        <f>+'[86]VENTAS TOTALES'!$H247</f>
        <v>2628100</v>
      </c>
      <c r="BE220" s="371">
        <f>'[87]VENTAS TOTALES'!$F247</f>
        <v>1326</v>
      </c>
      <c r="BF220" s="344">
        <f>'[87]VENTAS TOTALES'!$G247</f>
        <v>389400</v>
      </c>
      <c r="BG220" s="344">
        <f>+'[87]VENTAS TOTALES'!$H247</f>
        <v>2643600</v>
      </c>
      <c r="BH220" s="371">
        <f>'[88]VENTAS TOTALES'!$F247</f>
        <v>0</v>
      </c>
      <c r="BI220" s="344">
        <f>'[88]VENTAS TOTALES'!$G247</f>
        <v>0</v>
      </c>
      <c r="BJ220" s="344">
        <f>+'[88]VENTAS TOTALES'!$H247</f>
        <v>0</v>
      </c>
      <c r="BK220" s="371">
        <f>'[89]VENTAS TOTALES'!$F247</f>
        <v>1015</v>
      </c>
      <c r="BL220" s="344">
        <f>'[89]VENTAS TOTALES'!$G247</f>
        <v>703800</v>
      </c>
      <c r="BM220" s="344">
        <f>+'[89]VENTAS TOTALES'!$H247</f>
        <v>2429300</v>
      </c>
      <c r="BN220" s="371">
        <f>'[90]VENTAS TOTALES'!$F247</f>
        <v>1103</v>
      </c>
      <c r="BO220" s="344">
        <f>'[90]VENTAS TOTALES'!$G247</f>
        <v>699700</v>
      </c>
      <c r="BP220" s="344">
        <f>+'[90]VENTAS TOTALES'!$H247</f>
        <v>2574800</v>
      </c>
      <c r="BQ220" s="371">
        <f>'[91]VENTAS TOTALES'!$F247</f>
        <v>1204</v>
      </c>
      <c r="BR220" s="344">
        <f>'[91]VENTAS TOTALES'!$G247</f>
        <v>699400</v>
      </c>
      <c r="BS220" s="344">
        <f>+'[91]VENTAS TOTALES'!$H247</f>
        <v>2746200</v>
      </c>
      <c r="BT220" s="371">
        <f>'[92]VENTAS TOTALES'!$F247</f>
        <v>1358</v>
      </c>
      <c r="BU220" s="344">
        <f>'[92]VENTAS TOTALES'!$G247</f>
        <v>606000</v>
      </c>
      <c r="BV220" s="344">
        <f>+'[92]VENTAS TOTALES'!$H247</f>
        <v>2914600</v>
      </c>
      <c r="BW220" s="371">
        <f>'[93]VENTAS TOTALES'!$F247</f>
        <v>1085</v>
      </c>
      <c r="BX220" s="344">
        <f>'[93]VENTAS TOTALES'!$G247</f>
        <v>650200</v>
      </c>
      <c r="BY220" s="344">
        <f>+'[93]VENTAS TOTALES'!$H247</f>
        <v>2494700</v>
      </c>
      <c r="BZ220" s="371">
        <f>'[94]VENTAS TOTALES'!$F247</f>
        <v>842</v>
      </c>
      <c r="CA220" s="344">
        <f>'[94]VENTAS TOTALES'!$G247</f>
        <v>657900</v>
      </c>
      <c r="CB220" s="344">
        <f>+'[94]VENTAS TOTALES'!$H247</f>
        <v>2089300</v>
      </c>
      <c r="CC220" s="371">
        <f>'[95]VENTAS TOTALES'!$F247</f>
        <v>0</v>
      </c>
      <c r="CD220" s="344">
        <f>'[95]VENTAS TOTALES'!$G247</f>
        <v>0</v>
      </c>
      <c r="CE220" s="344">
        <f>+'[95]VENTAS TOTALES'!$H247</f>
        <v>0</v>
      </c>
      <c r="CF220" s="371">
        <f>'[96]VENTAS TOTALES'!$F247</f>
        <v>993</v>
      </c>
      <c r="CG220" s="344">
        <f>'[96]VENTAS TOTALES'!$G247</f>
        <v>1458300</v>
      </c>
      <c r="CH220" s="344">
        <f>+'[96]VENTAS TOTALES'!$H247</f>
        <v>3146400</v>
      </c>
      <c r="CI220" s="371">
        <f>'[97]VENTAS TOTALES'!$F247</f>
        <v>1362</v>
      </c>
      <c r="CJ220" s="344">
        <f>'[97]VENTAS TOTALES'!$G247</f>
        <v>739700</v>
      </c>
      <c r="CK220" s="344">
        <f>+'[97]VENTAS TOTALES'!$H247</f>
        <v>3055100</v>
      </c>
      <c r="CL220" s="371">
        <f>'[98]VENTAS TOTALES'!$F247</f>
        <v>1120</v>
      </c>
      <c r="CM220" s="344">
        <f>'[98]VENTAS TOTALES'!$G247</f>
        <v>930600</v>
      </c>
      <c r="CN220" s="344">
        <f>+'[98]VENTAS TOTALES'!$H247</f>
        <v>2834600</v>
      </c>
      <c r="CO220" s="371">
        <f>'[99]VENTAS TOTALES'!$F247</f>
        <v>1218</v>
      </c>
      <c r="CP220" s="344">
        <f>'[99]VENTAS TOTALES'!$G247</f>
        <v>633950</v>
      </c>
      <c r="CQ220" s="344">
        <f>+'[99]VENTAS TOTALES'!$H247</f>
        <v>2704550</v>
      </c>
      <c r="CR220" s="371">
        <f>'[100]VENTAS TOTALES'!$F247</f>
        <v>1224</v>
      </c>
      <c r="CS220" s="344">
        <f>'[100]VENTAS TOTALES'!$G247</f>
        <v>357500</v>
      </c>
      <c r="CT220" s="344">
        <f>+'[100]VENTAS TOTALES'!$H247</f>
        <v>2438300</v>
      </c>
      <c r="CU220" s="371">
        <f>'[101]VENTAS TOTALES'!$F247</f>
        <v>1086</v>
      </c>
      <c r="CV220" s="344">
        <f>'[101]VENTAS TOTALES'!$G247</f>
        <v>177300</v>
      </c>
      <c r="CW220" s="344">
        <f>+'[101]VENTAS TOTALES'!$H247</f>
        <v>2023500</v>
      </c>
      <c r="CX220" s="371">
        <f>'[102]VENTAS TOTALES'!$F247</f>
        <v>0</v>
      </c>
      <c r="CY220" s="344">
        <f>'[102]VENTAS TOTALES'!$G247</f>
        <v>0</v>
      </c>
      <c r="CZ220" s="344">
        <f>+'[102]VENTAS TOTALES'!$H247</f>
        <v>0</v>
      </c>
    </row>
    <row r="221" spans="1:104" s="8" customFormat="1" ht="14.25" customHeight="1" thickBot="1" x14ac:dyDescent="0.25">
      <c r="A221" s="452"/>
      <c r="B221" s="345" t="s">
        <v>446</v>
      </c>
      <c r="C221" s="371">
        <f>'[69]VENTAS TOTALES'!$F248</f>
        <v>113</v>
      </c>
      <c r="D221" s="344">
        <f>'[69]VENTAS TOTALES'!$G248</f>
        <v>3024200</v>
      </c>
      <c r="E221" s="344">
        <f>+'[69]VENTAS TOTALES'!$H248</f>
        <v>3216300</v>
      </c>
      <c r="F221" s="371">
        <f>'[70]VENTAS TOTALES'!$F248</f>
        <v>160</v>
      </c>
      <c r="G221" s="344">
        <f>'[70]VENTAS TOTALES'!$G248</f>
        <v>2303400</v>
      </c>
      <c r="H221" s="344">
        <f>+'[70]VENTAS TOTALES'!$H248</f>
        <v>2575400</v>
      </c>
      <c r="I221" s="371">
        <f>'[71]VENTAS TOTALES'!$F248</f>
        <v>201</v>
      </c>
      <c r="J221" s="344">
        <f>'[71]VENTAS TOTALES'!$G248</f>
        <v>1395000</v>
      </c>
      <c r="K221" s="344">
        <f>+'[71]VENTAS TOTALES'!$H248</f>
        <v>1736700</v>
      </c>
      <c r="L221" s="371">
        <f>'[72]VENTAS TOTALES'!$F248</f>
        <v>156</v>
      </c>
      <c r="M221" s="344">
        <f>'[72]VENTAS TOTALES'!$G248</f>
        <v>1584900</v>
      </c>
      <c r="N221" s="344">
        <f>+'[72]VENTAS TOTALES'!$H248</f>
        <v>1850100</v>
      </c>
      <c r="O221" s="371">
        <f>'[73]VENTAS TOTALES'!$F248</f>
        <v>191</v>
      </c>
      <c r="P221" s="344">
        <f>'[73]VENTAS TOTALES'!$G248</f>
        <v>639400</v>
      </c>
      <c r="Q221" s="344">
        <f>+'[73]VENTAS TOTALES'!$H248</f>
        <v>964100</v>
      </c>
      <c r="R221" s="371">
        <f>'[74]VENTAS TOTALES'!$F248</f>
        <v>0</v>
      </c>
      <c r="S221" s="344">
        <f>'[74]VENTAS TOTALES'!$G248</f>
        <v>0</v>
      </c>
      <c r="T221" s="344">
        <f>+'[74]VENTAS TOTALES'!$H248</f>
        <v>0</v>
      </c>
      <c r="U221" s="371">
        <f>'[75]VENTAS TOTALES'!$F248</f>
        <v>287</v>
      </c>
      <c r="V221" s="344">
        <f>'[75]VENTAS TOTALES'!$G248</f>
        <v>3366000</v>
      </c>
      <c r="W221" s="344">
        <f>+'[75]VENTAS TOTALES'!$H248</f>
        <v>3853900</v>
      </c>
      <c r="X221" s="371">
        <f>'[76]VENTAS TOTALES'!$F248</f>
        <v>392</v>
      </c>
      <c r="Y221" s="344">
        <f>'[76]VENTAS TOTALES'!$G248</f>
        <v>2062600</v>
      </c>
      <c r="Z221" s="344">
        <f>+'[76]VENTAS TOTALES'!$H248</f>
        <v>2729000</v>
      </c>
      <c r="AA221" s="371">
        <f>'[77]VENTAS TOTALES'!$F248</f>
        <v>262</v>
      </c>
      <c r="AB221" s="344">
        <f>'[77]VENTAS TOTALES'!$G248</f>
        <v>1493500</v>
      </c>
      <c r="AC221" s="344">
        <f>+'[77]VENTAS TOTALES'!$H248</f>
        <v>1938900</v>
      </c>
      <c r="AD221" s="371">
        <f>'[78]VENTAS TOTALES'!$F248</f>
        <v>236</v>
      </c>
      <c r="AE221" s="344">
        <f>'[78]VENTAS TOTALES'!$G248</f>
        <v>827000</v>
      </c>
      <c r="AF221" s="344">
        <f>+'[78]VENTAS TOTALES'!$H248</f>
        <v>1228200</v>
      </c>
      <c r="AG221" s="371">
        <f>'[79]VENTAS TOTALES'!$F248</f>
        <v>227</v>
      </c>
      <c r="AH221" s="344">
        <f>'[79]VENTAS TOTALES'!$G248</f>
        <v>1610000</v>
      </c>
      <c r="AI221" s="344">
        <f>+'[79]VENTAS TOTALES'!$H248</f>
        <v>1995900</v>
      </c>
      <c r="AJ221" s="371">
        <f>'[80]VENTAS TOTALES'!$F248</f>
        <v>72</v>
      </c>
      <c r="AK221" s="344">
        <f>'[80]VENTAS TOTALES'!$G248</f>
        <v>646100</v>
      </c>
      <c r="AL221" s="344">
        <f>+'[80]VENTAS TOTALES'!$H248</f>
        <v>768500</v>
      </c>
      <c r="AM221" s="371">
        <f>'[81]VENTAS TOTALES'!$F248</f>
        <v>0</v>
      </c>
      <c r="AN221" s="344">
        <f>'[81]VENTAS TOTALES'!$G248</f>
        <v>0</v>
      </c>
      <c r="AO221" s="344">
        <f>+'[81]VENTAS TOTALES'!$H248</f>
        <v>0</v>
      </c>
      <c r="AP221" s="371">
        <f>'[82]VENTAS TOTALES'!$F248</f>
        <v>208</v>
      </c>
      <c r="AQ221" s="344">
        <f>'[82]VENTAS TOTALES'!$G248</f>
        <v>2665000</v>
      </c>
      <c r="AR221" s="344">
        <f>+'[82]VENTAS TOTALES'!$H248</f>
        <v>3018600</v>
      </c>
      <c r="AS221" s="371">
        <f>'[83]VENTAS TOTALES'!$F248</f>
        <v>173</v>
      </c>
      <c r="AT221" s="344">
        <f>'[83]VENTAS TOTALES'!$G248</f>
        <v>2024900</v>
      </c>
      <c r="AU221" s="344">
        <f>+'[83]VENTAS TOTALES'!$H248</f>
        <v>2319000</v>
      </c>
      <c r="AV221" s="371">
        <f>'[84]VENTAS TOTALES'!$F248</f>
        <v>206</v>
      </c>
      <c r="AW221" s="344">
        <f>'[84]VENTAS TOTALES'!$G248</f>
        <v>2095000</v>
      </c>
      <c r="AX221" s="344">
        <f>+'[84]VENTAS TOTALES'!$H248</f>
        <v>2445200</v>
      </c>
      <c r="AY221" s="371">
        <f>'[85]VENTAS TOTALES'!$F248</f>
        <v>227</v>
      </c>
      <c r="AZ221" s="344">
        <f>'[85]VENTAS TOTALES'!$G248</f>
        <v>1911600</v>
      </c>
      <c r="BA221" s="344">
        <f>+'[85]VENTAS TOTALES'!$H248</f>
        <v>2297500</v>
      </c>
      <c r="BB221" s="371">
        <f>'[86]VENTAS TOTALES'!$F248</f>
        <v>285</v>
      </c>
      <c r="BC221" s="344">
        <f>'[86]VENTAS TOTALES'!$G248</f>
        <v>1680800</v>
      </c>
      <c r="BD221" s="344">
        <f>+'[86]VENTAS TOTALES'!$H248</f>
        <v>2165300</v>
      </c>
      <c r="BE221" s="371">
        <f>'[87]VENTAS TOTALES'!$F248</f>
        <v>103</v>
      </c>
      <c r="BF221" s="344">
        <f>'[87]VENTAS TOTALES'!$G248</f>
        <v>710000</v>
      </c>
      <c r="BG221" s="344">
        <f>+'[87]VENTAS TOTALES'!$H248</f>
        <v>885100</v>
      </c>
      <c r="BH221" s="371">
        <f>'[88]VENTAS TOTALES'!$F248</f>
        <v>0</v>
      </c>
      <c r="BI221" s="344">
        <f>'[88]VENTAS TOTALES'!$G248</f>
        <v>0</v>
      </c>
      <c r="BJ221" s="344">
        <f>+'[88]VENTAS TOTALES'!$H248</f>
        <v>0</v>
      </c>
      <c r="BK221" s="371">
        <f>'[89]VENTAS TOTALES'!$F248</f>
        <v>207</v>
      </c>
      <c r="BL221" s="344">
        <f>'[89]VENTAS TOTALES'!$G248</f>
        <v>2464500</v>
      </c>
      <c r="BM221" s="344">
        <f>+'[89]VENTAS TOTALES'!$H248</f>
        <v>2816400</v>
      </c>
      <c r="BN221" s="371">
        <f>'[90]VENTAS TOTALES'!$F248</f>
        <v>337</v>
      </c>
      <c r="BO221" s="344">
        <f>'[90]VENTAS TOTALES'!$G248</f>
        <v>2126100</v>
      </c>
      <c r="BP221" s="344">
        <f>+'[90]VENTAS TOTALES'!$H248</f>
        <v>2699000</v>
      </c>
      <c r="BQ221" s="371">
        <f>'[91]VENTAS TOTALES'!$F248</f>
        <v>302</v>
      </c>
      <c r="BR221" s="344">
        <f>'[91]VENTAS TOTALES'!$G248</f>
        <v>1993400</v>
      </c>
      <c r="BS221" s="344">
        <f>+'[91]VENTAS TOTALES'!$H248</f>
        <v>2506800</v>
      </c>
      <c r="BT221" s="371">
        <f>'[92]VENTAS TOTALES'!$F248</f>
        <v>310</v>
      </c>
      <c r="BU221" s="344">
        <f>'[92]VENTAS TOTALES'!$G248</f>
        <v>1369200</v>
      </c>
      <c r="BV221" s="344">
        <f>+'[92]VENTAS TOTALES'!$H248</f>
        <v>1896200</v>
      </c>
      <c r="BW221" s="371">
        <f>'[93]VENTAS TOTALES'!$F248</f>
        <v>327</v>
      </c>
      <c r="BX221" s="344">
        <f>'[93]VENTAS TOTALES'!$G248</f>
        <v>1748000</v>
      </c>
      <c r="BY221" s="344">
        <f>+'[93]VENTAS TOTALES'!$H248</f>
        <v>2303900</v>
      </c>
      <c r="BZ221" s="371">
        <f>'[94]VENTAS TOTALES'!$F248</f>
        <v>127</v>
      </c>
      <c r="CA221" s="344">
        <f>'[94]VENTAS TOTALES'!$G248</f>
        <v>662300</v>
      </c>
      <c r="CB221" s="344">
        <f>+'[94]VENTAS TOTALES'!$H248</f>
        <v>878200</v>
      </c>
      <c r="CC221" s="371">
        <f>'[95]VENTAS TOTALES'!$F248</f>
        <v>0</v>
      </c>
      <c r="CD221" s="344">
        <f>'[95]VENTAS TOTALES'!$G248</f>
        <v>0</v>
      </c>
      <c r="CE221" s="344">
        <f>+'[95]VENTAS TOTALES'!$H248</f>
        <v>0</v>
      </c>
      <c r="CF221" s="371">
        <f>'[96]VENTAS TOTALES'!$F248</f>
        <v>412</v>
      </c>
      <c r="CG221" s="344">
        <f>'[96]VENTAS TOTALES'!$G248</f>
        <v>4160200</v>
      </c>
      <c r="CH221" s="344">
        <f>+'[96]VENTAS TOTALES'!$H248</f>
        <v>4860600</v>
      </c>
      <c r="CI221" s="371">
        <f>'[97]VENTAS TOTALES'!$F248</f>
        <v>481</v>
      </c>
      <c r="CJ221" s="344">
        <f>'[97]VENTAS TOTALES'!$G248</f>
        <v>3847200</v>
      </c>
      <c r="CK221" s="344">
        <f>+'[97]VENTAS TOTALES'!$H248</f>
        <v>4664900</v>
      </c>
      <c r="CL221" s="371">
        <f>'[98]VENTAS TOTALES'!$F248</f>
        <v>531</v>
      </c>
      <c r="CM221" s="344">
        <f>'[98]VENTAS TOTALES'!$G248</f>
        <v>2755400</v>
      </c>
      <c r="CN221" s="344">
        <f>+'[98]VENTAS TOTALES'!$H248</f>
        <v>3658100</v>
      </c>
      <c r="CO221" s="371">
        <f>'[99]VENTAS TOTALES'!$F248</f>
        <v>342</v>
      </c>
      <c r="CP221" s="344">
        <f>'[99]VENTAS TOTALES'!$G248</f>
        <v>2382400</v>
      </c>
      <c r="CQ221" s="344">
        <f>+'[99]VENTAS TOTALES'!$H248</f>
        <v>2963800</v>
      </c>
      <c r="CR221" s="371">
        <f>'[100]VENTAS TOTALES'!$F248</f>
        <v>463</v>
      </c>
      <c r="CS221" s="344">
        <f>'[100]VENTAS TOTALES'!$G248</f>
        <v>1846300</v>
      </c>
      <c r="CT221" s="344">
        <f>+'[100]VENTAS TOTALES'!$H248</f>
        <v>2633400</v>
      </c>
      <c r="CU221" s="371">
        <f>'[101]VENTAS TOTALES'!$F248</f>
        <v>125</v>
      </c>
      <c r="CV221" s="344">
        <f>'[101]VENTAS TOTALES'!$G248</f>
        <v>555900</v>
      </c>
      <c r="CW221" s="344">
        <f>+'[101]VENTAS TOTALES'!$H248</f>
        <v>768400</v>
      </c>
      <c r="CX221" s="371">
        <f>'[102]VENTAS TOTALES'!$F248</f>
        <v>0</v>
      </c>
      <c r="CY221" s="344">
        <f>'[102]VENTAS TOTALES'!$G248</f>
        <v>0</v>
      </c>
      <c r="CZ221" s="344">
        <f>+'[102]VENTAS TOTALES'!$H248</f>
        <v>0</v>
      </c>
    </row>
    <row r="222" spans="1:104" s="8" customFormat="1" ht="14.25" customHeight="1" thickBot="1" x14ac:dyDescent="0.25">
      <c r="A222" s="452"/>
      <c r="B222" s="345" t="s">
        <v>447</v>
      </c>
      <c r="C222" s="371">
        <f>'[69]VENTAS TOTALES'!$F249</f>
        <v>130</v>
      </c>
      <c r="D222" s="344">
        <f>'[69]VENTAS TOTALES'!$G249</f>
        <v>3770000</v>
      </c>
      <c r="E222" s="344">
        <f>+'[69]VENTAS TOTALES'!$H249</f>
        <v>3991000</v>
      </c>
      <c r="F222" s="371">
        <f>'[70]VENTAS TOTALES'!$F249</f>
        <v>189</v>
      </c>
      <c r="G222" s="344">
        <f>'[70]VENTAS TOTALES'!$G249</f>
        <v>3276600</v>
      </c>
      <c r="H222" s="344">
        <f>+'[70]VENTAS TOTALES'!$H249</f>
        <v>3597900</v>
      </c>
      <c r="I222" s="371">
        <f>'[71]VENTAS TOTALES'!$F249</f>
        <v>135</v>
      </c>
      <c r="J222" s="344">
        <f>'[71]VENTAS TOTALES'!$G249</f>
        <v>1858400</v>
      </c>
      <c r="K222" s="344">
        <f>+'[71]VENTAS TOTALES'!$H249</f>
        <v>2087900</v>
      </c>
      <c r="L222" s="371">
        <f>'[72]VENTAS TOTALES'!$F249</f>
        <v>128</v>
      </c>
      <c r="M222" s="344">
        <f>'[72]VENTAS TOTALES'!$G249</f>
        <v>1820800</v>
      </c>
      <c r="N222" s="344">
        <f>+'[72]VENTAS TOTALES'!$H249</f>
        <v>2038400</v>
      </c>
      <c r="O222" s="371">
        <f>'[73]VENTAS TOTALES'!$F249</f>
        <v>162</v>
      </c>
      <c r="P222" s="344">
        <f>'[73]VENTAS TOTALES'!$G249</f>
        <v>778200</v>
      </c>
      <c r="Q222" s="344">
        <f>+'[73]VENTAS TOTALES'!$H249</f>
        <v>1053600</v>
      </c>
      <c r="R222" s="371">
        <f>'[74]VENTAS TOTALES'!$F249</f>
        <v>0</v>
      </c>
      <c r="S222" s="344">
        <f>'[74]VENTAS TOTALES'!$G249</f>
        <v>0</v>
      </c>
      <c r="T222" s="344">
        <f>+'[74]VENTAS TOTALES'!$H249</f>
        <v>0</v>
      </c>
      <c r="U222" s="371">
        <f>'[75]VENTAS TOTALES'!$F249</f>
        <v>188</v>
      </c>
      <c r="V222" s="344">
        <f>'[75]VENTAS TOTALES'!$G249</f>
        <v>3082700</v>
      </c>
      <c r="W222" s="344">
        <f>+'[75]VENTAS TOTALES'!$H249</f>
        <v>3402300</v>
      </c>
      <c r="X222" s="371">
        <f>'[76]VENTAS TOTALES'!$F249</f>
        <v>171</v>
      </c>
      <c r="Y222" s="344">
        <f>'[76]VENTAS TOTALES'!$G249</f>
        <v>2540500</v>
      </c>
      <c r="Z222" s="344">
        <f>+'[76]VENTAS TOTALES'!$H249</f>
        <v>2831200</v>
      </c>
      <c r="AA222" s="371">
        <f>'[77]VENTAS TOTALES'!$F249</f>
        <v>209</v>
      </c>
      <c r="AB222" s="344">
        <f>'[77]VENTAS TOTALES'!$G249</f>
        <v>1541900</v>
      </c>
      <c r="AC222" s="344">
        <f>+'[77]VENTAS TOTALES'!$H249</f>
        <v>1897200</v>
      </c>
      <c r="AD222" s="371">
        <f>'[78]VENTAS TOTALES'!$F249</f>
        <v>196</v>
      </c>
      <c r="AE222" s="344">
        <f>'[78]VENTAS TOTALES'!$G249</f>
        <v>1901000</v>
      </c>
      <c r="AF222" s="344">
        <f>+'[78]VENTAS TOTALES'!$H249</f>
        <v>2234200</v>
      </c>
      <c r="AG222" s="371">
        <f>'[79]VENTAS TOTALES'!$F249</f>
        <v>190</v>
      </c>
      <c r="AH222" s="344">
        <f>'[79]VENTAS TOTALES'!$G249</f>
        <v>1898700</v>
      </c>
      <c r="AI222" s="344">
        <f>+'[79]VENTAS TOTALES'!$H249</f>
        <v>2221700</v>
      </c>
      <c r="AJ222" s="371">
        <f>'[80]VENTAS TOTALES'!$F249</f>
        <v>76</v>
      </c>
      <c r="AK222" s="344">
        <f>'[80]VENTAS TOTALES'!$G249</f>
        <v>699000</v>
      </c>
      <c r="AL222" s="344">
        <f>+'[80]VENTAS TOTALES'!$H249</f>
        <v>828200</v>
      </c>
      <c r="AM222" s="371">
        <f>'[81]VENTAS TOTALES'!$F249</f>
        <v>0</v>
      </c>
      <c r="AN222" s="344">
        <f>'[81]VENTAS TOTALES'!$G249</f>
        <v>0</v>
      </c>
      <c r="AO222" s="344">
        <f>+'[81]VENTAS TOTALES'!$H249</f>
        <v>0</v>
      </c>
      <c r="AP222" s="371">
        <f>'[82]VENTAS TOTALES'!$F249</f>
        <v>147</v>
      </c>
      <c r="AQ222" s="344">
        <f>'[82]VENTAS TOTALES'!$G249</f>
        <v>3642600</v>
      </c>
      <c r="AR222" s="344">
        <f>+'[82]VENTAS TOTALES'!$H249</f>
        <v>3892500</v>
      </c>
      <c r="AS222" s="371">
        <f>'[83]VENTAS TOTALES'!$F249</f>
        <v>169</v>
      </c>
      <c r="AT222" s="344">
        <f>'[83]VENTAS TOTALES'!$G249</f>
        <v>2902100</v>
      </c>
      <c r="AU222" s="344">
        <f>+'[83]VENTAS TOTALES'!$H249</f>
        <v>3189400</v>
      </c>
      <c r="AV222" s="371">
        <f>'[84]VENTAS TOTALES'!$F249</f>
        <v>193</v>
      </c>
      <c r="AW222" s="344">
        <f>'[84]VENTAS TOTALES'!$G249</f>
        <v>2851900</v>
      </c>
      <c r="AX222" s="344">
        <f>+'[84]VENTAS TOTALES'!$H249</f>
        <v>3180000</v>
      </c>
      <c r="AY222" s="371">
        <f>'[85]VENTAS TOTALES'!$F249</f>
        <v>205</v>
      </c>
      <c r="AZ222" s="344">
        <f>'[85]VENTAS TOTALES'!$G249</f>
        <v>1869400</v>
      </c>
      <c r="BA222" s="344">
        <f>+'[85]VENTAS TOTALES'!$H249</f>
        <v>2217900</v>
      </c>
      <c r="BB222" s="371">
        <f>'[86]VENTAS TOTALES'!$F249</f>
        <v>115</v>
      </c>
      <c r="BC222" s="344">
        <f>'[86]VENTAS TOTALES'!$G249</f>
        <v>1409800</v>
      </c>
      <c r="BD222" s="344">
        <f>+'[86]VENTAS TOTALES'!$H249</f>
        <v>1605300</v>
      </c>
      <c r="BE222" s="371">
        <f>'[87]VENTAS TOTALES'!$F249</f>
        <v>269</v>
      </c>
      <c r="BF222" s="344">
        <f>'[87]VENTAS TOTALES'!$G249</f>
        <v>511400</v>
      </c>
      <c r="BG222" s="344">
        <f>+'[87]VENTAS TOTALES'!$H249</f>
        <v>968700</v>
      </c>
      <c r="BH222" s="371">
        <f>'[88]VENTAS TOTALES'!$F249</f>
        <v>0</v>
      </c>
      <c r="BI222" s="344">
        <f>'[88]VENTAS TOTALES'!$G249</f>
        <v>0</v>
      </c>
      <c r="BJ222" s="344">
        <f>+'[88]VENTAS TOTALES'!$H249</f>
        <v>0</v>
      </c>
      <c r="BK222" s="371">
        <f>'[89]VENTAS TOTALES'!$F249</f>
        <v>73</v>
      </c>
      <c r="BL222" s="344">
        <f>'[89]VENTAS TOTALES'!$G249</f>
        <v>1900900</v>
      </c>
      <c r="BM222" s="344">
        <f>+'[89]VENTAS TOTALES'!$H249</f>
        <v>2025000</v>
      </c>
      <c r="BN222" s="371">
        <f>'[90]VENTAS TOTALES'!$F249</f>
        <v>133</v>
      </c>
      <c r="BO222" s="344">
        <f>'[90]VENTAS TOTALES'!$G249</f>
        <v>2436100</v>
      </c>
      <c r="BP222" s="344">
        <f>+'[90]VENTAS TOTALES'!$H249</f>
        <v>2662200</v>
      </c>
      <c r="BQ222" s="371">
        <f>'[91]VENTAS TOTALES'!$F249</f>
        <v>79</v>
      </c>
      <c r="BR222" s="344">
        <f>'[91]VENTAS TOTALES'!$G249</f>
        <v>1908100</v>
      </c>
      <c r="BS222" s="344">
        <f>+'[91]VENTAS TOTALES'!$H249</f>
        <v>2042400</v>
      </c>
      <c r="BT222" s="371">
        <f>'[92]VENTAS TOTALES'!$F249</f>
        <v>159</v>
      </c>
      <c r="BU222" s="344">
        <f>'[92]VENTAS TOTALES'!$G249</f>
        <v>1799700</v>
      </c>
      <c r="BV222" s="344">
        <f>+'[92]VENTAS TOTALES'!$H249</f>
        <v>2070000</v>
      </c>
      <c r="BW222" s="371">
        <f>'[93]VENTAS TOTALES'!$F249</f>
        <v>139</v>
      </c>
      <c r="BX222" s="344">
        <f>'[93]VENTAS TOTALES'!$G249</f>
        <v>2119000</v>
      </c>
      <c r="BY222" s="344">
        <f>+'[93]VENTAS TOTALES'!$H249</f>
        <v>2355300</v>
      </c>
      <c r="BZ222" s="371">
        <f>'[94]VENTAS TOTALES'!$F249</f>
        <v>113</v>
      </c>
      <c r="CA222" s="344">
        <f>'[94]VENTAS TOTALES'!$G249</f>
        <v>791000</v>
      </c>
      <c r="CB222" s="344">
        <f>+'[94]VENTAS TOTALES'!$H249</f>
        <v>983100</v>
      </c>
      <c r="CC222" s="371">
        <f>'[95]VENTAS TOTALES'!$F249</f>
        <v>0</v>
      </c>
      <c r="CD222" s="344">
        <f>'[95]VENTAS TOTALES'!$G249</f>
        <v>0</v>
      </c>
      <c r="CE222" s="344">
        <f>+'[95]VENTAS TOTALES'!$H249</f>
        <v>0</v>
      </c>
      <c r="CF222" s="371">
        <f>'[96]VENTAS TOTALES'!$F249</f>
        <v>294</v>
      </c>
      <c r="CG222" s="344">
        <f>'[96]VENTAS TOTALES'!$G249</f>
        <v>4733600</v>
      </c>
      <c r="CH222" s="344">
        <f>+'[96]VENTAS TOTALES'!$H249</f>
        <v>5233400</v>
      </c>
      <c r="CI222" s="371">
        <f>'[97]VENTAS TOTALES'!$F249</f>
        <v>127</v>
      </c>
      <c r="CJ222" s="344">
        <f>'[97]VENTAS TOTALES'!$G249</f>
        <v>1408100</v>
      </c>
      <c r="CK222" s="344">
        <f>+'[97]VENTAS TOTALES'!$H249</f>
        <v>1624000</v>
      </c>
      <c r="CL222" s="371">
        <f>'[98]VENTAS TOTALES'!$F249</f>
        <v>104</v>
      </c>
      <c r="CM222" s="344">
        <f>'[98]VENTAS TOTALES'!$G249</f>
        <v>1500700</v>
      </c>
      <c r="CN222" s="344">
        <f>+'[98]VENTAS TOTALES'!$H249</f>
        <v>1677500</v>
      </c>
      <c r="CO222" s="371">
        <f>'[99]VENTAS TOTALES'!$F249</f>
        <v>287</v>
      </c>
      <c r="CP222" s="344">
        <f>'[99]VENTAS TOTALES'!$G249</f>
        <v>2845300</v>
      </c>
      <c r="CQ222" s="344">
        <f>+'[99]VENTAS TOTALES'!$H249</f>
        <v>3333200</v>
      </c>
      <c r="CR222" s="371">
        <f>'[100]VENTAS TOTALES'!$F249</f>
        <v>187</v>
      </c>
      <c r="CS222" s="344">
        <f>'[100]VENTAS TOTALES'!$G249</f>
        <v>1884900</v>
      </c>
      <c r="CT222" s="344">
        <f>+'[100]VENTAS TOTALES'!$H249</f>
        <v>2202800</v>
      </c>
      <c r="CU222" s="371">
        <f>'[101]VENTAS TOTALES'!$F249</f>
        <v>174</v>
      </c>
      <c r="CV222" s="344">
        <f>'[101]VENTAS TOTALES'!$G249</f>
        <v>1030400</v>
      </c>
      <c r="CW222" s="344">
        <f>+'[101]VENTAS TOTALES'!$H249</f>
        <v>1326200</v>
      </c>
      <c r="CX222" s="371">
        <f>'[102]VENTAS TOTALES'!$F249</f>
        <v>0</v>
      </c>
      <c r="CY222" s="344">
        <f>'[102]VENTAS TOTALES'!$G249</f>
        <v>0</v>
      </c>
      <c r="CZ222" s="344">
        <f>+'[102]VENTAS TOTALES'!$H249</f>
        <v>0</v>
      </c>
    </row>
    <row r="223" spans="1:104" s="8" customFormat="1" ht="14.25" customHeight="1" thickBot="1" x14ac:dyDescent="0.25">
      <c r="A223" s="452"/>
      <c r="B223" s="345" t="s">
        <v>448</v>
      </c>
      <c r="C223" s="371">
        <f>'[69]VENTAS TOTALES'!$F250</f>
        <v>182</v>
      </c>
      <c r="D223" s="344">
        <f>'[69]VENTAS TOTALES'!$G250</f>
        <v>4849600</v>
      </c>
      <c r="E223" s="344">
        <f>+'[69]VENTAS TOTALES'!$H250</f>
        <v>5159000</v>
      </c>
      <c r="F223" s="371">
        <f>'[70]VENTAS TOTALES'!$F250</f>
        <v>182</v>
      </c>
      <c r="G223" s="344">
        <f>'[70]VENTAS TOTALES'!$G250</f>
        <v>3978200</v>
      </c>
      <c r="H223" s="344">
        <f>+'[70]VENTAS TOTALES'!$H250</f>
        <v>4287600</v>
      </c>
      <c r="I223" s="371">
        <f>'[71]VENTAS TOTALES'!$F250</f>
        <v>77</v>
      </c>
      <c r="J223" s="344">
        <f>'[71]VENTAS TOTALES'!$G250</f>
        <v>2674100</v>
      </c>
      <c r="K223" s="344">
        <f>+'[71]VENTAS TOTALES'!$H250</f>
        <v>2805000</v>
      </c>
      <c r="L223" s="371">
        <f>'[72]VENTAS TOTALES'!$F250</f>
        <v>117</v>
      </c>
      <c r="M223" s="344">
        <f>'[72]VENTAS TOTALES'!$G250</f>
        <v>2337600</v>
      </c>
      <c r="N223" s="344">
        <f>+'[72]VENTAS TOTALES'!$H250</f>
        <v>2536500</v>
      </c>
      <c r="O223" s="371">
        <f>'[73]VENTAS TOTALES'!$F250</f>
        <v>26</v>
      </c>
      <c r="P223" s="344">
        <f>'[73]VENTAS TOTALES'!$G250</f>
        <v>438850</v>
      </c>
      <c r="Q223" s="344">
        <f>+'[73]VENTAS TOTALES'!$H250</f>
        <v>483050</v>
      </c>
      <c r="R223" s="371">
        <f>'[74]VENTAS TOTALES'!$F250</f>
        <v>0</v>
      </c>
      <c r="S223" s="344">
        <f>'[74]VENTAS TOTALES'!$G250</f>
        <v>0</v>
      </c>
      <c r="T223" s="344">
        <f>+'[74]VENTAS TOTALES'!$H250</f>
        <v>0</v>
      </c>
      <c r="U223" s="371">
        <f>'[75]VENTAS TOTALES'!$F250</f>
        <v>165</v>
      </c>
      <c r="V223" s="344">
        <f>'[75]VENTAS TOTALES'!$G250</f>
        <v>3669300</v>
      </c>
      <c r="W223" s="344">
        <f>+'[75]VENTAS TOTALES'!$H250</f>
        <v>3949800</v>
      </c>
      <c r="X223" s="371">
        <f>'[76]VENTAS TOTALES'!$F250</f>
        <v>190</v>
      </c>
      <c r="Y223" s="344">
        <f>'[76]VENTAS TOTALES'!$G250</f>
        <v>2984900</v>
      </c>
      <c r="Z223" s="344">
        <f>+'[76]VENTAS TOTALES'!$H250</f>
        <v>3307900</v>
      </c>
      <c r="AA223" s="371">
        <f>'[77]VENTAS TOTALES'!$F250</f>
        <v>187</v>
      </c>
      <c r="AB223" s="344">
        <f>'[77]VENTAS TOTALES'!$G250</f>
        <v>2812300</v>
      </c>
      <c r="AC223" s="344">
        <f>+'[77]VENTAS TOTALES'!$H250</f>
        <v>3130200</v>
      </c>
      <c r="AD223" s="371">
        <f>'[78]VENTAS TOTALES'!$F250</f>
        <v>209</v>
      </c>
      <c r="AE223" s="344">
        <f>'[78]VENTAS TOTALES'!$G250</f>
        <v>2903300</v>
      </c>
      <c r="AF223" s="344">
        <f>+'[78]VENTAS TOTALES'!$H250</f>
        <v>3258600</v>
      </c>
      <c r="AG223" s="371">
        <f>'[79]VENTAS TOTALES'!$F250</f>
        <v>198</v>
      </c>
      <c r="AH223" s="344">
        <f>'[79]VENTAS TOTALES'!$G250</f>
        <v>2338500</v>
      </c>
      <c r="AI223" s="344">
        <f>+'[79]VENTAS TOTALES'!$H250</f>
        <v>2675100</v>
      </c>
      <c r="AJ223" s="371">
        <f>'[80]VENTAS TOTALES'!$F250</f>
        <v>16</v>
      </c>
      <c r="AK223" s="344">
        <f>'[80]VENTAS TOTALES'!$G250</f>
        <v>766000</v>
      </c>
      <c r="AL223" s="344">
        <f>+'[80]VENTAS TOTALES'!$H250</f>
        <v>793200</v>
      </c>
      <c r="AM223" s="371">
        <f>'[81]VENTAS TOTALES'!$F250</f>
        <v>0</v>
      </c>
      <c r="AN223" s="344">
        <f>'[81]VENTAS TOTALES'!$G250</f>
        <v>0</v>
      </c>
      <c r="AO223" s="344">
        <f>+'[81]VENTAS TOTALES'!$H250</f>
        <v>0</v>
      </c>
      <c r="AP223" s="371">
        <f>'[82]VENTAS TOTALES'!$F250</f>
        <v>227</v>
      </c>
      <c r="AQ223" s="344">
        <f>'[82]VENTAS TOTALES'!$G250</f>
        <v>4372900</v>
      </c>
      <c r="AR223" s="344">
        <f>+'[82]VENTAS TOTALES'!$H250</f>
        <v>4758800</v>
      </c>
      <c r="AS223" s="371">
        <f>'[83]VENTAS TOTALES'!$F250</f>
        <v>71</v>
      </c>
      <c r="AT223" s="344">
        <f>'[83]VENTAS TOTALES'!$G250</f>
        <v>5012750</v>
      </c>
      <c r="AU223" s="344">
        <f>+'[83]VENTAS TOTALES'!$H250</f>
        <v>5133450</v>
      </c>
      <c r="AV223" s="371">
        <f>'[84]VENTAS TOTALES'!$F250</f>
        <v>78</v>
      </c>
      <c r="AW223" s="344">
        <f>'[84]VENTAS TOTALES'!$G250</f>
        <v>3970300</v>
      </c>
      <c r="AX223" s="344">
        <f>+'[84]VENTAS TOTALES'!$H250</f>
        <v>4102900</v>
      </c>
      <c r="AY223" s="371">
        <f>'[85]VENTAS TOTALES'!$F250</f>
        <v>278</v>
      </c>
      <c r="AZ223" s="344">
        <f>'[85]VENTAS TOTALES'!$G250</f>
        <v>4049150</v>
      </c>
      <c r="BA223" s="344">
        <f>+'[85]VENTAS TOTALES'!$H250</f>
        <v>4521750</v>
      </c>
      <c r="BB223" s="371">
        <f>'[86]VENTAS TOTALES'!$F250</f>
        <v>124</v>
      </c>
      <c r="BC223" s="344">
        <f>'[86]VENTAS TOTALES'!$G250</f>
        <v>2435200</v>
      </c>
      <c r="BD223" s="344">
        <f>+'[86]VENTAS TOTALES'!$H250</f>
        <v>2646000</v>
      </c>
      <c r="BE223" s="371">
        <f>'[87]VENTAS TOTALES'!$F250</f>
        <v>12</v>
      </c>
      <c r="BF223" s="344">
        <f>'[87]VENTAS TOTALES'!$G250</f>
        <v>554300</v>
      </c>
      <c r="BG223" s="344">
        <f>+'[87]VENTAS TOTALES'!$H250</f>
        <v>574700</v>
      </c>
      <c r="BH223" s="371">
        <f>'[88]VENTAS TOTALES'!$F250</f>
        <v>0</v>
      </c>
      <c r="BI223" s="344">
        <f>'[88]VENTAS TOTALES'!$G250</f>
        <v>0</v>
      </c>
      <c r="BJ223" s="344">
        <f>+'[88]VENTAS TOTALES'!$H250</f>
        <v>0</v>
      </c>
      <c r="BK223" s="371">
        <f>'[89]VENTAS TOTALES'!$F250</f>
        <v>43</v>
      </c>
      <c r="BL223" s="344">
        <f>'[89]VENTAS TOTALES'!$G250</f>
        <v>4650100</v>
      </c>
      <c r="BM223" s="344">
        <f>+'[89]VENTAS TOTALES'!$H250</f>
        <v>4723200</v>
      </c>
      <c r="BN223" s="371">
        <f>'[90]VENTAS TOTALES'!$F250</f>
        <v>213</v>
      </c>
      <c r="BO223" s="344">
        <f>'[90]VENTAS TOTALES'!$G250</f>
        <v>3350200</v>
      </c>
      <c r="BP223" s="344">
        <f>+'[90]VENTAS TOTALES'!$H250</f>
        <v>3712300</v>
      </c>
      <c r="BQ223" s="371">
        <f>'[91]VENTAS TOTALES'!$F250</f>
        <v>51</v>
      </c>
      <c r="BR223" s="344">
        <f>'[91]VENTAS TOTALES'!$G250</f>
        <v>3131600</v>
      </c>
      <c r="BS223" s="344">
        <f>+'[91]VENTAS TOTALES'!$H250</f>
        <v>3218300</v>
      </c>
      <c r="BT223" s="371">
        <f>'[92]VENTAS TOTALES'!$F250</f>
        <v>115</v>
      </c>
      <c r="BU223" s="344">
        <f>'[92]VENTAS TOTALES'!$G250</f>
        <v>2909150</v>
      </c>
      <c r="BV223" s="344">
        <f>+'[92]VENTAS TOTALES'!$H250</f>
        <v>3104650</v>
      </c>
      <c r="BW223" s="371">
        <f>'[93]VENTAS TOTALES'!$F250</f>
        <v>91</v>
      </c>
      <c r="BX223" s="344">
        <f>'[93]VENTAS TOTALES'!$G250</f>
        <v>2869600</v>
      </c>
      <c r="BY223" s="344">
        <f>+'[93]VENTAS TOTALES'!$H250</f>
        <v>3024300</v>
      </c>
      <c r="BZ223" s="371">
        <f>'[94]VENTAS TOTALES'!$F250</f>
        <v>3</v>
      </c>
      <c r="CA223" s="344">
        <f>'[94]VENTAS TOTALES'!$G250</f>
        <v>715900</v>
      </c>
      <c r="CB223" s="344">
        <f>+'[94]VENTAS TOTALES'!$H250</f>
        <v>721000</v>
      </c>
      <c r="CC223" s="371">
        <f>'[95]VENTAS TOTALES'!$F250</f>
        <v>0</v>
      </c>
      <c r="CD223" s="344">
        <f>'[95]VENTAS TOTALES'!$G250</f>
        <v>0</v>
      </c>
      <c r="CE223" s="344">
        <f>+'[95]VENTAS TOTALES'!$H250</f>
        <v>0</v>
      </c>
      <c r="CF223" s="371">
        <f>'[96]VENTAS TOTALES'!$F250</f>
        <v>186</v>
      </c>
      <c r="CG223" s="344">
        <f>'[96]VENTAS TOTALES'!$G250</f>
        <v>7246300</v>
      </c>
      <c r="CH223" s="344">
        <f>+'[96]VENTAS TOTALES'!$H250</f>
        <v>7562500</v>
      </c>
      <c r="CI223" s="371">
        <f>'[97]VENTAS TOTALES'!$F250</f>
        <v>139</v>
      </c>
      <c r="CJ223" s="344">
        <f>'[97]VENTAS TOTALES'!$G250</f>
        <v>6577300</v>
      </c>
      <c r="CK223" s="344">
        <f>+'[97]VENTAS TOTALES'!$H250</f>
        <v>6813600</v>
      </c>
      <c r="CL223" s="371">
        <f>'[98]VENTAS TOTALES'!$F250</f>
        <v>218</v>
      </c>
      <c r="CM223" s="344">
        <f>'[98]VENTAS TOTALES'!$G250</f>
        <v>4199200</v>
      </c>
      <c r="CN223" s="344">
        <f>+'[98]VENTAS TOTALES'!$H250</f>
        <v>4569800</v>
      </c>
      <c r="CO223" s="371">
        <f>'[99]VENTAS TOTALES'!$F250</f>
        <v>81</v>
      </c>
      <c r="CP223" s="344">
        <f>'[99]VENTAS TOTALES'!$G250</f>
        <v>3595550</v>
      </c>
      <c r="CQ223" s="344">
        <f>+'[99]VENTAS TOTALES'!$H250</f>
        <v>3733250</v>
      </c>
      <c r="CR223" s="371">
        <f>'[100]VENTAS TOTALES'!$F250</f>
        <v>157</v>
      </c>
      <c r="CS223" s="344">
        <f>'[100]VENTAS TOTALES'!$G250</f>
        <v>2727000</v>
      </c>
      <c r="CT223" s="344">
        <f>+'[100]VENTAS TOTALES'!$H250</f>
        <v>2993900</v>
      </c>
      <c r="CU223" s="371">
        <f>'[101]VENTAS TOTALES'!$F250</f>
        <v>68</v>
      </c>
      <c r="CV223" s="344">
        <f>'[101]VENTAS TOTALES'!$G250</f>
        <v>636800</v>
      </c>
      <c r="CW223" s="344">
        <f>+'[101]VENTAS TOTALES'!$H250</f>
        <v>752400</v>
      </c>
      <c r="CX223" s="371">
        <f>'[102]VENTAS TOTALES'!$F250</f>
        <v>0</v>
      </c>
      <c r="CY223" s="344">
        <f>'[102]VENTAS TOTALES'!$G250</f>
        <v>0</v>
      </c>
      <c r="CZ223" s="344">
        <f>+'[102]VENTAS TOTALES'!$H250</f>
        <v>0</v>
      </c>
    </row>
    <row r="224" spans="1:104" s="8" customFormat="1" ht="14.25" customHeight="1" thickBot="1" x14ac:dyDescent="0.25">
      <c r="A224" s="452"/>
      <c r="B224" s="345" t="s">
        <v>449</v>
      </c>
      <c r="C224" s="371">
        <f>'[69]VENTAS TOTALES'!$F251</f>
        <v>175</v>
      </c>
      <c r="D224" s="344">
        <f>'[69]VENTAS TOTALES'!$G251</f>
        <v>3330700</v>
      </c>
      <c r="E224" s="344">
        <f>+'[69]VENTAS TOTALES'!$H251</f>
        <v>3628200</v>
      </c>
      <c r="F224" s="371">
        <f>'[70]VENTAS TOTALES'!$F251</f>
        <v>143</v>
      </c>
      <c r="G224" s="344">
        <f>'[70]VENTAS TOTALES'!$G251</f>
        <v>2699600</v>
      </c>
      <c r="H224" s="344">
        <f>+'[70]VENTAS TOTALES'!$H251</f>
        <v>2942700</v>
      </c>
      <c r="I224" s="371">
        <f>'[71]VENTAS TOTALES'!$F251</f>
        <v>204</v>
      </c>
      <c r="J224" s="344">
        <f>'[71]VENTAS TOTALES'!$G251</f>
        <v>1274700</v>
      </c>
      <c r="K224" s="344">
        <f>+'[71]VENTAS TOTALES'!$H251</f>
        <v>1621500</v>
      </c>
      <c r="L224" s="371">
        <f>'[72]VENTAS TOTALES'!$F251</f>
        <v>74</v>
      </c>
      <c r="M224" s="344">
        <f>'[72]VENTAS TOTALES'!$G251</f>
        <v>1542600</v>
      </c>
      <c r="N224" s="344">
        <f>+'[72]VENTAS TOTALES'!$H251</f>
        <v>1668400</v>
      </c>
      <c r="O224" s="371">
        <f>'[73]VENTAS TOTALES'!$F251</f>
        <v>369</v>
      </c>
      <c r="P224" s="344">
        <f>'[73]VENTAS TOTALES'!$G251</f>
        <v>802650</v>
      </c>
      <c r="Q224" s="344">
        <f>+'[73]VENTAS TOTALES'!$H251</f>
        <v>1429950</v>
      </c>
      <c r="R224" s="371">
        <f>'[74]VENTAS TOTALES'!$F251</f>
        <v>0</v>
      </c>
      <c r="S224" s="344">
        <f>'[74]VENTAS TOTALES'!$G251</f>
        <v>0</v>
      </c>
      <c r="T224" s="344">
        <f>+'[74]VENTAS TOTALES'!$H251</f>
        <v>0</v>
      </c>
      <c r="U224" s="371">
        <f>'[75]VENTAS TOTALES'!$F251</f>
        <v>573</v>
      </c>
      <c r="V224" s="344">
        <f>'[75]VENTAS TOTALES'!$G251</f>
        <v>3628100</v>
      </c>
      <c r="W224" s="344">
        <f>+'[75]VENTAS TOTALES'!$H251</f>
        <v>4602200</v>
      </c>
      <c r="X224" s="371">
        <f>'[76]VENTAS TOTALES'!$F251</f>
        <v>451</v>
      </c>
      <c r="Y224" s="344">
        <f>'[76]VENTAS TOTALES'!$G251</f>
        <v>2475900</v>
      </c>
      <c r="Z224" s="344">
        <f>+'[76]VENTAS TOTALES'!$H251</f>
        <v>3242600</v>
      </c>
      <c r="AA224" s="371">
        <f>'[77]VENTAS TOTALES'!$F251</f>
        <v>505</v>
      </c>
      <c r="AB224" s="344">
        <f>'[77]VENTAS TOTALES'!$G251</f>
        <v>1900900</v>
      </c>
      <c r="AC224" s="344">
        <f>+'[77]VENTAS TOTALES'!$H251</f>
        <v>2759400</v>
      </c>
      <c r="AD224" s="371">
        <f>'[78]VENTAS TOTALES'!$F251</f>
        <v>341</v>
      </c>
      <c r="AE224" s="344">
        <f>'[78]VENTAS TOTALES'!$G251</f>
        <v>1872850</v>
      </c>
      <c r="AF224" s="344">
        <f>+'[78]VENTAS TOTALES'!$H251</f>
        <v>2452550</v>
      </c>
      <c r="AG224" s="371">
        <f>'[79]VENTAS TOTALES'!$F251</f>
        <v>129</v>
      </c>
      <c r="AH224" s="344">
        <f>'[79]VENTAS TOTALES'!$G251</f>
        <v>1204100</v>
      </c>
      <c r="AI224" s="344">
        <f>+'[79]VENTAS TOTALES'!$H251</f>
        <v>1423400</v>
      </c>
      <c r="AJ224" s="371">
        <f>'[80]VENTAS TOTALES'!$F251</f>
        <v>5</v>
      </c>
      <c r="AK224" s="344">
        <f>'[80]VENTAS TOTALES'!$G251</f>
        <v>485500</v>
      </c>
      <c r="AL224" s="344">
        <f>+'[80]VENTAS TOTALES'!$H251</f>
        <v>494000</v>
      </c>
      <c r="AM224" s="371">
        <f>'[81]VENTAS TOTALES'!$F251</f>
        <v>0</v>
      </c>
      <c r="AN224" s="344">
        <f>'[81]VENTAS TOTALES'!$G251</f>
        <v>0</v>
      </c>
      <c r="AO224" s="344">
        <f>+'[81]VENTAS TOTALES'!$H251</f>
        <v>0</v>
      </c>
      <c r="AP224" s="371">
        <f>'[82]VENTAS TOTALES'!$F251</f>
        <v>293</v>
      </c>
      <c r="AQ224" s="344">
        <f>'[82]VENTAS TOTALES'!$G251</f>
        <v>3489750</v>
      </c>
      <c r="AR224" s="344">
        <f>+'[82]VENTAS TOTALES'!$H251</f>
        <v>3987850</v>
      </c>
      <c r="AS224" s="371">
        <f>'[83]VENTAS TOTALES'!$F251</f>
        <v>431</v>
      </c>
      <c r="AT224" s="344">
        <f>'[83]VENTAS TOTALES'!$G251</f>
        <v>2611400</v>
      </c>
      <c r="AU224" s="344">
        <f>+'[83]VENTAS TOTALES'!$H251</f>
        <v>3344100</v>
      </c>
      <c r="AV224" s="371">
        <f>'[84]VENTAS TOTALES'!$F251</f>
        <v>344</v>
      </c>
      <c r="AW224" s="344">
        <f>'[84]VENTAS TOTALES'!$G251</f>
        <v>2662000</v>
      </c>
      <c r="AX224" s="344">
        <f>+'[84]VENTAS TOTALES'!$H251</f>
        <v>3246800</v>
      </c>
      <c r="AY224" s="371">
        <f>'[85]VENTAS TOTALES'!$F251</f>
        <v>602</v>
      </c>
      <c r="AZ224" s="344">
        <f>'[85]VENTAS TOTALES'!$G251</f>
        <v>2550800</v>
      </c>
      <c r="BA224" s="344">
        <f>+'[85]VENTAS TOTALES'!$H251</f>
        <v>3574200</v>
      </c>
      <c r="BB224" s="371">
        <f>'[86]VENTAS TOTALES'!$F251</f>
        <v>252</v>
      </c>
      <c r="BC224" s="344">
        <f>'[86]VENTAS TOTALES'!$G251</f>
        <v>1781700</v>
      </c>
      <c r="BD224" s="344">
        <f>+'[86]VENTAS TOTALES'!$H251</f>
        <v>2210100</v>
      </c>
      <c r="BE224" s="371">
        <f>'[87]VENTAS TOTALES'!$F251</f>
        <v>586</v>
      </c>
      <c r="BF224" s="344">
        <f>'[87]VENTAS TOTALES'!$G251</f>
        <v>961700</v>
      </c>
      <c r="BG224" s="344">
        <f>+'[87]VENTAS TOTALES'!$H251</f>
        <v>1957900</v>
      </c>
      <c r="BH224" s="371">
        <f>'[88]VENTAS TOTALES'!$F251</f>
        <v>0</v>
      </c>
      <c r="BI224" s="344">
        <f>'[88]VENTAS TOTALES'!$G251</f>
        <v>0</v>
      </c>
      <c r="BJ224" s="344">
        <f>+'[88]VENTAS TOTALES'!$H251</f>
        <v>0</v>
      </c>
      <c r="BK224" s="371">
        <f>'[89]VENTAS TOTALES'!$F251</f>
        <v>930</v>
      </c>
      <c r="BL224" s="344">
        <f>'[89]VENTAS TOTALES'!$G251</f>
        <v>3490650</v>
      </c>
      <c r="BM224" s="344">
        <f>+'[89]VENTAS TOTALES'!$H251</f>
        <v>5071650</v>
      </c>
      <c r="BN224" s="371">
        <f>'[90]VENTAS TOTALES'!$F251</f>
        <v>405</v>
      </c>
      <c r="BO224" s="344">
        <f>'[90]VENTAS TOTALES'!$G251</f>
        <v>1969400</v>
      </c>
      <c r="BP224" s="344">
        <f>+'[90]VENTAS TOTALES'!$H251</f>
        <v>2657900</v>
      </c>
      <c r="BQ224" s="371">
        <f>'[91]VENTAS TOTALES'!$F251</f>
        <v>267</v>
      </c>
      <c r="BR224" s="344">
        <f>'[91]VENTAS TOTALES'!$G251</f>
        <v>181100</v>
      </c>
      <c r="BS224" s="344">
        <f>+'[91]VENTAS TOTALES'!$H251</f>
        <v>635000</v>
      </c>
      <c r="BT224" s="371">
        <f>'[92]VENTAS TOTALES'!$F251</f>
        <v>242</v>
      </c>
      <c r="BU224" s="344">
        <f>'[92]VENTAS TOTALES'!$G251</f>
        <v>1501900</v>
      </c>
      <c r="BV224" s="344">
        <f>+'[92]VENTAS TOTALES'!$H251</f>
        <v>1913300</v>
      </c>
      <c r="BW224" s="371">
        <f>'[93]VENTAS TOTALES'!$F251</f>
        <v>109</v>
      </c>
      <c r="BX224" s="344">
        <f>'[93]VENTAS TOTALES'!$G251</f>
        <v>1399700</v>
      </c>
      <c r="BY224" s="344">
        <f>+'[93]VENTAS TOTALES'!$H251</f>
        <v>1585000</v>
      </c>
      <c r="BZ224" s="371">
        <f>'[94]VENTAS TOTALES'!$F251</f>
        <v>269</v>
      </c>
      <c r="CA224" s="344">
        <f>'[94]VENTAS TOTALES'!$G251</f>
        <v>613900</v>
      </c>
      <c r="CB224" s="344">
        <f>+'[94]VENTAS TOTALES'!$H251</f>
        <v>1071200</v>
      </c>
      <c r="CC224" s="371">
        <f>'[95]VENTAS TOTALES'!$F251</f>
        <v>0</v>
      </c>
      <c r="CD224" s="344">
        <f>'[95]VENTAS TOTALES'!$G251</f>
        <v>0</v>
      </c>
      <c r="CE224" s="344">
        <f>+'[95]VENTAS TOTALES'!$H251</f>
        <v>0</v>
      </c>
      <c r="CF224" s="371">
        <f>'[96]VENTAS TOTALES'!$F251</f>
        <v>365</v>
      </c>
      <c r="CG224" s="344">
        <f>'[96]VENTAS TOTALES'!$G251</f>
        <v>3200800</v>
      </c>
      <c r="CH224" s="344">
        <f>+'[96]VENTAS TOTALES'!$H251</f>
        <v>3821300</v>
      </c>
      <c r="CI224" s="371">
        <f>'[97]VENTAS TOTALES'!$F251</f>
        <v>360</v>
      </c>
      <c r="CJ224" s="344">
        <f>'[97]VENTAS TOTALES'!$G251</f>
        <v>3746600</v>
      </c>
      <c r="CK224" s="344">
        <f>+'[97]VENTAS TOTALES'!$H251</f>
        <v>4358600</v>
      </c>
      <c r="CL224" s="371">
        <f>'[98]VENTAS TOTALES'!$F251</f>
        <v>90</v>
      </c>
      <c r="CM224" s="344">
        <f>'[98]VENTAS TOTALES'!$G251</f>
        <v>1721850</v>
      </c>
      <c r="CN224" s="344">
        <f>+'[98]VENTAS TOTALES'!$H251</f>
        <v>1874850</v>
      </c>
      <c r="CO224" s="371">
        <f>'[99]VENTAS TOTALES'!$F251</f>
        <v>252</v>
      </c>
      <c r="CP224" s="344">
        <f>'[99]VENTAS TOTALES'!$G251</f>
        <v>1793800</v>
      </c>
      <c r="CQ224" s="344">
        <f>+'[99]VENTAS TOTALES'!$H251</f>
        <v>2222200</v>
      </c>
      <c r="CR224" s="371">
        <f>'[100]VENTAS TOTALES'!$F251</f>
        <v>294</v>
      </c>
      <c r="CS224" s="344">
        <f>'[100]VENTAS TOTALES'!$G251</f>
        <v>1638200</v>
      </c>
      <c r="CT224" s="344">
        <f>+'[100]VENTAS TOTALES'!$H251</f>
        <v>2138000</v>
      </c>
      <c r="CU224" s="371">
        <f>'[101]VENTAS TOTALES'!$F251</f>
        <v>54</v>
      </c>
      <c r="CV224" s="344">
        <f>'[101]VENTAS TOTALES'!$G251</f>
        <v>776000</v>
      </c>
      <c r="CW224" s="344">
        <f>+'[101]VENTAS TOTALES'!$H251</f>
        <v>867800</v>
      </c>
      <c r="CX224" s="371">
        <f>'[102]VENTAS TOTALES'!$F251</f>
        <v>0</v>
      </c>
      <c r="CY224" s="344">
        <f>'[102]VENTAS TOTALES'!$G251</f>
        <v>0</v>
      </c>
      <c r="CZ224" s="344">
        <f>+'[102]VENTAS TOTALES'!$H251</f>
        <v>0</v>
      </c>
    </row>
    <row r="225" spans="1:104" s="8" customFormat="1" ht="14.25" customHeight="1" thickBot="1" x14ac:dyDescent="0.25">
      <c r="A225" s="452"/>
      <c r="B225" s="345" t="s">
        <v>445</v>
      </c>
      <c r="C225" s="371">
        <f>'[69]VENTAS TOTALES'!$F252</f>
        <v>159</v>
      </c>
      <c r="D225" s="344">
        <f>'[69]VENTAS TOTALES'!$G252</f>
        <v>1891000</v>
      </c>
      <c r="E225" s="344">
        <f>+'[69]VENTAS TOTALES'!$H252</f>
        <v>2161300</v>
      </c>
      <c r="F225" s="371">
        <f>'[70]VENTAS TOTALES'!$F252</f>
        <v>179</v>
      </c>
      <c r="G225" s="344">
        <f>'[70]VENTAS TOTALES'!$G252</f>
        <v>819700</v>
      </c>
      <c r="H225" s="344">
        <f>+'[70]VENTAS TOTALES'!$H252</f>
        <v>1124000</v>
      </c>
      <c r="I225" s="371">
        <f>'[71]VENTAS TOTALES'!$F252</f>
        <v>124</v>
      </c>
      <c r="J225" s="344">
        <f>'[71]VENTAS TOTALES'!$G252</f>
        <v>596900</v>
      </c>
      <c r="K225" s="344">
        <f>+'[71]VENTAS TOTALES'!$H252</f>
        <v>807700</v>
      </c>
      <c r="L225" s="371">
        <f>'[72]VENTAS TOTALES'!$F252</f>
        <v>163</v>
      </c>
      <c r="M225" s="344">
        <f>'[72]VENTAS TOTALES'!$G252</f>
        <v>532700</v>
      </c>
      <c r="N225" s="344">
        <f>+'[72]VENTAS TOTALES'!$H252</f>
        <v>809800</v>
      </c>
      <c r="O225" s="371">
        <f>'[73]VENTAS TOTALES'!$F252</f>
        <v>188</v>
      </c>
      <c r="P225" s="344">
        <f>'[73]VENTAS TOTALES'!$G252</f>
        <v>593900</v>
      </c>
      <c r="Q225" s="344">
        <f>+'[73]VENTAS TOTALES'!$H252</f>
        <v>913500</v>
      </c>
      <c r="R225" s="371">
        <f>'[74]VENTAS TOTALES'!$F252</f>
        <v>0</v>
      </c>
      <c r="S225" s="344">
        <f>'[74]VENTAS TOTALES'!$G252</f>
        <v>0</v>
      </c>
      <c r="T225" s="344">
        <f>+'[74]VENTAS TOTALES'!$H252</f>
        <v>0</v>
      </c>
      <c r="U225" s="371">
        <f>'[75]VENTAS TOTALES'!$F252</f>
        <v>163</v>
      </c>
      <c r="V225" s="344">
        <f>'[75]VENTAS TOTALES'!$G252</f>
        <v>700500</v>
      </c>
      <c r="W225" s="344">
        <f>+'[75]VENTAS TOTALES'!$H252</f>
        <v>977600</v>
      </c>
      <c r="X225" s="371">
        <f>'[76]VENTAS TOTALES'!$F252</f>
        <v>142</v>
      </c>
      <c r="Y225" s="344">
        <f>'[76]VENTAS TOTALES'!$G252</f>
        <v>1041200</v>
      </c>
      <c r="Z225" s="344">
        <f>+'[76]VENTAS TOTALES'!$H252</f>
        <v>1282600</v>
      </c>
      <c r="AA225" s="371">
        <f>'[77]VENTAS TOTALES'!$F252</f>
        <v>127</v>
      </c>
      <c r="AB225" s="344">
        <f>'[77]VENTAS TOTALES'!$G252</f>
        <v>766600</v>
      </c>
      <c r="AC225" s="344">
        <f>+'[77]VENTAS TOTALES'!$H252</f>
        <v>982500</v>
      </c>
      <c r="AD225" s="371">
        <f>'[78]VENTAS TOTALES'!$F252</f>
        <v>152</v>
      </c>
      <c r="AE225" s="344">
        <f>'[78]VENTAS TOTALES'!$G252</f>
        <v>791450</v>
      </c>
      <c r="AF225" s="344">
        <f>+'[78]VENTAS TOTALES'!$H252</f>
        <v>1049850</v>
      </c>
      <c r="AG225" s="371">
        <f>'[79]VENTAS TOTALES'!$F252</f>
        <v>0</v>
      </c>
      <c r="AH225" s="344">
        <f>'[79]VENTAS TOTALES'!$G252</f>
        <v>0</v>
      </c>
      <c r="AI225" s="344">
        <f>+'[79]VENTAS TOTALES'!$H252</f>
        <v>0</v>
      </c>
      <c r="AJ225" s="371">
        <f>'[80]VENTAS TOTALES'!$F252</f>
        <v>102</v>
      </c>
      <c r="AK225" s="344">
        <f>'[80]VENTAS TOTALES'!$G252</f>
        <v>512900</v>
      </c>
      <c r="AL225" s="344">
        <f>+'[80]VENTAS TOTALES'!$H252</f>
        <v>686300</v>
      </c>
      <c r="AM225" s="371">
        <f>'[81]VENTAS TOTALES'!$F252</f>
        <v>0</v>
      </c>
      <c r="AN225" s="344">
        <f>'[81]VENTAS TOTALES'!$G252</f>
        <v>0</v>
      </c>
      <c r="AO225" s="344">
        <f>+'[81]VENTAS TOTALES'!$H252</f>
        <v>0</v>
      </c>
      <c r="AP225" s="371">
        <f>'[82]VENTAS TOTALES'!$F252</f>
        <v>194</v>
      </c>
      <c r="AQ225" s="344">
        <f>'[82]VENTAS TOTALES'!$G252</f>
        <v>911900</v>
      </c>
      <c r="AR225" s="344">
        <f>+'[82]VENTAS TOTALES'!$H252</f>
        <v>1241700</v>
      </c>
      <c r="AS225" s="371">
        <f>'[83]VENTAS TOTALES'!$F252</f>
        <v>107</v>
      </c>
      <c r="AT225" s="344">
        <f>'[83]VENTAS TOTALES'!$G252</f>
        <v>724700</v>
      </c>
      <c r="AU225" s="344">
        <f>+'[83]VENTAS TOTALES'!$H252</f>
        <v>906600</v>
      </c>
      <c r="AV225" s="371">
        <f>'[84]VENTAS TOTALES'!$F252</f>
        <v>276</v>
      </c>
      <c r="AW225" s="344">
        <f>'[84]VENTAS TOTALES'!$G252</f>
        <v>1107400</v>
      </c>
      <c r="AX225" s="344">
        <f>+'[84]VENTAS TOTALES'!$H252</f>
        <v>1576600</v>
      </c>
      <c r="AY225" s="371">
        <f>'[85]VENTAS TOTALES'!$F252</f>
        <v>47</v>
      </c>
      <c r="AZ225" s="344">
        <f>'[85]VENTAS TOTALES'!$G252</f>
        <v>518000</v>
      </c>
      <c r="BA225" s="344">
        <f>+'[85]VENTAS TOTALES'!$H252</f>
        <v>597900</v>
      </c>
      <c r="BB225" s="371">
        <f>'[86]VENTAS TOTALES'!$F252</f>
        <v>284</v>
      </c>
      <c r="BC225" s="344">
        <f>'[86]VENTAS TOTALES'!$G252</f>
        <v>449400</v>
      </c>
      <c r="BD225" s="344">
        <f>+'[86]VENTAS TOTALES'!$H252</f>
        <v>932200</v>
      </c>
      <c r="BE225" s="371">
        <f>'[87]VENTAS TOTALES'!$F252</f>
        <v>171</v>
      </c>
      <c r="BF225" s="344">
        <f>'[87]VENTAS TOTALES'!$G252</f>
        <v>697900</v>
      </c>
      <c r="BG225" s="344">
        <f>+'[87]VENTAS TOTALES'!$H252</f>
        <v>988600</v>
      </c>
      <c r="BH225" s="371">
        <f>'[88]VENTAS TOTALES'!$F252</f>
        <v>0</v>
      </c>
      <c r="BI225" s="344">
        <f>'[88]VENTAS TOTALES'!$G252</f>
        <v>0</v>
      </c>
      <c r="BJ225" s="344">
        <f>+'[88]VENTAS TOTALES'!$H252</f>
        <v>0</v>
      </c>
      <c r="BK225" s="371">
        <f>'[89]VENTAS TOTALES'!$F252</f>
        <v>267</v>
      </c>
      <c r="BL225" s="344">
        <f>'[89]VENTAS TOTALES'!$G252</f>
        <v>781200</v>
      </c>
      <c r="BM225" s="344">
        <f>+'[89]VENTAS TOTALES'!$H252</f>
        <v>1235100</v>
      </c>
      <c r="BN225" s="371">
        <f>'[90]VENTAS TOTALES'!$F252</f>
        <v>133</v>
      </c>
      <c r="BO225" s="344">
        <f>'[90]VENTAS TOTALES'!$G252</f>
        <v>661850</v>
      </c>
      <c r="BP225" s="344">
        <f>+'[90]VENTAS TOTALES'!$H252</f>
        <v>887950</v>
      </c>
      <c r="BQ225" s="371">
        <f>'[91]VENTAS TOTALES'!$F252</f>
        <v>178</v>
      </c>
      <c r="BR225" s="344">
        <f>'[91]VENTAS TOTALES'!$G252</f>
        <v>676400</v>
      </c>
      <c r="BS225" s="344">
        <f>+'[91]VENTAS TOTALES'!$H252</f>
        <v>979000</v>
      </c>
      <c r="BT225" s="371">
        <f>'[92]VENTAS TOTALES'!$F252</f>
        <v>245</v>
      </c>
      <c r="BU225" s="344">
        <f>'[92]VENTAS TOTALES'!$G252</f>
        <v>619800</v>
      </c>
      <c r="BV225" s="344">
        <f>+'[92]VENTAS TOTALES'!$H252</f>
        <v>1036300</v>
      </c>
      <c r="BW225" s="371">
        <f>'[93]VENTAS TOTALES'!$F252</f>
        <v>236</v>
      </c>
      <c r="BX225" s="344">
        <f>'[93]VENTAS TOTALES'!$G252</f>
        <v>638000</v>
      </c>
      <c r="BY225" s="344">
        <f>+'[93]VENTAS TOTALES'!$H252</f>
        <v>1039200</v>
      </c>
      <c r="BZ225" s="371">
        <f>'[94]VENTAS TOTALES'!$F252</f>
        <v>104</v>
      </c>
      <c r="CA225" s="344">
        <f>'[94]VENTAS TOTALES'!$G252</f>
        <v>375200</v>
      </c>
      <c r="CB225" s="344">
        <f>+'[94]VENTAS TOTALES'!$H252</f>
        <v>552000</v>
      </c>
      <c r="CC225" s="371">
        <f>'[95]VENTAS TOTALES'!$F252</f>
        <v>0</v>
      </c>
      <c r="CD225" s="344">
        <f>'[95]VENTAS TOTALES'!$G252</f>
        <v>0</v>
      </c>
      <c r="CE225" s="344">
        <f>+'[95]VENTAS TOTALES'!$H252</f>
        <v>0</v>
      </c>
      <c r="CF225" s="371">
        <f>'[96]VENTAS TOTALES'!$F252</f>
        <v>249</v>
      </c>
      <c r="CG225" s="344">
        <f>'[96]VENTAS TOTALES'!$G252</f>
        <v>1627400</v>
      </c>
      <c r="CH225" s="344">
        <f>+'[96]VENTAS TOTALES'!$H252</f>
        <v>2050700</v>
      </c>
      <c r="CI225" s="371">
        <f>'[97]VENTAS TOTALES'!$F252</f>
        <v>340</v>
      </c>
      <c r="CJ225" s="344">
        <f>'[97]VENTAS TOTALES'!$G252</f>
        <v>1477900</v>
      </c>
      <c r="CK225" s="344">
        <f>+'[97]VENTAS TOTALES'!$H252</f>
        <v>2055900</v>
      </c>
      <c r="CL225" s="371">
        <f>'[98]VENTAS TOTALES'!$F252</f>
        <v>278</v>
      </c>
      <c r="CM225" s="344">
        <f>'[98]VENTAS TOTALES'!$G252</f>
        <v>876800</v>
      </c>
      <c r="CN225" s="344">
        <f>+'[98]VENTAS TOTALES'!$H252</f>
        <v>1349400</v>
      </c>
      <c r="CO225" s="371">
        <f>'[99]VENTAS TOTALES'!$F252</f>
        <v>209</v>
      </c>
      <c r="CP225" s="344">
        <f>'[99]VENTAS TOTALES'!$G252</f>
        <v>909800</v>
      </c>
      <c r="CQ225" s="344">
        <f>+'[99]VENTAS TOTALES'!$H252</f>
        <v>1265100</v>
      </c>
      <c r="CR225" s="371">
        <f>'[100]VENTAS TOTALES'!$F252</f>
        <v>220</v>
      </c>
      <c r="CS225" s="344">
        <f>'[100]VENTAS TOTALES'!$G252</f>
        <v>516100</v>
      </c>
      <c r="CT225" s="344">
        <f>+'[100]VENTAS TOTALES'!$H252</f>
        <v>890100</v>
      </c>
      <c r="CU225" s="371">
        <f>'[101]VENTAS TOTALES'!$F252</f>
        <v>169</v>
      </c>
      <c r="CV225" s="344">
        <f>'[101]VENTAS TOTALES'!$G252</f>
        <v>488550</v>
      </c>
      <c r="CW225" s="344">
        <f>+'[101]VENTAS TOTALES'!$H252</f>
        <v>775850</v>
      </c>
      <c r="CX225" s="371">
        <f>'[102]VENTAS TOTALES'!$F252</f>
        <v>0</v>
      </c>
      <c r="CY225" s="344">
        <f>'[102]VENTAS TOTALES'!$G252</f>
        <v>0</v>
      </c>
      <c r="CZ225" s="344">
        <f>+'[102]VENTAS TOTALES'!$H252</f>
        <v>0</v>
      </c>
    </row>
    <row r="226" spans="1:104" s="8" customFormat="1" ht="14.25" customHeight="1" thickBot="1" x14ac:dyDescent="0.25">
      <c r="A226" s="452"/>
      <c r="B226" s="345" t="s">
        <v>450</v>
      </c>
      <c r="C226" s="371">
        <f>'[69]VENTAS TOTALES'!$F253</f>
        <v>107</v>
      </c>
      <c r="D226" s="344">
        <f>'[69]VENTAS TOTALES'!$G253</f>
        <v>5100550</v>
      </c>
      <c r="E226" s="344">
        <f>+'[69]VENTAS TOTALES'!$H253</f>
        <v>5282450</v>
      </c>
      <c r="F226" s="371">
        <f>'[70]VENTAS TOTALES'!$F253</f>
        <v>65</v>
      </c>
      <c r="G226" s="344">
        <f>'[70]VENTAS TOTALES'!$G253</f>
        <v>3922650</v>
      </c>
      <c r="H226" s="344">
        <f>+'[70]VENTAS TOTALES'!$H253</f>
        <v>4033150</v>
      </c>
      <c r="I226" s="371">
        <f>'[71]VENTAS TOTALES'!$F253</f>
        <v>17</v>
      </c>
      <c r="J226" s="344">
        <f>'[71]VENTAS TOTALES'!$G253</f>
        <v>2831200</v>
      </c>
      <c r="K226" s="344">
        <f>+'[71]VENTAS TOTALES'!$H253</f>
        <v>2860100</v>
      </c>
      <c r="L226" s="371">
        <f>'[72]VENTAS TOTALES'!$F253</f>
        <v>28</v>
      </c>
      <c r="M226" s="344">
        <f>'[72]VENTAS TOTALES'!$G253</f>
        <v>2774500</v>
      </c>
      <c r="N226" s="344">
        <f>+'[72]VENTAS TOTALES'!$H253</f>
        <v>2822100</v>
      </c>
      <c r="O226" s="371">
        <f>'[73]VENTAS TOTALES'!$F253</f>
        <v>20</v>
      </c>
      <c r="P226" s="344">
        <f>'[73]VENTAS TOTALES'!$G253</f>
        <v>701950</v>
      </c>
      <c r="Q226" s="344">
        <f>+'[73]VENTAS TOTALES'!$H253</f>
        <v>735950</v>
      </c>
      <c r="R226" s="371">
        <f>'[74]VENTAS TOTALES'!$F253</f>
        <v>0</v>
      </c>
      <c r="S226" s="344">
        <f>'[74]VENTAS TOTALES'!$G253</f>
        <v>0</v>
      </c>
      <c r="T226" s="344">
        <f>+'[74]VENTAS TOTALES'!$H253</f>
        <v>0</v>
      </c>
      <c r="U226" s="371">
        <f>'[75]VENTAS TOTALES'!$F253</f>
        <v>24</v>
      </c>
      <c r="V226" s="344">
        <f>'[75]VENTAS TOTALES'!$G253</f>
        <v>5618300</v>
      </c>
      <c r="W226" s="344">
        <f>+'[75]VENTAS TOTALES'!$H253</f>
        <v>5659100</v>
      </c>
      <c r="X226" s="371">
        <f>'[76]VENTAS TOTALES'!$F253</f>
        <v>29</v>
      </c>
      <c r="Y226" s="344">
        <f>'[76]VENTAS TOTALES'!$G253</f>
        <v>3667300</v>
      </c>
      <c r="Z226" s="344">
        <f>+'[76]VENTAS TOTALES'!$H253</f>
        <v>3716600</v>
      </c>
      <c r="AA226" s="371">
        <f>'[77]VENTAS TOTALES'!$F253</f>
        <v>26</v>
      </c>
      <c r="AB226" s="344">
        <f>'[77]VENTAS TOTALES'!$G253</f>
        <v>2785500</v>
      </c>
      <c r="AC226" s="344">
        <f>+'[77]VENTAS TOTALES'!$H253</f>
        <v>2829700</v>
      </c>
      <c r="AD226" s="371">
        <f>'[78]VENTAS TOTALES'!$F253</f>
        <v>33</v>
      </c>
      <c r="AE226" s="344">
        <f>'[78]VENTAS TOTALES'!$G253</f>
        <v>2980000</v>
      </c>
      <c r="AF226" s="344">
        <f>+'[78]VENTAS TOTALES'!$H253</f>
        <v>3036100</v>
      </c>
      <c r="AG226" s="371">
        <f>'[79]VENTAS TOTALES'!$F253</f>
        <v>40</v>
      </c>
      <c r="AH226" s="344">
        <f>'[79]VENTAS TOTALES'!$G253</f>
        <v>2505650</v>
      </c>
      <c r="AI226" s="344">
        <f>+'[79]VENTAS TOTALES'!$H253</f>
        <v>2573650</v>
      </c>
      <c r="AJ226" s="371">
        <f>'[80]VENTAS TOTALES'!$F253</f>
        <v>18</v>
      </c>
      <c r="AK226" s="344">
        <f>'[80]VENTAS TOTALES'!$G253</f>
        <v>931050</v>
      </c>
      <c r="AL226" s="344">
        <f>+'[80]VENTAS TOTALES'!$H253</f>
        <v>961650</v>
      </c>
      <c r="AM226" s="371">
        <f>'[81]VENTAS TOTALES'!$F253</f>
        <v>0</v>
      </c>
      <c r="AN226" s="344">
        <f>'[81]VENTAS TOTALES'!$G253</f>
        <v>0</v>
      </c>
      <c r="AO226" s="344">
        <f>+'[81]VENTAS TOTALES'!$H253</f>
        <v>0</v>
      </c>
      <c r="AP226" s="371">
        <f>'[82]VENTAS TOTALES'!$F253</f>
        <v>94</v>
      </c>
      <c r="AQ226" s="344">
        <f>'[82]VENTAS TOTALES'!$G253</f>
        <v>6119100</v>
      </c>
      <c r="AR226" s="344">
        <f>+'[82]VENTAS TOTALES'!$H253</f>
        <v>6278900</v>
      </c>
      <c r="AS226" s="371">
        <f>'[83]VENTAS TOTALES'!$F253</f>
        <v>60</v>
      </c>
      <c r="AT226" s="344">
        <f>'[83]VENTAS TOTALES'!$G253</f>
        <v>4818050</v>
      </c>
      <c r="AU226" s="344">
        <f>+'[83]VENTAS TOTALES'!$H253</f>
        <v>4920050</v>
      </c>
      <c r="AV226" s="371">
        <f>'[84]VENTAS TOTALES'!$F253</f>
        <v>40</v>
      </c>
      <c r="AW226" s="344">
        <f>'[84]VENTAS TOTALES'!$G253</f>
        <v>3975950</v>
      </c>
      <c r="AX226" s="344">
        <f>+'[84]VENTAS TOTALES'!$H253</f>
        <v>4043950</v>
      </c>
      <c r="AY226" s="371">
        <f>'[85]VENTAS TOTALES'!$F253</f>
        <v>25</v>
      </c>
      <c r="AZ226" s="344">
        <f>'[85]VENTAS TOTALES'!$G253</f>
        <v>2557100</v>
      </c>
      <c r="BA226" s="344">
        <f>+'[85]VENTAS TOTALES'!$H253</f>
        <v>2599600</v>
      </c>
      <c r="BB226" s="371">
        <f>'[86]VENTAS TOTALES'!$F253</f>
        <v>66</v>
      </c>
      <c r="BC226" s="344">
        <f>'[86]VENTAS TOTALES'!$G253</f>
        <v>2829700</v>
      </c>
      <c r="BD226" s="344">
        <f>+'[86]VENTAS TOTALES'!$H253</f>
        <v>2941900</v>
      </c>
      <c r="BE226" s="371">
        <f>'[87]VENTAS TOTALES'!$F253</f>
        <v>39</v>
      </c>
      <c r="BF226" s="344">
        <f>'[87]VENTAS TOTALES'!$G253</f>
        <v>955300</v>
      </c>
      <c r="BG226" s="344">
        <f>+'[87]VENTAS TOTALES'!$H253</f>
        <v>1021600</v>
      </c>
      <c r="BH226" s="371">
        <f>'[88]VENTAS TOTALES'!$F253</f>
        <v>0</v>
      </c>
      <c r="BI226" s="344">
        <f>'[88]VENTAS TOTALES'!$G253</f>
        <v>0</v>
      </c>
      <c r="BJ226" s="344">
        <f>+'[88]VENTAS TOTALES'!$H253</f>
        <v>0</v>
      </c>
      <c r="BK226" s="371">
        <f>'[89]VENTAS TOTALES'!$F253</f>
        <v>215</v>
      </c>
      <c r="BL226" s="344">
        <f>'[89]VENTAS TOTALES'!$G253</f>
        <v>5199300</v>
      </c>
      <c r="BM226" s="344">
        <f>+'[89]VENTAS TOTALES'!$H253</f>
        <v>5564800</v>
      </c>
      <c r="BN226" s="371">
        <f>'[90]VENTAS TOTALES'!$F253</f>
        <v>104</v>
      </c>
      <c r="BO226" s="344">
        <f>'[90]VENTAS TOTALES'!$G253</f>
        <v>3836900</v>
      </c>
      <c r="BP226" s="344">
        <f>+'[90]VENTAS TOTALES'!$H253</f>
        <v>4013700</v>
      </c>
      <c r="BQ226" s="371">
        <f>'[91]VENTAS TOTALES'!$F253</f>
        <v>108</v>
      </c>
      <c r="BR226" s="344">
        <f>'[91]VENTAS TOTALES'!$G253</f>
        <v>1332500</v>
      </c>
      <c r="BS226" s="344">
        <f>+'[91]VENTAS TOTALES'!$H253</f>
        <v>1516100</v>
      </c>
      <c r="BT226" s="371">
        <f>'[92]VENTAS TOTALES'!$F253</f>
        <v>160</v>
      </c>
      <c r="BU226" s="344">
        <f>'[92]VENTAS TOTALES'!$G253</f>
        <v>3316850</v>
      </c>
      <c r="BV226" s="344">
        <f>+'[92]VENTAS TOTALES'!$H253</f>
        <v>3588850</v>
      </c>
      <c r="BW226" s="371">
        <f>'[93]VENTAS TOTALES'!$F253</f>
        <v>107</v>
      </c>
      <c r="BX226" s="344">
        <f>'[93]VENTAS TOTALES'!$G253</f>
        <v>3052200</v>
      </c>
      <c r="BY226" s="344">
        <f>+'[93]VENTAS TOTALES'!$H253</f>
        <v>3234100</v>
      </c>
      <c r="BZ226" s="371">
        <f>'[94]VENTAS TOTALES'!$F253</f>
        <v>35</v>
      </c>
      <c r="CA226" s="344">
        <f>'[94]VENTAS TOTALES'!$G253</f>
        <v>991000</v>
      </c>
      <c r="CB226" s="344">
        <f>+'[94]VENTAS TOTALES'!$H253</f>
        <v>1050500</v>
      </c>
      <c r="CC226" s="371">
        <f>'[95]VENTAS TOTALES'!$F253</f>
        <v>0</v>
      </c>
      <c r="CD226" s="344">
        <f>'[95]VENTAS TOTALES'!$G253</f>
        <v>0</v>
      </c>
      <c r="CE226" s="344">
        <f>+'[95]VENTAS TOTALES'!$H253</f>
        <v>0</v>
      </c>
      <c r="CF226" s="371">
        <f>'[96]VENTAS TOTALES'!$F253</f>
        <v>140</v>
      </c>
      <c r="CG226" s="344">
        <f>'[96]VENTAS TOTALES'!$G253</f>
        <v>8115700</v>
      </c>
      <c r="CH226" s="344">
        <f>+'[96]VENTAS TOTALES'!$H253</f>
        <v>8353700</v>
      </c>
      <c r="CI226" s="371">
        <f>'[97]VENTAS TOTALES'!$F253</f>
        <v>93</v>
      </c>
      <c r="CJ226" s="344">
        <f>'[97]VENTAS TOTALES'!$G253</f>
        <v>6043800</v>
      </c>
      <c r="CK226" s="344">
        <f>+'[97]VENTAS TOTALES'!$H253</f>
        <v>6201900</v>
      </c>
      <c r="CL226" s="371">
        <f>'[98]VENTAS TOTALES'!$F253</f>
        <v>141</v>
      </c>
      <c r="CM226" s="344">
        <f>'[98]VENTAS TOTALES'!$G253</f>
        <v>3988220</v>
      </c>
      <c r="CN226" s="344">
        <f>+'[98]VENTAS TOTALES'!$H253</f>
        <v>4227920</v>
      </c>
      <c r="CO226" s="371">
        <f>'[99]VENTAS TOTALES'!$F253</f>
        <v>175</v>
      </c>
      <c r="CP226" s="344">
        <f>'[99]VENTAS TOTALES'!$G253</f>
        <v>3545860</v>
      </c>
      <c r="CQ226" s="344">
        <f>+'[99]VENTAS TOTALES'!$H253</f>
        <v>3843360</v>
      </c>
      <c r="CR226" s="371">
        <f>'[100]VENTAS TOTALES'!$F253</f>
        <v>103</v>
      </c>
      <c r="CS226" s="344">
        <f>'[100]VENTAS TOTALES'!$G253</f>
        <v>2902500</v>
      </c>
      <c r="CT226" s="344">
        <f>+'[100]VENTAS TOTALES'!$H253</f>
        <v>3077600</v>
      </c>
      <c r="CU226" s="371">
        <f>'[101]VENTAS TOTALES'!$F253</f>
        <v>77</v>
      </c>
      <c r="CV226" s="344">
        <f>'[101]VENTAS TOTALES'!$G253</f>
        <v>995700</v>
      </c>
      <c r="CW226" s="344">
        <f>+'[101]VENTAS TOTALES'!$H253</f>
        <v>1126600</v>
      </c>
      <c r="CX226" s="371">
        <f>'[102]VENTAS TOTALES'!$F253</f>
        <v>0</v>
      </c>
      <c r="CY226" s="344">
        <f>'[102]VENTAS TOTALES'!$G253</f>
        <v>0</v>
      </c>
      <c r="CZ226" s="344">
        <f>+'[102]VENTAS TOTALES'!$H253</f>
        <v>0</v>
      </c>
    </row>
    <row r="227" spans="1:104" s="8" customFormat="1" ht="14.25" customHeight="1" thickBot="1" x14ac:dyDescent="0.25">
      <c r="A227" s="452"/>
      <c r="B227" s="345" t="s">
        <v>451</v>
      </c>
      <c r="C227" s="371">
        <f>'[69]VENTAS TOTALES'!$F254</f>
        <v>720</v>
      </c>
      <c r="D227" s="344">
        <f>'[69]VENTAS TOTALES'!$G254</f>
        <v>2552000</v>
      </c>
      <c r="E227" s="344">
        <f>+'[69]VENTAS TOTALES'!$H254</f>
        <v>3776000</v>
      </c>
      <c r="F227" s="371">
        <f>'[70]VENTAS TOTALES'!$F254</f>
        <v>721</v>
      </c>
      <c r="G227" s="344">
        <f>'[70]VENTAS TOTALES'!$G254</f>
        <v>2211800</v>
      </c>
      <c r="H227" s="344">
        <f>+'[70]VENTAS TOTALES'!$H254</f>
        <v>3437500</v>
      </c>
      <c r="I227" s="371">
        <f>'[71]VENTAS TOTALES'!$F254</f>
        <v>367</v>
      </c>
      <c r="J227" s="344">
        <f>'[71]VENTAS TOTALES'!$G254</f>
        <v>1311400</v>
      </c>
      <c r="K227" s="344">
        <f>+'[71]VENTAS TOTALES'!$H254</f>
        <v>1935300</v>
      </c>
      <c r="L227" s="371">
        <f>'[72]VENTAS TOTALES'!$F254</f>
        <v>475</v>
      </c>
      <c r="M227" s="344">
        <f>'[72]VENTAS TOTALES'!$G254</f>
        <v>1144050</v>
      </c>
      <c r="N227" s="344">
        <f>+'[72]VENTAS TOTALES'!$H254</f>
        <v>1951550</v>
      </c>
      <c r="O227" s="371">
        <f>'[73]VENTAS TOTALES'!$F254</f>
        <v>225</v>
      </c>
      <c r="P227" s="344">
        <f>'[73]VENTAS TOTALES'!$G254</f>
        <v>825000</v>
      </c>
      <c r="Q227" s="344">
        <f>+'[73]VENTAS TOTALES'!$H254</f>
        <v>1207500</v>
      </c>
      <c r="R227" s="371">
        <f>'[74]VENTAS TOTALES'!$F254</f>
        <v>0</v>
      </c>
      <c r="S227" s="344">
        <f>'[74]VENTAS TOTALES'!$G254</f>
        <v>0</v>
      </c>
      <c r="T227" s="344">
        <f>+'[74]VENTAS TOTALES'!$H254</f>
        <v>0</v>
      </c>
      <c r="U227" s="371">
        <f>'[75]VENTAS TOTALES'!$F254</f>
        <v>826</v>
      </c>
      <c r="V227" s="344">
        <f>'[75]VENTAS TOTALES'!$G254</f>
        <v>2541900</v>
      </c>
      <c r="W227" s="344">
        <f>+'[75]VENTAS TOTALES'!$H254</f>
        <v>3946100</v>
      </c>
      <c r="X227" s="371">
        <f>'[76]VENTAS TOTALES'!$F254</f>
        <v>629</v>
      </c>
      <c r="Y227" s="344">
        <f>'[76]VENTAS TOTALES'!$G254</f>
        <v>1580700</v>
      </c>
      <c r="Z227" s="344">
        <f>+'[76]VENTAS TOTALES'!$H254</f>
        <v>2650000</v>
      </c>
      <c r="AA227" s="371">
        <f>'[77]VENTAS TOTALES'!$F254</f>
        <v>735</v>
      </c>
      <c r="AB227" s="344">
        <f>'[77]VENTAS TOTALES'!$G254</f>
        <v>1323100</v>
      </c>
      <c r="AC227" s="344">
        <f>+'[77]VENTAS TOTALES'!$H254</f>
        <v>2572600</v>
      </c>
      <c r="AD227" s="371">
        <f>'[78]VENTAS TOTALES'!$F254</f>
        <v>491</v>
      </c>
      <c r="AE227" s="344">
        <f>'[78]VENTAS TOTALES'!$G254</f>
        <v>1492900</v>
      </c>
      <c r="AF227" s="344">
        <f>+'[78]VENTAS TOTALES'!$H254</f>
        <v>2327600</v>
      </c>
      <c r="AG227" s="371">
        <f>'[79]VENTAS TOTALES'!$F254</f>
        <v>518</v>
      </c>
      <c r="AH227" s="344">
        <f>'[79]VENTAS TOTALES'!$G254</f>
        <v>1020900</v>
      </c>
      <c r="AI227" s="344">
        <f>+'[79]VENTAS TOTALES'!$H254</f>
        <v>1901500</v>
      </c>
      <c r="AJ227" s="371">
        <f>'[80]VENTAS TOTALES'!$F254</f>
        <v>243</v>
      </c>
      <c r="AK227" s="344">
        <f>'[80]VENTAS TOTALES'!$G254</f>
        <v>830600</v>
      </c>
      <c r="AL227" s="344">
        <f>+'[80]VENTAS TOTALES'!$H254</f>
        <v>1243700</v>
      </c>
      <c r="AM227" s="371">
        <f>'[81]VENTAS TOTALES'!$F254</f>
        <v>0</v>
      </c>
      <c r="AN227" s="344">
        <f>'[81]VENTAS TOTALES'!$G254</f>
        <v>0</v>
      </c>
      <c r="AO227" s="344">
        <f>+'[81]VENTAS TOTALES'!$H254</f>
        <v>0</v>
      </c>
      <c r="AP227" s="371">
        <f>'[82]VENTAS TOTALES'!$F254</f>
        <v>828</v>
      </c>
      <c r="AQ227" s="344">
        <f>'[82]VENTAS TOTALES'!$G254</f>
        <v>2293600</v>
      </c>
      <c r="AR227" s="344">
        <f>+'[82]VENTAS TOTALES'!$H254</f>
        <v>3701200</v>
      </c>
      <c r="AS227" s="371">
        <f>'[83]VENTAS TOTALES'!$F254</f>
        <v>775</v>
      </c>
      <c r="AT227" s="344">
        <f>'[83]VENTAS TOTALES'!$G254</f>
        <v>2161300</v>
      </c>
      <c r="AU227" s="344">
        <f>+'[83]VENTAS TOTALES'!$H254</f>
        <v>3478800</v>
      </c>
      <c r="AV227" s="371">
        <f>'[84]VENTAS TOTALES'!$F254</f>
        <v>657</v>
      </c>
      <c r="AW227" s="344">
        <f>'[84]VENTAS TOTALES'!$G254</f>
        <v>2399700</v>
      </c>
      <c r="AX227" s="344">
        <f>+'[84]VENTAS TOTALES'!$H254</f>
        <v>3516600</v>
      </c>
      <c r="AY227" s="371">
        <f>'[85]VENTAS TOTALES'!$F254</f>
        <v>529</v>
      </c>
      <c r="AZ227" s="344">
        <f>'[85]VENTAS TOTALES'!$G254</f>
        <v>1430800</v>
      </c>
      <c r="BA227" s="344">
        <f>+'[85]VENTAS TOTALES'!$H254</f>
        <v>2330100</v>
      </c>
      <c r="BB227" s="371">
        <f>'[86]VENTAS TOTALES'!$F254</f>
        <v>573</v>
      </c>
      <c r="BC227" s="344">
        <f>'[86]VENTAS TOTALES'!$G254</f>
        <v>1080200</v>
      </c>
      <c r="BD227" s="344">
        <f>+'[86]VENTAS TOTALES'!$H254</f>
        <v>2054300</v>
      </c>
      <c r="BE227" s="371">
        <f>'[87]VENTAS TOTALES'!$F254</f>
        <v>133</v>
      </c>
      <c r="BF227" s="344">
        <f>'[87]VENTAS TOTALES'!$G254</f>
        <v>679300</v>
      </c>
      <c r="BG227" s="344">
        <f>+'[87]VENTAS TOTALES'!$H254</f>
        <v>905400</v>
      </c>
      <c r="BH227" s="371">
        <f>'[88]VENTAS TOTALES'!$F254</f>
        <v>0</v>
      </c>
      <c r="BI227" s="344">
        <f>'[88]VENTAS TOTALES'!$G254</f>
        <v>0</v>
      </c>
      <c r="BJ227" s="344">
        <f>+'[88]VENTAS TOTALES'!$H254</f>
        <v>0</v>
      </c>
      <c r="BK227" s="371">
        <f>'[89]VENTAS TOTALES'!$F254</f>
        <v>962</v>
      </c>
      <c r="BL227" s="344">
        <f>'[89]VENTAS TOTALES'!$G254</f>
        <v>2720900</v>
      </c>
      <c r="BM227" s="344">
        <f>+'[89]VENTAS TOTALES'!$H254</f>
        <v>4356300</v>
      </c>
      <c r="BN227" s="371">
        <f>'[90]VENTAS TOTALES'!$F254</f>
        <v>495</v>
      </c>
      <c r="BO227" s="344">
        <f>'[90]VENTAS TOTALES'!$G254</f>
        <v>1614000</v>
      </c>
      <c r="BP227" s="344">
        <f>+'[90]VENTAS TOTALES'!$H254</f>
        <v>2455500</v>
      </c>
      <c r="BQ227" s="371">
        <f>'[91]VENTAS TOTALES'!$F254</f>
        <v>525</v>
      </c>
      <c r="BR227" s="344">
        <f>'[91]VENTAS TOTALES'!$G254</f>
        <v>1630800</v>
      </c>
      <c r="BS227" s="344">
        <f>+'[91]VENTAS TOTALES'!$H254</f>
        <v>2523300</v>
      </c>
      <c r="BT227" s="371">
        <f>'[92]VENTAS TOTALES'!$F254</f>
        <v>529</v>
      </c>
      <c r="BU227" s="344">
        <f>'[92]VENTAS TOTALES'!$G254</f>
        <v>1345200</v>
      </c>
      <c r="BV227" s="344">
        <f>+'[92]VENTAS TOTALES'!$H254</f>
        <v>2244500</v>
      </c>
      <c r="BW227" s="371">
        <f>'[93]VENTAS TOTALES'!$F254</f>
        <v>291</v>
      </c>
      <c r="BX227" s="344">
        <f>'[93]VENTAS TOTALES'!$G254</f>
        <v>1387800</v>
      </c>
      <c r="BY227" s="344">
        <f>+'[93]VENTAS TOTALES'!$H254</f>
        <v>1882500</v>
      </c>
      <c r="BZ227" s="371">
        <f>'[94]VENTAS TOTALES'!$F254</f>
        <v>322</v>
      </c>
      <c r="CA227" s="344">
        <f>'[94]VENTAS TOTALES'!$G254</f>
        <v>540300</v>
      </c>
      <c r="CB227" s="344">
        <f>+'[94]VENTAS TOTALES'!$H254</f>
        <v>1087700</v>
      </c>
      <c r="CC227" s="371">
        <f>'[95]VENTAS TOTALES'!$F254</f>
        <v>0</v>
      </c>
      <c r="CD227" s="344">
        <f>'[95]VENTAS TOTALES'!$G254</f>
        <v>0</v>
      </c>
      <c r="CE227" s="344">
        <f>+'[95]VENTAS TOTALES'!$H254</f>
        <v>0</v>
      </c>
      <c r="CF227" s="371">
        <f>'[96]VENTAS TOTALES'!$F254</f>
        <v>836</v>
      </c>
      <c r="CG227" s="344">
        <f>'[96]VENTAS TOTALES'!$G254</f>
        <v>2596100</v>
      </c>
      <c r="CH227" s="344">
        <f>+'[96]VENTAS TOTALES'!$H254</f>
        <v>4017300</v>
      </c>
      <c r="CI227" s="371">
        <f>'[97]VENTAS TOTALES'!$F254</f>
        <v>1006</v>
      </c>
      <c r="CJ227" s="344">
        <f>'[97]VENTAS TOTALES'!$G254</f>
        <v>2277400</v>
      </c>
      <c r="CK227" s="344">
        <f>+'[97]VENTAS TOTALES'!$H254</f>
        <v>3987600</v>
      </c>
      <c r="CL227" s="371">
        <f>'[98]VENTAS TOTALES'!$F254</f>
        <v>1005</v>
      </c>
      <c r="CM227" s="344">
        <f>'[98]VENTAS TOTALES'!$G254</f>
        <v>1806200</v>
      </c>
      <c r="CN227" s="344">
        <f>+'[98]VENTAS TOTALES'!$H254</f>
        <v>3514700</v>
      </c>
      <c r="CO227" s="371">
        <f>'[99]VENTAS TOTALES'!$F254</f>
        <v>633</v>
      </c>
      <c r="CP227" s="344">
        <f>'[99]VENTAS TOTALES'!$G254</f>
        <v>1413400</v>
      </c>
      <c r="CQ227" s="344">
        <f>+'[99]VENTAS TOTALES'!$H254</f>
        <v>2489500</v>
      </c>
      <c r="CR227" s="371">
        <f>'[100]VENTAS TOTALES'!$F254</f>
        <v>713</v>
      </c>
      <c r="CS227" s="344">
        <f>'[100]VENTAS TOTALES'!$G254</f>
        <v>1133200</v>
      </c>
      <c r="CT227" s="344">
        <f>+'[100]VENTAS TOTALES'!$H254</f>
        <v>2345300</v>
      </c>
      <c r="CU227" s="371">
        <f>'[101]VENTAS TOTALES'!$F254</f>
        <v>326</v>
      </c>
      <c r="CV227" s="344">
        <f>'[101]VENTAS TOTALES'!$G254</f>
        <v>522900</v>
      </c>
      <c r="CW227" s="344">
        <f>+'[101]VENTAS TOTALES'!$H254</f>
        <v>1077100</v>
      </c>
      <c r="CX227" s="371">
        <f>'[102]VENTAS TOTALES'!$F254</f>
        <v>0</v>
      </c>
      <c r="CY227" s="344">
        <f>'[102]VENTAS TOTALES'!$G254</f>
        <v>0</v>
      </c>
      <c r="CZ227" s="344">
        <f>+'[102]VENTAS TOTALES'!$H254</f>
        <v>0</v>
      </c>
    </row>
    <row r="228" spans="1:104" s="8" customFormat="1" ht="14.25" customHeight="1" thickBot="1" x14ac:dyDescent="0.25">
      <c r="A228" s="452"/>
      <c r="B228" s="345" t="s">
        <v>452</v>
      </c>
      <c r="C228" s="371">
        <f>'[69]VENTAS TOTALES'!$F255</f>
        <v>540</v>
      </c>
      <c r="D228" s="344">
        <f>'[69]VENTAS TOTALES'!$G255</f>
        <v>1618000</v>
      </c>
      <c r="E228" s="344">
        <f>+'[69]VENTAS TOTALES'!$H255</f>
        <v>2536000</v>
      </c>
      <c r="F228" s="371">
        <f>'[70]VENTAS TOTALES'!$F255</f>
        <v>431</v>
      </c>
      <c r="G228" s="344">
        <f>'[70]VENTAS TOTALES'!$G255</f>
        <v>1450600</v>
      </c>
      <c r="H228" s="344">
        <f>+'[70]VENTAS TOTALES'!$H255</f>
        <v>2183300</v>
      </c>
      <c r="I228" s="371">
        <f>'[71]VENTAS TOTALES'!$F255</f>
        <v>273</v>
      </c>
      <c r="J228" s="344">
        <f>'[71]VENTAS TOTALES'!$G255</f>
        <v>991700</v>
      </c>
      <c r="K228" s="344">
        <f>+'[71]VENTAS TOTALES'!$H255</f>
        <v>1455800</v>
      </c>
      <c r="L228" s="371">
        <f>'[72]VENTAS TOTALES'!$F255</f>
        <v>343</v>
      </c>
      <c r="M228" s="344">
        <f>'[72]VENTAS TOTALES'!$G255</f>
        <v>593300</v>
      </c>
      <c r="N228" s="344">
        <f>+'[72]VENTAS TOTALES'!$H255</f>
        <v>1176400</v>
      </c>
      <c r="O228" s="371">
        <f>'[73]VENTAS TOTALES'!$F255</f>
        <v>107</v>
      </c>
      <c r="P228" s="344">
        <f>'[73]VENTAS TOTALES'!$G255</f>
        <v>442300</v>
      </c>
      <c r="Q228" s="344">
        <f>+'[73]VENTAS TOTALES'!$H255</f>
        <v>624200</v>
      </c>
      <c r="R228" s="371">
        <f>'[74]VENTAS TOTALES'!$F255</f>
        <v>0</v>
      </c>
      <c r="S228" s="344">
        <f>'[74]VENTAS TOTALES'!$G255</f>
        <v>0</v>
      </c>
      <c r="T228" s="344">
        <f>+'[74]VENTAS TOTALES'!$H255</f>
        <v>0</v>
      </c>
      <c r="U228" s="371">
        <f>'[75]VENTAS TOTALES'!$F255</f>
        <v>265</v>
      </c>
      <c r="V228" s="344">
        <f>'[75]VENTAS TOTALES'!$G255</f>
        <v>1097600</v>
      </c>
      <c r="W228" s="344">
        <f>+'[75]VENTAS TOTALES'!$H255</f>
        <v>1548100</v>
      </c>
      <c r="X228" s="371">
        <f>'[76]VENTAS TOTALES'!$F255</f>
        <v>360</v>
      </c>
      <c r="Y228" s="344">
        <f>'[76]VENTAS TOTALES'!$G255</f>
        <v>771400</v>
      </c>
      <c r="Z228" s="344">
        <f>+'[76]VENTAS TOTALES'!$H255</f>
        <v>1383400</v>
      </c>
      <c r="AA228" s="371">
        <f>'[77]VENTAS TOTALES'!$F255</f>
        <v>345</v>
      </c>
      <c r="AB228" s="344">
        <f>'[77]VENTAS TOTALES'!$G255</f>
        <v>959000</v>
      </c>
      <c r="AC228" s="344">
        <f>+'[77]VENTAS TOTALES'!$H255</f>
        <v>1545500</v>
      </c>
      <c r="AD228" s="371">
        <f>'[78]VENTAS TOTALES'!$F255</f>
        <v>236</v>
      </c>
      <c r="AE228" s="344">
        <f>'[78]VENTAS TOTALES'!$G255</f>
        <v>551500</v>
      </c>
      <c r="AF228" s="344">
        <f>+'[78]VENTAS TOTALES'!$H255</f>
        <v>952700</v>
      </c>
      <c r="AG228" s="371">
        <f>'[79]VENTAS TOTALES'!$F255</f>
        <v>299</v>
      </c>
      <c r="AH228" s="344">
        <f>'[79]VENTAS TOTALES'!$G255</f>
        <v>578300</v>
      </c>
      <c r="AI228" s="344">
        <f>+'[79]VENTAS TOTALES'!$H255</f>
        <v>1086600</v>
      </c>
      <c r="AJ228" s="371">
        <f>'[80]VENTAS TOTALES'!$F255</f>
        <v>17</v>
      </c>
      <c r="AK228" s="344">
        <f>'[80]VENTAS TOTALES'!$G255</f>
        <v>160300</v>
      </c>
      <c r="AL228" s="344">
        <f>+'[80]VENTAS TOTALES'!$H255</f>
        <v>189200</v>
      </c>
      <c r="AM228" s="371">
        <f>'[81]VENTAS TOTALES'!$F255</f>
        <v>0</v>
      </c>
      <c r="AN228" s="344">
        <f>'[81]VENTAS TOTALES'!$G255</f>
        <v>0</v>
      </c>
      <c r="AO228" s="344">
        <f>+'[81]VENTAS TOTALES'!$H255</f>
        <v>0</v>
      </c>
      <c r="AP228" s="371">
        <f>'[82]VENTAS TOTALES'!$F255</f>
        <v>399</v>
      </c>
      <c r="AQ228" s="344">
        <f>'[82]VENTAS TOTALES'!$G255</f>
        <v>1248000</v>
      </c>
      <c r="AR228" s="344">
        <f>+'[82]VENTAS TOTALES'!$H255</f>
        <v>1926300</v>
      </c>
      <c r="AS228" s="371">
        <f>'[83]VENTAS TOTALES'!$F255</f>
        <v>390</v>
      </c>
      <c r="AT228" s="344">
        <f>'[83]VENTAS TOTALES'!$G255</f>
        <v>965800</v>
      </c>
      <c r="AU228" s="344">
        <f>+'[83]VENTAS TOTALES'!$H255</f>
        <v>1628800</v>
      </c>
      <c r="AV228" s="371">
        <f>'[84]VENTAS TOTALES'!$F255</f>
        <v>197</v>
      </c>
      <c r="AW228" s="344">
        <f>'[84]VENTAS TOTALES'!$G255</f>
        <v>921900</v>
      </c>
      <c r="AX228" s="344">
        <f>+'[84]VENTAS TOTALES'!$H255</f>
        <v>1256800</v>
      </c>
      <c r="AY228" s="371">
        <f>'[85]VENTAS TOTALES'!$F255</f>
        <v>218</v>
      </c>
      <c r="AZ228" s="344">
        <f>'[85]VENTAS TOTALES'!$G255</f>
        <v>707250</v>
      </c>
      <c r="BA228" s="344">
        <f>+'[85]VENTAS TOTALES'!$H255</f>
        <v>1077850</v>
      </c>
      <c r="BB228" s="371">
        <f>'[86]VENTAS TOTALES'!$F255</f>
        <v>383</v>
      </c>
      <c r="BC228" s="344">
        <f>'[86]VENTAS TOTALES'!$G255</f>
        <v>442150</v>
      </c>
      <c r="BD228" s="344">
        <f>+'[86]VENTAS TOTALES'!$H255</f>
        <v>1093250</v>
      </c>
      <c r="BE228" s="371">
        <f>'[87]VENTAS TOTALES'!$F255</f>
        <v>97</v>
      </c>
      <c r="BF228" s="344">
        <f>'[87]VENTAS TOTALES'!$G255</f>
        <v>189400</v>
      </c>
      <c r="BG228" s="344">
        <f>+'[87]VENTAS TOTALES'!$H255</f>
        <v>354300</v>
      </c>
      <c r="BH228" s="371">
        <f>'[88]VENTAS TOTALES'!$F255</f>
        <v>0</v>
      </c>
      <c r="BI228" s="344">
        <f>'[88]VENTAS TOTALES'!$G255</f>
        <v>0</v>
      </c>
      <c r="BJ228" s="344">
        <f>+'[88]VENTAS TOTALES'!$H255</f>
        <v>0</v>
      </c>
      <c r="BK228" s="371">
        <f>'[89]VENTAS TOTALES'!$F255</f>
        <v>409</v>
      </c>
      <c r="BL228" s="344">
        <f>'[89]VENTAS TOTALES'!$G255</f>
        <v>1182900</v>
      </c>
      <c r="BM228" s="344">
        <f>+'[89]VENTAS TOTALES'!$H255</f>
        <v>1878200</v>
      </c>
      <c r="BN228" s="371">
        <f>'[90]VENTAS TOTALES'!$F255</f>
        <v>292</v>
      </c>
      <c r="BO228" s="344">
        <f>'[90]VENTAS TOTALES'!$G255</f>
        <v>1055300</v>
      </c>
      <c r="BP228" s="344">
        <f>+'[90]VENTAS TOTALES'!$H255</f>
        <v>1551700</v>
      </c>
      <c r="BQ228" s="371">
        <f>'[91]VENTAS TOTALES'!$F255</f>
        <v>330</v>
      </c>
      <c r="BR228" s="344">
        <f>'[91]VENTAS TOTALES'!$G255</f>
        <v>968600</v>
      </c>
      <c r="BS228" s="344">
        <f>+'[91]VENTAS TOTALES'!$H255</f>
        <v>1529600</v>
      </c>
      <c r="BT228" s="371">
        <f>'[92]VENTAS TOTALES'!$F255</f>
        <v>502</v>
      </c>
      <c r="BU228" s="344">
        <f>'[92]VENTAS TOTALES'!$G255</f>
        <v>839750</v>
      </c>
      <c r="BV228" s="344">
        <f>+'[92]VENTAS TOTALES'!$H255</f>
        <v>1693150</v>
      </c>
      <c r="BW228" s="371">
        <f>'[93]VENTAS TOTALES'!$F255</f>
        <v>315</v>
      </c>
      <c r="BX228" s="344">
        <f>'[93]VENTAS TOTALES'!$G255</f>
        <v>720800</v>
      </c>
      <c r="BY228" s="344">
        <f>+'[93]VENTAS TOTALES'!$H255</f>
        <v>1256300</v>
      </c>
      <c r="BZ228" s="371">
        <f>'[94]VENTAS TOTALES'!$F255</f>
        <v>46</v>
      </c>
      <c r="CA228" s="344">
        <f>'[94]VENTAS TOTALES'!$G255</f>
        <v>280500</v>
      </c>
      <c r="CB228" s="344">
        <f>+'[94]VENTAS TOTALES'!$H255</f>
        <v>358700</v>
      </c>
      <c r="CC228" s="371">
        <f>'[95]VENTAS TOTALES'!$F255</f>
        <v>0</v>
      </c>
      <c r="CD228" s="344">
        <f>'[95]VENTAS TOTALES'!$G255</f>
        <v>0</v>
      </c>
      <c r="CE228" s="344">
        <f>+'[95]VENTAS TOTALES'!$H255</f>
        <v>0</v>
      </c>
      <c r="CF228" s="371">
        <f>'[96]VENTAS TOTALES'!$F255</f>
        <v>433</v>
      </c>
      <c r="CG228" s="344">
        <f>'[96]VENTAS TOTALES'!$G255</f>
        <v>1863700</v>
      </c>
      <c r="CH228" s="344">
        <f>+'[96]VENTAS TOTALES'!$H255</f>
        <v>2599800</v>
      </c>
      <c r="CI228" s="371">
        <f>'[97]VENTAS TOTALES'!$F255</f>
        <v>553</v>
      </c>
      <c r="CJ228" s="344">
        <f>'[97]VENTAS TOTALES'!$G255</f>
        <v>1797300</v>
      </c>
      <c r="CK228" s="344">
        <f>+'[97]VENTAS TOTALES'!$H255</f>
        <v>2737400</v>
      </c>
      <c r="CL228" s="371">
        <f>'[98]VENTAS TOTALES'!$F255</f>
        <v>538</v>
      </c>
      <c r="CM228" s="344">
        <f>'[98]VENTAS TOTALES'!$G255</f>
        <v>1315600</v>
      </c>
      <c r="CN228" s="344">
        <f>+'[98]VENTAS TOTALES'!$H255</f>
        <v>2230200</v>
      </c>
      <c r="CO228" s="371">
        <f>'[99]VENTAS TOTALES'!$F255</f>
        <v>419</v>
      </c>
      <c r="CP228" s="344">
        <f>'[99]VENTAS TOTALES'!$G255</f>
        <v>1037800</v>
      </c>
      <c r="CQ228" s="344">
        <f>+'[99]VENTAS TOTALES'!$H255</f>
        <v>1750100</v>
      </c>
      <c r="CR228" s="371">
        <f>'[100]VENTAS TOTALES'!$F255</f>
        <v>382</v>
      </c>
      <c r="CS228" s="344">
        <f>'[100]VENTAS TOTALES'!$G255</f>
        <v>721600</v>
      </c>
      <c r="CT228" s="344">
        <f>+'[100]VENTAS TOTALES'!$H255</f>
        <v>1371000</v>
      </c>
      <c r="CU228" s="371">
        <f>'[101]VENTAS TOTALES'!$F255</f>
        <v>52</v>
      </c>
      <c r="CV228" s="344">
        <f>'[101]VENTAS TOTALES'!$G255</f>
        <v>271100</v>
      </c>
      <c r="CW228" s="344">
        <f>+'[101]VENTAS TOTALES'!$H255</f>
        <v>359500</v>
      </c>
      <c r="CX228" s="371">
        <f>'[102]VENTAS TOTALES'!$F255</f>
        <v>0</v>
      </c>
      <c r="CY228" s="344">
        <f>'[102]VENTAS TOTALES'!$G255</f>
        <v>0</v>
      </c>
      <c r="CZ228" s="344">
        <f>+'[102]VENTAS TOTALES'!$H255</f>
        <v>0</v>
      </c>
    </row>
    <row r="229" spans="1:104" s="8" customFormat="1" ht="14.25" customHeight="1" thickBot="1" x14ac:dyDescent="0.25">
      <c r="A229" s="452"/>
      <c r="B229" s="345" t="s">
        <v>453</v>
      </c>
      <c r="C229" s="371">
        <f>'[69]VENTAS TOTALES'!$F256</f>
        <v>531</v>
      </c>
      <c r="D229" s="344">
        <f>'[69]VENTAS TOTALES'!$G256</f>
        <v>4121900</v>
      </c>
      <c r="E229" s="344">
        <f>+'[69]VENTAS TOTALES'!$H256</f>
        <v>5024600</v>
      </c>
      <c r="F229" s="371">
        <f>'[70]VENTAS TOTALES'!$F256</f>
        <v>373</v>
      </c>
      <c r="G229" s="344">
        <f>'[70]VENTAS TOTALES'!$G256</f>
        <v>3458050</v>
      </c>
      <c r="H229" s="344">
        <f>+'[70]VENTAS TOTALES'!$H256</f>
        <v>4092150</v>
      </c>
      <c r="I229" s="371">
        <f>'[71]VENTAS TOTALES'!$F256</f>
        <v>479</v>
      </c>
      <c r="J229" s="344">
        <f>'[71]VENTAS TOTALES'!$G256</f>
        <v>1943800</v>
      </c>
      <c r="K229" s="344">
        <f>+'[71]VENTAS TOTALES'!$H256</f>
        <v>2758100</v>
      </c>
      <c r="L229" s="371">
        <f>'[72]VENTAS TOTALES'!$F256</f>
        <v>447</v>
      </c>
      <c r="M229" s="344">
        <f>'[72]VENTAS TOTALES'!$G256</f>
        <v>2281200</v>
      </c>
      <c r="N229" s="344">
        <f>+'[72]VENTAS TOTALES'!$H256</f>
        <v>3041100</v>
      </c>
      <c r="O229" s="371">
        <f>'[73]VENTAS TOTALES'!$F256</f>
        <v>323</v>
      </c>
      <c r="P229" s="344">
        <f>'[73]VENTAS TOTALES'!$G256</f>
        <v>915950</v>
      </c>
      <c r="Q229" s="344">
        <f>+'[73]VENTAS TOTALES'!$H256</f>
        <v>1465050</v>
      </c>
      <c r="R229" s="371">
        <f>'[74]VENTAS TOTALES'!$F256</f>
        <v>0</v>
      </c>
      <c r="S229" s="344">
        <f>'[74]VENTAS TOTALES'!$G256</f>
        <v>0</v>
      </c>
      <c r="T229" s="344">
        <f>+'[74]VENTAS TOTALES'!$H256</f>
        <v>0</v>
      </c>
      <c r="U229" s="371">
        <f>'[75]VENTAS TOTALES'!$F256</f>
        <v>421</v>
      </c>
      <c r="V229" s="344">
        <f>'[75]VENTAS TOTALES'!$G256</f>
        <v>4514200</v>
      </c>
      <c r="W229" s="344">
        <f>+'[75]VENTAS TOTALES'!$H256</f>
        <v>5229900</v>
      </c>
      <c r="X229" s="371">
        <f>'[76]VENTAS TOTALES'!$F256</f>
        <v>146</v>
      </c>
      <c r="Y229" s="344">
        <f>'[76]VENTAS TOTALES'!$G256</f>
        <v>2519450</v>
      </c>
      <c r="Z229" s="344">
        <f>+'[76]VENTAS TOTALES'!$H256</f>
        <v>2767650</v>
      </c>
      <c r="AA229" s="371">
        <f>'[77]VENTAS TOTALES'!$F256</f>
        <v>207</v>
      </c>
      <c r="AB229" s="344">
        <f>'[77]VENTAS TOTALES'!$G256</f>
        <v>2806350</v>
      </c>
      <c r="AC229" s="344">
        <f>+'[77]VENTAS TOTALES'!$H256</f>
        <v>3158250</v>
      </c>
      <c r="AD229" s="371">
        <f>'[78]VENTAS TOTALES'!$F256</f>
        <v>183</v>
      </c>
      <c r="AE229" s="344">
        <f>'[78]VENTAS TOTALES'!$G256</f>
        <v>1904100</v>
      </c>
      <c r="AF229" s="344">
        <f>+'[78]VENTAS TOTALES'!$H256</f>
        <v>2215200</v>
      </c>
      <c r="AG229" s="371">
        <f>'[79]VENTAS TOTALES'!$F256</f>
        <v>249</v>
      </c>
      <c r="AH229" s="344">
        <f>'[79]VENTAS TOTALES'!$G256</f>
        <v>2071500</v>
      </c>
      <c r="AI229" s="344">
        <f>+'[79]VENTAS TOTALES'!$H256</f>
        <v>2494800</v>
      </c>
      <c r="AJ229" s="371">
        <f>'[80]VENTAS TOTALES'!$F256</f>
        <v>136</v>
      </c>
      <c r="AK229" s="344">
        <f>'[80]VENTAS TOTALES'!$G256</f>
        <v>636700</v>
      </c>
      <c r="AL229" s="344">
        <f>+'[80]VENTAS TOTALES'!$H256</f>
        <v>867900</v>
      </c>
      <c r="AM229" s="371">
        <f>'[81]VENTAS TOTALES'!$F256</f>
        <v>0</v>
      </c>
      <c r="AN229" s="344">
        <f>'[81]VENTAS TOTALES'!$G256</f>
        <v>0</v>
      </c>
      <c r="AO229" s="344">
        <f>+'[81]VENTAS TOTALES'!$H256</f>
        <v>0</v>
      </c>
      <c r="AP229" s="371">
        <f>'[82]VENTAS TOTALES'!$F256</f>
        <v>389</v>
      </c>
      <c r="AQ229" s="344">
        <f>'[82]VENTAS TOTALES'!$G256</f>
        <v>3504200</v>
      </c>
      <c r="AR229" s="344">
        <f>+'[82]VENTAS TOTALES'!$H256</f>
        <v>4165500</v>
      </c>
      <c r="AS229" s="371">
        <f>'[83]VENTAS TOTALES'!$F256</f>
        <v>600</v>
      </c>
      <c r="AT229" s="344">
        <f>'[83]VENTAS TOTALES'!$G256</f>
        <v>2327600</v>
      </c>
      <c r="AU229" s="344">
        <f>+'[83]VENTAS TOTALES'!$H256</f>
        <v>3347600</v>
      </c>
      <c r="AV229" s="371">
        <f>'[84]VENTAS TOTALES'!$F256</f>
        <v>511</v>
      </c>
      <c r="AW229" s="344">
        <f>'[84]VENTAS TOTALES'!$G256</f>
        <v>2050400</v>
      </c>
      <c r="AX229" s="344">
        <f>+'[84]VENTAS TOTALES'!$H256</f>
        <v>2919100</v>
      </c>
      <c r="AY229" s="371">
        <f>'[85]VENTAS TOTALES'!$F256</f>
        <v>13</v>
      </c>
      <c r="AZ229" s="344">
        <f>'[85]VENTAS TOTALES'!$G256</f>
        <v>1261400</v>
      </c>
      <c r="BA229" s="344">
        <f>+'[85]VENTAS TOTALES'!$H256</f>
        <v>1283500</v>
      </c>
      <c r="BB229" s="371">
        <f>'[86]VENTAS TOTALES'!$F256</f>
        <v>527</v>
      </c>
      <c r="BC229" s="344">
        <f>'[86]VENTAS TOTALES'!$G256</f>
        <v>345900</v>
      </c>
      <c r="BD229" s="344">
        <f>+'[86]VENTAS TOTALES'!$H256</f>
        <v>1241800</v>
      </c>
      <c r="BE229" s="371">
        <f>'[87]VENTAS TOTALES'!$F256</f>
        <v>424</v>
      </c>
      <c r="BF229" s="344">
        <f>'[87]VENTAS TOTALES'!$G256</f>
        <v>477500</v>
      </c>
      <c r="BG229" s="344">
        <f>+'[87]VENTAS TOTALES'!$H256</f>
        <v>1198300</v>
      </c>
      <c r="BH229" s="371">
        <f>'[88]VENTAS TOTALES'!$F256</f>
        <v>0</v>
      </c>
      <c r="BI229" s="344">
        <f>'[88]VENTAS TOTALES'!$G256</f>
        <v>0</v>
      </c>
      <c r="BJ229" s="344">
        <f>+'[88]VENTAS TOTALES'!$H256</f>
        <v>0</v>
      </c>
      <c r="BK229" s="371">
        <f>'[89]VENTAS TOTALES'!$F256</f>
        <v>298</v>
      </c>
      <c r="BL229" s="344">
        <f>'[89]VENTAS TOTALES'!$G256</f>
        <v>3625000</v>
      </c>
      <c r="BM229" s="344">
        <f>+'[89]VENTAS TOTALES'!$H256</f>
        <v>4131600</v>
      </c>
      <c r="BN229" s="371">
        <f>'[90]VENTAS TOTALES'!$F256</f>
        <v>622</v>
      </c>
      <c r="BO229" s="344">
        <f>'[90]VENTAS TOTALES'!$G256</f>
        <v>2289500</v>
      </c>
      <c r="BP229" s="344">
        <f>+'[90]VENTAS TOTALES'!$H256</f>
        <v>3346900</v>
      </c>
      <c r="BQ229" s="371">
        <f>'[91]VENTAS TOTALES'!$F256</f>
        <v>562</v>
      </c>
      <c r="BR229" s="344">
        <f>'[91]VENTAS TOTALES'!$G256</f>
        <v>1786750</v>
      </c>
      <c r="BS229" s="344">
        <f>+'[91]VENTAS TOTALES'!$H256</f>
        <v>2742150</v>
      </c>
      <c r="BT229" s="371">
        <f>'[92]VENTAS TOTALES'!$F256</f>
        <v>694</v>
      </c>
      <c r="BU229" s="344">
        <f>'[92]VENTAS TOTALES'!$G256</f>
        <v>1756200</v>
      </c>
      <c r="BV229" s="344">
        <f>+'[92]VENTAS TOTALES'!$H256</f>
        <v>2936000</v>
      </c>
      <c r="BW229" s="371">
        <f>'[93]VENTAS TOTALES'!$F256</f>
        <v>389</v>
      </c>
      <c r="BX229" s="344">
        <f>'[93]VENTAS TOTALES'!$G256</f>
        <v>2848800</v>
      </c>
      <c r="BY229" s="344">
        <f>+'[93]VENTAS TOTALES'!$H256</f>
        <v>3510100</v>
      </c>
      <c r="BZ229" s="371">
        <f>'[94]VENTAS TOTALES'!$F256</f>
        <v>321</v>
      </c>
      <c r="CA229" s="344">
        <f>'[94]VENTAS TOTALES'!$G256</f>
        <v>1101200</v>
      </c>
      <c r="CB229" s="344">
        <f>+'[94]VENTAS TOTALES'!$H256</f>
        <v>1646900</v>
      </c>
      <c r="CC229" s="371">
        <f>'[95]VENTAS TOTALES'!$F256</f>
        <v>0</v>
      </c>
      <c r="CD229" s="344">
        <f>'[95]VENTAS TOTALES'!$G256</f>
        <v>0</v>
      </c>
      <c r="CE229" s="344">
        <f>+'[95]VENTAS TOTALES'!$H256</f>
        <v>0</v>
      </c>
      <c r="CF229" s="371">
        <f>'[96]VENTAS TOTALES'!$F256</f>
        <v>312</v>
      </c>
      <c r="CG229" s="344">
        <f>'[96]VENTAS TOTALES'!$G256</f>
        <v>4564600</v>
      </c>
      <c r="CH229" s="344">
        <f>+'[96]VENTAS TOTALES'!$H256</f>
        <v>5095000</v>
      </c>
      <c r="CI229" s="371">
        <f>'[97]VENTAS TOTALES'!$F256</f>
        <v>343</v>
      </c>
      <c r="CJ229" s="344">
        <f>'[97]VENTAS TOTALES'!$G256</f>
        <v>4209800</v>
      </c>
      <c r="CK229" s="344">
        <f>+'[97]VENTAS TOTALES'!$H256</f>
        <v>4792900</v>
      </c>
      <c r="CL229" s="371">
        <f>'[98]VENTAS TOTALES'!$F256</f>
        <v>626</v>
      </c>
      <c r="CM229" s="344">
        <f>'[98]VENTAS TOTALES'!$G256</f>
        <v>2765400</v>
      </c>
      <c r="CN229" s="344">
        <f>+'[98]VENTAS TOTALES'!$H256</f>
        <v>3829600</v>
      </c>
      <c r="CO229" s="371">
        <f>'[99]VENTAS TOTALES'!$F256</f>
        <v>426</v>
      </c>
      <c r="CP229" s="344">
        <f>'[99]VENTAS TOTALES'!$G256</f>
        <v>2723700</v>
      </c>
      <c r="CQ229" s="344">
        <f>+'[99]VENTAS TOTALES'!$H256</f>
        <v>3447900</v>
      </c>
      <c r="CR229" s="371">
        <f>'[100]VENTAS TOTALES'!$F256</f>
        <v>432</v>
      </c>
      <c r="CS229" s="344">
        <f>'[100]VENTAS TOTALES'!$G256</f>
        <v>2583100</v>
      </c>
      <c r="CT229" s="344">
        <f>+'[100]VENTAS TOTALES'!$H256</f>
        <v>3317500</v>
      </c>
      <c r="CU229" s="371">
        <f>'[101]VENTAS TOTALES'!$F256</f>
        <v>167</v>
      </c>
      <c r="CV229" s="344">
        <f>'[101]VENTAS TOTALES'!$G256</f>
        <v>1096400</v>
      </c>
      <c r="CW229" s="344">
        <f>+'[101]VENTAS TOTALES'!$H256</f>
        <v>1380300</v>
      </c>
      <c r="CX229" s="371">
        <f>'[102]VENTAS TOTALES'!$F256</f>
        <v>0</v>
      </c>
      <c r="CY229" s="344">
        <f>'[102]VENTAS TOTALES'!$G256</f>
        <v>0</v>
      </c>
      <c r="CZ229" s="344">
        <f>+'[102]VENTAS TOTALES'!$H256</f>
        <v>0</v>
      </c>
    </row>
    <row r="230" spans="1:104" s="8" customFormat="1" ht="14.25" customHeight="1" thickBot="1" x14ac:dyDescent="0.25">
      <c r="A230" s="453"/>
      <c r="B230" s="47" t="s">
        <v>454</v>
      </c>
      <c r="C230" s="371">
        <f>'[69]VENTAS TOTALES'!$F257</f>
        <v>470</v>
      </c>
      <c r="D230" s="344">
        <f>'[69]VENTAS TOTALES'!$G257</f>
        <v>1125600</v>
      </c>
      <c r="E230" s="344">
        <f>+'[69]VENTAS TOTALES'!$H257</f>
        <v>1924600</v>
      </c>
      <c r="F230" s="371">
        <f>'[70]VENTAS TOTALES'!$F257</f>
        <v>922</v>
      </c>
      <c r="G230" s="344">
        <f>'[70]VENTAS TOTALES'!$G257</f>
        <v>1104100</v>
      </c>
      <c r="H230" s="344">
        <f>+'[70]VENTAS TOTALES'!$H257</f>
        <v>2671500</v>
      </c>
      <c r="I230" s="371">
        <f>'[71]VENTAS TOTALES'!$F257</f>
        <v>551</v>
      </c>
      <c r="J230" s="344">
        <f>'[71]VENTAS TOTALES'!$G257</f>
        <v>893400</v>
      </c>
      <c r="K230" s="344">
        <f>+'[71]VENTAS TOTALES'!$H257</f>
        <v>1830100</v>
      </c>
      <c r="L230" s="371">
        <f>'[72]VENTAS TOTALES'!$F257</f>
        <v>216</v>
      </c>
      <c r="M230" s="344">
        <f>'[72]VENTAS TOTALES'!$G257</f>
        <v>418750</v>
      </c>
      <c r="N230" s="344">
        <f>+'[72]VENTAS TOTALES'!$H257</f>
        <v>785950</v>
      </c>
      <c r="O230" s="371">
        <f>'[73]VENTAS TOTALES'!$F257</f>
        <v>250</v>
      </c>
      <c r="P230" s="344">
        <f>'[73]VENTAS TOTALES'!$G257</f>
        <v>276200</v>
      </c>
      <c r="Q230" s="344">
        <f>+'[73]VENTAS TOTALES'!$H257</f>
        <v>701200</v>
      </c>
      <c r="R230" s="371">
        <f>'[74]VENTAS TOTALES'!$F257</f>
        <v>0</v>
      </c>
      <c r="S230" s="344">
        <f>'[74]VENTAS TOTALES'!$G257</f>
        <v>0</v>
      </c>
      <c r="T230" s="344">
        <f>+'[74]VENTAS TOTALES'!$H257</f>
        <v>0</v>
      </c>
      <c r="U230" s="371">
        <f>'[75]VENTAS TOTALES'!$F257</f>
        <v>740</v>
      </c>
      <c r="V230" s="344">
        <f>'[75]VENTAS TOTALES'!$G257</f>
        <v>1615300</v>
      </c>
      <c r="W230" s="344">
        <f>+'[75]VENTAS TOTALES'!$H257</f>
        <v>2873300</v>
      </c>
      <c r="X230" s="371">
        <f>'[76]VENTAS TOTALES'!$F257</f>
        <v>445</v>
      </c>
      <c r="Y230" s="344">
        <f>'[76]VENTAS TOTALES'!$G257</f>
        <v>639600</v>
      </c>
      <c r="Z230" s="344">
        <f>+'[76]VENTAS TOTALES'!$H257</f>
        <v>1396100</v>
      </c>
      <c r="AA230" s="371">
        <f>'[77]VENTAS TOTALES'!$F257</f>
        <v>691</v>
      </c>
      <c r="AB230" s="344">
        <f>'[77]VENTAS TOTALES'!$G257</f>
        <v>895500</v>
      </c>
      <c r="AC230" s="344">
        <f>+'[77]VENTAS TOTALES'!$H257</f>
        <v>2070200</v>
      </c>
      <c r="AD230" s="371">
        <f>'[78]VENTAS TOTALES'!$F257</f>
        <v>955</v>
      </c>
      <c r="AE230" s="344">
        <f>'[78]VENTAS TOTALES'!$G257</f>
        <v>1093350</v>
      </c>
      <c r="AF230" s="344">
        <f>+'[78]VENTAS TOTALES'!$H257</f>
        <v>2716850</v>
      </c>
      <c r="AG230" s="371">
        <f>'[79]VENTAS TOTALES'!$F257</f>
        <v>565</v>
      </c>
      <c r="AH230" s="344">
        <f>'[79]VENTAS TOTALES'!$G257</f>
        <v>576000</v>
      </c>
      <c r="AI230" s="344">
        <f>+'[79]VENTAS TOTALES'!$H257</f>
        <v>1536500</v>
      </c>
      <c r="AJ230" s="371">
        <f>'[80]VENTAS TOTALES'!$F257</f>
        <v>0</v>
      </c>
      <c r="AK230" s="344">
        <f>'[80]VENTAS TOTALES'!$G257</f>
        <v>0</v>
      </c>
      <c r="AL230" s="344">
        <f>+'[80]VENTAS TOTALES'!$H257</f>
        <v>0</v>
      </c>
      <c r="AM230" s="371">
        <f>'[81]VENTAS TOTALES'!$F257</f>
        <v>0</v>
      </c>
      <c r="AN230" s="344">
        <f>'[81]VENTAS TOTALES'!$G257</f>
        <v>0</v>
      </c>
      <c r="AO230" s="344">
        <f>+'[81]VENTAS TOTALES'!$H257</f>
        <v>0</v>
      </c>
      <c r="AP230" s="371">
        <f>'[82]VENTAS TOTALES'!$F257</f>
        <v>0</v>
      </c>
      <c r="AQ230" s="344">
        <f>'[82]VENTAS TOTALES'!$G257</f>
        <v>0</v>
      </c>
      <c r="AR230" s="344">
        <f>+'[82]VENTAS TOTALES'!$H257</f>
        <v>0</v>
      </c>
      <c r="AS230" s="371">
        <f>'[83]VENTAS TOTALES'!$F257</f>
        <v>386</v>
      </c>
      <c r="AT230" s="344">
        <f>'[83]VENTAS TOTALES'!$G257</f>
        <v>460300</v>
      </c>
      <c r="AU230" s="344">
        <f>+'[83]VENTAS TOTALES'!$H257</f>
        <v>1116500</v>
      </c>
      <c r="AV230" s="371">
        <f>'[84]VENTAS TOTALES'!$F257</f>
        <v>482</v>
      </c>
      <c r="AW230" s="344">
        <f>'[84]VENTAS TOTALES'!$G257</f>
        <v>986000</v>
      </c>
      <c r="AX230" s="344">
        <f>+'[84]VENTAS TOTALES'!$H257</f>
        <v>1805400</v>
      </c>
      <c r="AY230" s="371">
        <f>'[85]VENTAS TOTALES'!$F257</f>
        <v>403</v>
      </c>
      <c r="AZ230" s="344">
        <f>'[85]VENTAS TOTALES'!$G257</f>
        <v>472900</v>
      </c>
      <c r="BA230" s="344">
        <f>+'[85]VENTAS TOTALES'!$H257</f>
        <v>1158000</v>
      </c>
      <c r="BB230" s="371">
        <f>'[86]VENTAS TOTALES'!$F257</f>
        <v>619</v>
      </c>
      <c r="BC230" s="344">
        <f>'[86]VENTAS TOTALES'!$G257</f>
        <v>756400</v>
      </c>
      <c r="BD230" s="344">
        <f>+'[86]VENTAS TOTALES'!$H257</f>
        <v>1808700</v>
      </c>
      <c r="BE230" s="371">
        <f>'[87]VENTAS TOTALES'!$F257</f>
        <v>475</v>
      </c>
      <c r="BF230" s="344">
        <f>'[87]VENTAS TOTALES'!$G257</f>
        <v>442200</v>
      </c>
      <c r="BG230" s="344">
        <f>+'[87]VENTAS TOTALES'!$H257</f>
        <v>1249700</v>
      </c>
      <c r="BH230" s="371">
        <f>'[88]VENTAS TOTALES'!$F257</f>
        <v>0</v>
      </c>
      <c r="BI230" s="344">
        <f>'[88]VENTAS TOTALES'!$G257</f>
        <v>0</v>
      </c>
      <c r="BJ230" s="344">
        <f>+'[88]VENTAS TOTALES'!$H257</f>
        <v>0</v>
      </c>
      <c r="BK230" s="371">
        <f>'[89]VENTAS TOTALES'!$F257</f>
        <v>813</v>
      </c>
      <c r="BL230" s="344">
        <f>'[89]VENTAS TOTALES'!$G257</f>
        <v>1285050</v>
      </c>
      <c r="BM230" s="344">
        <f>+'[89]VENTAS TOTALES'!$H257</f>
        <v>2667150</v>
      </c>
      <c r="BN230" s="371">
        <f>'[90]VENTAS TOTALES'!$F257</f>
        <v>471</v>
      </c>
      <c r="BO230" s="344">
        <f>'[90]VENTAS TOTALES'!$G257</f>
        <v>674450</v>
      </c>
      <c r="BP230" s="344">
        <f>+'[90]VENTAS TOTALES'!$H257</f>
        <v>1475150</v>
      </c>
      <c r="BQ230" s="371">
        <f>'[91]VENTAS TOTALES'!$F257</f>
        <v>398</v>
      </c>
      <c r="BR230" s="344">
        <f>'[91]VENTAS TOTALES'!$G257</f>
        <v>668400</v>
      </c>
      <c r="BS230" s="344">
        <f>+'[91]VENTAS TOTALES'!$H257</f>
        <v>1345000</v>
      </c>
      <c r="BT230" s="371">
        <f>'[92]VENTAS TOTALES'!$F257</f>
        <v>687</v>
      </c>
      <c r="BU230" s="344">
        <f>'[92]VENTAS TOTALES'!$G257</f>
        <v>874200</v>
      </c>
      <c r="BV230" s="344">
        <f>+'[92]VENTAS TOTALES'!$H257</f>
        <v>2042100</v>
      </c>
      <c r="BW230" s="371">
        <f>'[93]VENTAS TOTALES'!$F257</f>
        <v>665</v>
      </c>
      <c r="BX230" s="344">
        <f>'[93]VENTAS TOTALES'!$G257</f>
        <v>616200</v>
      </c>
      <c r="BY230" s="344">
        <f>+'[93]VENTAS TOTALES'!$H257</f>
        <v>1746700</v>
      </c>
      <c r="BZ230" s="371">
        <f>'[94]VENTAS TOTALES'!$F257</f>
        <v>570</v>
      </c>
      <c r="CA230" s="344">
        <f>'[94]VENTAS TOTALES'!$G257</f>
        <v>365600</v>
      </c>
      <c r="CB230" s="344">
        <f>+'[94]VENTAS TOTALES'!$H257</f>
        <v>1334600</v>
      </c>
      <c r="CC230" s="371">
        <f>'[95]VENTAS TOTALES'!$F257</f>
        <v>0</v>
      </c>
      <c r="CD230" s="344">
        <f>'[95]VENTAS TOTALES'!$G257</f>
        <v>0</v>
      </c>
      <c r="CE230" s="344">
        <f>+'[95]VENTAS TOTALES'!$H257</f>
        <v>0</v>
      </c>
      <c r="CF230" s="371">
        <f>'[96]VENTAS TOTALES'!$F257</f>
        <v>1060</v>
      </c>
      <c r="CG230" s="344">
        <f>'[96]VENTAS TOTALES'!$G257</f>
        <v>1778900</v>
      </c>
      <c r="CH230" s="344">
        <f>+'[96]VENTAS TOTALES'!$H257</f>
        <v>3580900</v>
      </c>
      <c r="CI230" s="371">
        <f>'[97]VENTAS TOTALES'!$F257</f>
        <v>1042</v>
      </c>
      <c r="CJ230" s="344">
        <f>'[97]VENTAS TOTALES'!$G257</f>
        <v>1440000</v>
      </c>
      <c r="CK230" s="344">
        <f>+'[97]VENTAS TOTALES'!$H257</f>
        <v>3211400</v>
      </c>
      <c r="CL230" s="371">
        <f>'[98]VENTAS TOTALES'!$F257</f>
        <v>495</v>
      </c>
      <c r="CM230" s="344">
        <f>'[98]VENTAS TOTALES'!$G257</f>
        <v>631300</v>
      </c>
      <c r="CN230" s="344">
        <f>+'[98]VENTAS TOTALES'!$H257</f>
        <v>1472800</v>
      </c>
      <c r="CO230" s="371">
        <f>'[99]VENTAS TOTALES'!$F257</f>
        <v>242</v>
      </c>
      <c r="CP230" s="344">
        <f>'[99]VENTAS TOTALES'!$G257</f>
        <v>415200</v>
      </c>
      <c r="CQ230" s="344">
        <f>+'[99]VENTAS TOTALES'!$H257</f>
        <v>826600</v>
      </c>
      <c r="CR230" s="371">
        <f>'[100]VENTAS TOTALES'!$F257</f>
        <v>815</v>
      </c>
      <c r="CS230" s="344">
        <f>'[100]VENTAS TOTALES'!$G257</f>
        <v>808600</v>
      </c>
      <c r="CT230" s="344">
        <f>+'[100]VENTAS TOTALES'!$H257</f>
        <v>2194100</v>
      </c>
      <c r="CU230" s="371">
        <f>'[101]VENTAS TOTALES'!$F257</f>
        <v>553</v>
      </c>
      <c r="CV230" s="344">
        <f>'[101]VENTAS TOTALES'!$G257</f>
        <v>439300</v>
      </c>
      <c r="CW230" s="344">
        <f>+'[101]VENTAS TOTALES'!$H257</f>
        <v>1379400</v>
      </c>
      <c r="CX230" s="371">
        <f>'[102]VENTAS TOTALES'!$F257</f>
        <v>0</v>
      </c>
      <c r="CY230" s="344">
        <f>'[102]VENTAS TOTALES'!$G257</f>
        <v>0</v>
      </c>
      <c r="CZ230" s="344">
        <f>+'[102]VENTAS TOTALES'!$H257</f>
        <v>0</v>
      </c>
    </row>
    <row r="231" spans="1:104" s="10" customFormat="1" ht="12.75" customHeight="1" x14ac:dyDescent="0.2">
      <c r="A231" s="470" t="s">
        <v>345</v>
      </c>
      <c r="B231" s="302" t="s">
        <v>163</v>
      </c>
      <c r="C231" s="303">
        <f>SUM('[137]VENTAS TOTALES'!$D$11:$D$13)</f>
        <v>9449</v>
      </c>
      <c r="D231" s="304">
        <f>SUM('[137]VENTAS TOTALES'!$E$11:$E$13)</f>
        <v>7631950</v>
      </c>
      <c r="E231" s="305">
        <f>SUM('[137]VENTAS TOTALES'!$F$11:$F$13)</f>
        <v>23695250</v>
      </c>
      <c r="F231" s="303">
        <f>SUM('[138]VENTAS TOTALES'!$D$11:$D$13)</f>
        <v>8441</v>
      </c>
      <c r="G231" s="304">
        <f>SUM('[138]VENTAS TOTALES'!$E$11:$E$13)</f>
        <v>5679800</v>
      </c>
      <c r="H231" s="305">
        <f>SUM('[138]VENTAS TOTALES'!$F$11:$F$13)</f>
        <v>20029500</v>
      </c>
      <c r="I231" s="303">
        <f>SUM('[139]VENTAS TOTALES'!$D$11:$D$13)</f>
        <v>6813</v>
      </c>
      <c r="J231" s="304">
        <f>SUM('[139]VENTAS TOTALES'!$E$11:$E$13)</f>
        <v>3516500</v>
      </c>
      <c r="K231" s="305">
        <f>SUM('[139]VENTAS TOTALES'!$F$11:$F$13)</f>
        <v>15098600</v>
      </c>
      <c r="L231" s="303">
        <f>SUM('[140]VENTAS TOTALES'!$D$11:$D$13)</f>
        <v>6904</v>
      </c>
      <c r="M231" s="304">
        <f>SUM('[140]VENTAS TOTALES'!$E$11:$E$13)</f>
        <v>2923050</v>
      </c>
      <c r="N231" s="305">
        <f>SUM('[140]VENTAS TOTALES'!$F$11:$F$13)</f>
        <v>14659850</v>
      </c>
      <c r="O231" s="303">
        <f>SUM('[141]VENTAS TOTALES'!$D$11:$D$13)</f>
        <v>5318</v>
      </c>
      <c r="P231" s="304">
        <f>SUM('[141]VENTAS TOTALES'!$E$11:$E$13)</f>
        <v>2355800</v>
      </c>
      <c r="Q231" s="305">
        <f>SUM('[141]VENTAS TOTALES'!$F$11:$F$13)</f>
        <v>11396400</v>
      </c>
      <c r="R231" s="303">
        <f>SUM('[142]VENTAS TOTALES'!$D$11:$D$13)</f>
        <v>3311</v>
      </c>
      <c r="S231" s="304">
        <f>SUM('[142]VENTAS TOTALES'!$E$11:$E$13)</f>
        <v>1549500</v>
      </c>
      <c r="T231" s="305">
        <f>SUM('[142]VENTAS TOTALES'!$F$11:$F$13)</f>
        <v>7178200</v>
      </c>
      <c r="U231" s="303">
        <f>SUM('[143]VENTAS TOTALES'!$D$11:$D$13)</f>
        <v>10527</v>
      </c>
      <c r="V231" s="304">
        <f>SUM('[143]VENTAS TOTALES'!$E$11:$E$13)</f>
        <v>5787450</v>
      </c>
      <c r="W231" s="305">
        <f>SUM('[143]VENTAS TOTALES'!$F$11:$F$13)</f>
        <v>23683350</v>
      </c>
      <c r="X231" s="303">
        <f>SUM('[144]VENTAS TOTALES'!$D$11:$D$13)</f>
        <v>7904</v>
      </c>
      <c r="Y231" s="304">
        <f>SUM('[144]VENTAS TOTALES'!$E$11:$E$13)</f>
        <v>3924400</v>
      </c>
      <c r="Z231" s="305">
        <f>SUM('[144]VENTAS TOTALES'!$F$11:$F$13)</f>
        <v>17361200</v>
      </c>
      <c r="AA231" s="303">
        <f>SUM('[145]VENTAS TOTALES'!$D$11:$D$13)</f>
        <v>7445</v>
      </c>
      <c r="AB231" s="304">
        <f>SUM('[145]VENTAS TOTALES'!$E$11:$E$13)</f>
        <v>3282300</v>
      </c>
      <c r="AC231" s="305">
        <f>SUM('[145]VENTAS TOTALES'!$F$11:$F$13)</f>
        <v>15938800</v>
      </c>
      <c r="AD231" s="303">
        <f>SUM('[146]VENTAS TOTALES'!$D$11:$D$13)</f>
        <v>7372</v>
      </c>
      <c r="AE231" s="304">
        <f>SUM('[146]VENTAS TOTALES'!$E$11:$E$13)</f>
        <v>2669850</v>
      </c>
      <c r="AF231" s="305">
        <f>SUM('[146]VENTAS TOTALES'!$F$11:$F$13)</f>
        <v>15202250</v>
      </c>
      <c r="AG231" s="303">
        <f>SUM('[147]VENTAS TOTALES'!$D$11:$D$13)</f>
        <v>6896</v>
      </c>
      <c r="AH231" s="304">
        <f>SUM('[147]VENTAS TOTALES'!$E$11:$E$13)</f>
        <v>2945900</v>
      </c>
      <c r="AI231" s="305">
        <f>SUM('[147]VENTAS TOTALES'!$F$11:$F$13)</f>
        <v>14669100</v>
      </c>
      <c r="AJ231" s="303">
        <f>SUM('[148]VENTAS TOTALES'!$D$11:$D$13)</f>
        <v>5363</v>
      </c>
      <c r="AK231" s="304">
        <f>SUM('[148]VENTAS TOTALES'!$E$11:$E$13)</f>
        <v>1723700</v>
      </c>
      <c r="AL231" s="305">
        <f>SUM('[148]VENTAS TOTALES'!$F$11:$F$13)</f>
        <v>10840800</v>
      </c>
      <c r="AM231" s="303">
        <f>SUM('[149]VENTAS TOTALES'!$D$11:$D$13)</f>
        <v>2988</v>
      </c>
      <c r="AN231" s="304">
        <f>SUM('[149]VENTAS TOTALES'!$E$11:$E$13)</f>
        <v>1161200</v>
      </c>
      <c r="AO231" s="305">
        <f>SUM('[149]VENTAS TOTALES'!$F$11:$F$13)</f>
        <v>6240800</v>
      </c>
      <c r="AP231" s="303">
        <f>SUM('[150]VENTAS TOTALES'!$D$11:$D$13)</f>
        <v>7892</v>
      </c>
      <c r="AQ231" s="304">
        <f>SUM('[150]VENTAS TOTALES'!$E$11:$E$13)</f>
        <v>4647250</v>
      </c>
      <c r="AR231" s="305">
        <f>SUM('[150]VENTAS TOTALES'!$F$11:$F$13)</f>
        <v>18063650</v>
      </c>
      <c r="AS231" s="303">
        <f>SUM('[151]VENTAS TOTALES'!$D$11:$D$13)</f>
        <v>1215</v>
      </c>
      <c r="AT231" s="304">
        <f>SUM('[151]VENTAS TOTALES'!$E$11:$E$13)</f>
        <v>952000</v>
      </c>
      <c r="AU231" s="305">
        <f>SUM('[151]VENTAS TOTALES'!$F$11:$F$13)</f>
        <v>3017500</v>
      </c>
      <c r="AV231" s="303">
        <f>SUM('[152]VENTAS TOTALES'!$D$11:$D$13)</f>
        <v>5505</v>
      </c>
      <c r="AW231" s="304">
        <f>SUM('[152]VENTAS TOTALES'!$E$11:$E$13)</f>
        <v>4914000</v>
      </c>
      <c r="AX231" s="305">
        <f>SUM('[152]VENTAS TOTALES'!$F$11:$F$13)</f>
        <v>14272500</v>
      </c>
      <c r="AY231" s="303">
        <f>SUM('[153]VENTAS TOTALES'!$D$11:$D$13)</f>
        <v>5392</v>
      </c>
      <c r="AZ231" s="304">
        <f>SUM('[153]VENTAS TOTALES'!$E$11:$E$13)</f>
        <v>4530500</v>
      </c>
      <c r="BA231" s="305">
        <f>SUM('[153]VENTAS TOTALES'!$F$11:$F$13)</f>
        <v>13696900</v>
      </c>
      <c r="BB231" s="303">
        <f>SUM('[154]VENTAS TOTALES'!$D$11:$D$13)</f>
        <v>7302</v>
      </c>
      <c r="BC231" s="304">
        <f>SUM('[154]VENTAS TOTALES'!$E$11:$E$13)</f>
        <v>3809500</v>
      </c>
      <c r="BD231" s="305">
        <f>SUM('[154]VENTAS TOTALES'!$F$11:$F$13)</f>
        <v>16222900</v>
      </c>
      <c r="BE231" s="303">
        <f>SUM('[155]VENTAS TOTALES'!$D$11:$D$13)</f>
        <v>5406</v>
      </c>
      <c r="BF231" s="304">
        <f>SUM('[155]VENTAS TOTALES'!$E$11:$E$13)</f>
        <v>2311200</v>
      </c>
      <c r="BG231" s="305">
        <f>SUM('[155]VENTAS TOTALES'!$F$11:$F$13)</f>
        <v>11501400</v>
      </c>
      <c r="BH231" s="303">
        <f>SUM('[156]VENTAS TOTALES'!$D$11:$D$13)</f>
        <v>2840</v>
      </c>
      <c r="BI231" s="304">
        <f>SUM('[156]VENTAS TOTALES'!$E$11:$E$13)</f>
        <v>1275300</v>
      </c>
      <c r="BJ231" s="305">
        <f>SUM('[156]VENTAS TOTALES'!$F$11:$F$13)</f>
        <v>6103300</v>
      </c>
      <c r="BK231" s="303">
        <f>SUM('[157]VENTAS TOTALES'!$D$11:$D$13)</f>
        <v>9833</v>
      </c>
      <c r="BL231" s="304">
        <f>SUM('[157]VENTAS TOTALES'!$E$11:$E$13)</f>
        <v>5709100</v>
      </c>
      <c r="BM231" s="305">
        <f>SUM('[157]VENTAS TOTALES'!$F$11:$F$13)</f>
        <v>22425200</v>
      </c>
      <c r="BN231" s="303">
        <f>SUM('[158]VENTAS TOTALES'!$D$11:$D$13)</f>
        <v>7989</v>
      </c>
      <c r="BO231" s="304">
        <f>SUM('[158]VENTAS TOTALES'!$E$11:$E$13)</f>
        <v>3185400</v>
      </c>
      <c r="BP231" s="305">
        <f>SUM('[158]VENTAS TOTALES'!$F$11:$F$13)</f>
        <v>16766700</v>
      </c>
      <c r="BQ231" s="303">
        <f>SUM('[159]VENTAS TOTALES'!$D$11:$D$13)</f>
        <v>7547</v>
      </c>
      <c r="BR231" s="304">
        <f>SUM('[159]VENTAS TOTALES'!$E$11:$E$13)</f>
        <v>2907100</v>
      </c>
      <c r="BS231" s="305">
        <f>SUM('[159]VENTAS TOTALES'!$F$11:$F$13)</f>
        <v>15737000</v>
      </c>
      <c r="BT231" s="303">
        <f>SUM('[160]VENTAS TOTALES'!$D$11:$D$13)</f>
        <v>7458</v>
      </c>
      <c r="BU231" s="304">
        <f>SUM('[160]VENTAS TOTALES'!$E$11:$E$13)</f>
        <v>2877400</v>
      </c>
      <c r="BV231" s="305">
        <f>SUM('[160]VENTAS TOTALES'!$F$11:$F$13)</f>
        <v>15556000</v>
      </c>
      <c r="BW231" s="303">
        <f>SUM('[161]VENTAS TOTALES'!$D$11:$D$13)</f>
        <v>7244</v>
      </c>
      <c r="BX231" s="304">
        <f>SUM('[161]VENTAS TOTALES'!$E$11:$E$13)</f>
        <v>3147200</v>
      </c>
      <c r="BY231" s="305">
        <f>SUM('[161]VENTAS TOTALES'!$F$11:$F$13)</f>
        <v>15462000</v>
      </c>
      <c r="BZ231" s="303">
        <f>SUM('[162]VENTAS TOTALES'!$D$11:$D$13)</f>
        <v>6214</v>
      </c>
      <c r="CA231" s="304">
        <f>SUM('[162]VENTAS TOTALES'!$E$11:$E$13)</f>
        <v>3232650</v>
      </c>
      <c r="CB231" s="305">
        <f>SUM('[162]VENTAS TOTALES'!$F$11:$F$13)</f>
        <v>13796450</v>
      </c>
      <c r="CC231" s="303">
        <f>SUM('[163]VENTAS TOTALES'!$D$11:$D$13)</f>
        <v>3133</v>
      </c>
      <c r="CD231" s="304">
        <f>SUM('[163]VENTAS TOTALES'!$E$11:$E$13)</f>
        <v>1678800</v>
      </c>
      <c r="CE231" s="305">
        <f>SUM('[163]VENTAS TOTALES'!$F$11:$F$13)</f>
        <v>7004900</v>
      </c>
      <c r="CF231" s="303">
        <f>SUM('[164]VENTAS TOTALES'!$D$11:$D$13)</f>
        <v>10940</v>
      </c>
      <c r="CG231" s="304">
        <f>SUM('[164]VENTAS TOTALES'!$E$11:$E$13)</f>
        <v>7659650</v>
      </c>
      <c r="CH231" s="305">
        <f>SUM('[164]VENTAS TOTALES'!$F$11:$F$13)</f>
        <v>26257650</v>
      </c>
      <c r="CI231" s="303">
        <f>SUM('[165]VENTAS TOTALES'!$D$11:$D$13)</f>
        <v>9613</v>
      </c>
      <c r="CJ231" s="304">
        <f>SUM('[165]VENTAS TOTALES'!$E$11:$E$13)</f>
        <v>7019950</v>
      </c>
      <c r="CK231" s="305">
        <f>SUM('[165]VENTAS TOTALES'!$F$11:$F$13)</f>
        <v>23362050</v>
      </c>
      <c r="CL231" s="303">
        <f>SUM('[166]VENTAS TOTALES'!$D$11:$D$13)</f>
        <v>9358</v>
      </c>
      <c r="CM231" s="304">
        <f>SUM('[166]VENTAS TOTALES'!$E$11:$E$13)</f>
        <v>5295600</v>
      </c>
      <c r="CN231" s="305">
        <f>SUM('[166]VENTAS TOTALES'!$F$11:$F$13)</f>
        <v>21204200</v>
      </c>
      <c r="CO231" s="303">
        <f>SUM('[167]VENTAS TOTALES'!$D$11:$D$13)</f>
        <v>8578</v>
      </c>
      <c r="CP231" s="304">
        <f>SUM('[167]VENTAS TOTALES'!$E$11:$E$13)</f>
        <v>5109800</v>
      </c>
      <c r="CQ231" s="305">
        <f>SUM('[167]VENTAS TOTALES'!$F$11:$F$13)</f>
        <v>19692400</v>
      </c>
      <c r="CR231" s="303">
        <f>SUM('[168]VENTAS TOTALES'!$D$11:$D$13)</f>
        <v>7861</v>
      </c>
      <c r="CS231" s="304">
        <f>SUM('[168]VENTAS TOTALES'!$E$11:$E$13)</f>
        <v>3293600</v>
      </c>
      <c r="CT231" s="305">
        <f>SUM('[168]VENTAS TOTALES'!$F$11:$F$13)</f>
        <v>16657300</v>
      </c>
      <c r="CU231" s="303">
        <f>SUM('[169]VENTAS TOTALES'!$D$11:$D$13)</f>
        <v>6211</v>
      </c>
      <c r="CV231" s="304">
        <f>SUM('[169]VENTAS TOTALES'!$E$11:$E$13)</f>
        <v>2080500</v>
      </c>
      <c r="CW231" s="305">
        <f>SUM('[169]VENTAS TOTALES'!$F$11:$F$13)</f>
        <v>12639200</v>
      </c>
      <c r="CX231" s="303">
        <f>SUM('[170]VENTAS TOTALES'!$D$11:$D$13)</f>
        <v>3250</v>
      </c>
      <c r="CY231" s="304">
        <f>SUM('[170]VENTAS TOTALES'!$E$11:$E$13)</f>
        <v>1499000</v>
      </c>
      <c r="CZ231" s="305">
        <f>SUM('[170]VENTAS TOTALES'!$F$11:$F$13)</f>
        <v>7024000</v>
      </c>
    </row>
    <row r="232" spans="1:104" s="10" customFormat="1" x14ac:dyDescent="0.2">
      <c r="A232" s="471"/>
      <c r="B232" s="117" t="s">
        <v>196</v>
      </c>
      <c r="C232" s="167">
        <f>+'[137]VENTAS TOTALES'!$D14</f>
        <v>43251</v>
      </c>
      <c r="D232" s="168">
        <f>+'[137]VENTAS TOTALES'!$E14</f>
        <v>23949400</v>
      </c>
      <c r="E232" s="169">
        <f>+'[137]VENTAS TOTALES'!$F14</f>
        <v>97476100</v>
      </c>
      <c r="F232" s="167">
        <f>+'[138]VENTAS TOTALES'!$D14</f>
        <v>40128</v>
      </c>
      <c r="G232" s="168">
        <f>+'[138]VENTAS TOTALES'!$E14</f>
        <v>19827650</v>
      </c>
      <c r="H232" s="169">
        <f>+'[138]VENTAS TOTALES'!$F14</f>
        <v>88045250</v>
      </c>
      <c r="I232" s="167">
        <f>+'[139]VENTAS TOTALES'!$D14</f>
        <v>32112</v>
      </c>
      <c r="J232" s="168">
        <f>+'[139]VENTAS TOTALES'!$E14</f>
        <v>12637900</v>
      </c>
      <c r="K232" s="169">
        <f>+'[139]VENTAS TOTALES'!$F14</f>
        <v>67228300</v>
      </c>
      <c r="L232" s="167">
        <f>+'[140]VENTAS TOTALES'!$D14</f>
        <v>34147</v>
      </c>
      <c r="M232" s="168">
        <f>+'[140]VENTAS TOTALES'!$E14</f>
        <v>10388040</v>
      </c>
      <c r="N232" s="169">
        <f>+'[140]VENTAS TOTALES'!$F14</f>
        <v>68437940</v>
      </c>
      <c r="O232" s="167">
        <f>+'[141]VENTAS TOTALES'!$D14</f>
        <v>26861</v>
      </c>
      <c r="P232" s="168">
        <f>+'[141]VENTAS TOTALES'!$E14</f>
        <v>7699700</v>
      </c>
      <c r="Q232" s="169">
        <f>+'[141]VENTAS TOTALES'!$F14</f>
        <v>53363400</v>
      </c>
      <c r="R232" s="167">
        <f>+'[142]VENTAS TOTALES'!$D14</f>
        <v>14122</v>
      </c>
      <c r="S232" s="168">
        <f>+'[142]VENTAS TOTALES'!$E14</f>
        <v>3578100</v>
      </c>
      <c r="T232" s="169">
        <f>+'[142]VENTAS TOTALES'!$F14</f>
        <v>27585500</v>
      </c>
      <c r="U232" s="167">
        <f>+'[143]VENTAS TOTALES'!$D14</f>
        <v>49182</v>
      </c>
      <c r="V232" s="168">
        <f>+'[143]VENTAS TOTALES'!$E14</f>
        <v>22323250</v>
      </c>
      <c r="W232" s="169">
        <f>+'[143]VENTAS TOTALES'!$F14</f>
        <v>105932650</v>
      </c>
      <c r="X232" s="167">
        <f>+'[144]VENTAS TOTALES'!$D14</f>
        <v>37699</v>
      </c>
      <c r="Y232" s="168">
        <f>+'[144]VENTAS TOTALES'!$E14</f>
        <v>13001050</v>
      </c>
      <c r="Z232" s="169">
        <f>+'[144]VENTAS TOTALES'!$F14</f>
        <v>77089350</v>
      </c>
      <c r="AA232" s="167">
        <f>+'[145]VENTAS TOTALES'!$D14</f>
        <v>35606</v>
      </c>
      <c r="AB232" s="168">
        <f>+'[145]VENTAS TOTALES'!$E14</f>
        <v>11507900</v>
      </c>
      <c r="AC232" s="169">
        <f>+'[145]VENTAS TOTALES'!$F14</f>
        <v>72038100</v>
      </c>
      <c r="AD232" s="167">
        <f>+'[146]VENTAS TOTALES'!$D14</f>
        <v>33979</v>
      </c>
      <c r="AE232" s="168">
        <f>+'[146]VENTAS TOTALES'!$E14</f>
        <v>10173501</v>
      </c>
      <c r="AF232" s="169">
        <f>+'[146]VENTAS TOTALES'!$F14</f>
        <v>67937801</v>
      </c>
      <c r="AG232" s="167">
        <f>+'[147]VENTAS TOTALES'!$D14</f>
        <v>33224</v>
      </c>
      <c r="AH232" s="168">
        <f>+'[147]VENTAS TOTALES'!$E14</f>
        <v>10371800</v>
      </c>
      <c r="AI232" s="169">
        <f>+'[147]VENTAS TOTALES'!$F14</f>
        <v>66852600</v>
      </c>
      <c r="AJ232" s="167">
        <f>+'[148]VENTAS TOTALES'!$D14</f>
        <v>26819</v>
      </c>
      <c r="AK232" s="168">
        <f>+'[148]VENTAS TOTALES'!$E14</f>
        <v>6119000</v>
      </c>
      <c r="AL232" s="169">
        <f>+'[148]VENTAS TOTALES'!$F14</f>
        <v>51711300</v>
      </c>
      <c r="AM232" s="167">
        <f>+'[149]VENTAS TOTALES'!$D14</f>
        <v>13217</v>
      </c>
      <c r="AN232" s="168">
        <f>+'[149]VENTAS TOTALES'!$E14</f>
        <v>2412000</v>
      </c>
      <c r="AO232" s="169">
        <f>+'[149]VENTAS TOTALES'!$F14</f>
        <v>24880900</v>
      </c>
      <c r="AP232" s="167">
        <f>+'[150]VENTAS TOTALES'!$D14</f>
        <v>37957</v>
      </c>
      <c r="AQ232" s="168">
        <f>+'[150]VENTAS TOTALES'!$E14</f>
        <v>13005900</v>
      </c>
      <c r="AR232" s="169">
        <f>+'[150]VENTAS TOTALES'!$F14</f>
        <v>77532800</v>
      </c>
      <c r="AS232" s="167">
        <f>+'[151]VENTAS TOTALES'!$D14</f>
        <v>5088</v>
      </c>
      <c r="AT232" s="168">
        <f>+'[151]VENTAS TOTALES'!$E14</f>
        <v>4571600</v>
      </c>
      <c r="AU232" s="169">
        <f>+'[151]VENTAS TOTALES'!$F14</f>
        <v>13221200</v>
      </c>
      <c r="AV232" s="167">
        <f>+'[152]VENTAS TOTALES'!$D14</f>
        <v>19733</v>
      </c>
      <c r="AW232" s="168">
        <f>+'[152]VENTAS TOTALES'!$E14</f>
        <v>15198350</v>
      </c>
      <c r="AX232" s="169">
        <f>+'[152]VENTAS TOTALES'!$F14</f>
        <v>48744450</v>
      </c>
      <c r="AY232" s="167">
        <f>+'[153]VENTAS TOTALES'!$D14</f>
        <v>21466</v>
      </c>
      <c r="AZ232" s="168">
        <f>+'[153]VENTAS TOTALES'!$E14</f>
        <v>12579380</v>
      </c>
      <c r="BA232" s="169">
        <f>+'[153]VENTAS TOTALES'!$F14</f>
        <v>49071580</v>
      </c>
      <c r="BB232" s="167">
        <f>+'[154]VENTAS TOTALES'!$D14</f>
        <v>34080</v>
      </c>
      <c r="BC232" s="168">
        <f>+'[154]VENTAS TOTALES'!$E14</f>
        <v>12729400</v>
      </c>
      <c r="BD232" s="169">
        <f>+'[154]VENTAS TOTALES'!$F14</f>
        <v>70665400</v>
      </c>
      <c r="BE232" s="167">
        <f>+'[155]VENTAS TOTALES'!$D14</f>
        <v>26789</v>
      </c>
      <c r="BF232" s="168">
        <f>+'[155]VENTAS TOTALES'!$E14</f>
        <v>7837700</v>
      </c>
      <c r="BG232" s="169">
        <f>+'[155]VENTAS TOTALES'!$F14</f>
        <v>53379000</v>
      </c>
      <c r="BH232" s="167">
        <f>+'[156]VENTAS TOTALES'!$D14</f>
        <v>13164</v>
      </c>
      <c r="BI232" s="168">
        <f>+'[156]VENTAS TOTALES'!$E14</f>
        <v>3196800</v>
      </c>
      <c r="BJ232" s="169">
        <f>+'[156]VENTAS TOTALES'!$F14</f>
        <v>25575600</v>
      </c>
      <c r="BK232" s="167">
        <f>+'[157]VENTAS TOTALES'!$D14</f>
        <v>47797</v>
      </c>
      <c r="BL232" s="168">
        <f>+'[157]VENTAS TOTALES'!$E14</f>
        <v>21367150</v>
      </c>
      <c r="BM232" s="169">
        <f>+'[157]VENTAS TOTALES'!$F14</f>
        <v>102622050</v>
      </c>
      <c r="BN232" s="167">
        <f>+'[158]VENTAS TOTALES'!$D14</f>
        <v>36553</v>
      </c>
      <c r="BO232" s="168">
        <f>+'[158]VENTAS TOTALES'!$E14</f>
        <v>12459700</v>
      </c>
      <c r="BP232" s="169">
        <f>+'[158]VENTAS TOTALES'!$F14</f>
        <v>74599800</v>
      </c>
      <c r="BQ232" s="167">
        <f>+'[159]VENTAS TOTALES'!$D14</f>
        <v>34450</v>
      </c>
      <c r="BR232" s="168">
        <f>+'[159]VENTAS TOTALES'!$E14</f>
        <v>10326300</v>
      </c>
      <c r="BS232" s="169">
        <f>+'[159]VENTAS TOTALES'!$F14</f>
        <v>68891300</v>
      </c>
      <c r="BT232" s="167">
        <f>+'[160]VENTAS TOTALES'!$D14</f>
        <v>33193</v>
      </c>
      <c r="BU232" s="168">
        <f>+'[160]VENTAS TOTALES'!$E14</f>
        <v>9586000</v>
      </c>
      <c r="BV232" s="169">
        <f>+'[160]VENTAS TOTALES'!$F14</f>
        <v>66014100</v>
      </c>
      <c r="BW232" s="167">
        <f>+'[161]VENTAS TOTALES'!$D14</f>
        <v>34535</v>
      </c>
      <c r="BX232" s="168">
        <f>+'[161]VENTAS TOTALES'!$E14</f>
        <v>10999450</v>
      </c>
      <c r="BY232" s="169">
        <f>+'[161]VENTAS TOTALES'!$F14</f>
        <v>69708950</v>
      </c>
      <c r="BZ232" s="167">
        <f>+'[162]VENTAS TOTALES'!$D14</f>
        <v>26970</v>
      </c>
      <c r="CA232" s="168">
        <f>+'[162]VENTAS TOTALES'!$E14</f>
        <v>7795800</v>
      </c>
      <c r="CB232" s="169">
        <f>+'[162]VENTAS TOTALES'!$F14</f>
        <v>53644800</v>
      </c>
      <c r="CC232" s="167">
        <f>+'[163]VENTAS TOTALES'!$D14</f>
        <v>13536</v>
      </c>
      <c r="CD232" s="168">
        <f>+'[163]VENTAS TOTALES'!$E14</f>
        <v>3432900</v>
      </c>
      <c r="CE232" s="169">
        <f>+'[163]VENTAS TOTALES'!$F14</f>
        <v>26444100</v>
      </c>
      <c r="CF232" s="167">
        <f>+'[164]VENTAS TOTALES'!$D14</f>
        <v>52316</v>
      </c>
      <c r="CG232" s="168">
        <f>+'[164]VENTAS TOTALES'!$E14</f>
        <v>26576200</v>
      </c>
      <c r="CH232" s="169">
        <f>+'[164]VENTAS TOTALES'!$F14</f>
        <v>115513400</v>
      </c>
      <c r="CI232" s="167">
        <f>+'[165]VENTAS TOTALES'!$D14</f>
        <v>46158</v>
      </c>
      <c r="CJ232" s="168">
        <f>+'[165]VENTAS TOTALES'!$E14</f>
        <v>25565750</v>
      </c>
      <c r="CK232" s="169">
        <f>+'[165]VENTAS TOTALES'!$F14</f>
        <v>104034350</v>
      </c>
      <c r="CL232" s="167">
        <f>+'[166]VENTAS TOTALES'!$D14</f>
        <v>44029</v>
      </c>
      <c r="CM232" s="168">
        <f>+'[166]VENTAS TOTALES'!$E14</f>
        <v>19985700</v>
      </c>
      <c r="CN232" s="169">
        <f>+'[166]VENTAS TOTALES'!$F14</f>
        <v>94835000</v>
      </c>
      <c r="CO232" s="167">
        <f>+'[167]VENTAS TOTALES'!$D14</f>
        <v>38981</v>
      </c>
      <c r="CP232" s="168">
        <f>+'[167]VENTAS TOTALES'!$E14</f>
        <v>15031750</v>
      </c>
      <c r="CQ232" s="169">
        <f>+'[167]VENTAS TOTALES'!$F14</f>
        <v>81299450</v>
      </c>
      <c r="CR232" s="167">
        <f>+'[168]VENTAS TOTALES'!$D14</f>
        <v>36482</v>
      </c>
      <c r="CS232" s="168">
        <f>+'[168]VENTAS TOTALES'!$E14</f>
        <v>10979600</v>
      </c>
      <c r="CT232" s="169">
        <f>+'[168]VENTAS TOTALES'!$F14</f>
        <v>72999000</v>
      </c>
      <c r="CU232" s="167">
        <f>+'[169]VENTAS TOTALES'!$D14</f>
        <v>28500</v>
      </c>
      <c r="CV232" s="168">
        <f>+'[169]VENTAS TOTALES'!$E14</f>
        <v>6829000</v>
      </c>
      <c r="CW232" s="169">
        <f>+'[169]VENTAS TOTALES'!$F14</f>
        <v>55279000</v>
      </c>
      <c r="CX232" s="167">
        <f>+'[170]VENTAS TOTALES'!$D14</f>
        <v>14452</v>
      </c>
      <c r="CY232" s="168">
        <f>+'[170]VENTAS TOTALES'!$E14</f>
        <v>3470300</v>
      </c>
      <c r="CZ232" s="169">
        <f>+'[170]VENTAS TOTALES'!$F14</f>
        <v>28038700</v>
      </c>
    </row>
    <row r="233" spans="1:104" s="10" customFormat="1" ht="13.5" thickBot="1" x14ac:dyDescent="0.25">
      <c r="A233" s="471"/>
      <c r="B233" s="334" t="s">
        <v>191</v>
      </c>
      <c r="C233" s="335">
        <f>+'[137]VENTAS TOTALES'!$D15</f>
        <v>23486</v>
      </c>
      <c r="D233" s="336">
        <f>+'[137]VENTAS TOTALES'!$E15</f>
        <v>6360200</v>
      </c>
      <c r="E233" s="337">
        <f>+'[137]VENTAS TOTALES'!$F15</f>
        <v>46286400</v>
      </c>
      <c r="F233" s="335">
        <f>+'[138]VENTAS TOTALES'!$D15</f>
        <v>22606</v>
      </c>
      <c r="G233" s="336">
        <f>+'[138]VENTAS TOTALES'!$E15</f>
        <v>5513500</v>
      </c>
      <c r="H233" s="337">
        <f>+'[138]VENTAS TOTALES'!$F15</f>
        <v>43943700</v>
      </c>
      <c r="I233" s="335">
        <f>+'[139]VENTAS TOTALES'!$D15</f>
        <v>19329</v>
      </c>
      <c r="J233" s="336">
        <f>+'[139]VENTAS TOTALES'!$E15</f>
        <v>3687250</v>
      </c>
      <c r="K233" s="337">
        <f>+'[139]VENTAS TOTALES'!$F15</f>
        <v>36546550</v>
      </c>
      <c r="L233" s="335">
        <f>+'[140]VENTAS TOTALES'!$D15</f>
        <v>19354</v>
      </c>
      <c r="M233" s="336">
        <f>+'[140]VENTAS TOTALES'!$E15</f>
        <v>2302800</v>
      </c>
      <c r="N233" s="337">
        <f>+'[140]VENTAS TOTALES'!$F15</f>
        <v>35204600</v>
      </c>
      <c r="O233" s="335">
        <f>+'[141]VENTAS TOTALES'!$D15</f>
        <v>15164</v>
      </c>
      <c r="P233" s="336">
        <f>+'[141]VENTAS TOTALES'!$E15</f>
        <v>2555300</v>
      </c>
      <c r="Q233" s="337">
        <f>+'[141]VENTAS TOTALES'!$F15</f>
        <v>28334100</v>
      </c>
      <c r="R233" s="335">
        <f>+'[142]VENTAS TOTALES'!$D15</f>
        <v>6792</v>
      </c>
      <c r="S233" s="336">
        <f>+'[142]VENTAS TOTALES'!$E15</f>
        <v>1134300</v>
      </c>
      <c r="T233" s="337">
        <f>+'[142]VENTAS TOTALES'!$F15</f>
        <v>12680700</v>
      </c>
      <c r="U233" s="335">
        <f>+'[143]VENTAS TOTALES'!$D15</f>
        <v>27193</v>
      </c>
      <c r="V233" s="336">
        <f>+'[143]VENTAS TOTALES'!$E15</f>
        <v>4318750</v>
      </c>
      <c r="W233" s="337">
        <f>+'[143]VENTAS TOTALES'!$F15</f>
        <v>50546850</v>
      </c>
      <c r="X233" s="335">
        <f>+'[144]VENTAS TOTALES'!$D15</f>
        <v>21202</v>
      </c>
      <c r="Y233" s="336">
        <f>+'[144]VENTAS TOTALES'!$E15</f>
        <v>2980050</v>
      </c>
      <c r="Z233" s="337">
        <f>+'[144]VENTAS TOTALES'!$F15</f>
        <v>39023450</v>
      </c>
      <c r="AA233" s="335">
        <f>+'[145]VENTAS TOTALES'!$D15</f>
        <v>19403</v>
      </c>
      <c r="AB233" s="336">
        <f>+'[145]VENTAS TOTALES'!$E15</f>
        <v>3054000</v>
      </c>
      <c r="AC233" s="337">
        <f>+'[145]VENTAS TOTALES'!$F15</f>
        <v>36039100</v>
      </c>
      <c r="AD233" s="335">
        <f>+'[146]VENTAS TOTALES'!$D15</f>
        <v>20181</v>
      </c>
      <c r="AE233" s="336">
        <f>+'[146]VENTAS TOTALES'!$E15</f>
        <v>3070600</v>
      </c>
      <c r="AF233" s="337">
        <f>+'[146]VENTAS TOTALES'!$F15</f>
        <v>37378300</v>
      </c>
      <c r="AG233" s="335">
        <f>+'[147]VENTAS TOTALES'!$D15</f>
        <v>19572</v>
      </c>
      <c r="AH233" s="336">
        <f>+'[147]VENTAS TOTALES'!$E15</f>
        <v>2788950</v>
      </c>
      <c r="AI233" s="337">
        <f>+'[147]VENTAS TOTALES'!$F15</f>
        <v>36061350</v>
      </c>
      <c r="AJ233" s="335">
        <f>+'[148]VENTAS TOTALES'!$D15</f>
        <v>15325</v>
      </c>
      <c r="AK233" s="336">
        <f>+'[148]VENTAS TOTALES'!$E15</f>
        <v>2232550</v>
      </c>
      <c r="AL233" s="337">
        <f>+'[148]VENTAS TOTALES'!$F15</f>
        <v>28285050</v>
      </c>
      <c r="AM233" s="335">
        <f>+'[149]VENTAS TOTALES'!$D15</f>
        <v>6855</v>
      </c>
      <c r="AN233" s="336">
        <f>+'[149]VENTAS TOTALES'!$E15</f>
        <v>868600</v>
      </c>
      <c r="AO233" s="337">
        <f>+'[149]VENTAS TOTALES'!$F15</f>
        <v>12522100</v>
      </c>
      <c r="AP233" s="335">
        <f>+'[150]VENTAS TOTALES'!$D15</f>
        <v>23753</v>
      </c>
      <c r="AQ233" s="336">
        <f>+'[150]VENTAS TOTALES'!$E15</f>
        <v>3582150</v>
      </c>
      <c r="AR233" s="337">
        <f>+'[150]VENTAS TOTALES'!$F15</f>
        <v>43962250</v>
      </c>
      <c r="AS233" s="335">
        <f>+'[151]VENTAS TOTALES'!$D15</f>
        <v>26732</v>
      </c>
      <c r="AT233" s="336">
        <f>+'[151]VENTAS TOTALES'!$E15</f>
        <v>6184300</v>
      </c>
      <c r="AU233" s="337">
        <f>+'[151]VENTAS TOTALES'!$F15</f>
        <v>51628700</v>
      </c>
      <c r="AV233" s="335">
        <f>+'[152]VENTAS TOTALES'!$D15</f>
        <v>25546</v>
      </c>
      <c r="AW233" s="336">
        <f>+'[152]VENTAS TOTALES'!$E15</f>
        <v>6830500</v>
      </c>
      <c r="AX233" s="337">
        <f>+'[152]VENTAS TOTALES'!$F15</f>
        <v>50258700</v>
      </c>
      <c r="AY233" s="335">
        <f>+'[153]VENTAS TOTALES'!$D15</f>
        <v>26281</v>
      </c>
      <c r="AZ233" s="336">
        <f>+'[153]VENTAS TOTALES'!$E15</f>
        <v>5592050</v>
      </c>
      <c r="BA233" s="337">
        <f>+'[153]VENTAS TOTALES'!$F15</f>
        <v>50269750</v>
      </c>
      <c r="BB233" s="335">
        <f>+'[154]VENTAS TOTALES'!$D15</f>
        <v>20198</v>
      </c>
      <c r="BC233" s="336">
        <f>+'[154]VENTAS TOTALES'!$E15</f>
        <v>3213250</v>
      </c>
      <c r="BD233" s="337">
        <f>+'[154]VENTAS TOTALES'!$F15</f>
        <v>37549850</v>
      </c>
      <c r="BE233" s="335">
        <f>+'[155]VENTAS TOTALES'!$D15</f>
        <v>15635</v>
      </c>
      <c r="BF233" s="336">
        <f>+'[155]VENTAS TOTALES'!$E15</f>
        <v>2509600</v>
      </c>
      <c r="BG233" s="337">
        <f>+'[155]VENTAS TOTALES'!$F15</f>
        <v>29089100</v>
      </c>
      <c r="BH233" s="335">
        <f>+'[156]VENTAS TOTALES'!$D15</f>
        <v>6638</v>
      </c>
      <c r="BI233" s="336">
        <f>+'[156]VENTAS TOTALES'!$E15</f>
        <v>1005300</v>
      </c>
      <c r="BJ233" s="337">
        <f>+'[156]VENTAS TOTALES'!$F15</f>
        <v>12289900</v>
      </c>
      <c r="BK233" s="335">
        <f>+'[157]VENTAS TOTALES'!$D15</f>
        <v>27837</v>
      </c>
      <c r="BL233" s="336">
        <f>+'[157]VENTAS TOTALES'!$E15</f>
        <v>5372450</v>
      </c>
      <c r="BM233" s="337">
        <f>+'[157]VENTAS TOTALES'!$F15</f>
        <v>52695350</v>
      </c>
      <c r="BN233" s="335">
        <f>+'[158]VENTAS TOTALES'!$D15</f>
        <v>21832</v>
      </c>
      <c r="BO233" s="336">
        <f>+'[158]VENTAS TOTALES'!$E15</f>
        <v>3106050</v>
      </c>
      <c r="BP233" s="337">
        <f>+'[158]VENTAS TOTALES'!$F15</f>
        <v>40220450</v>
      </c>
      <c r="BQ233" s="335">
        <f>+'[159]VENTAS TOTALES'!$D15</f>
        <v>20083</v>
      </c>
      <c r="BR233" s="336">
        <f>+'[159]VENTAS TOTALES'!$E15</f>
        <v>2511850</v>
      </c>
      <c r="BS233" s="337">
        <f>+'[159]VENTAS TOTALES'!$F15</f>
        <v>36652950</v>
      </c>
      <c r="BT233" s="335">
        <f>+'[160]VENTAS TOTALES'!$D15</f>
        <v>19660</v>
      </c>
      <c r="BU233" s="336">
        <f>+'[160]VENTAS TOTALES'!$E15</f>
        <v>2596900</v>
      </c>
      <c r="BV233" s="337">
        <f>+'[160]VENTAS TOTALES'!$F15</f>
        <v>36018900</v>
      </c>
      <c r="BW233" s="335">
        <f>+'[161]VENTAS TOTALES'!$D15</f>
        <v>19304</v>
      </c>
      <c r="BX233" s="336">
        <f>+'[161]VENTAS TOTALES'!$E15</f>
        <v>2609400</v>
      </c>
      <c r="BY233" s="337">
        <f>+'[161]VENTAS TOTALES'!$F15</f>
        <v>35426200</v>
      </c>
      <c r="BZ233" s="335">
        <f>+'[162]VENTAS TOTALES'!$D15</f>
        <v>16026</v>
      </c>
      <c r="CA233" s="336">
        <f>+'[162]VENTAS TOTALES'!$E15</f>
        <v>2580400</v>
      </c>
      <c r="CB233" s="337">
        <f>+'[162]VENTAS TOTALES'!$F15</f>
        <v>29824600</v>
      </c>
      <c r="CC233" s="335">
        <f>+'[163]VENTAS TOTALES'!$D15</f>
        <v>6675</v>
      </c>
      <c r="CD233" s="336">
        <f>+'[163]VENTAS TOTALES'!$E15</f>
        <v>948000</v>
      </c>
      <c r="CE233" s="337">
        <f>+'[163]VENTAS TOTALES'!$F15</f>
        <v>12295500</v>
      </c>
      <c r="CF233" s="335">
        <f>+'[164]VENTAS TOTALES'!$D15</f>
        <v>28388</v>
      </c>
      <c r="CG233" s="336">
        <f>+'[164]VENTAS TOTALES'!$E15</f>
        <v>6738700</v>
      </c>
      <c r="CH233" s="337">
        <f>+'[164]VENTAS TOTALES'!$F15</f>
        <v>54998300</v>
      </c>
      <c r="CI233" s="335">
        <f>+'[165]VENTAS TOTALES'!$D15</f>
        <v>24309</v>
      </c>
      <c r="CJ233" s="336">
        <f>+'[165]VENTAS TOTALES'!$E15</f>
        <v>5496250</v>
      </c>
      <c r="CK233" s="337">
        <f>+'[165]VENTAS TOTALES'!$F15</f>
        <v>46821550</v>
      </c>
      <c r="CL233" s="335">
        <f>+'[166]VENTAS TOTALES'!$D15</f>
        <v>23422</v>
      </c>
      <c r="CM233" s="336">
        <f>+'[166]VENTAS TOTALES'!$E15</f>
        <v>4300200</v>
      </c>
      <c r="CN233" s="337">
        <f>+'[166]VENTAS TOTALES'!$F15</f>
        <v>44117600</v>
      </c>
      <c r="CO233" s="335">
        <f>+'[167]VENTAS TOTALES'!$D15</f>
        <v>21560</v>
      </c>
      <c r="CP233" s="336">
        <f>+'[167]VENTAS TOTALES'!$E15</f>
        <v>4018700</v>
      </c>
      <c r="CQ233" s="337">
        <f>+'[167]VENTAS TOTALES'!$F15</f>
        <v>40670700</v>
      </c>
      <c r="CR233" s="335">
        <f>+'[168]VENTAS TOTALES'!$D15</f>
        <v>19696</v>
      </c>
      <c r="CS233" s="336">
        <f>+'[168]VENTAS TOTALES'!$E15</f>
        <v>4349850</v>
      </c>
      <c r="CT233" s="337">
        <f>+'[168]VENTAS TOTALES'!$F15</f>
        <v>37833050</v>
      </c>
      <c r="CU233" s="335">
        <f>+'[169]VENTAS TOTALES'!$D15</f>
        <v>16629</v>
      </c>
      <c r="CV233" s="336">
        <f>+'[169]VENTAS TOTALES'!$E15</f>
        <v>2130100</v>
      </c>
      <c r="CW233" s="337">
        <f>+'[169]VENTAS TOTALES'!$F15</f>
        <v>30399400</v>
      </c>
      <c r="CX233" s="335">
        <f>+'[170]VENTAS TOTALES'!$D15</f>
        <v>6873</v>
      </c>
      <c r="CY233" s="336">
        <f>+'[170]VENTAS TOTALES'!$E15</f>
        <v>1268700</v>
      </c>
      <c r="CZ233" s="337">
        <f>+'[170]VENTAS TOTALES'!$F15</f>
        <v>12952800</v>
      </c>
    </row>
    <row r="234" spans="1:104" s="10" customFormat="1" x14ac:dyDescent="0.2">
      <c r="A234" s="471"/>
      <c r="B234" s="333" t="s">
        <v>194</v>
      </c>
      <c r="C234" s="165">
        <f>+'[137]VENTAS TOTALES'!$D16</f>
        <v>5383</v>
      </c>
      <c r="D234" s="170">
        <f>+'[137]VENTAS TOTALES'!$E16</f>
        <v>2175600</v>
      </c>
      <c r="E234" s="171">
        <f>+'[137]VENTAS TOTALES'!$F16</f>
        <v>11326700</v>
      </c>
      <c r="F234" s="165">
        <f>+'[138]VENTAS TOTALES'!$D16</f>
        <v>5223</v>
      </c>
      <c r="G234" s="170">
        <f>+'[138]VENTAS TOTALES'!$E16</f>
        <v>1753700</v>
      </c>
      <c r="H234" s="171">
        <f>+'[138]VENTAS TOTALES'!$F16</f>
        <v>10632800</v>
      </c>
      <c r="I234" s="165">
        <f>+'[139]VENTAS TOTALES'!$D16</f>
        <v>4269</v>
      </c>
      <c r="J234" s="170">
        <f>+'[139]VENTAS TOTALES'!$E16</f>
        <v>768400</v>
      </c>
      <c r="K234" s="171">
        <f>+'[139]VENTAS TOTALES'!$F16</f>
        <v>8025700</v>
      </c>
      <c r="L234" s="165">
        <f>+'[140]VENTAS TOTALES'!$D16</f>
        <v>4490</v>
      </c>
      <c r="M234" s="170">
        <f>+'[140]VENTAS TOTALES'!$E16</f>
        <v>979750</v>
      </c>
      <c r="N234" s="171">
        <f>+'[140]VENTAS TOTALES'!$F16</f>
        <v>8612750</v>
      </c>
      <c r="O234" s="165">
        <f>+'[141]VENTAS TOTALES'!$D16</f>
        <v>3729</v>
      </c>
      <c r="P234" s="170">
        <f>+'[141]VENTAS TOTALES'!$E16</f>
        <v>886200</v>
      </c>
      <c r="Q234" s="171">
        <f>+'[141]VENTAS TOTALES'!$F16</f>
        <v>7225500</v>
      </c>
      <c r="R234" s="165">
        <f>+'[142]VENTAS TOTALES'!$D16</f>
        <v>1831</v>
      </c>
      <c r="S234" s="170">
        <f>+'[142]VENTAS TOTALES'!$E16</f>
        <v>194150</v>
      </c>
      <c r="T234" s="171">
        <f>+'[142]VENTAS TOTALES'!$F16</f>
        <v>3306850</v>
      </c>
      <c r="U234" s="165">
        <f>+'[143]VENTAS TOTALES'!$D16</f>
        <v>5787</v>
      </c>
      <c r="V234" s="170">
        <f>+'[143]VENTAS TOTALES'!$E16</f>
        <v>1985100</v>
      </c>
      <c r="W234" s="171">
        <f>+'[143]VENTAS TOTALES'!$F16</f>
        <v>11823000</v>
      </c>
      <c r="X234" s="165">
        <f>+'[144]VENTAS TOTALES'!$D16</f>
        <v>4980</v>
      </c>
      <c r="Y234" s="170">
        <f>+'[144]VENTAS TOTALES'!$E16</f>
        <v>1127000</v>
      </c>
      <c r="Z234" s="171">
        <f>+'[144]VENTAS TOTALES'!$F16</f>
        <v>9593000</v>
      </c>
      <c r="AA234" s="165">
        <f>+'[145]VENTAS TOTALES'!$D16</f>
        <v>4513</v>
      </c>
      <c r="AB234" s="170">
        <f>+'[145]VENTAS TOTALES'!$E16</f>
        <v>825800</v>
      </c>
      <c r="AC234" s="171">
        <f>+'[145]VENTAS TOTALES'!$F16</f>
        <v>8497900</v>
      </c>
      <c r="AD234" s="165">
        <f>+'[146]VENTAS TOTALES'!$D16</f>
        <v>4560</v>
      </c>
      <c r="AE234" s="170">
        <f>+'[146]VENTAS TOTALES'!$E16</f>
        <v>861100</v>
      </c>
      <c r="AF234" s="171">
        <f>+'[146]VENTAS TOTALES'!$F16</f>
        <v>8613100</v>
      </c>
      <c r="AG234" s="165">
        <f>+'[147]VENTAS TOTALES'!$D16</f>
        <v>4306</v>
      </c>
      <c r="AH234" s="170">
        <f>+'[147]VENTAS TOTALES'!$E16</f>
        <v>773850</v>
      </c>
      <c r="AI234" s="171">
        <f>+'[147]VENTAS TOTALES'!$F16</f>
        <v>8094050</v>
      </c>
      <c r="AJ234" s="165">
        <f>+'[148]VENTAS TOTALES'!$D16</f>
        <v>3640</v>
      </c>
      <c r="AK234" s="170">
        <f>+'[148]VENTAS TOTALES'!$E16</f>
        <v>946800</v>
      </c>
      <c r="AL234" s="171">
        <f>+'[148]VENTAS TOTALES'!$F16</f>
        <v>7134800</v>
      </c>
      <c r="AM234" s="165">
        <f>+'[149]VENTAS TOTALES'!$D16</f>
        <v>1801</v>
      </c>
      <c r="AN234" s="170">
        <f>+'[149]VENTAS TOTALES'!$E16</f>
        <v>277500</v>
      </c>
      <c r="AO234" s="171">
        <f>+'[149]VENTAS TOTALES'!$F16</f>
        <v>3339200</v>
      </c>
      <c r="AP234" s="165">
        <f>+'[150]VENTAS TOTALES'!$D16</f>
        <v>4859</v>
      </c>
      <c r="AQ234" s="170">
        <f>+'[150]VENTAS TOTALES'!$E16</f>
        <v>1280900</v>
      </c>
      <c r="AR234" s="171">
        <f>+'[150]VENTAS TOTALES'!$F16</f>
        <v>9541200</v>
      </c>
      <c r="AS234" s="165">
        <f>+'[151]VENTAS TOTALES'!$D16</f>
        <v>239</v>
      </c>
      <c r="AT234" s="170">
        <f>+'[151]VENTAS TOTALES'!$E16</f>
        <v>243000</v>
      </c>
      <c r="AU234" s="171">
        <f>+'[151]VENTAS TOTALES'!$F16</f>
        <v>649300</v>
      </c>
      <c r="AV234" s="165">
        <f>+'[152]VENTAS TOTALES'!$D16</f>
        <v>2717</v>
      </c>
      <c r="AW234" s="170">
        <f>+'[152]VENTAS TOTALES'!$E16</f>
        <v>1233400</v>
      </c>
      <c r="AX234" s="171">
        <f>+'[152]VENTAS TOTALES'!$F16</f>
        <v>5852300</v>
      </c>
      <c r="AY234" s="165">
        <f>+'[153]VENTAS TOTALES'!$D16</f>
        <v>3679</v>
      </c>
      <c r="AZ234" s="170">
        <f>+'[153]VENTAS TOTALES'!$E16</f>
        <v>1343500</v>
      </c>
      <c r="BA234" s="171">
        <f>+'[153]VENTAS TOTALES'!$F16</f>
        <v>7597800</v>
      </c>
      <c r="BB234" s="165">
        <f>+'[154]VENTAS TOTALES'!$D16</f>
        <v>4802</v>
      </c>
      <c r="BC234" s="170">
        <f>+'[154]VENTAS TOTALES'!$E16</f>
        <v>1319800</v>
      </c>
      <c r="BD234" s="171">
        <f>+'[154]VENTAS TOTALES'!$F16</f>
        <v>9483200</v>
      </c>
      <c r="BE234" s="165">
        <f>+'[155]VENTAS TOTALES'!$D16</f>
        <v>3502</v>
      </c>
      <c r="BF234" s="170">
        <f>+'[155]VENTAS TOTALES'!$E16</f>
        <v>978700</v>
      </c>
      <c r="BG234" s="171">
        <f>+'[155]VENTAS TOTALES'!$F16</f>
        <v>6932100</v>
      </c>
      <c r="BH234" s="165">
        <f>+'[156]VENTAS TOTALES'!$D16</f>
        <v>1765</v>
      </c>
      <c r="BI234" s="170">
        <f>+'[156]VENTAS TOTALES'!$E16</f>
        <v>533400</v>
      </c>
      <c r="BJ234" s="171">
        <f>+'[156]VENTAS TOTALES'!$F16</f>
        <v>3533900</v>
      </c>
      <c r="BK234" s="165">
        <f>+'[157]VENTAS TOTALES'!$D16</f>
        <v>6052</v>
      </c>
      <c r="BL234" s="170">
        <f>+'[157]VENTAS TOTALES'!$E16</f>
        <v>1774100</v>
      </c>
      <c r="BM234" s="171">
        <f>+'[157]VENTAS TOTALES'!$F16</f>
        <v>12062500</v>
      </c>
      <c r="BN234" s="165">
        <f>+'[158]VENTAS TOTALES'!$D16</f>
        <v>4785</v>
      </c>
      <c r="BO234" s="170">
        <f>+'[158]VENTAS TOTALES'!$E16</f>
        <v>1010800</v>
      </c>
      <c r="BP234" s="171">
        <f>+'[158]VENTAS TOTALES'!$F16</f>
        <v>9145300</v>
      </c>
      <c r="BQ234" s="165">
        <f>+'[159]VENTAS TOTALES'!$D16</f>
        <v>4485</v>
      </c>
      <c r="BR234" s="170">
        <f>+'[159]VENTAS TOTALES'!$E16</f>
        <v>921150</v>
      </c>
      <c r="BS234" s="171">
        <f>+'[159]VENTAS TOTALES'!$F16</f>
        <v>8545650</v>
      </c>
      <c r="BT234" s="165">
        <f>+'[160]VENTAS TOTALES'!$D16</f>
        <v>4366</v>
      </c>
      <c r="BU234" s="170">
        <f>+'[160]VENTAS TOTALES'!$E16</f>
        <v>898200</v>
      </c>
      <c r="BV234" s="171">
        <f>+'[160]VENTAS TOTALES'!$F16</f>
        <v>8320400</v>
      </c>
      <c r="BW234" s="165">
        <f>+'[161]VENTAS TOTALES'!$D16</f>
        <v>4369</v>
      </c>
      <c r="BX234" s="170">
        <f>+'[161]VENTAS TOTALES'!$E16</f>
        <v>847050</v>
      </c>
      <c r="BY234" s="171">
        <f>+'[161]VENTAS TOTALES'!$F16</f>
        <v>8274350</v>
      </c>
      <c r="BZ234" s="165">
        <f>+'[162]VENTAS TOTALES'!$D16</f>
        <v>3792</v>
      </c>
      <c r="CA234" s="170">
        <f>+'[162]VENTAS TOTALES'!$E16</f>
        <v>811700</v>
      </c>
      <c r="CB234" s="171">
        <f>+'[162]VENTAS TOTALES'!$F16</f>
        <v>7258100</v>
      </c>
      <c r="CC234" s="165">
        <f>+'[163]VENTAS TOTALES'!$D16</f>
        <v>1902</v>
      </c>
      <c r="CD234" s="170">
        <f>+'[163]VENTAS TOTALES'!$E16</f>
        <v>211750</v>
      </c>
      <c r="CE234" s="171">
        <f>+'[163]VENTAS TOTALES'!$F16</f>
        <v>3445150</v>
      </c>
      <c r="CF234" s="165">
        <f>+'[164]VENTAS TOTALES'!$D16</f>
        <v>6348</v>
      </c>
      <c r="CG234" s="170">
        <f>+'[164]VENTAS TOTALES'!$E16</f>
        <v>2347900</v>
      </c>
      <c r="CH234" s="171">
        <f>+'[164]VENTAS TOTALES'!$F16</f>
        <v>13139500</v>
      </c>
      <c r="CI234" s="165">
        <f>+'[165]VENTAS TOTALES'!$D16</f>
        <v>5640</v>
      </c>
      <c r="CJ234" s="170">
        <f>+'[165]VENTAS TOTALES'!$E16</f>
        <v>2290500</v>
      </c>
      <c r="CK234" s="171">
        <f>+'[165]VENTAS TOTALES'!$F16</f>
        <v>11878500</v>
      </c>
      <c r="CL234" s="165">
        <f>+'[166]VENTAS TOTALES'!$D16</f>
        <v>5228</v>
      </c>
      <c r="CM234" s="170">
        <f>+'[166]VENTAS TOTALES'!$E16</f>
        <v>1431200</v>
      </c>
      <c r="CN234" s="171">
        <f>+'[166]VENTAS TOTALES'!$F16</f>
        <v>10318800</v>
      </c>
      <c r="CO234" s="165">
        <f>+'[167]VENTAS TOTALES'!$D16</f>
        <v>4893</v>
      </c>
      <c r="CP234" s="170">
        <f>+'[167]VENTAS TOTALES'!$E16</f>
        <v>1625500</v>
      </c>
      <c r="CQ234" s="171">
        <f>+'[167]VENTAS TOTALES'!$F16</f>
        <v>9943600</v>
      </c>
      <c r="CR234" s="165">
        <f>+'[168]VENTAS TOTALES'!$D16</f>
        <v>4708</v>
      </c>
      <c r="CS234" s="170">
        <f>+'[168]VENTAS TOTALES'!$E16</f>
        <v>878100</v>
      </c>
      <c r="CT234" s="171">
        <f>+'[168]VENTAS TOTALES'!$F16</f>
        <v>8881700</v>
      </c>
      <c r="CU234" s="165">
        <f>+'[169]VENTAS TOTALES'!$D16</f>
        <v>3853</v>
      </c>
      <c r="CV234" s="170">
        <f>+'[169]VENTAS TOTALES'!$E16</f>
        <v>711600</v>
      </c>
      <c r="CW234" s="171">
        <f>+'[169]VENTAS TOTALES'!$F16</f>
        <v>7261700</v>
      </c>
      <c r="CX234" s="165">
        <f>+'[170]VENTAS TOTALES'!$D16</f>
        <v>1839</v>
      </c>
      <c r="CY234" s="170">
        <f>+'[170]VENTAS TOTALES'!$E16</f>
        <v>211000</v>
      </c>
      <c r="CZ234" s="171">
        <f>+'[170]VENTAS TOTALES'!$F16</f>
        <v>3337300</v>
      </c>
    </row>
    <row r="235" spans="1:104" s="10" customFormat="1" x14ac:dyDescent="0.2">
      <c r="A235" s="471"/>
      <c r="B235" s="53" t="s">
        <v>195</v>
      </c>
      <c r="C235" s="165">
        <f>+'[137]VENTAS TOTALES'!$D17</f>
        <v>4547</v>
      </c>
      <c r="D235" s="170">
        <f>+'[137]VENTAS TOTALES'!$E17</f>
        <v>1800300</v>
      </c>
      <c r="E235" s="171">
        <f>+'[137]VENTAS TOTALES'!$F17</f>
        <v>9530200</v>
      </c>
      <c r="F235" s="165">
        <f>+'[138]VENTAS TOTALES'!$D17</f>
        <v>4505</v>
      </c>
      <c r="G235" s="170">
        <f>+'[138]VENTAS TOTALES'!$E17</f>
        <v>1227700</v>
      </c>
      <c r="H235" s="171">
        <f>+'[138]VENTAS TOTALES'!$F17</f>
        <v>8886200</v>
      </c>
      <c r="I235" s="165">
        <f>+'[139]VENTAS TOTALES'!$D17</f>
        <v>3744</v>
      </c>
      <c r="J235" s="170">
        <f>+'[139]VENTAS TOTALES'!$E17</f>
        <v>1037000</v>
      </c>
      <c r="K235" s="171">
        <f>+'[139]VENTAS TOTALES'!$F17</f>
        <v>7401800</v>
      </c>
      <c r="L235" s="165">
        <f>+'[140]VENTAS TOTALES'!$D17</f>
        <v>3658</v>
      </c>
      <c r="M235" s="170">
        <f>+'[140]VENTAS TOTALES'!$E17</f>
        <v>694300</v>
      </c>
      <c r="N235" s="171">
        <f>+'[140]VENTAS TOTALES'!$F17</f>
        <v>6912900</v>
      </c>
      <c r="O235" s="165">
        <f>+'[141]VENTAS TOTALES'!$D17</f>
        <v>3293</v>
      </c>
      <c r="P235" s="170">
        <f>+'[141]VENTAS TOTALES'!$E17</f>
        <v>579000</v>
      </c>
      <c r="Q235" s="171">
        <f>+'[141]VENTAS TOTALES'!$F17</f>
        <v>6177100</v>
      </c>
      <c r="R235" s="165">
        <f>+'[142]VENTAS TOTALES'!$D17</f>
        <v>1717</v>
      </c>
      <c r="S235" s="170">
        <f>+'[142]VENTAS TOTALES'!$E17</f>
        <v>313300</v>
      </c>
      <c r="T235" s="171">
        <f>+'[142]VENTAS TOTALES'!$F17</f>
        <v>3232200</v>
      </c>
      <c r="U235" s="165">
        <f>+'[143]VENTAS TOTALES'!$D17</f>
        <v>5353</v>
      </c>
      <c r="V235" s="170">
        <f>+'[143]VENTAS TOTALES'!$E17</f>
        <v>1602900</v>
      </c>
      <c r="W235" s="171">
        <f>+'[143]VENTAS TOTALES'!$F17</f>
        <v>10703000</v>
      </c>
      <c r="X235" s="165">
        <f>+'[144]VENTAS TOTALES'!$D17</f>
        <v>3992</v>
      </c>
      <c r="Y235" s="170">
        <f>+'[144]VENTAS TOTALES'!$E17</f>
        <v>1045800</v>
      </c>
      <c r="Z235" s="171">
        <f>+'[144]VENTAS TOTALES'!$F17</f>
        <v>7832200</v>
      </c>
      <c r="AA235" s="165">
        <f>+'[145]VENTAS TOTALES'!$D17</f>
        <v>3700</v>
      </c>
      <c r="AB235" s="170">
        <f>+'[145]VENTAS TOTALES'!$E17</f>
        <v>635300</v>
      </c>
      <c r="AC235" s="171">
        <f>+'[145]VENTAS TOTALES'!$F17</f>
        <v>6925300</v>
      </c>
      <c r="AD235" s="165">
        <f>+'[146]VENTAS TOTALES'!$D17</f>
        <v>3750</v>
      </c>
      <c r="AE235" s="170">
        <f>+'[146]VENTAS TOTALES'!$E17</f>
        <v>711500</v>
      </c>
      <c r="AF235" s="171">
        <f>+'[146]VENTAS TOTALES'!$F17</f>
        <v>7086500</v>
      </c>
      <c r="AG235" s="165">
        <f>+'[147]VENTAS TOTALES'!$D17</f>
        <v>3690</v>
      </c>
      <c r="AH235" s="170">
        <f>+'[147]VENTAS TOTALES'!$E17</f>
        <v>801500</v>
      </c>
      <c r="AI235" s="171">
        <f>+'[147]VENTAS TOTALES'!$F17</f>
        <v>7074500</v>
      </c>
      <c r="AJ235" s="165">
        <f>+'[148]VENTAS TOTALES'!$D17</f>
        <v>2984</v>
      </c>
      <c r="AK235" s="170">
        <f>+'[148]VENTAS TOTALES'!$E17</f>
        <v>459100</v>
      </c>
      <c r="AL235" s="171">
        <f>+'[148]VENTAS TOTALES'!$F17</f>
        <v>5531900</v>
      </c>
      <c r="AM235" s="165">
        <f>+'[149]VENTAS TOTALES'!$D17</f>
        <v>1454</v>
      </c>
      <c r="AN235" s="170">
        <f>+'[149]VENTAS TOTALES'!$E17</f>
        <v>267600</v>
      </c>
      <c r="AO235" s="171">
        <f>+'[149]VENTAS TOTALES'!$F17</f>
        <v>2739400</v>
      </c>
      <c r="AP235" s="165">
        <f>+'[150]VENTAS TOTALES'!$D17</f>
        <v>3588</v>
      </c>
      <c r="AQ235" s="170">
        <f>+'[150]VENTAS TOTALES'!$E17</f>
        <v>711900</v>
      </c>
      <c r="AR235" s="171">
        <f>+'[150]VENTAS TOTALES'!$F17</f>
        <v>6811500</v>
      </c>
      <c r="AS235" s="165">
        <f>+'[151]VENTAS TOTALES'!$D17</f>
        <v>280</v>
      </c>
      <c r="AT235" s="170">
        <f>+'[151]VENTAS TOTALES'!$E17</f>
        <v>254500</v>
      </c>
      <c r="AU235" s="171">
        <f>+'[151]VENTAS TOTALES'!$F17</f>
        <v>730500</v>
      </c>
      <c r="AV235" s="165">
        <f>+'[152]VENTAS TOTALES'!$D17</f>
        <v>1506</v>
      </c>
      <c r="AW235" s="170">
        <f>+'[152]VENTAS TOTALES'!$E17</f>
        <v>945900</v>
      </c>
      <c r="AX235" s="171">
        <f>+'[152]VENTAS TOTALES'!$F17</f>
        <v>3506100</v>
      </c>
      <c r="AY235" s="165">
        <f>+'[153]VENTAS TOTALES'!$D17</f>
        <v>1767</v>
      </c>
      <c r="AZ235" s="170">
        <f>+'[153]VENTAS TOTALES'!$E17</f>
        <v>524400</v>
      </c>
      <c r="BA235" s="171">
        <f>+'[153]VENTAS TOTALES'!$F17</f>
        <v>3528300</v>
      </c>
      <c r="BB235" s="165">
        <f>+'[154]VENTAS TOTALES'!$D17</f>
        <v>3152</v>
      </c>
      <c r="BC235" s="170">
        <f>+'[154]VENTAS TOTALES'!$E17</f>
        <v>689400</v>
      </c>
      <c r="BD235" s="171">
        <f>+'[154]VENTAS TOTALES'!$F17</f>
        <v>6047800</v>
      </c>
      <c r="BE235" s="165">
        <f>+'[155]VENTAS TOTALES'!$D17</f>
        <v>3032</v>
      </c>
      <c r="BF235" s="170">
        <f>+'[155]VENTAS TOTALES'!$E17</f>
        <v>604600</v>
      </c>
      <c r="BG235" s="171">
        <f>+'[155]VENTAS TOTALES'!$F17</f>
        <v>5759000</v>
      </c>
      <c r="BH235" s="165">
        <f>+'[156]VENTAS TOTALES'!$D17</f>
        <v>1593</v>
      </c>
      <c r="BI235" s="170">
        <f>+'[156]VENTAS TOTALES'!$E17</f>
        <v>173000</v>
      </c>
      <c r="BJ235" s="171">
        <f>+'[156]VENTAS TOTALES'!$F17</f>
        <v>2881100</v>
      </c>
      <c r="BK235" s="165">
        <f>+'[157]VENTAS TOTALES'!$D17</f>
        <v>4486</v>
      </c>
      <c r="BL235" s="170">
        <f>+'[157]VENTAS TOTALES'!$E17</f>
        <v>1502800</v>
      </c>
      <c r="BM235" s="171">
        <f>+'[157]VENTAS TOTALES'!$F17</f>
        <v>9129000</v>
      </c>
      <c r="BN235" s="165">
        <f>+'[158]VENTAS TOTALES'!$D17</f>
        <v>4034</v>
      </c>
      <c r="BO235" s="170">
        <f>+'[158]VENTAS TOTALES'!$E17</f>
        <v>927400</v>
      </c>
      <c r="BP235" s="171">
        <f>+'[158]VENTAS TOTALES'!$F17</f>
        <v>7785200</v>
      </c>
      <c r="BQ235" s="165">
        <f>+'[159]VENTAS TOTALES'!$D17</f>
        <v>3678</v>
      </c>
      <c r="BR235" s="170">
        <f>+'[159]VENTAS TOTALES'!$E17</f>
        <v>851800</v>
      </c>
      <c r="BS235" s="171">
        <f>+'[159]VENTAS TOTALES'!$F17</f>
        <v>7104400</v>
      </c>
      <c r="BT235" s="165">
        <f>+'[160]VENTAS TOTALES'!$D17</f>
        <v>3485</v>
      </c>
      <c r="BU235" s="170">
        <f>+'[160]VENTAS TOTALES'!$E17</f>
        <v>582400</v>
      </c>
      <c r="BV235" s="171">
        <f>+'[160]VENTAS TOTALES'!$F17</f>
        <v>6506900</v>
      </c>
      <c r="BW235" s="165">
        <f>+'[161]VENTAS TOTALES'!$D17</f>
        <v>3520</v>
      </c>
      <c r="BX235" s="170">
        <f>+'[161]VENTAS TOTALES'!$E17</f>
        <v>930700</v>
      </c>
      <c r="BY235" s="171">
        <f>+'[161]VENTAS TOTALES'!$F17</f>
        <v>6914700</v>
      </c>
      <c r="BZ235" s="165">
        <f>+'[162]VENTAS TOTALES'!$D17</f>
        <v>3150</v>
      </c>
      <c r="CA235" s="170">
        <f>+'[162]VENTAS TOTALES'!$E17</f>
        <v>596300</v>
      </c>
      <c r="CB235" s="171">
        <f>+'[162]VENTAS TOTALES'!$F17</f>
        <v>5951300</v>
      </c>
      <c r="CC235" s="165">
        <f>+'[163]VENTAS TOTALES'!$D17</f>
        <v>1679</v>
      </c>
      <c r="CD235" s="170">
        <f>+'[163]VENTAS TOTALES'!$E17</f>
        <v>194900</v>
      </c>
      <c r="CE235" s="171">
        <f>+'[163]VENTAS TOTALES'!$F17</f>
        <v>3049200</v>
      </c>
      <c r="CF235" s="165">
        <f>+'[164]VENTAS TOTALES'!$D17</f>
        <v>5118</v>
      </c>
      <c r="CG235" s="170">
        <f>+'[164]VENTAS TOTALES'!$E17</f>
        <v>1657700</v>
      </c>
      <c r="CH235" s="171">
        <f>+'[164]VENTAS TOTALES'!$F17</f>
        <v>10358300</v>
      </c>
      <c r="CI235" s="165">
        <f>+'[165]VENTAS TOTALES'!$D17</f>
        <v>4674</v>
      </c>
      <c r="CJ235" s="170">
        <f>+'[165]VENTAS TOTALES'!$E17</f>
        <v>2034150</v>
      </c>
      <c r="CK235" s="171">
        <f>+'[165]VENTAS TOTALES'!$F17</f>
        <v>9979950</v>
      </c>
      <c r="CL235" s="165">
        <f>+'[166]VENTAS TOTALES'!$D17</f>
        <v>4530</v>
      </c>
      <c r="CM235" s="170">
        <f>+'[166]VENTAS TOTALES'!$E17</f>
        <v>1862700</v>
      </c>
      <c r="CN235" s="171">
        <f>+'[166]VENTAS TOTALES'!$F17</f>
        <v>9563700</v>
      </c>
      <c r="CO235" s="165">
        <f>+'[167]VENTAS TOTALES'!$D17</f>
        <v>4093</v>
      </c>
      <c r="CP235" s="170">
        <f>+'[167]VENTAS TOTALES'!$E17</f>
        <v>1007600</v>
      </c>
      <c r="CQ235" s="171">
        <f>+'[167]VENTAS TOTALES'!$F17</f>
        <v>7965700</v>
      </c>
      <c r="CR235" s="165">
        <f>+'[168]VENTAS TOTALES'!$D17</f>
        <v>3776</v>
      </c>
      <c r="CS235" s="170">
        <f>+'[168]VENTAS TOTALES'!$E17</f>
        <v>684300</v>
      </c>
      <c r="CT235" s="171">
        <f>+'[168]VENTAS TOTALES'!$F17</f>
        <v>7103500</v>
      </c>
      <c r="CU235" s="165">
        <f>+'[169]VENTAS TOTALES'!$D17</f>
        <v>3171</v>
      </c>
      <c r="CV235" s="170">
        <f>+'[169]VENTAS TOTALES'!$E17</f>
        <v>877000</v>
      </c>
      <c r="CW235" s="171">
        <f>+'[169]VENTAS TOTALES'!$F17</f>
        <v>6267700</v>
      </c>
      <c r="CX235" s="165">
        <f>+'[170]VENTAS TOTALES'!$D17</f>
        <v>1635</v>
      </c>
      <c r="CY235" s="170">
        <f>+'[170]VENTAS TOTALES'!$E17</f>
        <v>500300</v>
      </c>
      <c r="CZ235" s="171">
        <f>+'[170]VENTAS TOTALES'!$F17</f>
        <v>3279800</v>
      </c>
    </row>
    <row r="236" spans="1:104" s="10" customFormat="1" x14ac:dyDescent="0.2">
      <c r="A236" s="471"/>
      <c r="B236" s="53" t="s">
        <v>192</v>
      </c>
      <c r="C236" s="165">
        <f>+'[137]VENTAS TOTALES'!$D18</f>
        <v>9845</v>
      </c>
      <c r="D236" s="170">
        <f>+'[137]VENTAS TOTALES'!$E18</f>
        <v>3539400</v>
      </c>
      <c r="E236" s="171">
        <f>+'[137]VENTAS TOTALES'!$F18</f>
        <v>20275900</v>
      </c>
      <c r="F236" s="165">
        <f>+'[138]VENTAS TOTALES'!$D18</f>
        <v>9348</v>
      </c>
      <c r="G236" s="170">
        <f>+'[138]VENTAS TOTALES'!$E18</f>
        <v>3182900</v>
      </c>
      <c r="H236" s="171">
        <f>+'[138]VENTAS TOTALES'!$F18</f>
        <v>19074500</v>
      </c>
      <c r="I236" s="165">
        <f>+'[139]VENTAS TOTALES'!$D18</f>
        <v>6817</v>
      </c>
      <c r="J236" s="170">
        <f>+'[139]VENTAS TOTALES'!$E18</f>
        <v>1848700</v>
      </c>
      <c r="K236" s="171">
        <f>+'[139]VENTAS TOTALES'!$F18</f>
        <v>13437600</v>
      </c>
      <c r="L236" s="165">
        <f>+'[140]VENTAS TOTALES'!$D18</f>
        <v>7047</v>
      </c>
      <c r="M236" s="170">
        <f>+'[140]VENTAS TOTALES'!$E18</f>
        <v>1790950</v>
      </c>
      <c r="N236" s="171">
        <f>+'[140]VENTAS TOTALES'!$F18</f>
        <v>13770850</v>
      </c>
      <c r="O236" s="165">
        <f>+'[141]VENTAS TOTALES'!$D18</f>
        <v>5863</v>
      </c>
      <c r="P236" s="170">
        <f>+'[141]VENTAS TOTALES'!$E18</f>
        <v>1082600</v>
      </c>
      <c r="Q236" s="171">
        <f>+'[141]VENTAS TOTALES'!$F18</f>
        <v>11049700</v>
      </c>
      <c r="R236" s="165">
        <f>+'[142]VENTAS TOTALES'!$D18</f>
        <v>3742</v>
      </c>
      <c r="S236" s="170">
        <f>+'[142]VENTAS TOTALES'!$E18</f>
        <v>1020200</v>
      </c>
      <c r="T236" s="171">
        <f>+'[142]VENTAS TOTALES'!$F18</f>
        <v>7381600</v>
      </c>
      <c r="U236" s="165">
        <f>+'[143]VENTAS TOTALES'!$D18</f>
        <v>10661</v>
      </c>
      <c r="V236" s="170">
        <f>+'[143]VENTAS TOTALES'!$E18</f>
        <v>3130100</v>
      </c>
      <c r="W236" s="171">
        <f>+'[143]VENTAS TOTALES'!$F18</f>
        <v>21253800</v>
      </c>
      <c r="X236" s="165">
        <f>+'[144]VENTAS TOTALES'!$D18</f>
        <v>8256</v>
      </c>
      <c r="Y236" s="170">
        <f>+'[144]VENTAS TOTALES'!$E18</f>
        <v>1756500</v>
      </c>
      <c r="Z236" s="171">
        <f>+'[144]VENTAS TOTALES'!$F18</f>
        <v>15791700</v>
      </c>
      <c r="AA236" s="165">
        <f>+'[145]VENTAS TOTALES'!$D18</f>
        <v>7531</v>
      </c>
      <c r="AB236" s="170">
        <f>+'[145]VENTAS TOTALES'!$E18</f>
        <v>1643800</v>
      </c>
      <c r="AC236" s="171">
        <f>+'[145]VENTAS TOTALES'!$F18</f>
        <v>14446500</v>
      </c>
      <c r="AD236" s="165">
        <f>+'[146]VENTAS TOTALES'!$D18</f>
        <v>7553</v>
      </c>
      <c r="AE236" s="170">
        <f>+'[146]VENTAS TOTALES'!$E18</f>
        <v>2048700</v>
      </c>
      <c r="AF236" s="171">
        <f>+'[146]VENTAS TOTALES'!$F18</f>
        <v>14888800</v>
      </c>
      <c r="AG236" s="165">
        <f>+'[147]VENTAS TOTALES'!$D18</f>
        <v>6957</v>
      </c>
      <c r="AH236" s="170">
        <f>+'[147]VENTAS TOTALES'!$E18</f>
        <v>1898700</v>
      </c>
      <c r="AI236" s="171">
        <f>+'[147]VENTAS TOTALES'!$F18</f>
        <v>13725600</v>
      </c>
      <c r="AJ236" s="165">
        <f>+'[148]VENTAS TOTALES'!$D18</f>
        <v>5796</v>
      </c>
      <c r="AK236" s="170">
        <f>+'[148]VENTAS TOTALES'!$E18</f>
        <v>1154800</v>
      </c>
      <c r="AL236" s="171">
        <f>+'[148]VENTAS TOTALES'!$F18</f>
        <v>11008000</v>
      </c>
      <c r="AM236" s="165">
        <f>+'[149]VENTAS TOTALES'!$D18</f>
        <v>3534</v>
      </c>
      <c r="AN236" s="170">
        <f>+'[149]VENTAS TOTALES'!$E18</f>
        <v>685500</v>
      </c>
      <c r="AO236" s="171">
        <f>+'[149]VENTAS TOTALES'!$F18</f>
        <v>6693300</v>
      </c>
      <c r="AP236" s="165">
        <f>+'[150]VENTAS TOTALES'!$D18</f>
        <v>7644</v>
      </c>
      <c r="AQ236" s="170">
        <f>+'[150]VENTAS TOTALES'!$E18</f>
        <v>1889700</v>
      </c>
      <c r="AR236" s="171">
        <f>+'[150]VENTAS TOTALES'!$F18</f>
        <v>14884500</v>
      </c>
      <c r="AS236" s="165">
        <f>+'[151]VENTAS TOTALES'!$D18</f>
        <v>0</v>
      </c>
      <c r="AT236" s="170">
        <f>+'[151]VENTAS TOTALES'!$E18</f>
        <v>0</v>
      </c>
      <c r="AU236" s="171">
        <f>+'[151]VENTAS TOTALES'!$F18</f>
        <v>0</v>
      </c>
      <c r="AV236" s="165">
        <f>+'[152]VENTAS TOTALES'!$D18</f>
        <v>0</v>
      </c>
      <c r="AW236" s="170">
        <f>+'[152]VENTAS TOTALES'!$E18</f>
        <v>0</v>
      </c>
      <c r="AX236" s="171">
        <f>+'[152]VENTAS TOTALES'!$F18</f>
        <v>0</v>
      </c>
      <c r="AY236" s="165">
        <f>+'[153]VENTAS TOTALES'!$D18</f>
        <v>0</v>
      </c>
      <c r="AZ236" s="170">
        <f>+'[153]VENTAS TOTALES'!$E18</f>
        <v>0</v>
      </c>
      <c r="BA236" s="171">
        <f>+'[153]VENTAS TOTALES'!$F18</f>
        <v>0</v>
      </c>
      <c r="BB236" s="165">
        <f>+'[154]VENTAS TOTALES'!$D18</f>
        <v>7202</v>
      </c>
      <c r="BC236" s="170">
        <f>+'[154]VENTAS TOTALES'!$E18</f>
        <v>1473550</v>
      </c>
      <c r="BD236" s="171">
        <f>+'[154]VENTAS TOTALES'!$F18</f>
        <v>13716950</v>
      </c>
      <c r="BE236" s="165">
        <f>+'[155]VENTAS TOTALES'!$D18</f>
        <v>5899</v>
      </c>
      <c r="BF236" s="170">
        <f>+'[155]VENTAS TOTALES'!$E18</f>
        <v>1216700</v>
      </c>
      <c r="BG236" s="171">
        <f>+'[155]VENTAS TOTALES'!$F18</f>
        <v>11245000</v>
      </c>
      <c r="BH236" s="165">
        <f>+'[156]VENTAS TOTALES'!$D18</f>
        <v>3893</v>
      </c>
      <c r="BI236" s="170">
        <f>+'[156]VENTAS TOTALES'!$E18</f>
        <v>1137600</v>
      </c>
      <c r="BJ236" s="171">
        <f>+'[156]VENTAS TOTALES'!$F18</f>
        <v>7755700</v>
      </c>
      <c r="BK236" s="165">
        <f>+'[157]VENTAS TOTALES'!$D18</f>
        <v>9820</v>
      </c>
      <c r="BL236" s="170">
        <f>+'[157]VENTAS TOTALES'!$E18</f>
        <v>3078600</v>
      </c>
      <c r="BM236" s="171">
        <f>+'[157]VENTAS TOTALES'!$F18</f>
        <v>19772600</v>
      </c>
      <c r="BN236" s="165">
        <f>+'[158]VENTAS TOTALES'!$D18</f>
        <v>7956</v>
      </c>
      <c r="BO236" s="170">
        <f>+'[158]VENTAS TOTALES'!$E18</f>
        <v>2111600</v>
      </c>
      <c r="BP236" s="171">
        <f>+'[158]VENTAS TOTALES'!$F18</f>
        <v>15636800</v>
      </c>
      <c r="BQ236" s="165">
        <f>+'[159]VENTAS TOTALES'!$D18</f>
        <v>7399</v>
      </c>
      <c r="BR236" s="170">
        <f>+'[159]VENTAS TOTALES'!$E18</f>
        <v>1947300</v>
      </c>
      <c r="BS236" s="171">
        <f>+'[159]VENTAS TOTALES'!$F18</f>
        <v>14525600</v>
      </c>
      <c r="BT236" s="165">
        <f>+'[160]VENTAS TOTALES'!$D18</f>
        <v>6994</v>
      </c>
      <c r="BU236" s="170">
        <f>+'[160]VENTAS TOTALES'!$E18</f>
        <v>1567850</v>
      </c>
      <c r="BV236" s="171">
        <f>+'[160]VENTAS TOTALES'!$F18</f>
        <v>13457650</v>
      </c>
      <c r="BW236" s="165">
        <f>+'[161]VENTAS TOTALES'!$D18</f>
        <v>6996</v>
      </c>
      <c r="BX236" s="170">
        <f>+'[161]VENTAS TOTALES'!$E18</f>
        <v>1596400</v>
      </c>
      <c r="BY236" s="171">
        <f>+'[161]VENTAS TOTALES'!$F18</f>
        <v>13489600</v>
      </c>
      <c r="BZ236" s="165">
        <f>+'[162]VENTAS TOTALES'!$D18</f>
        <v>6024</v>
      </c>
      <c r="CA236" s="170">
        <f>+'[162]VENTAS TOTALES'!$E18</f>
        <v>1148500</v>
      </c>
      <c r="CB236" s="171">
        <f>+'[162]VENTAS TOTALES'!$F18</f>
        <v>11389300</v>
      </c>
      <c r="CC236" s="165">
        <f>+'[163]VENTAS TOTALES'!$D18</f>
        <v>4237</v>
      </c>
      <c r="CD236" s="170">
        <f>+'[163]VENTAS TOTALES'!$E18</f>
        <v>1188100</v>
      </c>
      <c r="CE236" s="171">
        <f>+'[163]VENTAS TOTALES'!$F18</f>
        <v>8391000</v>
      </c>
      <c r="CF236" s="165">
        <f>+'[164]VENTAS TOTALES'!$D18</f>
        <v>11333</v>
      </c>
      <c r="CG236" s="170">
        <f>+'[164]VENTAS TOTALES'!$E18</f>
        <v>4973550</v>
      </c>
      <c r="CH236" s="171">
        <f>+'[164]VENTAS TOTALES'!$F18</f>
        <v>24239650</v>
      </c>
      <c r="CI236" s="165">
        <f>+'[165]VENTAS TOTALES'!$D18</f>
        <v>10171</v>
      </c>
      <c r="CJ236" s="170">
        <f>+'[165]VENTAS TOTALES'!$E18</f>
        <v>3696900</v>
      </c>
      <c r="CK236" s="171">
        <f>+'[165]VENTAS TOTALES'!$F18</f>
        <v>20987600</v>
      </c>
      <c r="CL236" s="165">
        <f>+'[166]VENTAS TOTALES'!$D18</f>
        <v>9751</v>
      </c>
      <c r="CM236" s="170">
        <f>+'[166]VENTAS TOTALES'!$E18</f>
        <v>3395900</v>
      </c>
      <c r="CN236" s="171">
        <f>+'[166]VENTAS TOTALES'!$F18</f>
        <v>19972600</v>
      </c>
      <c r="CO236" s="165">
        <f>+'[167]VENTAS TOTALES'!$D18</f>
        <v>7898</v>
      </c>
      <c r="CP236" s="170">
        <f>+'[167]VENTAS TOTALES'!$E18</f>
        <v>2468100</v>
      </c>
      <c r="CQ236" s="171">
        <f>+'[167]VENTAS TOTALES'!$F18</f>
        <v>15894700</v>
      </c>
      <c r="CR236" s="165">
        <f>+'[168]VENTAS TOTALES'!$D18</f>
        <v>7596</v>
      </c>
      <c r="CS236" s="170">
        <f>+'[168]VENTAS TOTALES'!$E18</f>
        <v>2086900</v>
      </c>
      <c r="CT236" s="171">
        <f>+'[168]VENTAS TOTALES'!$F18</f>
        <v>15000100</v>
      </c>
      <c r="CU236" s="165">
        <f>+'[169]VENTAS TOTALES'!$D18</f>
        <v>6053</v>
      </c>
      <c r="CV236" s="170">
        <f>+'[169]VENTAS TOTALES'!$E18</f>
        <v>1300800</v>
      </c>
      <c r="CW236" s="171">
        <f>+'[169]VENTAS TOTALES'!$F18</f>
        <v>11590900</v>
      </c>
      <c r="CX236" s="165">
        <f>+'[170]VENTAS TOTALES'!$D18</f>
        <v>4175</v>
      </c>
      <c r="CY236" s="170">
        <f>+'[170]VENTAS TOTALES'!$E18</f>
        <v>1033800</v>
      </c>
      <c r="CZ236" s="171">
        <f>+'[170]VENTAS TOTALES'!$F18</f>
        <v>8131300</v>
      </c>
    </row>
    <row r="237" spans="1:104" s="10" customFormat="1" x14ac:dyDescent="0.2">
      <c r="A237" s="471"/>
      <c r="B237" s="53" t="s">
        <v>193</v>
      </c>
      <c r="C237" s="165">
        <f>+'[137]VENTAS TOTALES'!$D19</f>
        <v>5243</v>
      </c>
      <c r="D237" s="170">
        <f>+'[137]VENTAS TOTALES'!$E19</f>
        <v>1764300</v>
      </c>
      <c r="E237" s="171">
        <f>+'[137]VENTAS TOTALES'!$F19</f>
        <v>10677400</v>
      </c>
      <c r="F237" s="165">
        <f>+'[138]VENTAS TOTALES'!$D19</f>
        <v>4805</v>
      </c>
      <c r="G237" s="170">
        <f>+'[138]VENTAS TOTALES'!$E19</f>
        <v>1355000</v>
      </c>
      <c r="H237" s="171">
        <f>+'[138]VENTAS TOTALES'!$F19</f>
        <v>9523500</v>
      </c>
      <c r="I237" s="165">
        <f>+'[139]VENTAS TOTALES'!$D19</f>
        <v>3898</v>
      </c>
      <c r="J237" s="170">
        <f>+'[139]VENTAS TOTALES'!$E19</f>
        <v>905300</v>
      </c>
      <c r="K237" s="171">
        <f>+'[139]VENTAS TOTALES'!$F19</f>
        <v>7531900</v>
      </c>
      <c r="L237" s="165">
        <f>+'[140]VENTAS TOTALES'!$D19</f>
        <v>3684</v>
      </c>
      <c r="M237" s="170">
        <f>+'[140]VENTAS TOTALES'!$E19</f>
        <v>896100</v>
      </c>
      <c r="N237" s="171">
        <f>+'[140]VENTAS TOTALES'!$F19</f>
        <v>7158900</v>
      </c>
      <c r="O237" s="165">
        <f>+'[141]VENTAS TOTALES'!$D19</f>
        <v>3034</v>
      </c>
      <c r="P237" s="170">
        <f>+'[141]VENTAS TOTALES'!$E19</f>
        <v>758300</v>
      </c>
      <c r="Q237" s="171">
        <f>+'[141]VENTAS TOTALES'!$F19</f>
        <v>5916100</v>
      </c>
      <c r="R237" s="165">
        <f>+'[142]VENTAS TOTALES'!$D19</f>
        <v>1633</v>
      </c>
      <c r="S237" s="170">
        <f>+'[142]VENTAS TOTALES'!$E19</f>
        <v>573300</v>
      </c>
      <c r="T237" s="171">
        <f>+'[142]VENTAS TOTALES'!$F19</f>
        <v>3349400</v>
      </c>
      <c r="U237" s="165">
        <f>+'[143]VENTAS TOTALES'!$D19</f>
        <v>5239</v>
      </c>
      <c r="V237" s="170">
        <f>+'[143]VENTAS TOTALES'!$E19</f>
        <v>1856000</v>
      </c>
      <c r="W237" s="171">
        <f>+'[143]VENTAS TOTALES'!$F19</f>
        <v>10762300</v>
      </c>
      <c r="X237" s="165">
        <f>+'[144]VENTAS TOTALES'!$D19</f>
        <v>4408</v>
      </c>
      <c r="Y237" s="170">
        <f>+'[144]VENTAS TOTALES'!$E19</f>
        <v>1179500</v>
      </c>
      <c r="Z237" s="171">
        <f>+'[144]VENTAS TOTALES'!$F19</f>
        <v>8673100</v>
      </c>
      <c r="AA237" s="165">
        <f>+'[145]VENTAS TOTALES'!$D19</f>
        <v>4487</v>
      </c>
      <c r="AB237" s="170">
        <f>+'[145]VENTAS TOTALES'!$E19</f>
        <v>987100</v>
      </c>
      <c r="AC237" s="171">
        <f>+'[145]VENTAS TOTALES'!$F19</f>
        <v>8615000</v>
      </c>
      <c r="AD237" s="165">
        <f>+'[146]VENTAS TOTALES'!$D19</f>
        <v>4177</v>
      </c>
      <c r="AE237" s="170">
        <f>+'[146]VENTAS TOTALES'!$E19</f>
        <v>1154500</v>
      </c>
      <c r="AF237" s="171">
        <f>+'[146]VENTAS TOTALES'!$F19</f>
        <v>8255400</v>
      </c>
      <c r="AG237" s="165">
        <f>+'[147]VENTAS TOTALES'!$D19</f>
        <v>3601</v>
      </c>
      <c r="AH237" s="170">
        <f>+'[147]VENTAS TOTALES'!$E19</f>
        <v>928400</v>
      </c>
      <c r="AI237" s="171">
        <f>+'[147]VENTAS TOTALES'!$F19</f>
        <v>7050100</v>
      </c>
      <c r="AJ237" s="165">
        <f>+'[148]VENTAS TOTALES'!$D19</f>
        <v>2938</v>
      </c>
      <c r="AK237" s="170">
        <f>+'[148]VENTAS TOTALES'!$E19</f>
        <v>573600</v>
      </c>
      <c r="AL237" s="171">
        <f>+'[148]VENTAS TOTALES'!$F19</f>
        <v>5568200</v>
      </c>
      <c r="AM237" s="165">
        <f>+'[149]VENTAS TOTALES'!$D19</f>
        <v>1484</v>
      </c>
      <c r="AN237" s="170">
        <f>+'[149]VENTAS TOTALES'!$E19</f>
        <v>357200</v>
      </c>
      <c r="AO237" s="171">
        <f>+'[149]VENTAS TOTALES'!$F19</f>
        <v>2880000</v>
      </c>
      <c r="AP237" s="165">
        <f>+'[150]VENTAS TOTALES'!$D19</f>
        <v>3833</v>
      </c>
      <c r="AQ237" s="170">
        <f>+'[150]VENTAS TOTALES'!$E19</f>
        <v>706100</v>
      </c>
      <c r="AR237" s="171">
        <f>+'[150]VENTAS TOTALES'!$F19</f>
        <v>7222200</v>
      </c>
      <c r="AS237" s="165">
        <f>+'[151]VENTAS TOTALES'!$D19</f>
        <v>0</v>
      </c>
      <c r="AT237" s="170">
        <f>+'[151]VENTAS TOTALES'!$E19</f>
        <v>5100</v>
      </c>
      <c r="AU237" s="171">
        <f>+'[151]VENTAS TOTALES'!$F19</f>
        <v>5100</v>
      </c>
      <c r="AV237" s="165">
        <f>+'[152]VENTAS TOTALES'!$D19</f>
        <v>0</v>
      </c>
      <c r="AW237" s="170">
        <f>+'[152]VENTAS TOTALES'!$E19</f>
        <v>0</v>
      </c>
      <c r="AX237" s="171">
        <f>+'[152]VENTAS TOTALES'!$F19</f>
        <v>0</v>
      </c>
      <c r="AY237" s="165">
        <f>+'[153]VENTAS TOTALES'!$D19</f>
        <v>0</v>
      </c>
      <c r="AZ237" s="170">
        <f>+'[153]VENTAS TOTALES'!$E19</f>
        <v>0</v>
      </c>
      <c r="BA237" s="171">
        <f>+'[153]VENTAS TOTALES'!$F19</f>
        <v>0</v>
      </c>
      <c r="BB237" s="165">
        <f>+'[154]VENTAS TOTALES'!$D19</f>
        <v>3735</v>
      </c>
      <c r="BC237" s="170">
        <f>+'[154]VENTAS TOTALES'!$E19</f>
        <v>984800</v>
      </c>
      <c r="BD237" s="171">
        <f>+'[154]VENTAS TOTALES'!$F19</f>
        <v>7334300</v>
      </c>
      <c r="BE237" s="165">
        <f>+'[155]VENTAS TOTALES'!$D19</f>
        <v>3003</v>
      </c>
      <c r="BF237" s="170">
        <f>+'[155]VENTAS TOTALES'!$E19</f>
        <v>693500</v>
      </c>
      <c r="BG237" s="171">
        <f>+'[155]VENTAS TOTALES'!$F19</f>
        <v>5798600</v>
      </c>
      <c r="BH237" s="165">
        <f>+'[156]VENTAS TOTALES'!$D19</f>
        <v>1760</v>
      </c>
      <c r="BI237" s="170">
        <f>+'[156]VENTAS TOTALES'!$E19</f>
        <v>305200</v>
      </c>
      <c r="BJ237" s="171">
        <f>+'[156]VENTAS TOTALES'!$F19</f>
        <v>3297200</v>
      </c>
      <c r="BK237" s="165">
        <f>+'[157]VENTAS TOTALES'!$D19</f>
        <v>5048</v>
      </c>
      <c r="BL237" s="170">
        <f>+'[157]VENTAS TOTALES'!$E19</f>
        <v>1618800</v>
      </c>
      <c r="BM237" s="171">
        <f>+'[157]VENTAS TOTALES'!$F19</f>
        <v>10200400</v>
      </c>
      <c r="BN237" s="165">
        <f>+'[158]VENTAS TOTALES'!$D19</f>
        <v>4215</v>
      </c>
      <c r="BO237" s="170">
        <f>+'[158]VENTAS TOTALES'!$E19</f>
        <v>1048000</v>
      </c>
      <c r="BP237" s="171">
        <f>+'[158]VENTAS TOTALES'!$F19</f>
        <v>8213500</v>
      </c>
      <c r="BQ237" s="165">
        <f>+'[159]VENTAS TOTALES'!$D19</f>
        <v>4029</v>
      </c>
      <c r="BR237" s="170">
        <f>+'[159]VENTAS TOTALES'!$E19</f>
        <v>959700</v>
      </c>
      <c r="BS237" s="171">
        <f>+'[159]VENTAS TOTALES'!$F19</f>
        <v>7809000</v>
      </c>
      <c r="BT237" s="165">
        <f>+'[160]VENTAS TOTALES'!$D19</f>
        <v>4218</v>
      </c>
      <c r="BU237" s="170">
        <f>+'[160]VENTAS TOTALES'!$E19</f>
        <v>1004900</v>
      </c>
      <c r="BV237" s="171">
        <f>+'[160]VENTAS TOTALES'!$F19</f>
        <v>8175500</v>
      </c>
      <c r="BW237" s="165">
        <f>+'[161]VENTAS TOTALES'!$D19</f>
        <v>3785</v>
      </c>
      <c r="BX237" s="170">
        <f>+'[161]VENTAS TOTALES'!$E19</f>
        <v>953800</v>
      </c>
      <c r="BY237" s="171">
        <f>+'[161]VENTAS TOTALES'!$F19</f>
        <v>7388300</v>
      </c>
      <c r="BZ237" s="165">
        <f>+'[162]VENTAS TOTALES'!$D19</f>
        <v>2939</v>
      </c>
      <c r="CA237" s="170">
        <f>+'[162]VENTAS TOTALES'!$E19</f>
        <v>501700</v>
      </c>
      <c r="CB237" s="171">
        <f>+'[162]VENTAS TOTALES'!$F19</f>
        <v>5498000</v>
      </c>
      <c r="CC237" s="165">
        <f>+'[163]VENTAS TOTALES'!$D19</f>
        <v>1800</v>
      </c>
      <c r="CD237" s="170">
        <f>+'[163]VENTAS TOTALES'!$E19</f>
        <v>380100</v>
      </c>
      <c r="CE237" s="171">
        <f>+'[163]VENTAS TOTALES'!$F19</f>
        <v>3440100</v>
      </c>
      <c r="CF237" s="165">
        <f>+'[164]VENTAS TOTALES'!$D19</f>
        <v>6204</v>
      </c>
      <c r="CG237" s="170">
        <f>+'[164]VENTAS TOTALES'!$E19</f>
        <v>2272200</v>
      </c>
      <c r="CH237" s="171">
        <f>+'[164]VENTAS TOTALES'!$F19</f>
        <v>12819000</v>
      </c>
      <c r="CI237" s="165">
        <f>+'[165]VENTAS TOTALES'!$D19</f>
        <v>5548</v>
      </c>
      <c r="CJ237" s="170">
        <f>+'[165]VENTAS TOTALES'!$E19</f>
        <v>2032400</v>
      </c>
      <c r="CK237" s="171">
        <f>+'[165]VENTAS TOTALES'!$F19</f>
        <v>11464000</v>
      </c>
      <c r="CL237" s="165">
        <f>+'[166]VENTAS TOTALES'!$D19</f>
        <v>5360</v>
      </c>
      <c r="CM237" s="170">
        <f>+'[166]VENTAS TOTALES'!$E19</f>
        <v>2106800</v>
      </c>
      <c r="CN237" s="171">
        <f>+'[166]VENTAS TOTALES'!$F19</f>
        <v>11218800</v>
      </c>
      <c r="CO237" s="165">
        <f>+'[167]VENTAS TOTALES'!$D19</f>
        <v>4614</v>
      </c>
      <c r="CP237" s="170">
        <f>+'[167]VENTAS TOTALES'!$E19</f>
        <v>1325400</v>
      </c>
      <c r="CQ237" s="171">
        <f>+'[167]VENTAS TOTALES'!$F19</f>
        <v>9169200</v>
      </c>
      <c r="CR237" s="165">
        <f>+'[168]VENTAS TOTALES'!$D19</f>
        <v>4195</v>
      </c>
      <c r="CS237" s="170">
        <f>+'[168]VENTAS TOTALES'!$E19</f>
        <v>927100</v>
      </c>
      <c r="CT237" s="171">
        <f>+'[168]VENTAS TOTALES'!$F19</f>
        <v>8058600</v>
      </c>
      <c r="CU237" s="165">
        <f>+'[169]VENTAS TOTALES'!$D19</f>
        <v>3313</v>
      </c>
      <c r="CV237" s="170">
        <f>+'[169]VENTAS TOTALES'!$E19</f>
        <v>595800</v>
      </c>
      <c r="CW237" s="171">
        <f>+'[169]VENTAS TOTALES'!$F19</f>
        <v>6227900</v>
      </c>
      <c r="CX237" s="165">
        <f>+'[170]VENTAS TOTALES'!$D19</f>
        <v>1822</v>
      </c>
      <c r="CY237" s="170">
        <f>+'[170]VENTAS TOTALES'!$E19</f>
        <v>361600</v>
      </c>
      <c r="CZ237" s="171">
        <f>+'[170]VENTAS TOTALES'!$F19</f>
        <v>3459000</v>
      </c>
    </row>
    <row r="238" spans="1:104" s="10" customFormat="1" x14ac:dyDescent="0.2">
      <c r="A238" s="471"/>
      <c r="B238" s="53" t="s">
        <v>156</v>
      </c>
      <c r="C238" s="165">
        <f>+'[137]VENTAS TOTALES'!$D20</f>
        <v>2772</v>
      </c>
      <c r="D238" s="170">
        <f>+'[137]VENTAS TOTALES'!$E20</f>
        <v>1870200</v>
      </c>
      <c r="E238" s="171">
        <f>+'[137]VENTAS TOTALES'!$F20</f>
        <v>6582600</v>
      </c>
      <c r="F238" s="165">
        <f>+'[138]VENTAS TOTALES'!$D20</f>
        <v>2803</v>
      </c>
      <c r="G238" s="170">
        <f>+'[138]VENTAS TOTALES'!$E20</f>
        <v>1517100</v>
      </c>
      <c r="H238" s="171">
        <f>+'[138]VENTAS TOTALES'!$F20</f>
        <v>6282200</v>
      </c>
      <c r="I238" s="165">
        <f>+'[139]VENTAS TOTALES'!$D20</f>
        <v>2358</v>
      </c>
      <c r="J238" s="170">
        <f>+'[139]VENTAS TOTALES'!$E20</f>
        <v>811600</v>
      </c>
      <c r="K238" s="171">
        <f>+'[139]VENTAS TOTALES'!$F20</f>
        <v>4820200</v>
      </c>
      <c r="L238" s="165">
        <f>+'[140]VENTAS TOTALES'!$D20</f>
        <v>2210</v>
      </c>
      <c r="M238" s="170">
        <f>+'[140]VENTAS TOTALES'!$E20</f>
        <v>671600</v>
      </c>
      <c r="N238" s="171">
        <f>+'[140]VENTAS TOTALES'!$F20</f>
        <v>4428600</v>
      </c>
      <c r="O238" s="165">
        <f>+'[141]VENTAS TOTALES'!$D20</f>
        <v>1687</v>
      </c>
      <c r="P238" s="170">
        <f>+'[141]VENTAS TOTALES'!$E20</f>
        <v>458500</v>
      </c>
      <c r="Q238" s="171">
        <f>+'[141]VENTAS TOTALES'!$F20</f>
        <v>3326400</v>
      </c>
      <c r="R238" s="165">
        <f>+'[142]VENTAS TOTALES'!$D20</f>
        <v>617</v>
      </c>
      <c r="S238" s="170">
        <f>+'[142]VENTAS TOTALES'!$E20</f>
        <v>206800</v>
      </c>
      <c r="T238" s="171">
        <f>+'[142]VENTAS TOTALES'!$F20</f>
        <v>1255700</v>
      </c>
      <c r="U238" s="165">
        <f>+'[143]VENTAS TOTALES'!$D20</f>
        <v>3112</v>
      </c>
      <c r="V238" s="170">
        <f>+'[143]VENTAS TOTALES'!$E20</f>
        <v>1694300</v>
      </c>
      <c r="W238" s="171">
        <f>+'[143]VENTAS TOTALES'!$F20</f>
        <v>6984700</v>
      </c>
      <c r="X238" s="165">
        <f>+'[144]VENTAS TOTALES'!$D20</f>
        <v>2544</v>
      </c>
      <c r="Y238" s="170">
        <f>+'[144]VENTAS TOTALES'!$E20</f>
        <v>819100</v>
      </c>
      <c r="Z238" s="171">
        <f>+'[144]VENTAS TOTALES'!$F20</f>
        <v>5143900</v>
      </c>
      <c r="AA238" s="165">
        <f>+'[145]VENTAS TOTALES'!$D20</f>
        <v>2606</v>
      </c>
      <c r="AB238" s="170">
        <f>+'[145]VENTAS TOTALES'!$E20</f>
        <v>885400</v>
      </c>
      <c r="AC238" s="171">
        <f>+'[145]VENTAS TOTALES'!$F20</f>
        <v>5315600</v>
      </c>
      <c r="AD238" s="165">
        <f>+'[146]VENTAS TOTALES'!$D20</f>
        <v>2535</v>
      </c>
      <c r="AE238" s="170">
        <f>+'[146]VENTAS TOTALES'!$E20</f>
        <v>1118600</v>
      </c>
      <c r="AF238" s="171">
        <f>+'[146]VENTAS TOTALES'!$F20</f>
        <v>5428100</v>
      </c>
      <c r="AG238" s="165">
        <f>+'[147]VENTAS TOTALES'!$D20</f>
        <v>2286</v>
      </c>
      <c r="AH238" s="170">
        <f>+'[147]VENTAS TOTALES'!$E20</f>
        <v>756700</v>
      </c>
      <c r="AI238" s="171">
        <f>+'[147]VENTAS TOTALES'!$F20</f>
        <v>4642900</v>
      </c>
      <c r="AJ238" s="165">
        <f>+'[148]VENTAS TOTALES'!$D20</f>
        <v>1571</v>
      </c>
      <c r="AK238" s="170">
        <f>+'[148]VENTAS TOTALES'!$E20</f>
        <v>538000</v>
      </c>
      <c r="AL238" s="171">
        <f>+'[148]VENTAS TOTALES'!$F20</f>
        <v>3208700</v>
      </c>
      <c r="AM238" s="165">
        <f>+'[149]VENTAS TOTALES'!$D20</f>
        <v>716</v>
      </c>
      <c r="AN238" s="170">
        <f>+'[149]VENTAS TOTALES'!$E20</f>
        <v>258500</v>
      </c>
      <c r="AO238" s="171">
        <f>+'[149]VENTAS TOTALES'!$F20</f>
        <v>1475700</v>
      </c>
      <c r="AP238" s="165">
        <f>+'[150]VENTAS TOTALES'!$D20</f>
        <v>2717</v>
      </c>
      <c r="AQ238" s="170">
        <f>+'[150]VENTAS TOTALES'!$E20</f>
        <v>1016300</v>
      </c>
      <c r="AR238" s="171">
        <f>+'[150]VENTAS TOTALES'!$F20</f>
        <v>5635200</v>
      </c>
      <c r="AS238" s="165">
        <f>+'[151]VENTAS TOTALES'!$D20</f>
        <v>8303</v>
      </c>
      <c r="AT238" s="170">
        <f>+'[151]VENTAS TOTALES'!$E20</f>
        <v>1982700</v>
      </c>
      <c r="AU238" s="171">
        <f>+'[151]VENTAS TOTALES'!$F20</f>
        <v>16097800</v>
      </c>
      <c r="AV238" s="165">
        <f>+'[152]VENTAS TOTALES'!$D20</f>
        <v>9585</v>
      </c>
      <c r="AW238" s="170">
        <f>+'[152]VENTAS TOTALES'!$E20</f>
        <v>3458800</v>
      </c>
      <c r="AX238" s="171">
        <f>+'[152]VENTAS TOTALES'!$F20</f>
        <v>19753300</v>
      </c>
      <c r="AY238" s="165">
        <f>+'[153]VENTAS TOTALES'!$D20</f>
        <v>9049</v>
      </c>
      <c r="AZ238" s="170">
        <f>+'[153]VENTAS TOTALES'!$E20</f>
        <v>2639350</v>
      </c>
      <c r="BA238" s="171">
        <f>+'[153]VENTAS TOTALES'!$F20</f>
        <v>18022650</v>
      </c>
      <c r="BB238" s="165">
        <f>+'[154]VENTAS TOTALES'!$D20</f>
        <v>2299</v>
      </c>
      <c r="BC238" s="170">
        <f>+'[154]VENTAS TOTALES'!$E20</f>
        <v>1055300</v>
      </c>
      <c r="BD238" s="171">
        <f>+'[154]VENTAS TOTALES'!$F20</f>
        <v>4963600</v>
      </c>
      <c r="BE238" s="165">
        <f>+'[155]VENTAS TOTALES'!$D20</f>
        <v>1749</v>
      </c>
      <c r="BF238" s="170">
        <f>+'[155]VENTAS TOTALES'!$E20</f>
        <v>532700</v>
      </c>
      <c r="BG238" s="171">
        <f>+'[155]VENTAS TOTALES'!$F20</f>
        <v>3506000</v>
      </c>
      <c r="BH238" s="165">
        <f>+'[156]VENTAS TOTALES'!$D20</f>
        <v>699</v>
      </c>
      <c r="BI238" s="170">
        <f>+'[156]VENTAS TOTALES'!$E20</f>
        <v>279200</v>
      </c>
      <c r="BJ238" s="171">
        <f>+'[156]VENTAS TOTALES'!$F20</f>
        <v>1467500</v>
      </c>
      <c r="BK238" s="165">
        <f>+'[157]VENTAS TOTALES'!$D20</f>
        <v>3139</v>
      </c>
      <c r="BL238" s="170">
        <f>+'[157]VENTAS TOTALES'!$E20</f>
        <v>1648050</v>
      </c>
      <c r="BM238" s="171">
        <f>+'[157]VENTAS TOTALES'!$F20</f>
        <v>6984350</v>
      </c>
      <c r="BN238" s="165">
        <f>+'[158]VENTAS TOTALES'!$D20</f>
        <v>2635</v>
      </c>
      <c r="BO238" s="170">
        <f>+'[158]VENTAS TOTALES'!$E20</f>
        <v>1122700</v>
      </c>
      <c r="BP238" s="171">
        <f>+'[158]VENTAS TOTALES'!$F20</f>
        <v>5602200</v>
      </c>
      <c r="BQ238" s="165">
        <f>+'[159]VENTAS TOTALES'!$D20</f>
        <v>2537</v>
      </c>
      <c r="BR238" s="170">
        <f>+'[159]VENTAS TOTALES'!$E20</f>
        <v>967500</v>
      </c>
      <c r="BS238" s="171">
        <f>+'[159]VENTAS TOTALES'!$F20</f>
        <v>5280400</v>
      </c>
      <c r="BT238" s="165">
        <f>+'[160]VENTAS TOTALES'!$D20</f>
        <v>2310</v>
      </c>
      <c r="BU238" s="170">
        <f>+'[160]VENTAS TOTALES'!$E20</f>
        <v>928400</v>
      </c>
      <c r="BV238" s="171">
        <f>+'[160]VENTAS TOTALES'!$F20</f>
        <v>4855400</v>
      </c>
      <c r="BW238" s="165">
        <f>+'[161]VENTAS TOTALES'!$D20</f>
        <v>2336</v>
      </c>
      <c r="BX238" s="170">
        <f>+'[161]VENTAS TOTALES'!$E20</f>
        <v>770300</v>
      </c>
      <c r="BY238" s="171">
        <f>+'[161]VENTAS TOTALES'!$F20</f>
        <v>4741500</v>
      </c>
      <c r="BZ238" s="165">
        <f>+'[162]VENTAS TOTALES'!$D20</f>
        <v>1661</v>
      </c>
      <c r="CA238" s="170">
        <f>+'[162]VENTAS TOTALES'!$E20</f>
        <v>477900</v>
      </c>
      <c r="CB238" s="171">
        <f>+'[162]VENTAS TOTALES'!$F20</f>
        <v>3301600</v>
      </c>
      <c r="CC238" s="165">
        <f>+'[163]VENTAS TOTALES'!$D20</f>
        <v>830</v>
      </c>
      <c r="CD238" s="170">
        <f>+'[163]VENTAS TOTALES'!$E20</f>
        <v>154400</v>
      </c>
      <c r="CE238" s="171">
        <f>+'[163]VENTAS TOTALES'!$F20</f>
        <v>1565400</v>
      </c>
      <c r="CF238" s="165">
        <f>+'[164]VENTAS TOTALES'!$D20</f>
        <v>3305</v>
      </c>
      <c r="CG238" s="170">
        <f>+'[164]VENTAS TOTALES'!$E20</f>
        <v>2388000</v>
      </c>
      <c r="CH238" s="171">
        <f>+'[164]VENTAS TOTALES'!$F20</f>
        <v>8006500</v>
      </c>
      <c r="CI238" s="165">
        <f>+'[165]VENTAS TOTALES'!$D20</f>
        <v>3160</v>
      </c>
      <c r="CJ238" s="170">
        <f>+'[165]VENTAS TOTALES'!$E20</f>
        <v>2148400</v>
      </c>
      <c r="CK238" s="171">
        <f>+'[165]VENTAS TOTALES'!$F20</f>
        <v>7520400</v>
      </c>
      <c r="CL238" s="165">
        <f>+'[166]VENTAS TOTALES'!$D20</f>
        <v>2534</v>
      </c>
      <c r="CM238" s="170">
        <f>+'[166]VENTAS TOTALES'!$E20</f>
        <v>1286900</v>
      </c>
      <c r="CN238" s="171">
        <f>+'[166]VENTAS TOTALES'!$F20</f>
        <v>5594700</v>
      </c>
      <c r="CO238" s="165">
        <f>+'[167]VENTAS TOTALES'!$D20</f>
        <v>2611</v>
      </c>
      <c r="CP238" s="170">
        <f>+'[167]VENTAS TOTALES'!$E20</f>
        <v>1304050</v>
      </c>
      <c r="CQ238" s="171">
        <f>+'[167]VENTAS TOTALES'!$F20</f>
        <v>5742750</v>
      </c>
      <c r="CR238" s="165">
        <f>+'[168]VENTAS TOTALES'!$D20</f>
        <v>2367</v>
      </c>
      <c r="CS238" s="170">
        <f>+'[168]VENTAS TOTALES'!$E20</f>
        <v>991300</v>
      </c>
      <c r="CT238" s="171">
        <f>+'[168]VENTAS TOTALES'!$F20</f>
        <v>5015200</v>
      </c>
      <c r="CU238" s="165">
        <f>+'[169]VENTAS TOTALES'!$D20</f>
        <v>1810</v>
      </c>
      <c r="CV238" s="170">
        <f>+'[169]VENTAS TOTALES'!$E20</f>
        <v>514500</v>
      </c>
      <c r="CW238" s="171">
        <f>+'[169]VENTAS TOTALES'!$F20</f>
        <v>3591500</v>
      </c>
      <c r="CX238" s="165">
        <f>+'[170]VENTAS TOTALES'!$D20</f>
        <v>706</v>
      </c>
      <c r="CY238" s="170">
        <f>+'[170]VENTAS TOTALES'!$E20</f>
        <v>218800</v>
      </c>
      <c r="CZ238" s="171">
        <f>+'[170]VENTAS TOTALES'!$F20</f>
        <v>1419000</v>
      </c>
    </row>
    <row r="239" spans="1:104" s="10" customFormat="1" x14ac:dyDescent="0.2">
      <c r="A239" s="471"/>
      <c r="B239" s="53" t="s">
        <v>157</v>
      </c>
      <c r="C239" s="165">
        <f>+'[137]VENTAS TOTALES'!$D21</f>
        <v>11579</v>
      </c>
      <c r="D239" s="170">
        <f>+'[137]VENTAS TOTALES'!$E21</f>
        <v>7528650</v>
      </c>
      <c r="E239" s="171">
        <f>+'[137]VENTAS TOTALES'!$F21</f>
        <v>27212950</v>
      </c>
      <c r="F239" s="165">
        <f>+'[138]VENTAS TOTALES'!$D21</f>
        <v>11525</v>
      </c>
      <c r="G239" s="170">
        <f>+'[138]VENTAS TOTALES'!$E21</f>
        <v>6507850</v>
      </c>
      <c r="H239" s="171">
        <f>+'[138]VENTAS TOTALES'!$F21</f>
        <v>26100350</v>
      </c>
      <c r="I239" s="165">
        <f>+'[139]VENTAS TOTALES'!$D21</f>
        <v>8757</v>
      </c>
      <c r="J239" s="170">
        <f>+'[139]VENTAS TOTALES'!$E21</f>
        <v>3891400</v>
      </c>
      <c r="K239" s="171">
        <f>+'[139]VENTAS TOTALES'!$F21</f>
        <v>18778300</v>
      </c>
      <c r="L239" s="165">
        <f>+'[140]VENTAS TOTALES'!$D21</f>
        <v>8532</v>
      </c>
      <c r="M239" s="170">
        <f>+'[140]VENTAS TOTALES'!$E21</f>
        <v>3586850</v>
      </c>
      <c r="N239" s="171">
        <f>+'[140]VENTAS TOTALES'!$F21</f>
        <v>18091250</v>
      </c>
      <c r="O239" s="165">
        <f>+'[141]VENTAS TOTALES'!$D21</f>
        <v>5708</v>
      </c>
      <c r="P239" s="170">
        <f>+'[141]VENTAS TOTALES'!$E21</f>
        <v>2379350</v>
      </c>
      <c r="Q239" s="171">
        <f>+'[141]VENTAS TOTALES'!$F21</f>
        <v>12082950</v>
      </c>
      <c r="R239" s="165">
        <f>+'[142]VENTAS TOTALES'!$D21</f>
        <v>3242</v>
      </c>
      <c r="S239" s="170">
        <f>+'[142]VENTAS TOTALES'!$E21</f>
        <v>1681000</v>
      </c>
      <c r="T239" s="171">
        <f>+'[142]VENTAS TOTALES'!$F21</f>
        <v>7192400</v>
      </c>
      <c r="U239" s="165">
        <f>+'[143]VENTAS TOTALES'!$D21</f>
        <v>13416</v>
      </c>
      <c r="V239" s="170">
        <f>+'[143]VENTAS TOTALES'!$E21</f>
        <v>6582300</v>
      </c>
      <c r="W239" s="171">
        <f>+'[143]VENTAS TOTALES'!$F21</f>
        <v>29389500</v>
      </c>
      <c r="X239" s="165">
        <f>+'[144]VENTAS TOTALES'!$D21</f>
        <v>10317</v>
      </c>
      <c r="Y239" s="170">
        <f>+'[144]VENTAS TOTALES'!$E21</f>
        <v>4455100</v>
      </c>
      <c r="Z239" s="171">
        <f>+'[144]VENTAS TOTALES'!$F21</f>
        <v>21994000</v>
      </c>
      <c r="AA239" s="165">
        <f>+'[145]VENTAS TOTALES'!$D21</f>
        <v>10153</v>
      </c>
      <c r="AB239" s="170">
        <f>+'[145]VENTAS TOTALES'!$E21</f>
        <v>4091100</v>
      </c>
      <c r="AC239" s="171">
        <f>+'[145]VENTAS TOTALES'!$F21</f>
        <v>21351200</v>
      </c>
      <c r="AD239" s="165">
        <f>+'[146]VENTAS TOTALES'!$D21</f>
        <v>9447</v>
      </c>
      <c r="AE239" s="170">
        <f>+'[146]VENTAS TOTALES'!$E21</f>
        <v>3816350</v>
      </c>
      <c r="AF239" s="171">
        <f>+'[146]VENTAS TOTALES'!$F21</f>
        <v>19876250</v>
      </c>
      <c r="AG239" s="165">
        <f>+'[147]VENTAS TOTALES'!$D21</f>
        <v>8831</v>
      </c>
      <c r="AH239" s="170">
        <f>+'[147]VENTAS TOTALES'!$E21</f>
        <v>3256950</v>
      </c>
      <c r="AI239" s="171">
        <f>+'[147]VENTAS TOTALES'!$F21</f>
        <v>18269650</v>
      </c>
      <c r="AJ239" s="165">
        <f>+'[148]VENTAS TOTALES'!$D21</f>
        <v>6164</v>
      </c>
      <c r="AK239" s="170">
        <f>+'[148]VENTAS TOTALES'!$E21</f>
        <v>2187850</v>
      </c>
      <c r="AL239" s="171">
        <f>+'[148]VENTAS TOTALES'!$F21</f>
        <v>12666650</v>
      </c>
      <c r="AM239" s="165">
        <f>+'[149]VENTAS TOTALES'!$D21</f>
        <v>2949</v>
      </c>
      <c r="AN239" s="170">
        <f>+'[149]VENTAS TOTALES'!$E21</f>
        <v>1224500</v>
      </c>
      <c r="AO239" s="171">
        <f>+'[149]VENTAS TOTALES'!$F21</f>
        <v>6237800</v>
      </c>
      <c r="AP239" s="165">
        <f>+'[150]VENTAS TOTALES'!$D21</f>
        <v>13600</v>
      </c>
      <c r="AQ239" s="170">
        <f>+'[150]VENTAS TOTALES'!$E21</f>
        <v>5050450</v>
      </c>
      <c r="AR239" s="171">
        <f>+'[150]VENTAS TOTALES'!$F21</f>
        <v>28170450</v>
      </c>
      <c r="AS239" s="165">
        <f>+'[151]VENTAS TOTALES'!$D21</f>
        <v>18395</v>
      </c>
      <c r="AT239" s="170">
        <f>+'[151]VENTAS TOTALES'!$E21</f>
        <v>8068000</v>
      </c>
      <c r="AU239" s="171">
        <f>+'[151]VENTAS TOTALES'!$F21</f>
        <v>39339500</v>
      </c>
      <c r="AV239" s="165">
        <f>+'[152]VENTAS TOTALES'!$D21</f>
        <v>15154</v>
      </c>
      <c r="AW239" s="170">
        <f>+'[152]VENTAS TOTALES'!$E21</f>
        <v>7771450</v>
      </c>
      <c r="AX239" s="171">
        <f>+'[152]VENTAS TOTALES'!$F21</f>
        <v>33533250</v>
      </c>
      <c r="AY239" s="165">
        <f>+'[153]VENTAS TOTALES'!$D21</f>
        <v>13486</v>
      </c>
      <c r="AZ239" s="170">
        <f>+'[153]VENTAS TOTALES'!$E21</f>
        <v>6643000</v>
      </c>
      <c r="BA239" s="171">
        <f>+'[153]VENTAS TOTALES'!$F21</f>
        <v>29569200</v>
      </c>
      <c r="BB239" s="165">
        <f>+'[154]VENTAS TOTALES'!$D21</f>
        <v>9013</v>
      </c>
      <c r="BC239" s="170">
        <f>+'[154]VENTAS TOTALES'!$E21</f>
        <v>3913100</v>
      </c>
      <c r="BD239" s="171">
        <f>+'[154]VENTAS TOTALES'!$F21</f>
        <v>19235200</v>
      </c>
      <c r="BE239" s="165">
        <f>+'[155]VENTAS TOTALES'!$D21</f>
        <v>6249</v>
      </c>
      <c r="BF239" s="170">
        <f>+'[155]VENTAS TOTALES'!$E21</f>
        <v>2053400</v>
      </c>
      <c r="BG239" s="171">
        <f>+'[155]VENTAS TOTALES'!$F21</f>
        <v>12676700</v>
      </c>
      <c r="BH239" s="165">
        <f>+'[156]VENTAS TOTALES'!$D21</f>
        <v>3152</v>
      </c>
      <c r="BI239" s="170">
        <f>+'[156]VENTAS TOTALES'!$E21</f>
        <v>980400</v>
      </c>
      <c r="BJ239" s="171">
        <f>+'[156]VENTAS TOTALES'!$F21</f>
        <v>6338800</v>
      </c>
      <c r="BK239" s="165">
        <f>+'[157]VENTAS TOTALES'!$D21</f>
        <v>13852</v>
      </c>
      <c r="BL239" s="170">
        <f>+'[157]VENTAS TOTALES'!$E21</f>
        <v>6907150</v>
      </c>
      <c r="BM239" s="171">
        <f>+'[157]VENTAS TOTALES'!$F21</f>
        <v>30455550</v>
      </c>
      <c r="BN239" s="165">
        <f>+'[158]VENTAS TOTALES'!$D21</f>
        <v>10433</v>
      </c>
      <c r="BO239" s="170">
        <f>+'[158]VENTAS TOTALES'!$E21</f>
        <v>4794000</v>
      </c>
      <c r="BP239" s="171">
        <f>+'[158]VENTAS TOTALES'!$F21</f>
        <v>22530100</v>
      </c>
      <c r="BQ239" s="165">
        <f>+'[159]VENTAS TOTALES'!$D21</f>
        <v>9995</v>
      </c>
      <c r="BR239" s="170">
        <f>+'[159]VENTAS TOTALES'!$E21</f>
        <v>3869050</v>
      </c>
      <c r="BS239" s="171">
        <f>+'[159]VENTAS TOTALES'!$F21</f>
        <v>20860550</v>
      </c>
      <c r="BT239" s="165">
        <f>+'[160]VENTAS TOTALES'!$D21</f>
        <v>9496</v>
      </c>
      <c r="BU239" s="170">
        <f>+'[160]VENTAS TOTALES'!$E21</f>
        <v>4162050</v>
      </c>
      <c r="BV239" s="171">
        <f>+'[160]VENTAS TOTALES'!$F21</f>
        <v>20305250</v>
      </c>
      <c r="BW239" s="165">
        <f>+'[161]VENTAS TOTALES'!$D21</f>
        <v>9245</v>
      </c>
      <c r="BX239" s="170">
        <f>+'[161]VENTAS TOTALES'!$E21</f>
        <v>3640200</v>
      </c>
      <c r="BY239" s="171">
        <f>+'[161]VENTAS TOTALES'!$F21</f>
        <v>19356700</v>
      </c>
      <c r="BZ239" s="165">
        <f>+'[162]VENTAS TOTALES'!$D21</f>
        <v>6186</v>
      </c>
      <c r="CA239" s="170">
        <f>+'[162]VENTAS TOTALES'!$E21</f>
        <v>2873700</v>
      </c>
      <c r="CB239" s="171">
        <f>+'[162]VENTAS TOTALES'!$F21</f>
        <v>13389900</v>
      </c>
      <c r="CC239" s="165">
        <f>+'[163]VENTAS TOTALES'!$D21</f>
        <v>3425</v>
      </c>
      <c r="CD239" s="170">
        <f>+'[163]VENTAS TOTALES'!$E21</f>
        <v>1463850</v>
      </c>
      <c r="CE239" s="171">
        <f>+'[163]VENTAS TOTALES'!$F21</f>
        <v>7286350</v>
      </c>
      <c r="CF239" s="165">
        <f>+'[164]VENTAS TOTALES'!$D21</f>
        <v>15017</v>
      </c>
      <c r="CG239" s="170">
        <f>+'[164]VENTAS TOTALES'!$E21</f>
        <v>8094000</v>
      </c>
      <c r="CH239" s="171">
        <f>+'[164]VENTAS TOTALES'!$F21</f>
        <v>33622900</v>
      </c>
      <c r="CI239" s="165">
        <f>+'[165]VENTAS TOTALES'!$D21</f>
        <v>12380</v>
      </c>
      <c r="CJ239" s="170">
        <f>+'[165]VENTAS TOTALES'!$E21</f>
        <v>7286300</v>
      </c>
      <c r="CK239" s="171">
        <f>+'[165]VENTAS TOTALES'!$F21</f>
        <v>28332300</v>
      </c>
      <c r="CL239" s="165">
        <f>+'[166]VENTAS TOTALES'!$D21</f>
        <v>11271</v>
      </c>
      <c r="CM239" s="170">
        <f>+'[166]VENTAS TOTALES'!$E21</f>
        <v>5592300</v>
      </c>
      <c r="CN239" s="171">
        <f>+'[166]VENTAS TOTALES'!$F21</f>
        <v>24753000</v>
      </c>
      <c r="CO239" s="165">
        <f>+'[167]VENTAS TOTALES'!$D21</f>
        <v>10176</v>
      </c>
      <c r="CP239" s="170">
        <f>+'[167]VENTAS TOTALES'!$E21</f>
        <v>5036650</v>
      </c>
      <c r="CQ239" s="171">
        <f>+'[167]VENTAS TOTALES'!$F21</f>
        <v>22335850</v>
      </c>
      <c r="CR239" s="165">
        <f>+'[168]VENTAS TOTALES'!$D21</f>
        <v>9584</v>
      </c>
      <c r="CS239" s="170">
        <f>+'[168]VENTAS TOTALES'!$E21</f>
        <v>3878600</v>
      </c>
      <c r="CT239" s="171">
        <f>+'[168]VENTAS TOTALES'!$F21</f>
        <v>20171400</v>
      </c>
      <c r="CU239" s="165">
        <f>+'[169]VENTAS TOTALES'!$D21</f>
        <v>6550</v>
      </c>
      <c r="CV239" s="170">
        <f>+'[169]VENTAS TOTALES'!$E21</f>
        <v>2012800</v>
      </c>
      <c r="CW239" s="171">
        <f>+'[169]VENTAS TOTALES'!$F21</f>
        <v>13147800</v>
      </c>
      <c r="CX239" s="165">
        <f>+'[170]VENTAS TOTALES'!$D21</f>
        <v>3424</v>
      </c>
      <c r="CY239" s="170">
        <f>+'[170]VENTAS TOTALES'!$E21</f>
        <v>1149300</v>
      </c>
      <c r="CZ239" s="171">
        <f>+'[170]VENTAS TOTALES'!$F21</f>
        <v>6970100</v>
      </c>
    </row>
    <row r="240" spans="1:104" s="10" customFormat="1" x14ac:dyDescent="0.2">
      <c r="A240" s="471"/>
      <c r="B240" s="53" t="s">
        <v>158</v>
      </c>
      <c r="C240" s="165">
        <f>+'[137]VENTAS TOTALES'!$D22</f>
        <v>3337</v>
      </c>
      <c r="D240" s="170">
        <f>+'[137]VENTAS TOTALES'!$E22</f>
        <v>1211950</v>
      </c>
      <c r="E240" s="171">
        <f>+'[137]VENTAS TOTALES'!$F22</f>
        <v>6884850</v>
      </c>
      <c r="F240" s="165">
        <f>+'[138]VENTAS TOTALES'!$D22</f>
        <v>3205</v>
      </c>
      <c r="G240" s="170">
        <f>+'[138]VENTAS TOTALES'!$E22</f>
        <v>971500</v>
      </c>
      <c r="H240" s="171">
        <f>+'[138]VENTAS TOTALES'!$F22</f>
        <v>6420000</v>
      </c>
      <c r="I240" s="165">
        <f>+'[139]VENTAS TOTALES'!$D22</f>
        <v>2689</v>
      </c>
      <c r="J240" s="170">
        <f>+'[139]VENTAS TOTALES'!$E22</f>
        <v>807200</v>
      </c>
      <c r="K240" s="171">
        <f>+'[139]VENTAS TOTALES'!$F22</f>
        <v>5378500</v>
      </c>
      <c r="L240" s="165">
        <f>+'[140]VENTAS TOTALES'!$D22</f>
        <v>2394</v>
      </c>
      <c r="M240" s="170">
        <f>+'[140]VENTAS TOTALES'!$E22</f>
        <v>382400</v>
      </c>
      <c r="N240" s="171">
        <f>+'[140]VENTAS TOTALES'!$F22</f>
        <v>4452200</v>
      </c>
      <c r="O240" s="165">
        <f>+'[141]VENTAS TOTALES'!$D22</f>
        <v>1790</v>
      </c>
      <c r="P240" s="170">
        <f>+'[141]VENTAS TOTALES'!$E22</f>
        <v>418600</v>
      </c>
      <c r="Q240" s="171">
        <f>+'[141]VENTAS TOTALES'!$F22</f>
        <v>3461600</v>
      </c>
      <c r="R240" s="165">
        <f>+'[142]VENTAS TOTALES'!$D22</f>
        <v>577</v>
      </c>
      <c r="S240" s="170">
        <f>+'[142]VENTAS TOTALES'!$E22</f>
        <v>179700</v>
      </c>
      <c r="T240" s="171">
        <f>+'[142]VENTAS TOTALES'!$F22</f>
        <v>1160600</v>
      </c>
      <c r="U240" s="165">
        <f>+'[143]VENTAS TOTALES'!$D22</f>
        <v>3971</v>
      </c>
      <c r="V240" s="170">
        <f>+'[143]VENTAS TOTALES'!$E22</f>
        <v>1193000</v>
      </c>
      <c r="W240" s="171">
        <f>+'[143]VENTAS TOTALES'!$F22</f>
        <v>7943700</v>
      </c>
      <c r="X240" s="165">
        <f>+'[144]VENTAS TOTALES'!$D22</f>
        <v>2923</v>
      </c>
      <c r="Y240" s="170">
        <f>+'[144]VENTAS TOTALES'!$E22</f>
        <v>792000</v>
      </c>
      <c r="Z240" s="171">
        <f>+'[144]VENTAS TOTALES'!$F22</f>
        <v>5761100</v>
      </c>
      <c r="AA240" s="165">
        <f>+'[145]VENTAS TOTALES'!$D22</f>
        <v>2531</v>
      </c>
      <c r="AB240" s="170">
        <f>+'[145]VENTAS TOTALES'!$E22</f>
        <v>730250</v>
      </c>
      <c r="AC240" s="171">
        <f>+'[145]VENTAS TOTALES'!$F22</f>
        <v>5032950</v>
      </c>
      <c r="AD240" s="165">
        <f>+'[146]VENTAS TOTALES'!$D22</f>
        <v>2621</v>
      </c>
      <c r="AE240" s="170">
        <f>+'[146]VENTAS TOTALES'!$E22</f>
        <v>814000</v>
      </c>
      <c r="AF240" s="171">
        <f>+'[146]VENTAS TOTALES'!$F22</f>
        <v>5269700</v>
      </c>
      <c r="AG240" s="165">
        <f>+'[147]VENTAS TOTALES'!$D22</f>
        <v>2674</v>
      </c>
      <c r="AH240" s="170">
        <f>+'[147]VENTAS TOTALES'!$E22</f>
        <v>527400</v>
      </c>
      <c r="AI240" s="171">
        <f>+'[147]VENTAS TOTALES'!$F22</f>
        <v>5073200</v>
      </c>
      <c r="AJ240" s="165">
        <f>+'[148]VENTAS TOTALES'!$D22</f>
        <v>1658</v>
      </c>
      <c r="AK240" s="170">
        <f>+'[148]VENTAS TOTALES'!$E22</f>
        <v>595300</v>
      </c>
      <c r="AL240" s="171">
        <f>+'[148]VENTAS TOTALES'!$F22</f>
        <v>3413900</v>
      </c>
      <c r="AM240" s="165">
        <f>+'[149]VENTAS TOTALES'!$D22</f>
        <v>581</v>
      </c>
      <c r="AN240" s="170">
        <f>+'[149]VENTAS TOTALES'!$E22</f>
        <v>178500</v>
      </c>
      <c r="AO240" s="171">
        <f>+'[149]VENTAS TOTALES'!$F22</f>
        <v>1166200</v>
      </c>
      <c r="AP240" s="165">
        <f>+'[150]VENTAS TOTALES'!$D22</f>
        <v>3726</v>
      </c>
      <c r="AQ240" s="170">
        <f>+'[150]VENTAS TOTALES'!$E22</f>
        <v>1031500</v>
      </c>
      <c r="AR240" s="171">
        <f>+'[150]VENTAS TOTALES'!$F22</f>
        <v>7365700</v>
      </c>
      <c r="AS240" s="165">
        <f>+'[151]VENTAS TOTALES'!$D22</f>
        <v>2983</v>
      </c>
      <c r="AT240" s="170">
        <f>+'[151]VENTAS TOTALES'!$E22</f>
        <v>924600</v>
      </c>
      <c r="AU240" s="171">
        <f>+'[151]VENTAS TOTALES'!$F22</f>
        <v>5995700</v>
      </c>
      <c r="AV240" s="165">
        <f>+'[152]VENTAS TOTALES'!$D22</f>
        <v>2883</v>
      </c>
      <c r="AW240" s="170">
        <f>+'[152]VENTAS TOTALES'!$E22</f>
        <v>1025200</v>
      </c>
      <c r="AX240" s="171">
        <f>+'[152]VENTAS TOTALES'!$F22</f>
        <v>5926300</v>
      </c>
      <c r="AY240" s="165">
        <f>+'[153]VENTAS TOTALES'!$D22</f>
        <v>2828</v>
      </c>
      <c r="AZ240" s="170">
        <f>+'[153]VENTAS TOTALES'!$E22</f>
        <v>921500</v>
      </c>
      <c r="BA240" s="171">
        <f>+'[153]VENTAS TOTALES'!$F22</f>
        <v>5729100</v>
      </c>
      <c r="BB240" s="165">
        <f>+'[154]VENTAS TOTALES'!$D22</f>
        <v>2584</v>
      </c>
      <c r="BC240" s="170">
        <f>+'[154]VENTAS TOTALES'!$E22</f>
        <v>834400</v>
      </c>
      <c r="BD240" s="171">
        <f>+'[154]VENTAS TOTALES'!$F22</f>
        <v>5227200</v>
      </c>
      <c r="BE240" s="165">
        <f>+'[155]VENTAS TOTALES'!$D22</f>
        <v>1684</v>
      </c>
      <c r="BF240" s="170">
        <f>+'[155]VENTAS TOTALES'!$E22</f>
        <v>427500</v>
      </c>
      <c r="BG240" s="171">
        <f>+'[155]VENTAS TOTALES'!$F22</f>
        <v>3290300</v>
      </c>
      <c r="BH240" s="165">
        <f>+'[156]VENTAS TOTALES'!$D22</f>
        <v>560</v>
      </c>
      <c r="BI240" s="170">
        <f>+'[156]VENTAS TOTALES'!$E22</f>
        <v>101100</v>
      </c>
      <c r="BJ240" s="171">
        <f>+'[156]VENTAS TOTALES'!$F22</f>
        <v>1053100</v>
      </c>
      <c r="BK240" s="165">
        <f>+'[157]VENTAS TOTALES'!$D22</f>
        <v>4055</v>
      </c>
      <c r="BL240" s="170">
        <f>+'[157]VENTAS TOTALES'!$E22</f>
        <v>1148200</v>
      </c>
      <c r="BM240" s="171">
        <f>+'[157]VENTAS TOTALES'!$F22</f>
        <v>8041700</v>
      </c>
      <c r="BN240" s="165">
        <f>+'[158]VENTAS TOTALES'!$D22</f>
        <v>2999</v>
      </c>
      <c r="BO240" s="170">
        <f>+'[158]VENTAS TOTALES'!$E22</f>
        <v>864250</v>
      </c>
      <c r="BP240" s="171">
        <f>+'[158]VENTAS TOTALES'!$F22</f>
        <v>5962550</v>
      </c>
      <c r="BQ240" s="165">
        <f>+'[159]VENTAS TOTALES'!$D22</f>
        <v>2998</v>
      </c>
      <c r="BR240" s="170">
        <f>+'[159]VENTAS TOTALES'!$E22</f>
        <v>786100</v>
      </c>
      <c r="BS240" s="171">
        <f>+'[159]VENTAS TOTALES'!$F22</f>
        <v>5882700</v>
      </c>
      <c r="BT240" s="165">
        <f>+'[160]VENTAS TOTALES'!$D22</f>
        <v>2701</v>
      </c>
      <c r="BU240" s="170">
        <f>+'[160]VENTAS TOTALES'!$E22</f>
        <v>623600</v>
      </c>
      <c r="BV240" s="171">
        <f>+'[160]VENTAS TOTALES'!$F22</f>
        <v>5215300</v>
      </c>
      <c r="BW240" s="165">
        <f>+'[161]VENTAS TOTALES'!$D22</f>
        <v>2476</v>
      </c>
      <c r="BX240" s="170">
        <f>+'[161]VENTAS TOTALES'!$E22</f>
        <v>614800</v>
      </c>
      <c r="BY240" s="171">
        <f>+'[161]VENTAS TOTALES'!$F22</f>
        <v>4824000</v>
      </c>
      <c r="BZ240" s="165">
        <f>+'[162]VENTAS TOTALES'!$D22</f>
        <v>1558</v>
      </c>
      <c r="CA240" s="170">
        <f>+'[162]VENTAS TOTALES'!$E22</f>
        <v>423700</v>
      </c>
      <c r="CB240" s="171">
        <f>+'[162]VENTAS TOTALES'!$F22</f>
        <v>3072300</v>
      </c>
      <c r="CC240" s="165">
        <f>+'[163]VENTAS TOTALES'!$D22</f>
        <v>540</v>
      </c>
      <c r="CD240" s="170">
        <f>+'[163]VENTAS TOTALES'!$E22</f>
        <v>172900</v>
      </c>
      <c r="CE240" s="171">
        <f>+'[163]VENTAS TOTALES'!$F22</f>
        <v>1090900</v>
      </c>
      <c r="CF240" s="165">
        <f>+'[164]VENTAS TOTALES'!$D22</f>
        <v>4404</v>
      </c>
      <c r="CG240" s="170">
        <f>+'[164]VENTAS TOTALES'!$E22</f>
        <v>1756700</v>
      </c>
      <c r="CH240" s="171">
        <f>+'[164]VENTAS TOTALES'!$F22</f>
        <v>9243500</v>
      </c>
      <c r="CI240" s="165">
        <f>+'[165]VENTAS TOTALES'!$D22</f>
        <v>3558</v>
      </c>
      <c r="CJ240" s="170">
        <f>+'[165]VENTAS TOTALES'!$E22</f>
        <v>1352250</v>
      </c>
      <c r="CK240" s="171">
        <f>+'[165]VENTAS TOTALES'!$F22</f>
        <v>7400850</v>
      </c>
      <c r="CL240" s="165">
        <f>+'[166]VENTAS TOTALES'!$D22</f>
        <v>2867</v>
      </c>
      <c r="CM240" s="170">
        <f>+'[166]VENTAS TOTALES'!$E22</f>
        <v>1019400</v>
      </c>
      <c r="CN240" s="171">
        <f>+'[166]VENTAS TOTALES'!$F22</f>
        <v>5893300</v>
      </c>
      <c r="CO240" s="165">
        <f>+'[167]VENTAS TOTALES'!$D22</f>
        <v>2799</v>
      </c>
      <c r="CP240" s="170">
        <f>+'[167]VENTAS TOTALES'!$E22</f>
        <v>976800</v>
      </c>
      <c r="CQ240" s="171">
        <f>+'[167]VENTAS TOTALES'!$F22</f>
        <v>5735100</v>
      </c>
      <c r="CR240" s="165">
        <f>+'[168]VENTAS TOTALES'!$D22</f>
        <v>2841</v>
      </c>
      <c r="CS240" s="170">
        <f>+'[168]VENTAS TOTALES'!$E22</f>
        <v>655600</v>
      </c>
      <c r="CT240" s="171">
        <f>+'[168]VENTAS TOTALES'!$F22</f>
        <v>5485300</v>
      </c>
      <c r="CU240" s="165">
        <f>+'[169]VENTAS TOTALES'!$D22</f>
        <v>1722</v>
      </c>
      <c r="CV240" s="170">
        <f>+'[169]VENTAS TOTALES'!$E22</f>
        <v>489100</v>
      </c>
      <c r="CW240" s="171">
        <f>+'[169]VENTAS TOTALES'!$F22</f>
        <v>3416500</v>
      </c>
      <c r="CX240" s="165">
        <f>+'[170]VENTAS TOTALES'!$D22</f>
        <v>618</v>
      </c>
      <c r="CY240" s="170">
        <f>+'[170]VENTAS TOTALES'!$E22</f>
        <v>259500</v>
      </c>
      <c r="CZ240" s="171">
        <f>+'[170]VENTAS TOTALES'!$F22</f>
        <v>1310100</v>
      </c>
    </row>
    <row r="241" spans="1:104" s="10" customFormat="1" x14ac:dyDescent="0.2">
      <c r="A241" s="471"/>
      <c r="B241" s="53" t="s">
        <v>159</v>
      </c>
      <c r="C241" s="165">
        <f>+'[137]VENTAS TOTALES'!$D23</f>
        <v>4498</v>
      </c>
      <c r="D241" s="170">
        <f>+'[137]VENTAS TOTALES'!$E23</f>
        <v>1621050</v>
      </c>
      <c r="E241" s="171">
        <f>+'[137]VENTAS TOTALES'!$F23</f>
        <v>9267650</v>
      </c>
      <c r="F241" s="165">
        <f>+'[138]VENTAS TOTALES'!$D23</f>
        <v>4348</v>
      </c>
      <c r="G241" s="170">
        <f>+'[138]VENTAS TOTALES'!$E23</f>
        <v>1686600</v>
      </c>
      <c r="H241" s="171">
        <f>+'[138]VENTAS TOTALES'!$F23</f>
        <v>9078200</v>
      </c>
      <c r="I241" s="165">
        <f>+'[139]VENTAS TOTALES'!$D23</f>
        <v>3769</v>
      </c>
      <c r="J241" s="170">
        <f>+'[139]VENTAS TOTALES'!$E23</f>
        <v>1025500</v>
      </c>
      <c r="K241" s="171">
        <f>+'[139]VENTAS TOTALES'!$F23</f>
        <v>7432800</v>
      </c>
      <c r="L241" s="165">
        <f>+'[140]VENTAS TOTALES'!$D23</f>
        <v>3661</v>
      </c>
      <c r="M241" s="170">
        <f>+'[140]VENTAS TOTALES'!$E23</f>
        <v>1050800</v>
      </c>
      <c r="N241" s="171">
        <f>+'[140]VENTAS TOTALES'!$F23</f>
        <v>7274500</v>
      </c>
      <c r="O241" s="165">
        <f>+'[141]VENTAS TOTALES'!$D23</f>
        <v>2726</v>
      </c>
      <c r="P241" s="170">
        <f>+'[141]VENTAS TOTALES'!$E23</f>
        <v>601200</v>
      </c>
      <c r="Q241" s="171">
        <f>+'[141]VENTAS TOTALES'!$F23</f>
        <v>5235400</v>
      </c>
      <c r="R241" s="165">
        <f>+'[142]VENTAS TOTALES'!$D23</f>
        <v>1250</v>
      </c>
      <c r="S241" s="170">
        <f>+'[142]VENTAS TOTALES'!$E23</f>
        <v>293900</v>
      </c>
      <c r="T241" s="171">
        <f>+'[142]VENTAS TOTALES'!$F23</f>
        <v>2418900</v>
      </c>
      <c r="U241" s="165">
        <f>+'[143]VENTAS TOTALES'!$D23</f>
        <v>5249</v>
      </c>
      <c r="V241" s="170">
        <f>+'[143]VENTAS TOTALES'!$E23</f>
        <v>1810600</v>
      </c>
      <c r="W241" s="171">
        <f>+'[143]VENTAS TOTALES'!$F23</f>
        <v>10733900</v>
      </c>
      <c r="X241" s="165">
        <f>+'[144]VENTAS TOTALES'!$D23</f>
        <v>4344</v>
      </c>
      <c r="Y241" s="170">
        <f>+'[144]VENTAS TOTALES'!$E23</f>
        <v>1212100</v>
      </c>
      <c r="Z241" s="171">
        <f>+'[144]VENTAS TOTALES'!$F23</f>
        <v>8596900</v>
      </c>
      <c r="AA241" s="165">
        <f>+'[145]VENTAS TOTALES'!$D23</f>
        <v>3906</v>
      </c>
      <c r="AB241" s="170">
        <f>+'[145]VENTAS TOTALES'!$E23</f>
        <v>1183200</v>
      </c>
      <c r="AC241" s="171">
        <f>+'[145]VENTAS TOTALES'!$F23</f>
        <v>7823400</v>
      </c>
      <c r="AD241" s="165">
        <f>+'[146]VENTAS TOTALES'!$D23</f>
        <v>3980</v>
      </c>
      <c r="AE241" s="170">
        <f>+'[146]VENTAS TOTALES'!$E23</f>
        <v>958500</v>
      </c>
      <c r="AF241" s="171">
        <f>+'[146]VENTAS TOTALES'!$F23</f>
        <v>7724500</v>
      </c>
      <c r="AG241" s="165">
        <f>+'[147]VENTAS TOTALES'!$D23</f>
        <v>3672</v>
      </c>
      <c r="AH241" s="170">
        <f>+'[147]VENTAS TOTALES'!$E23</f>
        <v>810800</v>
      </c>
      <c r="AI241" s="171">
        <f>+'[147]VENTAS TOTALES'!$F23</f>
        <v>7053200</v>
      </c>
      <c r="AJ241" s="165">
        <f>+'[148]VENTAS TOTALES'!$D23</f>
        <v>2566</v>
      </c>
      <c r="AK241" s="170">
        <f>+'[148]VENTAS TOTALES'!$E23</f>
        <v>550300</v>
      </c>
      <c r="AL241" s="171">
        <f>+'[148]VENTAS TOTALES'!$F23</f>
        <v>4912500</v>
      </c>
      <c r="AM241" s="165">
        <f>+'[149]VENTAS TOTALES'!$D23</f>
        <v>1245</v>
      </c>
      <c r="AN241" s="170">
        <f>+'[149]VENTAS TOTALES'!$E23</f>
        <v>276800</v>
      </c>
      <c r="AO241" s="171">
        <f>+'[149]VENTAS TOTALES'!$F23</f>
        <v>2393300</v>
      </c>
      <c r="AP241" s="165">
        <f>+'[150]VENTAS TOTALES'!$D23</f>
        <v>5242</v>
      </c>
      <c r="AQ241" s="170">
        <f>+'[150]VENTAS TOTALES'!$E23</f>
        <v>1409600</v>
      </c>
      <c r="AR241" s="171">
        <f>+'[150]VENTAS TOTALES'!$F23</f>
        <v>10321000</v>
      </c>
      <c r="AS241" s="165">
        <f>+'[151]VENTAS TOTALES'!$D23</f>
        <v>3863</v>
      </c>
      <c r="AT241" s="170">
        <f>+'[151]VENTAS TOTALES'!$E23</f>
        <v>1416400</v>
      </c>
      <c r="AU241" s="171">
        <f>+'[151]VENTAS TOTALES'!$F23</f>
        <v>7983500</v>
      </c>
      <c r="AV241" s="165">
        <f>+'[152]VENTAS TOTALES'!$D23</f>
        <v>3971</v>
      </c>
      <c r="AW241" s="170">
        <f>+'[152]VENTAS TOTALES'!$E23</f>
        <v>1298250</v>
      </c>
      <c r="AX241" s="171">
        <f>+'[152]VENTAS TOTALES'!$F23</f>
        <v>8048950</v>
      </c>
      <c r="AY241" s="165">
        <f>+'[153]VENTAS TOTALES'!$D23</f>
        <v>3990</v>
      </c>
      <c r="AZ241" s="170">
        <f>+'[153]VENTAS TOTALES'!$E23</f>
        <v>1240900</v>
      </c>
      <c r="BA241" s="171">
        <f>+'[153]VENTAS TOTALES'!$F23</f>
        <v>8023900</v>
      </c>
      <c r="BB241" s="165">
        <f>+'[154]VENTAS TOTALES'!$D23</f>
        <v>3983</v>
      </c>
      <c r="BC241" s="170">
        <f>+'[154]VENTAS TOTALES'!$E23</f>
        <v>908400</v>
      </c>
      <c r="BD241" s="171">
        <f>+'[154]VENTAS TOTALES'!$F23</f>
        <v>7679500</v>
      </c>
      <c r="BE241" s="165">
        <f>+'[155]VENTAS TOTALES'!$D23</f>
        <v>2639</v>
      </c>
      <c r="BF241" s="170">
        <f>+'[155]VENTAS TOTALES'!$E23</f>
        <v>559000</v>
      </c>
      <c r="BG241" s="171">
        <f>+'[155]VENTAS TOTALES'!$F23</f>
        <v>5045300</v>
      </c>
      <c r="BH241" s="165">
        <f>+'[156]VENTAS TOTALES'!$D23</f>
        <v>1187</v>
      </c>
      <c r="BI241" s="170">
        <f>+'[156]VENTAS TOTALES'!$E23</f>
        <v>297100</v>
      </c>
      <c r="BJ241" s="171">
        <f>+'[156]VENTAS TOTALES'!$F23</f>
        <v>2315000</v>
      </c>
      <c r="BK241" s="165">
        <f>+'[157]VENTAS TOTALES'!$D23</f>
        <v>4978</v>
      </c>
      <c r="BL241" s="170">
        <f>+'[157]VENTAS TOTALES'!$E23</f>
        <v>1824600</v>
      </c>
      <c r="BM241" s="171">
        <f>+'[157]VENTAS TOTALES'!$F23</f>
        <v>10287200</v>
      </c>
      <c r="BN241" s="165">
        <f>+'[158]VENTAS TOTALES'!$D23</f>
        <v>4386</v>
      </c>
      <c r="BO241" s="170">
        <f>+'[158]VENTAS TOTALES'!$E23</f>
        <v>998500</v>
      </c>
      <c r="BP241" s="171">
        <f>+'[158]VENTAS TOTALES'!$F23</f>
        <v>8454700</v>
      </c>
      <c r="BQ241" s="165">
        <f>+'[159]VENTAS TOTALES'!$D23</f>
        <v>3950</v>
      </c>
      <c r="BR241" s="170">
        <f>+'[159]VENTAS TOTALES'!$E23</f>
        <v>1313500</v>
      </c>
      <c r="BS241" s="171">
        <f>+'[159]VENTAS TOTALES'!$F23</f>
        <v>8028500</v>
      </c>
      <c r="BT241" s="165">
        <f>+'[160]VENTAS TOTALES'!$D23</f>
        <v>3697</v>
      </c>
      <c r="BU241" s="170">
        <f>+'[160]VENTAS TOTALES'!$E23</f>
        <v>997200</v>
      </c>
      <c r="BV241" s="171">
        <f>+'[160]VENTAS TOTALES'!$F23</f>
        <v>7282100</v>
      </c>
      <c r="BW241" s="165">
        <f>+'[161]VENTAS TOTALES'!$D23</f>
        <v>3959</v>
      </c>
      <c r="BX241" s="170">
        <f>+'[161]VENTAS TOTALES'!$E23</f>
        <v>934500</v>
      </c>
      <c r="BY241" s="171">
        <f>+'[161]VENTAS TOTALES'!$F23</f>
        <v>7664800</v>
      </c>
      <c r="BZ241" s="165">
        <f>+'[162]VENTAS TOTALES'!$D23</f>
        <v>2891</v>
      </c>
      <c r="CA241" s="170">
        <f>+'[162]VENTAS TOTALES'!$E23</f>
        <v>820500</v>
      </c>
      <c r="CB241" s="171">
        <f>+'[162]VENTAS TOTALES'!$F23</f>
        <v>5735200</v>
      </c>
      <c r="CC241" s="165">
        <f>+'[163]VENTAS TOTALES'!$D23</f>
        <v>1318</v>
      </c>
      <c r="CD241" s="170">
        <f>+'[163]VENTAS TOTALES'!$E23</f>
        <v>402900</v>
      </c>
      <c r="CE241" s="171">
        <f>+'[163]VENTAS TOTALES'!$F23</f>
        <v>2643500</v>
      </c>
      <c r="CF241" s="165">
        <f>+'[164]VENTAS TOTALES'!$D23</f>
        <v>5759</v>
      </c>
      <c r="CG241" s="170">
        <f>+'[164]VENTAS TOTALES'!$E23</f>
        <v>2542000</v>
      </c>
      <c r="CH241" s="171">
        <f>+'[164]VENTAS TOTALES'!$F23</f>
        <v>12332300</v>
      </c>
      <c r="CI241" s="165">
        <f>+'[165]VENTAS TOTALES'!$D23</f>
        <v>4706</v>
      </c>
      <c r="CJ241" s="170">
        <f>+'[165]VENTAS TOTALES'!$E23</f>
        <v>1882900</v>
      </c>
      <c r="CK241" s="171">
        <f>+'[165]VENTAS TOTALES'!$F23</f>
        <v>9883100</v>
      </c>
      <c r="CL241" s="165">
        <f>+'[166]VENTAS TOTALES'!$D23</f>
        <v>4566</v>
      </c>
      <c r="CM241" s="170">
        <f>+'[166]VENTAS TOTALES'!$E23</f>
        <v>1267900</v>
      </c>
      <c r="CN241" s="171">
        <f>+'[166]VENTAS TOTALES'!$F23</f>
        <v>9030100</v>
      </c>
      <c r="CO241" s="165">
        <f>+'[167]VENTAS TOTALES'!$D23</f>
        <v>4239</v>
      </c>
      <c r="CP241" s="170">
        <f>+'[167]VENTAS TOTALES'!$E23</f>
        <v>1397450</v>
      </c>
      <c r="CQ241" s="171">
        <f>+'[167]VENTAS TOTALES'!$F23</f>
        <v>8603750</v>
      </c>
      <c r="CR241" s="165">
        <f>+'[168]VENTAS TOTALES'!$D23</f>
        <v>4050</v>
      </c>
      <c r="CS241" s="170">
        <f>+'[168]VENTAS TOTALES'!$E23</f>
        <v>950650</v>
      </c>
      <c r="CT241" s="171">
        <f>+'[168]VENTAS TOTALES'!$F23</f>
        <v>7835650</v>
      </c>
      <c r="CU241" s="165">
        <f>+'[169]VENTAS TOTALES'!$D23</f>
        <v>2993</v>
      </c>
      <c r="CV241" s="170">
        <f>+'[169]VENTAS TOTALES'!$E23</f>
        <v>601300</v>
      </c>
      <c r="CW241" s="171">
        <f>+'[169]VENTAS TOTALES'!$F23</f>
        <v>5689400</v>
      </c>
      <c r="CX241" s="165">
        <f>+'[170]VENTAS TOTALES'!$D23</f>
        <v>1359</v>
      </c>
      <c r="CY241" s="170">
        <f>+'[170]VENTAS TOTALES'!$E23</f>
        <v>179900</v>
      </c>
      <c r="CZ241" s="171">
        <f>+'[170]VENTAS TOTALES'!$F23</f>
        <v>2490200</v>
      </c>
    </row>
    <row r="242" spans="1:104" s="10" customFormat="1" x14ac:dyDescent="0.2">
      <c r="A242" s="471"/>
      <c r="B242" s="53" t="s">
        <v>160</v>
      </c>
      <c r="C242" s="165">
        <f>+'[137]VENTAS TOTALES'!$D24</f>
        <v>8594</v>
      </c>
      <c r="D242" s="170">
        <f>+'[137]VENTAS TOTALES'!$E24</f>
        <v>2296300</v>
      </c>
      <c r="E242" s="171">
        <f>+'[137]VENTAS TOTALES'!$F24</f>
        <v>16906100</v>
      </c>
      <c r="F242" s="165">
        <f>+'[138]VENTAS TOTALES'!$D24</f>
        <v>7750</v>
      </c>
      <c r="G242" s="170">
        <f>+'[138]VENTAS TOTALES'!$E24</f>
        <v>2227000</v>
      </c>
      <c r="H242" s="171">
        <f>+'[138]VENTAS TOTALES'!$F24</f>
        <v>15402000</v>
      </c>
      <c r="I242" s="165">
        <f>+'[139]VENTAS TOTALES'!$D24</f>
        <v>6357</v>
      </c>
      <c r="J242" s="170">
        <f>+'[139]VENTAS TOTALES'!$E24</f>
        <v>1303300</v>
      </c>
      <c r="K242" s="171">
        <f>+'[139]VENTAS TOTALES'!$F24</f>
        <v>12110200</v>
      </c>
      <c r="L242" s="165">
        <f>+'[140]VENTAS TOTALES'!$D24</f>
        <v>6274</v>
      </c>
      <c r="M242" s="170">
        <f>+'[140]VENTAS TOTALES'!$E24</f>
        <v>1143400</v>
      </c>
      <c r="N242" s="171">
        <f>+'[140]VENTAS TOTALES'!$F24</f>
        <v>11809200</v>
      </c>
      <c r="O242" s="165">
        <f>+'[141]VENTAS TOTALES'!$D24</f>
        <v>4723</v>
      </c>
      <c r="P242" s="170">
        <f>+'[141]VENTAS TOTALES'!$E24</f>
        <v>687400</v>
      </c>
      <c r="Q242" s="171">
        <f>+'[141]VENTAS TOTALES'!$F24</f>
        <v>8716500</v>
      </c>
      <c r="R242" s="165">
        <f>+'[142]VENTAS TOTALES'!$D24</f>
        <v>1953</v>
      </c>
      <c r="S242" s="170">
        <f>+'[142]VENTAS TOTALES'!$E24</f>
        <v>302600</v>
      </c>
      <c r="T242" s="171">
        <f>+'[142]VENTAS TOTALES'!$F24</f>
        <v>3622700</v>
      </c>
      <c r="U242" s="165">
        <f>+'[143]VENTAS TOTALES'!$D24</f>
        <v>9204</v>
      </c>
      <c r="V242" s="170">
        <f>+'[143]VENTAS TOTALES'!$E24</f>
        <v>2374200</v>
      </c>
      <c r="W242" s="171">
        <f>+'[143]VENTAS TOTALES'!$F24</f>
        <v>18021000</v>
      </c>
      <c r="X242" s="165">
        <f>+'[144]VENTAS TOTALES'!$D24</f>
        <v>7352</v>
      </c>
      <c r="Y242" s="170">
        <f>+'[144]VENTAS TOTALES'!$E24</f>
        <v>1788100</v>
      </c>
      <c r="Z242" s="171">
        <f>+'[144]VENTAS TOTALES'!$F24</f>
        <v>14286500</v>
      </c>
      <c r="AA242" s="165">
        <f>+'[145]VENTAS TOTALES'!$D24</f>
        <v>6623</v>
      </c>
      <c r="AB242" s="170">
        <f>+'[145]VENTAS TOTALES'!$E24</f>
        <v>1239600</v>
      </c>
      <c r="AC242" s="171">
        <f>+'[145]VENTAS TOTALES'!$F24</f>
        <v>12498700</v>
      </c>
      <c r="AD242" s="165">
        <f>+'[146]VENTAS TOTALES'!$D24</f>
        <v>6686</v>
      </c>
      <c r="AE242" s="170">
        <f>+'[146]VENTAS TOTALES'!$E24</f>
        <v>1426150</v>
      </c>
      <c r="AF242" s="171">
        <f>+'[146]VENTAS TOTALES'!$F24</f>
        <v>12792350</v>
      </c>
      <c r="AG242" s="165">
        <f>+'[147]VENTAS TOTALES'!$D24</f>
        <v>6656</v>
      </c>
      <c r="AH242" s="170">
        <f>+'[147]VENTAS TOTALES'!$E24</f>
        <v>1023800</v>
      </c>
      <c r="AI242" s="171">
        <f>+'[147]VENTAS TOTALES'!$F24</f>
        <v>12339000</v>
      </c>
      <c r="AJ242" s="165">
        <f>+'[148]VENTAS TOTALES'!$D24</f>
        <v>4444</v>
      </c>
      <c r="AK242" s="170">
        <f>+'[148]VENTAS TOTALES'!$E24</f>
        <v>866000</v>
      </c>
      <c r="AL242" s="171">
        <f>+'[148]VENTAS TOTALES'!$F24</f>
        <v>8420800</v>
      </c>
      <c r="AM242" s="165">
        <f>+'[149]VENTAS TOTALES'!$D24</f>
        <v>1866</v>
      </c>
      <c r="AN242" s="170">
        <f>+'[149]VENTAS TOTALES'!$E24</f>
        <v>335500</v>
      </c>
      <c r="AO242" s="171">
        <f>+'[149]VENTAS TOTALES'!$F24</f>
        <v>3507700</v>
      </c>
      <c r="AP242" s="165">
        <f>+'[150]VENTAS TOTALES'!$D24</f>
        <v>9446</v>
      </c>
      <c r="AQ242" s="170">
        <f>+'[150]VENTAS TOTALES'!$E24</f>
        <v>2302400</v>
      </c>
      <c r="AR242" s="171">
        <f>+'[150]VENTAS TOTALES'!$F24</f>
        <v>18360600</v>
      </c>
      <c r="AS242" s="165">
        <f>+'[151]VENTAS TOTALES'!$D24</f>
        <v>7287</v>
      </c>
      <c r="AT242" s="170">
        <f>+'[151]VENTAS TOTALES'!$E24</f>
        <v>1994250</v>
      </c>
      <c r="AU242" s="171">
        <f>+'[151]VENTAS TOTALES'!$F24</f>
        <v>14382150</v>
      </c>
      <c r="AV242" s="165">
        <f>+'[152]VENTAS TOTALES'!$D24</f>
        <v>7582</v>
      </c>
      <c r="AW242" s="170">
        <f>+'[152]VENTAS TOTALES'!$E24</f>
        <v>1982150</v>
      </c>
      <c r="AX242" s="171">
        <f>+'[152]VENTAS TOTALES'!$F24</f>
        <v>14871550</v>
      </c>
      <c r="AY242" s="165">
        <f>+'[153]VENTAS TOTALES'!$D24</f>
        <v>7238</v>
      </c>
      <c r="AZ242" s="170">
        <f>+'[153]VENTAS TOTALES'!$E24</f>
        <v>1709550</v>
      </c>
      <c r="BA242" s="171">
        <f>+'[153]VENTAS TOTALES'!$F24</f>
        <v>14014150</v>
      </c>
      <c r="BB242" s="165">
        <f>+'[154]VENTAS TOTALES'!$D24</f>
        <v>6636</v>
      </c>
      <c r="BC242" s="170">
        <f>+'[154]VENTAS TOTALES'!$E24</f>
        <v>1383400</v>
      </c>
      <c r="BD242" s="171">
        <f>+'[154]VENTAS TOTALES'!$F24</f>
        <v>12664600</v>
      </c>
      <c r="BE242" s="165">
        <f>+'[155]VENTAS TOTALES'!$D24</f>
        <v>4616</v>
      </c>
      <c r="BF242" s="170">
        <f>+'[155]VENTAS TOTALES'!$E24</f>
        <v>815100</v>
      </c>
      <c r="BG242" s="171">
        <f>+'[155]VENTAS TOTALES'!$F24</f>
        <v>8662300</v>
      </c>
      <c r="BH242" s="165">
        <f>+'[156]VENTAS TOTALES'!$D24</f>
        <v>2047</v>
      </c>
      <c r="BI242" s="170">
        <f>+'[156]VENTAS TOTALES'!$E24</f>
        <v>302300</v>
      </c>
      <c r="BJ242" s="171">
        <f>+'[156]VENTAS TOTALES'!$F24</f>
        <v>3782200</v>
      </c>
      <c r="BK242" s="165">
        <f>+'[157]VENTAS TOTALES'!$D24</f>
        <v>9174</v>
      </c>
      <c r="BL242" s="170">
        <f>+'[157]VENTAS TOTALES'!$E24</f>
        <v>2673300</v>
      </c>
      <c r="BM242" s="171">
        <f>+'[157]VENTAS TOTALES'!$F24</f>
        <v>18269100</v>
      </c>
      <c r="BN242" s="165">
        <f>+'[158]VENTAS TOTALES'!$D24</f>
        <v>7501</v>
      </c>
      <c r="BO242" s="170">
        <f>+'[158]VENTAS TOTALES'!$E24</f>
        <v>1412200</v>
      </c>
      <c r="BP242" s="171">
        <f>+'[158]VENTAS TOTALES'!$F24</f>
        <v>14163900</v>
      </c>
      <c r="BQ242" s="165">
        <f>+'[159]VENTAS TOTALES'!$D24</f>
        <v>7125</v>
      </c>
      <c r="BR242" s="170">
        <f>+'[159]VENTAS TOTALES'!$E24</f>
        <v>1543650</v>
      </c>
      <c r="BS242" s="171">
        <f>+'[159]VENTAS TOTALES'!$F24</f>
        <v>13656150</v>
      </c>
      <c r="BT242" s="165">
        <f>+'[160]VENTAS TOTALES'!$D24</f>
        <v>6825</v>
      </c>
      <c r="BU242" s="170">
        <f>+'[160]VENTAS TOTALES'!$E24</f>
        <v>1554300</v>
      </c>
      <c r="BV242" s="171">
        <f>+'[160]VENTAS TOTALES'!$F24</f>
        <v>13156800</v>
      </c>
      <c r="BW242" s="165">
        <f>+'[161]VENTAS TOTALES'!$D24</f>
        <v>6569</v>
      </c>
      <c r="BX242" s="170">
        <f>+'[161]VENTAS TOTALES'!$E24</f>
        <v>1182050</v>
      </c>
      <c r="BY242" s="171">
        <f>+'[161]VENTAS TOTALES'!$F24</f>
        <v>12349350</v>
      </c>
      <c r="BZ242" s="165">
        <f>+'[162]VENTAS TOTALES'!$D24</f>
        <v>4926</v>
      </c>
      <c r="CA242" s="170">
        <f>+'[162]VENTAS TOTALES'!$E24</f>
        <v>955300</v>
      </c>
      <c r="CB242" s="171">
        <f>+'[162]VENTAS TOTALES'!$F24</f>
        <v>9329500</v>
      </c>
      <c r="CC242" s="165">
        <f>+'[163]VENTAS TOTALES'!$D24</f>
        <v>1886</v>
      </c>
      <c r="CD242" s="170">
        <f>+'[163]VENTAS TOTALES'!$E24</f>
        <v>378000</v>
      </c>
      <c r="CE242" s="171">
        <f>+'[163]VENTAS TOTALES'!$F24</f>
        <v>3584200</v>
      </c>
      <c r="CF242" s="165">
        <f>+'[164]VENTAS TOTALES'!$D24</f>
        <v>9958</v>
      </c>
      <c r="CG242" s="170">
        <f>+'[164]VENTAS TOTALES'!$E24</f>
        <v>3276750</v>
      </c>
      <c r="CH242" s="171">
        <f>+'[164]VENTAS TOTALES'!$F24</f>
        <v>20205350</v>
      </c>
      <c r="CI242" s="165">
        <f>+'[165]VENTAS TOTALES'!$D24</f>
        <v>8526</v>
      </c>
      <c r="CJ242" s="170">
        <f>+'[165]VENTAS TOTALES'!$E24</f>
        <v>2534600</v>
      </c>
      <c r="CK242" s="171">
        <f>+'[165]VENTAS TOTALES'!$F24</f>
        <v>17028800</v>
      </c>
      <c r="CL242" s="165">
        <f>+'[166]VENTAS TOTALES'!$D24</f>
        <v>7665</v>
      </c>
      <c r="CM242" s="170">
        <f>+'[166]VENTAS TOTALES'!$E24</f>
        <v>2069250</v>
      </c>
      <c r="CN242" s="171">
        <f>+'[166]VENTAS TOTALES'!$F24</f>
        <v>15099750</v>
      </c>
      <c r="CO242" s="165">
        <f>+'[167]VENTAS TOTALES'!$D24</f>
        <v>6833</v>
      </c>
      <c r="CP242" s="170">
        <f>+'[167]VENTAS TOTALES'!$E24</f>
        <v>1809650</v>
      </c>
      <c r="CQ242" s="171">
        <f>+'[167]VENTAS TOTALES'!$F24</f>
        <v>13425750</v>
      </c>
      <c r="CR242" s="165">
        <f>+'[168]VENTAS TOTALES'!$D24</f>
        <v>6665</v>
      </c>
      <c r="CS242" s="170">
        <f>+'[168]VENTAS TOTALES'!$E24</f>
        <v>1375950</v>
      </c>
      <c r="CT242" s="171">
        <f>+'[168]VENTAS TOTALES'!$F24</f>
        <v>12706450</v>
      </c>
      <c r="CU242" s="165">
        <f>+'[169]VENTAS TOTALES'!$D24</f>
        <v>5016</v>
      </c>
      <c r="CV242" s="170">
        <f>+'[169]VENTAS TOTALES'!$E24</f>
        <v>860650</v>
      </c>
      <c r="CW242" s="171">
        <f>+'[169]VENTAS TOTALES'!$F24</f>
        <v>9387850</v>
      </c>
      <c r="CX242" s="165">
        <f>+'[170]VENTAS TOTALES'!$D24</f>
        <v>1952</v>
      </c>
      <c r="CY242" s="170">
        <f>+'[170]VENTAS TOTALES'!$E24</f>
        <v>324900</v>
      </c>
      <c r="CZ242" s="171">
        <f>+'[170]VENTAS TOTALES'!$F24</f>
        <v>3643300</v>
      </c>
    </row>
    <row r="243" spans="1:104" s="10" customFormat="1" x14ac:dyDescent="0.2">
      <c r="A243" s="471"/>
      <c r="B243" s="53" t="s">
        <v>161</v>
      </c>
      <c r="C243" s="165">
        <f>+'[137]VENTAS TOTALES'!$D25</f>
        <v>7542</v>
      </c>
      <c r="D243" s="170">
        <f>+'[137]VENTAS TOTALES'!$E25</f>
        <v>2852500</v>
      </c>
      <c r="E243" s="171">
        <f>+'[137]VENTAS TOTALES'!$F25</f>
        <v>15673900</v>
      </c>
      <c r="F243" s="165">
        <f>+'[138]VENTAS TOTALES'!$D25</f>
        <v>6895</v>
      </c>
      <c r="G243" s="170">
        <f>+'[138]VENTAS TOTALES'!$E25</f>
        <v>2743100</v>
      </c>
      <c r="H243" s="171">
        <f>+'[138]VENTAS TOTALES'!$F25</f>
        <v>14464600</v>
      </c>
      <c r="I243" s="165">
        <f>+'[139]VENTAS TOTALES'!$D25</f>
        <v>5838</v>
      </c>
      <c r="J243" s="170">
        <f>+'[139]VENTAS TOTALES'!$E25</f>
        <v>1751100</v>
      </c>
      <c r="K243" s="171">
        <f>+'[139]VENTAS TOTALES'!$F25</f>
        <v>11675700</v>
      </c>
      <c r="L243" s="165">
        <f>+'[140]VENTAS TOTALES'!$D25</f>
        <v>5833</v>
      </c>
      <c r="M243" s="170">
        <f>+'[140]VENTAS TOTALES'!$E25</f>
        <v>1481400</v>
      </c>
      <c r="N243" s="171">
        <f>+'[140]VENTAS TOTALES'!$F25</f>
        <v>11397500</v>
      </c>
      <c r="O243" s="165">
        <f>+'[141]VENTAS TOTALES'!$D25</f>
        <v>4246</v>
      </c>
      <c r="P243" s="170">
        <f>+'[141]VENTAS TOTALES'!$E25</f>
        <v>1098500</v>
      </c>
      <c r="Q243" s="171">
        <f>+'[141]VENTAS TOTALES'!$F25</f>
        <v>8316700</v>
      </c>
      <c r="R243" s="165">
        <f>+'[142]VENTAS TOTALES'!$D25</f>
        <v>1779</v>
      </c>
      <c r="S243" s="170">
        <f>+'[142]VENTAS TOTALES'!$E25</f>
        <v>336200</v>
      </c>
      <c r="T243" s="171">
        <f>+'[142]VENTAS TOTALES'!$F25</f>
        <v>3360500</v>
      </c>
      <c r="U243" s="165">
        <f>+'[143]VENTAS TOTALES'!$D25</f>
        <v>7077</v>
      </c>
      <c r="V243" s="170">
        <f>+'[143]VENTAS TOTALES'!$E25</f>
        <v>2339700</v>
      </c>
      <c r="W243" s="171">
        <f>+'[143]VENTAS TOTALES'!$F25</f>
        <v>14370600</v>
      </c>
      <c r="X243" s="165">
        <f>+'[144]VENTAS TOTALES'!$D25</f>
        <v>6179</v>
      </c>
      <c r="Y243" s="170">
        <f>+'[144]VENTAS TOTALES'!$E25</f>
        <v>1903600</v>
      </c>
      <c r="Z243" s="171">
        <f>+'[144]VENTAS TOTALES'!$F25</f>
        <v>12407900</v>
      </c>
      <c r="AA243" s="165">
        <f>+'[145]VENTAS TOTALES'!$D25</f>
        <v>5958</v>
      </c>
      <c r="AB243" s="170">
        <f>+'[145]VENTAS TOTALES'!$E25</f>
        <v>1605300</v>
      </c>
      <c r="AC243" s="171">
        <f>+'[145]VENTAS TOTALES'!$F25</f>
        <v>11733900</v>
      </c>
      <c r="AD243" s="165">
        <f>+'[146]VENTAS TOTALES'!$D25</f>
        <v>5869</v>
      </c>
      <c r="AE243" s="170">
        <f>+'[146]VENTAS TOTALES'!$E25</f>
        <v>1700100</v>
      </c>
      <c r="AF243" s="171">
        <f>+'[146]VENTAS TOTALES'!$F25</f>
        <v>11677400</v>
      </c>
      <c r="AG243" s="165">
        <f>+'[147]VENTAS TOTALES'!$D25</f>
        <v>5823</v>
      </c>
      <c r="AH243" s="170">
        <f>+'[147]VENTAS TOTALES'!$E25</f>
        <v>1443300</v>
      </c>
      <c r="AI243" s="171">
        <f>+'[147]VENTAS TOTALES'!$F25</f>
        <v>11342400</v>
      </c>
      <c r="AJ243" s="165">
        <f>+'[148]VENTAS TOTALES'!$D25</f>
        <v>3865</v>
      </c>
      <c r="AK243" s="170">
        <f>+'[148]VENTAS TOTALES'!$E25</f>
        <v>967200</v>
      </c>
      <c r="AL243" s="171">
        <f>+'[148]VENTAS TOTALES'!$F25</f>
        <v>7537700</v>
      </c>
      <c r="AM243" s="165">
        <f>+'[149]VENTAS TOTALES'!$D25</f>
        <v>1559</v>
      </c>
      <c r="AN243" s="170">
        <f>+'[149]VENTAS TOTALES'!$E25</f>
        <v>316100</v>
      </c>
      <c r="AO243" s="171">
        <f>+'[149]VENTAS TOTALES'!$F25</f>
        <v>2966400</v>
      </c>
      <c r="AP243" s="165">
        <f>+'[150]VENTAS TOTALES'!$D25</f>
        <v>7076</v>
      </c>
      <c r="AQ243" s="170">
        <f>+'[150]VENTAS TOTALES'!$E25</f>
        <v>1930500</v>
      </c>
      <c r="AR243" s="171">
        <f>+'[150]VENTAS TOTALES'!$F25</f>
        <v>13959700</v>
      </c>
      <c r="AS243" s="165">
        <f>+'[151]VENTAS TOTALES'!$D25</f>
        <v>5577</v>
      </c>
      <c r="AT243" s="170">
        <f>+'[151]VENTAS TOTALES'!$E25</f>
        <v>2303100</v>
      </c>
      <c r="AU243" s="171">
        <f>+'[151]VENTAS TOTALES'!$F25</f>
        <v>11784000</v>
      </c>
      <c r="AV243" s="165">
        <f>+'[152]VENTAS TOTALES'!$D25</f>
        <v>6165</v>
      </c>
      <c r="AW243" s="170">
        <f>+'[152]VENTAS TOTALES'!$E25</f>
        <v>3091500</v>
      </c>
      <c r="AX243" s="171">
        <f>+'[152]VENTAS TOTALES'!$F25</f>
        <v>13572000</v>
      </c>
      <c r="AY243" s="165">
        <f>+'[153]VENTAS TOTALES'!$D25</f>
        <v>6072</v>
      </c>
      <c r="AZ243" s="170">
        <f>+'[153]VENTAS TOTALES'!$E25</f>
        <v>1937400</v>
      </c>
      <c r="BA243" s="171">
        <f>+'[153]VENTAS TOTALES'!$F25</f>
        <v>12259800</v>
      </c>
      <c r="BB243" s="165">
        <f>+'[154]VENTAS TOTALES'!$D25</f>
        <v>5959</v>
      </c>
      <c r="BC243" s="170">
        <f>+'[154]VENTAS TOTALES'!$E25</f>
        <v>1806400</v>
      </c>
      <c r="BD243" s="171">
        <f>+'[154]VENTAS TOTALES'!$F25</f>
        <v>11936700</v>
      </c>
      <c r="BE243" s="165">
        <f>+'[155]VENTAS TOTALES'!$D25</f>
        <v>4167</v>
      </c>
      <c r="BF243" s="170">
        <f>+'[155]VENTAS TOTALES'!$E25</f>
        <v>1239600</v>
      </c>
      <c r="BG243" s="171">
        <f>+'[155]VENTAS TOTALES'!$F25</f>
        <v>8323500</v>
      </c>
      <c r="BH243" s="165">
        <f>+'[156]VENTAS TOTALES'!$D25</f>
        <v>1481</v>
      </c>
      <c r="BI243" s="170">
        <f>+'[156]VENTAS TOTALES'!$E25</f>
        <v>278000</v>
      </c>
      <c r="BJ243" s="171">
        <f>+'[156]VENTAS TOTALES'!$F25</f>
        <v>2795700</v>
      </c>
      <c r="BK243" s="165">
        <f>+'[157]VENTAS TOTALES'!$D25</f>
        <v>7385</v>
      </c>
      <c r="BL243" s="170">
        <f>+'[157]VENTAS TOTALES'!$E25</f>
        <v>2478350</v>
      </c>
      <c r="BM243" s="171">
        <f>+'[157]VENTAS TOTALES'!$F25</f>
        <v>15032850</v>
      </c>
      <c r="BN243" s="165">
        <f>+'[158]VENTAS TOTALES'!$D25</f>
        <v>6246</v>
      </c>
      <c r="BO243" s="170">
        <f>+'[158]VENTAS TOTALES'!$E25</f>
        <v>1572950</v>
      </c>
      <c r="BP243" s="171">
        <f>+'[158]VENTAS TOTALES'!$F25</f>
        <v>12191150</v>
      </c>
      <c r="BQ243" s="165">
        <f>+'[159]VENTAS TOTALES'!$D25</f>
        <v>6062</v>
      </c>
      <c r="BR243" s="170">
        <f>+'[159]VENTAS TOTALES'!$E25</f>
        <v>1647200</v>
      </c>
      <c r="BS243" s="171">
        <f>+'[159]VENTAS TOTALES'!$F25</f>
        <v>11952600</v>
      </c>
      <c r="BT243" s="165">
        <f>+'[160]VENTAS TOTALES'!$D25</f>
        <v>5924</v>
      </c>
      <c r="BU243" s="170">
        <f>+'[160]VENTAS TOTALES'!$E25</f>
        <v>1313800</v>
      </c>
      <c r="BV243" s="171">
        <f>+'[160]VENTAS TOTALES'!$F25</f>
        <v>11384600</v>
      </c>
      <c r="BW243" s="165">
        <f>+'[161]VENTAS TOTALES'!$D25</f>
        <v>5870</v>
      </c>
      <c r="BX243" s="170">
        <f>+'[161]VENTAS TOTALES'!$E25</f>
        <v>1708050</v>
      </c>
      <c r="BY243" s="171">
        <f>+'[161]VENTAS TOTALES'!$F25</f>
        <v>11687050</v>
      </c>
      <c r="BZ243" s="165">
        <f>+'[162]VENTAS TOTALES'!$D25</f>
        <v>4164</v>
      </c>
      <c r="CA243" s="170">
        <f>+'[162]VENTAS TOTALES'!$E25</f>
        <v>997100</v>
      </c>
      <c r="CB243" s="171">
        <f>+'[162]VENTAS TOTALES'!$F25</f>
        <v>8075900</v>
      </c>
      <c r="CC243" s="165">
        <f>+'[163]VENTAS TOTALES'!$D25</f>
        <v>1630</v>
      </c>
      <c r="CD243" s="170">
        <f>+'[163]VENTAS TOTALES'!$E25</f>
        <v>368600</v>
      </c>
      <c r="CE243" s="171">
        <f>+'[163]VENTAS TOTALES'!$F25</f>
        <v>3139600</v>
      </c>
      <c r="CF243" s="165">
        <f>+'[164]VENTAS TOTALES'!$D25</f>
        <v>7759</v>
      </c>
      <c r="CG243" s="170">
        <f>+'[164]VENTAS TOTALES'!$E25</f>
        <v>3125050</v>
      </c>
      <c r="CH243" s="171">
        <f>+'[164]VENTAS TOTALES'!$F25</f>
        <v>16315350</v>
      </c>
      <c r="CI243" s="165">
        <f>+'[165]VENTAS TOTALES'!$D25</f>
        <v>7424</v>
      </c>
      <c r="CJ243" s="170">
        <f>+'[165]VENTAS TOTALES'!$E25</f>
        <v>2984800</v>
      </c>
      <c r="CK243" s="171">
        <f>+'[165]VENTAS TOTALES'!$F25</f>
        <v>15605600</v>
      </c>
      <c r="CL243" s="165">
        <f>+'[166]VENTAS TOTALES'!$D25</f>
        <v>7193</v>
      </c>
      <c r="CM243" s="170">
        <f>+'[166]VENTAS TOTALES'!$E25</f>
        <v>2760350</v>
      </c>
      <c r="CN243" s="171">
        <f>+'[166]VENTAS TOTALES'!$F25</f>
        <v>14988450</v>
      </c>
      <c r="CO243" s="165">
        <f>+'[167]VENTAS TOTALES'!$D25</f>
        <v>6434</v>
      </c>
      <c r="CP243" s="170">
        <f>+'[167]VENTAS TOTALES'!$E25</f>
        <v>1868600</v>
      </c>
      <c r="CQ243" s="171">
        <f>+'[167]VENTAS TOTALES'!$F25</f>
        <v>12806400</v>
      </c>
      <c r="CR243" s="165">
        <f>+'[168]VENTAS TOTALES'!$D25</f>
        <v>6506</v>
      </c>
      <c r="CS243" s="170">
        <f>+'[168]VENTAS TOTALES'!$E25</f>
        <v>1662700</v>
      </c>
      <c r="CT243" s="171">
        <f>+'[168]VENTAS TOTALES'!$F25</f>
        <v>12722900</v>
      </c>
      <c r="CU243" s="165">
        <f>+'[169]VENTAS TOTALES'!$D25</f>
        <v>4304</v>
      </c>
      <c r="CV243" s="170">
        <f>+'[169]VENTAS TOTALES'!$E25</f>
        <v>1158900</v>
      </c>
      <c r="CW243" s="171">
        <f>+'[169]VENTAS TOTALES'!$F25</f>
        <v>8475700</v>
      </c>
      <c r="CX243" s="165">
        <f>+'[170]VENTAS TOTALES'!$D25</f>
        <v>1510</v>
      </c>
      <c r="CY243" s="170">
        <f>+'[170]VENTAS TOTALES'!$E25</f>
        <v>354400</v>
      </c>
      <c r="CZ243" s="171">
        <f>+'[170]VENTAS TOTALES'!$F25</f>
        <v>2921400</v>
      </c>
    </row>
    <row r="244" spans="1:104" s="10" customFormat="1" x14ac:dyDescent="0.2">
      <c r="A244" s="471"/>
      <c r="B244" s="53" t="s">
        <v>162</v>
      </c>
      <c r="C244" s="165">
        <f>+'[137]VENTAS TOTALES'!$D26</f>
        <v>6686</v>
      </c>
      <c r="D244" s="170">
        <f>+'[137]VENTAS TOTALES'!$E26</f>
        <v>3882200</v>
      </c>
      <c r="E244" s="171">
        <f>+'[137]VENTAS TOTALES'!$F26</f>
        <v>15248400</v>
      </c>
      <c r="F244" s="165">
        <f>+'[138]VENTAS TOTALES'!$D26</f>
        <v>6736</v>
      </c>
      <c r="G244" s="170">
        <f>+'[138]VENTAS TOTALES'!$E26</f>
        <v>2653900</v>
      </c>
      <c r="H244" s="171">
        <f>+'[138]VENTAS TOTALES'!$F26</f>
        <v>14105100</v>
      </c>
      <c r="I244" s="165">
        <f>+'[139]VENTAS TOTALES'!$D26</f>
        <v>5669</v>
      </c>
      <c r="J244" s="170">
        <f>+'[139]VENTAS TOTALES'!$E26</f>
        <v>1782300</v>
      </c>
      <c r="K244" s="171">
        <f>+'[139]VENTAS TOTALES'!$F26</f>
        <v>11419600</v>
      </c>
      <c r="L244" s="165">
        <f>+'[140]VENTAS TOTALES'!$D26</f>
        <v>5751</v>
      </c>
      <c r="M244" s="170">
        <f>+'[140]VENTAS TOTALES'!$E26</f>
        <v>1618400</v>
      </c>
      <c r="N244" s="171">
        <f>+'[140]VENTAS TOTALES'!$F26</f>
        <v>11395100</v>
      </c>
      <c r="O244" s="165">
        <f>+'[141]VENTAS TOTALES'!$D26</f>
        <v>4373</v>
      </c>
      <c r="P244" s="170">
        <f>+'[141]VENTAS TOTALES'!$E26</f>
        <v>1269200</v>
      </c>
      <c r="Q244" s="171">
        <f>+'[141]VENTAS TOTALES'!$F26</f>
        <v>8703300</v>
      </c>
      <c r="R244" s="165">
        <f>+'[142]VENTAS TOTALES'!$D26</f>
        <v>1899</v>
      </c>
      <c r="S244" s="170">
        <f>+'[142]VENTAS TOTALES'!$E26</f>
        <v>356700</v>
      </c>
      <c r="T244" s="171">
        <f>+'[142]VENTAS TOTALES'!$F26</f>
        <v>3585000</v>
      </c>
      <c r="U244" s="165">
        <f>+'[143]VENTAS TOTALES'!$D26</f>
        <v>6492</v>
      </c>
      <c r="V244" s="170">
        <f>+'[143]VENTAS TOTALES'!$E26</f>
        <v>2851700</v>
      </c>
      <c r="W244" s="171">
        <f>+'[143]VENTAS TOTALES'!$F26</f>
        <v>13888100</v>
      </c>
      <c r="X244" s="165">
        <f>+'[144]VENTAS TOTALES'!$D26</f>
        <v>6026</v>
      </c>
      <c r="Y244" s="170">
        <f>+'[144]VENTAS TOTALES'!$E26</f>
        <v>1915400</v>
      </c>
      <c r="Z244" s="171">
        <f>+'[144]VENTAS TOTALES'!$F26</f>
        <v>12159600</v>
      </c>
      <c r="AA244" s="165">
        <f>+'[145]VENTAS TOTALES'!$D26</f>
        <v>6030</v>
      </c>
      <c r="AB244" s="170">
        <f>+'[145]VENTAS TOTALES'!$E26</f>
        <v>1677550</v>
      </c>
      <c r="AC244" s="171">
        <f>+'[145]VENTAS TOTALES'!$F26</f>
        <v>11928550</v>
      </c>
      <c r="AD244" s="165">
        <f>+'[146]VENTAS TOTALES'!$D26</f>
        <v>5904</v>
      </c>
      <c r="AE244" s="170">
        <f>+'[146]VENTAS TOTALES'!$E26</f>
        <v>1853500</v>
      </c>
      <c r="AF244" s="171">
        <f>+'[146]VENTAS TOTALES'!$F26</f>
        <v>11890300</v>
      </c>
      <c r="AG244" s="165">
        <f>+'[147]VENTAS TOTALES'!$D26</f>
        <v>5749</v>
      </c>
      <c r="AH244" s="170">
        <f>+'[147]VENTAS TOTALES'!$E26</f>
        <v>1668300</v>
      </c>
      <c r="AI244" s="171">
        <f>+'[147]VENTAS TOTALES'!$F26</f>
        <v>11441600</v>
      </c>
      <c r="AJ244" s="165">
        <f>+'[148]VENTAS TOTALES'!$D26</f>
        <v>3796</v>
      </c>
      <c r="AK244" s="170">
        <f>+'[148]VENTAS TOTALES'!$E26</f>
        <v>1185500</v>
      </c>
      <c r="AL244" s="171">
        <f>+'[148]VENTAS TOTALES'!$F26</f>
        <v>7638700</v>
      </c>
      <c r="AM244" s="165">
        <f>+'[149]VENTAS TOTALES'!$D26</f>
        <v>1981</v>
      </c>
      <c r="AN244" s="170">
        <f>+'[149]VENTAS TOTALES'!$E26</f>
        <v>350800</v>
      </c>
      <c r="AO244" s="171">
        <f>+'[149]VENTAS TOTALES'!$F26</f>
        <v>3718500</v>
      </c>
      <c r="AP244" s="165">
        <f>+'[150]VENTAS TOTALES'!$D26</f>
        <v>6246</v>
      </c>
      <c r="AQ244" s="170">
        <f>+'[150]VENTAS TOTALES'!$E26</f>
        <v>2457900</v>
      </c>
      <c r="AR244" s="171">
        <f>+'[150]VENTAS TOTALES'!$F26</f>
        <v>13076100</v>
      </c>
      <c r="AS244" s="165">
        <f>+'[151]VENTAS TOTALES'!$D26</f>
        <v>4651</v>
      </c>
      <c r="AT244" s="170">
        <f>+'[151]VENTAS TOTALES'!$E26</f>
        <v>2743300</v>
      </c>
      <c r="AU244" s="171">
        <f>+'[151]VENTAS TOTALES'!$F26</f>
        <v>10650000</v>
      </c>
      <c r="AV244" s="165">
        <f>+'[152]VENTAS TOTALES'!$D26</f>
        <v>5060</v>
      </c>
      <c r="AW244" s="170">
        <f>+'[152]VENTAS TOTALES'!$E26</f>
        <v>2859700</v>
      </c>
      <c r="AX244" s="171">
        <f>+'[152]VENTAS TOTALES'!$F26</f>
        <v>11461700</v>
      </c>
      <c r="AY244" s="165">
        <f>+'[153]VENTAS TOTALES'!$D26</f>
        <v>5278</v>
      </c>
      <c r="AZ244" s="170">
        <f>+'[153]VENTAS TOTALES'!$E26</f>
        <v>2312600</v>
      </c>
      <c r="BA244" s="171">
        <f>+'[153]VENTAS TOTALES'!$F26</f>
        <v>11285200</v>
      </c>
      <c r="BB244" s="165">
        <f>+'[154]VENTAS TOTALES'!$D26</f>
        <v>5768</v>
      </c>
      <c r="BC244" s="170">
        <f>+'[154]VENTAS TOTALES'!$E26</f>
        <v>2121700</v>
      </c>
      <c r="BD244" s="171">
        <f>+'[154]VENTAS TOTALES'!$F26</f>
        <v>11927300</v>
      </c>
      <c r="BE244" s="165">
        <f>+'[155]VENTAS TOTALES'!$D26</f>
        <v>4008</v>
      </c>
      <c r="BF244" s="170">
        <f>+'[155]VENTAS TOTALES'!$E26</f>
        <v>998200</v>
      </c>
      <c r="BG244" s="171">
        <f>+'[155]VENTAS TOTALES'!$F26</f>
        <v>7811800</v>
      </c>
      <c r="BH244" s="165">
        <f>+'[156]VENTAS TOTALES'!$D26</f>
        <v>1811</v>
      </c>
      <c r="BI244" s="170">
        <f>+'[156]VENTAS TOTALES'!$E26</f>
        <v>303500</v>
      </c>
      <c r="BJ244" s="171">
        <f>+'[156]VENTAS TOTALES'!$F26</f>
        <v>3382200</v>
      </c>
      <c r="BK244" s="165">
        <f>+'[157]VENTAS TOTALES'!$D26</f>
        <v>6800</v>
      </c>
      <c r="BL244" s="170">
        <f>+'[157]VENTAS TOTALES'!$E26</f>
        <v>2990100</v>
      </c>
      <c r="BM244" s="171">
        <f>+'[157]VENTAS TOTALES'!$F26</f>
        <v>14550100</v>
      </c>
      <c r="BN244" s="165">
        <f>+'[158]VENTAS TOTALES'!$D26</f>
        <v>6094</v>
      </c>
      <c r="BO244" s="170">
        <f>+'[158]VENTAS TOTALES'!$E26</f>
        <v>2290900</v>
      </c>
      <c r="BP244" s="171">
        <f>+'[158]VENTAS TOTALES'!$F26</f>
        <v>12650700</v>
      </c>
      <c r="BQ244" s="165">
        <f>+'[159]VENTAS TOTALES'!$D26</f>
        <v>5869</v>
      </c>
      <c r="BR244" s="170">
        <f>+'[159]VENTAS TOTALES'!$E26</f>
        <v>2404900</v>
      </c>
      <c r="BS244" s="171">
        <f>+'[159]VENTAS TOTALES'!$F26</f>
        <v>12382200</v>
      </c>
      <c r="BT244" s="165">
        <f>+'[160]VENTAS TOTALES'!$D26</f>
        <v>5834</v>
      </c>
      <c r="BU244" s="170">
        <f>+'[160]VENTAS TOTALES'!$E26</f>
        <v>1707600</v>
      </c>
      <c r="BV244" s="171">
        <f>+'[160]VENTAS TOTALES'!$F26</f>
        <v>11625400</v>
      </c>
      <c r="BW244" s="165">
        <f>+'[161]VENTAS TOTALES'!$D26</f>
        <v>5967</v>
      </c>
      <c r="BX244" s="170">
        <f>+'[161]VENTAS TOTALES'!$E26</f>
        <v>1966900</v>
      </c>
      <c r="BY244" s="171">
        <f>+'[161]VENTAS TOTALES'!$F26</f>
        <v>12110800</v>
      </c>
      <c r="BZ244" s="165">
        <f>+'[162]VENTAS TOTALES'!$D26</f>
        <v>4219</v>
      </c>
      <c r="CA244" s="170">
        <f>+'[162]VENTAS TOTALES'!$E26</f>
        <v>1318700</v>
      </c>
      <c r="CB244" s="171">
        <f>+'[162]VENTAS TOTALES'!$F26</f>
        <v>8491000</v>
      </c>
      <c r="CC244" s="165">
        <f>+'[163]VENTAS TOTALES'!$D26</f>
        <v>1751</v>
      </c>
      <c r="CD244" s="170">
        <f>+'[163]VENTAS TOTALES'!$E26</f>
        <v>305700</v>
      </c>
      <c r="CE244" s="171">
        <f>+'[163]VENTAS TOTALES'!$F26</f>
        <v>3282400</v>
      </c>
      <c r="CF244" s="165">
        <f>+'[164]VENTAS TOTALES'!$D26</f>
        <v>7154</v>
      </c>
      <c r="CG244" s="170">
        <f>+'[164]VENTAS TOTALES'!$E26</f>
        <v>3898200</v>
      </c>
      <c r="CH244" s="171">
        <f>+'[164]VENTAS TOTALES'!$F26</f>
        <v>16060000</v>
      </c>
      <c r="CI244" s="165">
        <f>+'[165]VENTAS TOTALES'!$D26</f>
        <v>7079</v>
      </c>
      <c r="CJ244" s="170">
        <f>+'[165]VENTAS TOTALES'!$E26</f>
        <v>3707400</v>
      </c>
      <c r="CK244" s="171">
        <f>+'[165]VENTAS TOTALES'!$F26</f>
        <v>15741700</v>
      </c>
      <c r="CL244" s="165">
        <f>+'[166]VENTAS TOTALES'!$D26</f>
        <v>6790</v>
      </c>
      <c r="CM244" s="170">
        <f>+'[166]VENTAS TOTALES'!$E26</f>
        <v>2483200</v>
      </c>
      <c r="CN244" s="171">
        <f>+'[166]VENTAS TOTALES'!$F26</f>
        <v>14026200</v>
      </c>
      <c r="CO244" s="165">
        <f>+'[167]VENTAS TOTALES'!$D26</f>
        <v>6303</v>
      </c>
      <c r="CP244" s="170">
        <f>+'[167]VENTAS TOTALES'!$E26</f>
        <v>2211600</v>
      </c>
      <c r="CQ244" s="171">
        <f>+'[167]VENTAS TOTALES'!$F26</f>
        <v>12926700</v>
      </c>
      <c r="CR244" s="165">
        <f>+'[168]VENTAS TOTALES'!$D26</f>
        <v>6117</v>
      </c>
      <c r="CS244" s="170">
        <f>+'[168]VENTAS TOTALES'!$E26</f>
        <v>1771200</v>
      </c>
      <c r="CT244" s="171">
        <f>+'[168]VENTAS TOTALES'!$F26</f>
        <v>12170100</v>
      </c>
      <c r="CU244" s="165">
        <f>+'[169]VENTAS TOTALES'!$D26</f>
        <v>4494</v>
      </c>
      <c r="CV244" s="170">
        <f>+'[169]VENTAS TOTALES'!$E26</f>
        <v>1235900</v>
      </c>
      <c r="CW244" s="171">
        <f>+'[169]VENTAS TOTALES'!$F26</f>
        <v>8875700</v>
      </c>
      <c r="CX244" s="165">
        <f>+'[170]VENTAS TOTALES'!$D26</f>
        <v>1851</v>
      </c>
      <c r="CY244" s="170">
        <f>+'[170]VENTAS TOTALES'!$E26</f>
        <v>236800</v>
      </c>
      <c r="CZ244" s="171">
        <f>+'[170]VENTAS TOTALES'!$F26</f>
        <v>3383500</v>
      </c>
    </row>
    <row r="245" spans="1:104" s="10" customFormat="1" x14ac:dyDescent="0.2">
      <c r="A245" s="471"/>
      <c r="B245" s="53" t="s">
        <v>217</v>
      </c>
      <c r="C245" s="165">
        <f>+'[137]VENTAS TOTALES'!$D27</f>
        <v>2404</v>
      </c>
      <c r="D245" s="170">
        <f>+'[137]VENTAS TOTALES'!$E27</f>
        <v>1464000</v>
      </c>
      <c r="E245" s="171">
        <f>+'[137]VENTAS TOTALES'!$F27</f>
        <v>5550800</v>
      </c>
      <c r="F245" s="165">
        <f>+'[138]VENTAS TOTALES'!$D27</f>
        <v>2130</v>
      </c>
      <c r="G245" s="170">
        <f>+'[138]VENTAS TOTALES'!$E27</f>
        <v>1006500</v>
      </c>
      <c r="H245" s="171">
        <f>+'[138]VENTAS TOTALES'!$F27</f>
        <v>4627500</v>
      </c>
      <c r="I245" s="165">
        <f>+'[139]VENTAS TOTALES'!$D27</f>
        <v>1646</v>
      </c>
      <c r="J245" s="170">
        <f>+'[139]VENTAS TOTALES'!$E27</f>
        <v>578100</v>
      </c>
      <c r="K245" s="171">
        <f>+'[139]VENTAS TOTALES'!$F27</f>
        <v>3376300</v>
      </c>
      <c r="L245" s="165">
        <f>+'[140]VENTAS TOTALES'!$D27</f>
        <v>1704</v>
      </c>
      <c r="M245" s="170">
        <f>+'[140]VENTAS TOTALES'!$E27</f>
        <v>738400</v>
      </c>
      <c r="N245" s="171">
        <f>+'[140]VENTAS TOTALES'!$F27</f>
        <v>3635200</v>
      </c>
      <c r="O245" s="165">
        <f>+'[141]VENTAS TOTALES'!$D27</f>
        <v>1083</v>
      </c>
      <c r="P245" s="170">
        <f>+'[141]VENTAS TOTALES'!$E27</f>
        <v>319000</v>
      </c>
      <c r="Q245" s="171">
        <f>+'[141]VENTAS TOTALES'!$F27</f>
        <v>2160100</v>
      </c>
      <c r="R245" s="165">
        <f>+'[142]VENTAS TOTALES'!$D27</f>
        <v>343</v>
      </c>
      <c r="S245" s="170">
        <f>+'[142]VENTAS TOTALES'!$E27</f>
        <v>139500</v>
      </c>
      <c r="T245" s="171">
        <f>+'[142]VENTAS TOTALES'!$F27</f>
        <v>722600</v>
      </c>
      <c r="U245" s="165">
        <f>+'[143]VENTAS TOTALES'!$D27</f>
        <v>1934</v>
      </c>
      <c r="V245" s="170">
        <f>+'[143]VENTAS TOTALES'!$E27</f>
        <v>1131600</v>
      </c>
      <c r="W245" s="171">
        <f>+'[143]VENTAS TOTALES'!$F27</f>
        <v>4419400</v>
      </c>
      <c r="X245" s="165">
        <f>+'[144]VENTAS TOTALES'!$D27</f>
        <v>1865</v>
      </c>
      <c r="Y245" s="170">
        <f>+'[144]VENTAS TOTALES'!$E27</f>
        <v>697000</v>
      </c>
      <c r="Z245" s="171">
        <f>+'[144]VENTAS TOTALES'!$F27</f>
        <v>3867500</v>
      </c>
      <c r="AA245" s="165">
        <f>+'[145]VENTAS TOTALES'!$D27</f>
        <v>1916</v>
      </c>
      <c r="AB245" s="170">
        <f>+'[145]VENTAS TOTALES'!$E27</f>
        <v>611800</v>
      </c>
      <c r="AC245" s="171">
        <f>+'[145]VENTAS TOTALES'!$F27</f>
        <v>3869000</v>
      </c>
      <c r="AD245" s="165">
        <f>+'[146]VENTAS TOTALES'!$D27</f>
        <v>1855</v>
      </c>
      <c r="AE245" s="170">
        <f>+'[146]VENTAS TOTALES'!$E27</f>
        <v>628700</v>
      </c>
      <c r="AF245" s="171">
        <f>+'[146]VENTAS TOTALES'!$F27</f>
        <v>3782200</v>
      </c>
      <c r="AG245" s="165">
        <f>+'[147]VENTAS TOTALES'!$D27</f>
        <v>1673</v>
      </c>
      <c r="AH245" s="170">
        <f>+'[147]VENTAS TOTALES'!$E27</f>
        <v>821000</v>
      </c>
      <c r="AI245" s="171">
        <f>+'[147]VENTAS TOTALES'!$F27</f>
        <v>3665100</v>
      </c>
      <c r="AJ245" s="165">
        <f>+'[148]VENTAS TOTALES'!$D27</f>
        <v>892</v>
      </c>
      <c r="AK245" s="170">
        <f>+'[148]VENTAS TOTALES'!$E27</f>
        <v>329400</v>
      </c>
      <c r="AL245" s="171">
        <f>+'[148]VENTAS TOTALES'!$F27</f>
        <v>1845800</v>
      </c>
      <c r="AM245" s="165">
        <f>+'[149]VENTAS TOTALES'!$D27</f>
        <v>317</v>
      </c>
      <c r="AN245" s="170">
        <f>+'[149]VENTAS TOTALES'!$E27</f>
        <v>87600</v>
      </c>
      <c r="AO245" s="171">
        <f>+'[149]VENTAS TOTALES'!$F27</f>
        <v>626500</v>
      </c>
      <c r="AP245" s="165">
        <f>+'[150]VENTAS TOTALES'!$D27</f>
        <v>2067</v>
      </c>
      <c r="AQ245" s="170">
        <f>+'[150]VENTAS TOTALES'!$E27</f>
        <v>858300</v>
      </c>
      <c r="AR245" s="171">
        <f>+'[150]VENTAS TOTALES'!$F27</f>
        <v>4372200</v>
      </c>
      <c r="AS245" s="165">
        <f>+'[151]VENTAS TOTALES'!$D27</f>
        <v>2160</v>
      </c>
      <c r="AT245" s="170">
        <f>+'[151]VENTAS TOTALES'!$E27</f>
        <v>1224000</v>
      </c>
      <c r="AU245" s="171">
        <f>+'[151]VENTAS TOTALES'!$F27</f>
        <v>4896000</v>
      </c>
      <c r="AV245" s="165">
        <f>+'[152]VENTAS TOTALES'!$D27</f>
        <v>1977</v>
      </c>
      <c r="AW245" s="170">
        <f>+'[152]VENTAS TOTALES'!$E27</f>
        <v>1198100</v>
      </c>
      <c r="AX245" s="171">
        <f>+'[152]VENTAS TOTALES'!$F27</f>
        <v>4559000</v>
      </c>
      <c r="AY245" s="165">
        <f>+'[153]VENTAS TOTALES'!$D27</f>
        <v>2015</v>
      </c>
      <c r="AZ245" s="170">
        <f>+'[153]VENTAS TOTALES'!$E27</f>
        <v>1165700</v>
      </c>
      <c r="BA245" s="171">
        <f>+'[153]VENTAS TOTALES'!$F27</f>
        <v>4591200</v>
      </c>
      <c r="BB245" s="165">
        <f>+'[154]VENTAS TOTALES'!$D27</f>
        <v>1683</v>
      </c>
      <c r="BC245" s="170">
        <f>+'[154]VENTAS TOTALES'!$E27</f>
        <v>708500</v>
      </c>
      <c r="BD245" s="171">
        <f>+'[154]VENTAS TOTALES'!$F27</f>
        <v>3569600</v>
      </c>
      <c r="BE245" s="165">
        <f>+'[155]VENTAS TOTALES'!$D27</f>
        <v>877</v>
      </c>
      <c r="BF245" s="170">
        <f>+'[155]VENTAS TOTALES'!$E27</f>
        <v>442300</v>
      </c>
      <c r="BG245" s="171">
        <f>+'[155]VENTAS TOTALES'!$F27</f>
        <v>1933200</v>
      </c>
      <c r="BH245" s="165">
        <f>+'[156]VENTAS TOTALES'!$D27</f>
        <v>352</v>
      </c>
      <c r="BI245" s="170">
        <f>+'[156]VENTAS TOTALES'!$E27</f>
        <v>93600</v>
      </c>
      <c r="BJ245" s="171">
        <f>+'[156]VENTAS TOTALES'!$F27</f>
        <v>692000</v>
      </c>
      <c r="BK245" s="165">
        <f>+'[157]VENTAS TOTALES'!$D27</f>
        <v>1920</v>
      </c>
      <c r="BL245" s="170">
        <f>+'[157]VENTAS TOTALES'!$E27</f>
        <v>925900</v>
      </c>
      <c r="BM245" s="171">
        <f>+'[157]VENTAS TOTALES'!$F27</f>
        <v>4189900</v>
      </c>
      <c r="BN245" s="165">
        <f>+'[158]VENTAS TOTALES'!$D27</f>
        <v>1627</v>
      </c>
      <c r="BO245" s="170">
        <f>+'[158]VENTAS TOTALES'!$E27</f>
        <v>542300</v>
      </c>
      <c r="BP245" s="171">
        <f>+'[158]VENTAS TOTALES'!$F27</f>
        <v>3308200</v>
      </c>
      <c r="BQ245" s="165">
        <f>+'[159]VENTAS TOTALES'!$D27</f>
        <v>1679</v>
      </c>
      <c r="BR245" s="170">
        <f>+'[159]VENTAS TOTALES'!$E27</f>
        <v>722000</v>
      </c>
      <c r="BS245" s="171">
        <f>+'[159]VENTAS TOTALES'!$F27</f>
        <v>3576300</v>
      </c>
      <c r="BT245" s="165">
        <f>+'[160]VENTAS TOTALES'!$D27</f>
        <v>1502</v>
      </c>
      <c r="BU245" s="170">
        <f>+'[160]VENTAS TOTALES'!$E27</f>
        <v>799300</v>
      </c>
      <c r="BV245" s="171">
        <f>+'[160]VENTAS TOTALES'!$F27</f>
        <v>3352700</v>
      </c>
      <c r="BW245" s="165">
        <f>+'[161]VENTAS TOTALES'!$D27</f>
        <v>1630</v>
      </c>
      <c r="BX245" s="170">
        <f>+'[161]VENTAS TOTALES'!$E27</f>
        <v>829100</v>
      </c>
      <c r="BY245" s="171">
        <f>+'[161]VENTAS TOTALES'!$F27</f>
        <v>3600100</v>
      </c>
      <c r="BZ245" s="165">
        <f>+'[162]VENTAS TOTALES'!$D27</f>
        <v>968</v>
      </c>
      <c r="CA245" s="170">
        <f>+'[162]VENTAS TOTALES'!$E27</f>
        <v>327600</v>
      </c>
      <c r="CB245" s="171">
        <f>+'[162]VENTAS TOTALES'!$F27</f>
        <v>1973200</v>
      </c>
      <c r="CC245" s="165">
        <f>+'[163]VENTAS TOTALES'!$D27</f>
        <v>337</v>
      </c>
      <c r="CD245" s="170">
        <f>+'[163]VENTAS TOTALES'!$E27</f>
        <v>68200</v>
      </c>
      <c r="CE245" s="171">
        <f>+'[163]VENTAS TOTALES'!$F27</f>
        <v>641100</v>
      </c>
      <c r="CF245" s="165">
        <f>+'[164]VENTAS TOTALES'!$D27</f>
        <v>2451</v>
      </c>
      <c r="CG245" s="170">
        <f>+'[164]VENTAS TOTALES'!$E27</f>
        <v>1562800</v>
      </c>
      <c r="CH245" s="171">
        <f>+'[164]VENTAS TOTALES'!$F27</f>
        <v>5729500</v>
      </c>
      <c r="CI245" s="165">
        <f>+'[165]VENTAS TOTALES'!$D27</f>
        <v>2451</v>
      </c>
      <c r="CJ245" s="170">
        <f>+'[165]VENTAS TOTALES'!$E27</f>
        <v>1271300</v>
      </c>
      <c r="CK245" s="171">
        <f>+'[165]VENTAS TOTALES'!$F27</f>
        <v>5438000</v>
      </c>
      <c r="CL245" s="165">
        <f>+'[166]VENTAS TOTALES'!$D27</f>
        <v>2059</v>
      </c>
      <c r="CM245" s="170">
        <f>+'[166]VENTAS TOTALES'!$E27</f>
        <v>979500</v>
      </c>
      <c r="CN245" s="171">
        <f>+'[166]VENTAS TOTALES'!$F27</f>
        <v>4479800</v>
      </c>
      <c r="CO245" s="165">
        <f>+'[167]VENTAS TOTALES'!$D27</f>
        <v>1663</v>
      </c>
      <c r="CP245" s="170">
        <f>+'[167]VENTAS TOTALES'!$E27</f>
        <v>1074300</v>
      </c>
      <c r="CQ245" s="171">
        <f>+'[167]VENTAS TOTALES'!$F27</f>
        <v>3901400</v>
      </c>
      <c r="CR245" s="165">
        <f>+'[168]VENTAS TOTALES'!$D27</f>
        <v>1555</v>
      </c>
      <c r="CS245" s="170">
        <f>+'[168]VENTAS TOTALES'!$E27</f>
        <v>677050</v>
      </c>
      <c r="CT245" s="171">
        <f>+'[168]VENTAS TOTALES'!$F27</f>
        <v>3320550</v>
      </c>
      <c r="CU245" s="165">
        <f>+'[169]VENTAS TOTALES'!$D27</f>
        <v>1059</v>
      </c>
      <c r="CV245" s="170">
        <f>+'[169]VENTAS TOTALES'!$E27</f>
        <v>321100</v>
      </c>
      <c r="CW245" s="171">
        <f>+'[169]VENTAS TOTALES'!$F27</f>
        <v>2121400</v>
      </c>
      <c r="CX245" s="165">
        <f>+'[170]VENTAS TOTALES'!$D27</f>
        <v>384</v>
      </c>
      <c r="CY245" s="170">
        <f>+'[170]VENTAS TOTALES'!$E27</f>
        <v>86400</v>
      </c>
      <c r="CZ245" s="171">
        <f>+'[170]VENTAS TOTALES'!$F27</f>
        <v>739200</v>
      </c>
    </row>
    <row r="246" spans="1:104" s="10" customFormat="1" x14ac:dyDescent="0.2">
      <c r="A246" s="471"/>
      <c r="B246" s="53" t="s">
        <v>218</v>
      </c>
      <c r="C246" s="165">
        <f>+'[137]VENTAS TOTALES'!$D28</f>
        <v>4485</v>
      </c>
      <c r="D246" s="170">
        <f>+'[137]VENTAS TOTALES'!$E28</f>
        <v>2868800</v>
      </c>
      <c r="E246" s="171">
        <f>+'[137]VENTAS TOTALES'!$F28</f>
        <v>10493300</v>
      </c>
      <c r="F246" s="165">
        <f>+'[138]VENTAS TOTALES'!$D28</f>
        <v>4573</v>
      </c>
      <c r="G246" s="170">
        <f>+'[138]VENTAS TOTALES'!$E28</f>
        <v>2265450</v>
      </c>
      <c r="H246" s="171">
        <f>+'[138]VENTAS TOTALES'!$F28</f>
        <v>10039550</v>
      </c>
      <c r="I246" s="165">
        <f>+'[139]VENTAS TOTALES'!$D28</f>
        <v>3527</v>
      </c>
      <c r="J246" s="170">
        <f>+'[139]VENTAS TOTALES'!$E28</f>
        <v>1521800</v>
      </c>
      <c r="K246" s="171">
        <f>+'[139]VENTAS TOTALES'!$F28</f>
        <v>7517700</v>
      </c>
      <c r="L246" s="165">
        <f>+'[140]VENTAS TOTALES'!$D28</f>
        <v>3411</v>
      </c>
      <c r="M246" s="170">
        <f>+'[140]VENTAS TOTALES'!$E28</f>
        <v>1036800</v>
      </c>
      <c r="N246" s="171">
        <f>+'[140]VENTAS TOTALES'!$F28</f>
        <v>6835500</v>
      </c>
      <c r="O246" s="165">
        <f>+'[141]VENTAS TOTALES'!$D28</f>
        <v>2688</v>
      </c>
      <c r="P246" s="170">
        <f>+'[141]VENTAS TOTALES'!$E28</f>
        <v>1030250</v>
      </c>
      <c r="Q246" s="171">
        <f>+'[141]VENTAS TOTALES'!$F28</f>
        <v>5599850</v>
      </c>
      <c r="R246" s="165">
        <f>+'[142]VENTAS TOTALES'!$D28</f>
        <v>775</v>
      </c>
      <c r="S246" s="170">
        <f>+'[142]VENTAS TOTALES'!$E28</f>
        <v>284600</v>
      </c>
      <c r="T246" s="171">
        <f>+'[142]VENTAS TOTALES'!$F28</f>
        <v>1602100</v>
      </c>
      <c r="U246" s="165">
        <f>+'[143]VENTAS TOTALES'!$D28</f>
        <v>4012</v>
      </c>
      <c r="V246" s="170">
        <f>+'[143]VENTAS TOTALES'!$E28</f>
        <v>1964700</v>
      </c>
      <c r="W246" s="171">
        <f>+'[143]VENTAS TOTALES'!$F28</f>
        <v>8785100</v>
      </c>
      <c r="X246" s="165">
        <f>+'[144]VENTAS TOTALES'!$D28</f>
        <v>3673</v>
      </c>
      <c r="Y246" s="170">
        <f>+'[144]VENTAS TOTALES'!$E28</f>
        <v>1604100</v>
      </c>
      <c r="Z246" s="171">
        <f>+'[144]VENTAS TOTALES'!$F28</f>
        <v>7848200</v>
      </c>
      <c r="AA246" s="165">
        <f>+'[145]VENTAS TOTALES'!$D28</f>
        <v>3655</v>
      </c>
      <c r="AB246" s="170">
        <f>+'[145]VENTAS TOTALES'!$E28</f>
        <v>1145900</v>
      </c>
      <c r="AC246" s="171">
        <f>+'[145]VENTAS TOTALES'!$F28</f>
        <v>7359400</v>
      </c>
      <c r="AD246" s="165">
        <f>+'[146]VENTAS TOTALES'!$D28</f>
        <v>3638</v>
      </c>
      <c r="AE246" s="170">
        <f>+'[146]VENTAS TOTALES'!$E28</f>
        <v>1305700</v>
      </c>
      <c r="AF246" s="171">
        <f>+'[146]VENTAS TOTALES'!$F28</f>
        <v>7490300</v>
      </c>
      <c r="AG246" s="165">
        <f>+'[147]VENTAS TOTALES'!$D28</f>
        <v>3476</v>
      </c>
      <c r="AH246" s="170">
        <f>+'[147]VENTAS TOTALES'!$E28</f>
        <v>1072900</v>
      </c>
      <c r="AI246" s="171">
        <f>+'[147]VENTAS TOTALES'!$F28</f>
        <v>6982100</v>
      </c>
      <c r="AJ246" s="165">
        <f>+'[148]VENTAS TOTALES'!$D28</f>
        <v>2598</v>
      </c>
      <c r="AK246" s="170">
        <f>+'[148]VENTAS TOTALES'!$E28</f>
        <v>955700</v>
      </c>
      <c r="AL246" s="171">
        <f>+'[148]VENTAS TOTALES'!$F28</f>
        <v>5372300</v>
      </c>
      <c r="AM246" s="165">
        <f>+'[149]VENTAS TOTALES'!$D28</f>
        <v>877</v>
      </c>
      <c r="AN246" s="170">
        <f>+'[149]VENTAS TOTALES'!$E28</f>
        <v>173600</v>
      </c>
      <c r="AO246" s="171">
        <f>+'[149]VENTAS TOTALES'!$F28</f>
        <v>1664500</v>
      </c>
      <c r="AP246" s="165">
        <f>+'[150]VENTAS TOTALES'!$D28</f>
        <v>4164</v>
      </c>
      <c r="AQ246" s="170">
        <f>+'[150]VENTAS TOTALES'!$E28</f>
        <v>1873900</v>
      </c>
      <c r="AR246" s="171">
        <f>+'[150]VENTAS TOTALES'!$F28</f>
        <v>8952700</v>
      </c>
      <c r="AS246" s="165">
        <f>+'[151]VENTAS TOTALES'!$D28</f>
        <v>4535</v>
      </c>
      <c r="AT246" s="170">
        <f>+'[151]VENTAS TOTALES'!$E28</f>
        <v>2640900</v>
      </c>
      <c r="AU246" s="171">
        <f>+'[151]VENTAS TOTALES'!$F28</f>
        <v>10350400</v>
      </c>
      <c r="AV246" s="165">
        <f>+'[152]VENTAS TOTALES'!$D28</f>
        <v>4683</v>
      </c>
      <c r="AW246" s="170">
        <f>+'[152]VENTAS TOTALES'!$E28</f>
        <v>2991000</v>
      </c>
      <c r="AX246" s="171">
        <f>+'[152]VENTAS TOTALES'!$F28</f>
        <v>10952100</v>
      </c>
      <c r="AY246" s="165">
        <f>+'[153]VENTAS TOTALES'!$D28</f>
        <v>4250</v>
      </c>
      <c r="AZ246" s="170">
        <f>+'[153]VENTAS TOTALES'!$E28</f>
        <v>2353400</v>
      </c>
      <c r="BA246" s="171">
        <f>+'[153]VENTAS TOTALES'!$F28</f>
        <v>9578400</v>
      </c>
      <c r="BB246" s="165">
        <f>+'[154]VENTAS TOTALES'!$D28</f>
        <v>3909</v>
      </c>
      <c r="BC246" s="170">
        <f>+'[154]VENTAS TOTALES'!$E28</f>
        <v>1365800</v>
      </c>
      <c r="BD246" s="171">
        <f>+'[154]VENTAS TOTALES'!$F28</f>
        <v>8011100</v>
      </c>
      <c r="BE246" s="165">
        <f>+'[155]VENTAS TOTALES'!$D28</f>
        <v>2816</v>
      </c>
      <c r="BF246" s="170">
        <f>+'[155]VENTAS TOTALES'!$E28</f>
        <v>931800</v>
      </c>
      <c r="BG246" s="171">
        <f>+'[155]VENTAS TOTALES'!$F28</f>
        <v>5719000</v>
      </c>
      <c r="BH246" s="165">
        <f>+'[156]VENTAS TOTALES'!$D28</f>
        <v>741</v>
      </c>
      <c r="BI246" s="170">
        <f>+'[156]VENTAS TOTALES'!$E28</f>
        <v>181600</v>
      </c>
      <c r="BJ246" s="171">
        <f>+'[156]VENTAS TOTALES'!$F28</f>
        <v>1441300</v>
      </c>
      <c r="BK246" s="165">
        <f>+'[157]VENTAS TOTALES'!$D28</f>
        <v>4257</v>
      </c>
      <c r="BL246" s="170">
        <f>+'[157]VENTAS TOTALES'!$E28</f>
        <v>1695400</v>
      </c>
      <c r="BM246" s="171">
        <f>+'[157]VENTAS TOTALES'!$F28</f>
        <v>8932300</v>
      </c>
      <c r="BN246" s="165">
        <f>+'[158]VENTAS TOTALES'!$D28</f>
        <v>3925</v>
      </c>
      <c r="BO246" s="170">
        <f>+'[158]VENTAS TOTALES'!$E28</f>
        <v>1478300</v>
      </c>
      <c r="BP246" s="171">
        <f>+'[158]VENTAS TOTALES'!$F28</f>
        <v>8150800</v>
      </c>
      <c r="BQ246" s="165">
        <f>+'[159]VENTAS TOTALES'!$D28</f>
        <v>3825</v>
      </c>
      <c r="BR246" s="170">
        <f>+'[159]VENTAS TOTALES'!$E28</f>
        <v>1434000</v>
      </c>
      <c r="BS246" s="171">
        <f>+'[159]VENTAS TOTALES'!$F28</f>
        <v>7936500</v>
      </c>
      <c r="BT246" s="165">
        <f>+'[160]VENTAS TOTALES'!$D28</f>
        <v>3629</v>
      </c>
      <c r="BU246" s="170">
        <f>+'[160]VENTAS TOTALES'!$E28</f>
        <v>1141050</v>
      </c>
      <c r="BV246" s="171">
        <f>+'[160]VENTAS TOTALES'!$F28</f>
        <v>7310350</v>
      </c>
      <c r="BW246" s="165">
        <f>+'[161]VENTAS TOTALES'!$D28</f>
        <v>3385</v>
      </c>
      <c r="BX246" s="170">
        <f>+'[161]VENTAS TOTALES'!$E28</f>
        <v>1176200</v>
      </c>
      <c r="BY246" s="171">
        <f>+'[161]VENTAS TOTALES'!$F28</f>
        <v>6930700</v>
      </c>
      <c r="BZ246" s="165">
        <f>+'[162]VENTAS TOTALES'!$D28</f>
        <v>2865</v>
      </c>
      <c r="CA246" s="170">
        <f>+'[162]VENTAS TOTALES'!$E28</f>
        <v>1101800</v>
      </c>
      <c r="CB246" s="171">
        <f>+'[162]VENTAS TOTALES'!$F28</f>
        <v>5972300</v>
      </c>
      <c r="CC246" s="165">
        <f>+'[163]VENTAS TOTALES'!$D28</f>
        <v>815</v>
      </c>
      <c r="CD246" s="170">
        <f>+'[163]VENTAS TOTALES'!$E28</f>
        <v>242800</v>
      </c>
      <c r="CE246" s="171">
        <f>+'[163]VENTAS TOTALES'!$F28</f>
        <v>1628300</v>
      </c>
      <c r="CF246" s="165">
        <f>+'[164]VENTAS TOTALES'!$D28</f>
        <v>5053</v>
      </c>
      <c r="CG246" s="170">
        <f>+'[164]VENTAS TOTALES'!$E28</f>
        <v>3494300</v>
      </c>
      <c r="CH246" s="171">
        <f>+'[164]VENTAS TOTALES'!$F28</f>
        <v>12084400</v>
      </c>
      <c r="CI246" s="165">
        <f>+'[165]VENTAS TOTALES'!$D28</f>
        <v>5198</v>
      </c>
      <c r="CJ246" s="170">
        <f>+'[165]VENTAS TOTALES'!$E28</f>
        <v>3168700</v>
      </c>
      <c r="CK246" s="171">
        <f>+'[165]VENTAS TOTALES'!$F28</f>
        <v>12005300</v>
      </c>
      <c r="CL246" s="165">
        <f>+'[166]VENTAS TOTALES'!$D28</f>
        <v>4951</v>
      </c>
      <c r="CM246" s="170">
        <f>+'[166]VENTAS TOTALES'!$E28</f>
        <v>2851900</v>
      </c>
      <c r="CN246" s="171">
        <f>+'[166]VENTAS TOTALES'!$F28</f>
        <v>11268600</v>
      </c>
      <c r="CO246" s="165">
        <f>+'[167]VENTAS TOTALES'!$D28</f>
        <v>4358</v>
      </c>
      <c r="CP246" s="170">
        <f>+'[167]VENTAS TOTALES'!$E28</f>
        <v>1924100</v>
      </c>
      <c r="CQ246" s="171">
        <f>+'[167]VENTAS TOTALES'!$F28</f>
        <v>9332700</v>
      </c>
      <c r="CR246" s="165">
        <f>+'[168]VENTAS TOTALES'!$D28</f>
        <v>3973</v>
      </c>
      <c r="CS246" s="170">
        <f>+'[168]VENTAS TOTALES'!$E28</f>
        <v>1047250</v>
      </c>
      <c r="CT246" s="171">
        <f>+'[168]VENTAS TOTALES'!$F28</f>
        <v>7801350</v>
      </c>
      <c r="CU246" s="165">
        <f>+'[169]VENTAS TOTALES'!$D28</f>
        <v>2820</v>
      </c>
      <c r="CV246" s="170">
        <f>+'[169]VENTAS TOTALES'!$E28</f>
        <v>1166350</v>
      </c>
      <c r="CW246" s="171">
        <f>+'[169]VENTAS TOTALES'!$F28</f>
        <v>5960350</v>
      </c>
      <c r="CX246" s="165">
        <f>+'[170]VENTAS TOTALES'!$D28</f>
        <v>768</v>
      </c>
      <c r="CY246" s="170">
        <f>+'[170]VENTAS TOTALES'!$E28</f>
        <v>109600</v>
      </c>
      <c r="CZ246" s="171">
        <f>+'[170]VENTAS TOTALES'!$F28</f>
        <v>1415200</v>
      </c>
    </row>
    <row r="247" spans="1:104" s="10" customFormat="1" x14ac:dyDescent="0.2">
      <c r="A247" s="471"/>
      <c r="B247" s="53" t="s">
        <v>219</v>
      </c>
      <c r="C247" s="165">
        <f>+'[137]VENTAS TOTALES'!$D29</f>
        <v>3310</v>
      </c>
      <c r="D247" s="170">
        <f>+'[137]VENTAS TOTALES'!$E29</f>
        <v>2220650</v>
      </c>
      <c r="E247" s="171">
        <f>+'[137]VENTAS TOTALES'!$F29</f>
        <v>7847650</v>
      </c>
      <c r="F247" s="165">
        <f>+'[138]VENTAS TOTALES'!$D29</f>
        <v>3150</v>
      </c>
      <c r="G247" s="170">
        <f>+'[138]VENTAS TOTALES'!$E29</f>
        <v>1669600</v>
      </c>
      <c r="H247" s="171">
        <f>+'[138]VENTAS TOTALES'!$F29</f>
        <v>7024600</v>
      </c>
      <c r="I247" s="165">
        <f>+'[139]VENTAS TOTALES'!$D29</f>
        <v>2567</v>
      </c>
      <c r="J247" s="170">
        <f>+'[139]VENTAS TOTALES'!$E29</f>
        <v>1273000</v>
      </c>
      <c r="K247" s="171">
        <f>+'[139]VENTAS TOTALES'!$F29</f>
        <v>5636900</v>
      </c>
      <c r="L247" s="165">
        <f>+'[140]VENTAS TOTALES'!$D29</f>
        <v>2569</v>
      </c>
      <c r="M247" s="170">
        <f>+'[140]VENTAS TOTALES'!$E29</f>
        <v>960100</v>
      </c>
      <c r="N247" s="171">
        <f>+'[140]VENTAS TOTALES'!$F29</f>
        <v>5327400</v>
      </c>
      <c r="O247" s="165">
        <f>+'[141]VENTAS TOTALES'!$D29</f>
        <v>2193</v>
      </c>
      <c r="P247" s="170">
        <f>+'[141]VENTAS TOTALES'!$E29</f>
        <v>679600</v>
      </c>
      <c r="Q247" s="171">
        <f>+'[141]VENTAS TOTALES'!$F29</f>
        <v>4407700</v>
      </c>
      <c r="R247" s="165">
        <f>+'[142]VENTAS TOTALES'!$D29</f>
        <v>777</v>
      </c>
      <c r="S247" s="170">
        <f>+'[142]VENTAS TOTALES'!$E29</f>
        <v>178500</v>
      </c>
      <c r="T247" s="171">
        <f>+'[142]VENTAS TOTALES'!$F29</f>
        <v>1499400</v>
      </c>
      <c r="U247" s="165">
        <f>+'[143]VENTAS TOTALES'!$D29</f>
        <v>3263</v>
      </c>
      <c r="V247" s="170">
        <f>+'[143]VENTAS TOTALES'!$E29</f>
        <v>1390700</v>
      </c>
      <c r="W247" s="171">
        <f>+'[143]VENTAS TOTALES'!$F29</f>
        <v>6937800</v>
      </c>
      <c r="X247" s="165">
        <f>+'[144]VENTAS TOTALES'!$D29</f>
        <v>3032</v>
      </c>
      <c r="Y247" s="170">
        <f>+'[144]VENTAS TOTALES'!$E29</f>
        <v>931400</v>
      </c>
      <c r="Z247" s="171">
        <f>+'[144]VENTAS TOTALES'!$F29</f>
        <v>6085800</v>
      </c>
      <c r="AA247" s="165">
        <f>+'[145]VENTAS TOTALES'!$D29</f>
        <v>2631</v>
      </c>
      <c r="AB247" s="170">
        <f>+'[145]VENTAS TOTALES'!$E29</f>
        <v>830800</v>
      </c>
      <c r="AC247" s="171">
        <f>+'[145]VENTAS TOTALES'!$F29</f>
        <v>5303500</v>
      </c>
      <c r="AD247" s="165">
        <f>+'[146]VENTAS TOTALES'!$D29</f>
        <v>2754</v>
      </c>
      <c r="AE247" s="170">
        <f>+'[146]VENTAS TOTALES'!$E29</f>
        <v>701200</v>
      </c>
      <c r="AF247" s="171">
        <f>+'[146]VENTAS TOTALES'!$F29</f>
        <v>5383000</v>
      </c>
      <c r="AG247" s="165">
        <f>+'[147]VENTAS TOTALES'!$D29</f>
        <v>2642</v>
      </c>
      <c r="AH247" s="170">
        <f>+'[147]VENTAS TOTALES'!$E29</f>
        <v>845800</v>
      </c>
      <c r="AI247" s="171">
        <f>+'[147]VENTAS TOTALES'!$F29</f>
        <v>5337200</v>
      </c>
      <c r="AJ247" s="165">
        <f>+'[148]VENTAS TOTALES'!$D29</f>
        <v>2085</v>
      </c>
      <c r="AK247" s="170">
        <f>+'[148]VENTAS TOTALES'!$E29</f>
        <v>628000</v>
      </c>
      <c r="AL247" s="171">
        <f>+'[148]VENTAS TOTALES'!$F29</f>
        <v>4172500</v>
      </c>
      <c r="AM247" s="165">
        <f>+'[149]VENTAS TOTALES'!$D29</f>
        <v>863</v>
      </c>
      <c r="AN247" s="170">
        <f>+'[149]VENTAS TOTALES'!$E29</f>
        <v>118200</v>
      </c>
      <c r="AO247" s="171">
        <f>+'[149]VENTAS TOTALES'!$F29</f>
        <v>1585300</v>
      </c>
      <c r="AP247" s="165">
        <f>+'[150]VENTAS TOTALES'!$D29</f>
        <v>3230</v>
      </c>
      <c r="AQ247" s="170">
        <f>+'[150]VENTAS TOTALES'!$E29</f>
        <v>1226900</v>
      </c>
      <c r="AR247" s="171">
        <f>+'[150]VENTAS TOTALES'!$F29</f>
        <v>6717900</v>
      </c>
      <c r="AS247" s="165">
        <f>+'[151]VENTAS TOTALES'!$D29</f>
        <v>5189</v>
      </c>
      <c r="AT247" s="170">
        <f>+'[151]VENTAS TOTALES'!$E29</f>
        <v>2187700</v>
      </c>
      <c r="AU247" s="171">
        <f>+'[151]VENTAS TOTALES'!$F29</f>
        <v>11009000</v>
      </c>
      <c r="AV247" s="165">
        <f>+'[152]VENTAS TOTALES'!$D29</f>
        <v>5799</v>
      </c>
      <c r="AW247" s="170">
        <f>+'[152]VENTAS TOTALES'!$E29</f>
        <v>2721350</v>
      </c>
      <c r="AX247" s="171">
        <f>+'[152]VENTAS TOTALES'!$F29</f>
        <v>12579650</v>
      </c>
      <c r="AY247" s="165">
        <f>+'[153]VENTAS TOTALES'!$D29</f>
        <v>5557</v>
      </c>
      <c r="AZ247" s="170">
        <f>+'[153]VENTAS TOTALES'!$E29</f>
        <v>2273750</v>
      </c>
      <c r="BA247" s="171">
        <f>+'[153]VENTAS TOTALES'!$F29</f>
        <v>11720650</v>
      </c>
      <c r="BB247" s="165">
        <f>+'[154]VENTAS TOTALES'!$D29</f>
        <v>5080</v>
      </c>
      <c r="BC247" s="170">
        <f>+'[154]VENTAS TOTALES'!$E29</f>
        <v>1666300</v>
      </c>
      <c r="BD247" s="171">
        <f>+'[154]VENTAS TOTALES'!$F29</f>
        <v>10302300</v>
      </c>
      <c r="BE247" s="165">
        <f>+'[155]VENTAS TOTALES'!$D29</f>
        <v>4323</v>
      </c>
      <c r="BF247" s="170">
        <f>+'[155]VENTAS TOTALES'!$E29</f>
        <v>1431750</v>
      </c>
      <c r="BG247" s="171">
        <f>+'[155]VENTAS TOTALES'!$F29</f>
        <v>8780850</v>
      </c>
      <c r="BH247" s="165">
        <f>+'[156]VENTAS TOTALES'!$D29</f>
        <v>1699</v>
      </c>
      <c r="BI247" s="170">
        <f>+'[156]VENTAS TOTALES'!$E29</f>
        <v>236900</v>
      </c>
      <c r="BJ247" s="171">
        <f>+'[156]VENTAS TOTALES'!$F29</f>
        <v>3125200</v>
      </c>
      <c r="BK247" s="165">
        <f>+'[157]VENTAS TOTALES'!$D29</f>
        <v>6388</v>
      </c>
      <c r="BL247" s="170">
        <f>+'[157]VENTAS TOTALES'!$E29</f>
        <v>2131800</v>
      </c>
      <c r="BM247" s="171">
        <f>+'[157]VENTAS TOTALES'!$F29</f>
        <v>12991400</v>
      </c>
      <c r="BN247" s="165">
        <f>+'[158]VENTAS TOTALES'!$D29</f>
        <v>5288</v>
      </c>
      <c r="BO247" s="170">
        <f>+'[158]VENTAS TOTALES'!$E29</f>
        <v>1428050</v>
      </c>
      <c r="BP247" s="171">
        <f>+'[158]VENTAS TOTALES'!$F29</f>
        <v>10417650</v>
      </c>
      <c r="BQ247" s="165">
        <f>+'[159]VENTAS TOTALES'!$D29</f>
        <v>5127</v>
      </c>
      <c r="BR247" s="170">
        <f>+'[159]VENTAS TOTALES'!$E29</f>
        <v>1452000</v>
      </c>
      <c r="BS247" s="171">
        <f>+'[159]VENTAS TOTALES'!$F29</f>
        <v>10167900</v>
      </c>
      <c r="BT247" s="165">
        <f>+'[160]VENTAS TOTALES'!$D29</f>
        <v>5012</v>
      </c>
      <c r="BU247" s="170">
        <f>+'[160]VENTAS TOTALES'!$E29</f>
        <v>1455300</v>
      </c>
      <c r="BV247" s="171">
        <f>+'[160]VENTAS TOTALES'!$F29</f>
        <v>9975700</v>
      </c>
      <c r="BW247" s="165">
        <f>+'[161]VENTAS TOTALES'!$D29</f>
        <v>4666</v>
      </c>
      <c r="BX247" s="170">
        <f>+'[161]VENTAS TOTALES'!$E29</f>
        <v>1319200</v>
      </c>
      <c r="BY247" s="171">
        <f>+'[161]VENTAS TOTALES'!$F29</f>
        <v>9251400</v>
      </c>
      <c r="BZ247" s="165">
        <f>+'[162]VENTAS TOTALES'!$D29</f>
        <v>4383</v>
      </c>
      <c r="CA247" s="170">
        <f>+'[162]VENTAS TOTALES'!$E29</f>
        <v>1504500</v>
      </c>
      <c r="CB247" s="171">
        <f>+'[162]VENTAS TOTALES'!$F29</f>
        <v>8955600</v>
      </c>
      <c r="CC247" s="165">
        <f>+'[163]VENTAS TOTALES'!$D29</f>
        <v>1668</v>
      </c>
      <c r="CD247" s="170">
        <f>+'[163]VENTAS TOTALES'!$E29</f>
        <v>369450</v>
      </c>
      <c r="CE247" s="171">
        <f>+'[163]VENTAS TOTALES'!$F29</f>
        <v>3205050</v>
      </c>
      <c r="CF247" s="165">
        <f>+'[164]VENTAS TOTALES'!$D29</f>
        <v>6265</v>
      </c>
      <c r="CG247" s="170">
        <f>+'[164]VENTAS TOTALES'!$E29</f>
        <v>2689500</v>
      </c>
      <c r="CH247" s="171">
        <f>+'[164]VENTAS TOTALES'!$F29</f>
        <v>13340000</v>
      </c>
      <c r="CI247" s="165">
        <f>+'[165]VENTAS TOTALES'!$D29</f>
        <v>6152</v>
      </c>
      <c r="CJ247" s="170">
        <f>+'[165]VENTAS TOTALES'!$E29</f>
        <v>3662300</v>
      </c>
      <c r="CK247" s="171">
        <f>+'[165]VENTAS TOTALES'!$F29</f>
        <v>14120700</v>
      </c>
      <c r="CL247" s="165">
        <f>+'[166]VENTAS TOTALES'!$D29</f>
        <v>6056</v>
      </c>
      <c r="CM247" s="170">
        <f>+'[166]VENTAS TOTALES'!$E29</f>
        <v>2297350</v>
      </c>
      <c r="CN247" s="171">
        <f>+'[166]VENTAS TOTALES'!$F29</f>
        <v>12592550</v>
      </c>
      <c r="CO247" s="165">
        <f>+'[167]VENTAS TOTALES'!$D29</f>
        <v>5555</v>
      </c>
      <c r="CP247" s="170">
        <f>+'[167]VENTAS TOTALES'!$E29</f>
        <v>2073000</v>
      </c>
      <c r="CQ247" s="171">
        <f>+'[167]VENTAS TOTALES'!$F29</f>
        <v>11516500</v>
      </c>
      <c r="CR247" s="165">
        <f>+'[168]VENTAS TOTALES'!$D29</f>
        <v>5161</v>
      </c>
      <c r="CS247" s="170">
        <f>+'[168]VENTAS TOTALES'!$E29</f>
        <v>1452800</v>
      </c>
      <c r="CT247" s="171">
        <f>+'[168]VENTAS TOTALES'!$F29</f>
        <v>10226500</v>
      </c>
      <c r="CU247" s="165">
        <f>+'[169]VENTAS TOTALES'!$D29</f>
        <v>4506</v>
      </c>
      <c r="CV247" s="170">
        <f>+'[169]VENTAS TOTALES'!$E29</f>
        <v>1416200</v>
      </c>
      <c r="CW247" s="171">
        <f>+'[169]VENTAS TOTALES'!$F29</f>
        <v>9076400</v>
      </c>
      <c r="CX247" s="165">
        <f>+'[170]VENTAS TOTALES'!$D29</f>
        <v>1765</v>
      </c>
      <c r="CY247" s="170">
        <f>+'[170]VENTAS TOTALES'!$E29</f>
        <v>311000</v>
      </c>
      <c r="CZ247" s="171">
        <f>+'[170]VENTAS TOTALES'!$F29</f>
        <v>3311500</v>
      </c>
    </row>
    <row r="248" spans="1:104" s="10" customFormat="1" x14ac:dyDescent="0.2">
      <c r="A248" s="471"/>
      <c r="B248" s="53" t="s">
        <v>220</v>
      </c>
      <c r="C248" s="165">
        <f>+'[137]VENTAS TOTALES'!$D30</f>
        <v>4050</v>
      </c>
      <c r="D248" s="170">
        <f>+'[137]VENTAS TOTALES'!$E30</f>
        <v>1767300</v>
      </c>
      <c r="E248" s="171">
        <f>+'[137]VENTAS TOTALES'!$F30</f>
        <v>8652300</v>
      </c>
      <c r="F248" s="165">
        <f>+'[138]VENTAS TOTALES'!$D30</f>
        <v>3793</v>
      </c>
      <c r="G248" s="170">
        <f>+'[138]VENTAS TOTALES'!$E30</f>
        <v>1485100</v>
      </c>
      <c r="H248" s="171">
        <f>+'[138]VENTAS TOTALES'!$F30</f>
        <v>7933200</v>
      </c>
      <c r="I248" s="165">
        <f>+'[139]VENTAS TOTALES'!$D30</f>
        <v>3195</v>
      </c>
      <c r="J248" s="170">
        <f>+'[139]VENTAS TOTALES'!$E30</f>
        <v>1189600</v>
      </c>
      <c r="K248" s="171">
        <f>+'[139]VENTAS TOTALES'!$F30</f>
        <v>6621100</v>
      </c>
      <c r="L248" s="165">
        <f>+'[140]VENTAS TOTALES'!$D30</f>
        <v>3124</v>
      </c>
      <c r="M248" s="170">
        <f>+'[140]VENTAS TOTALES'!$E30</f>
        <v>725000</v>
      </c>
      <c r="N248" s="171">
        <f>+'[140]VENTAS TOTALES'!$F30</f>
        <v>6035800</v>
      </c>
      <c r="O248" s="165">
        <f>+'[141]VENTAS TOTALES'!$D30</f>
        <v>2599</v>
      </c>
      <c r="P248" s="170">
        <f>+'[141]VENTAS TOTALES'!$E30</f>
        <v>1103600</v>
      </c>
      <c r="Q248" s="171">
        <f>+'[141]VENTAS TOTALES'!$F30</f>
        <v>5521900</v>
      </c>
      <c r="R248" s="165">
        <f>+'[142]VENTAS TOTALES'!$D30</f>
        <v>1015</v>
      </c>
      <c r="S248" s="170">
        <f>+'[142]VENTAS TOTALES'!$E30</f>
        <v>99500</v>
      </c>
      <c r="T248" s="171">
        <f>+'[142]VENTAS TOTALES'!$F30</f>
        <v>1825000</v>
      </c>
      <c r="U248" s="165">
        <f>+'[143]VENTAS TOTALES'!$D30</f>
        <v>3673</v>
      </c>
      <c r="V248" s="170">
        <f>+'[143]VENTAS TOTALES'!$E30</f>
        <v>1242700</v>
      </c>
      <c r="W248" s="171">
        <f>+'[143]VENTAS TOTALES'!$F30</f>
        <v>7486800</v>
      </c>
      <c r="X248" s="165">
        <f>+'[144]VENTAS TOTALES'!$D30</f>
        <v>3326</v>
      </c>
      <c r="Y248" s="170">
        <f>+'[144]VENTAS TOTALES'!$E30</f>
        <v>943200</v>
      </c>
      <c r="Z248" s="171">
        <f>+'[144]VENTAS TOTALES'!$F30</f>
        <v>6597400</v>
      </c>
      <c r="AA248" s="165">
        <f>+'[145]VENTAS TOTALES'!$D30</f>
        <v>3274</v>
      </c>
      <c r="AB248" s="170">
        <f>+'[145]VENTAS TOTALES'!$E30</f>
        <v>977850</v>
      </c>
      <c r="AC248" s="171">
        <f>+'[145]VENTAS TOTALES'!$F30</f>
        <v>6543650</v>
      </c>
      <c r="AD248" s="165">
        <f>+'[146]VENTAS TOTALES'!$D30</f>
        <v>2969</v>
      </c>
      <c r="AE248" s="170">
        <f>+'[146]VENTAS TOTALES'!$E30</f>
        <v>931600</v>
      </c>
      <c r="AF248" s="171">
        <f>+'[146]VENTAS TOTALES'!$F30</f>
        <v>5978900</v>
      </c>
      <c r="AG248" s="165">
        <f>+'[147]VENTAS TOTALES'!$D30</f>
        <v>2910</v>
      </c>
      <c r="AH248" s="170">
        <f>+'[147]VENTAS TOTALES'!$E30</f>
        <v>763800</v>
      </c>
      <c r="AI248" s="171">
        <f>+'[147]VENTAS TOTALES'!$F30</f>
        <v>5710800</v>
      </c>
      <c r="AJ248" s="165">
        <f>+'[148]VENTAS TOTALES'!$D30</f>
        <v>2671</v>
      </c>
      <c r="AK248" s="170">
        <f>+'[148]VENTAS TOTALES'!$E30</f>
        <v>999750</v>
      </c>
      <c r="AL248" s="171">
        <f>+'[148]VENTAS TOTALES'!$F30</f>
        <v>5540450</v>
      </c>
      <c r="AM248" s="165">
        <f>+'[149]VENTAS TOTALES'!$D30</f>
        <v>1052</v>
      </c>
      <c r="AN248" s="170">
        <f>+'[149]VENTAS TOTALES'!$E30</f>
        <v>194400</v>
      </c>
      <c r="AO248" s="171">
        <f>+'[149]VENTAS TOTALES'!$F30</f>
        <v>1982800</v>
      </c>
      <c r="AP248" s="165">
        <f>+'[150]VENTAS TOTALES'!$D30</f>
        <v>3797</v>
      </c>
      <c r="AQ248" s="170">
        <f>+'[150]VENTAS TOTALES'!$E30</f>
        <v>1564500</v>
      </c>
      <c r="AR248" s="171">
        <f>+'[150]VENTAS TOTALES'!$F30</f>
        <v>8019400</v>
      </c>
      <c r="AS248" s="165">
        <f>+'[151]VENTAS TOTALES'!$D30</f>
        <v>655</v>
      </c>
      <c r="AT248" s="170">
        <f>+'[151]VENTAS TOTALES'!$E30</f>
        <v>249500</v>
      </c>
      <c r="AU248" s="171">
        <f>+'[151]VENTAS TOTALES'!$F30</f>
        <v>1363000</v>
      </c>
      <c r="AV248" s="165">
        <f>+'[152]VENTAS TOTALES'!$D30</f>
        <v>0</v>
      </c>
      <c r="AW248" s="170">
        <f>+'[152]VENTAS TOTALES'!$E30</f>
        <v>0</v>
      </c>
      <c r="AX248" s="171">
        <f>+'[152]VENTAS TOTALES'!$F30</f>
        <v>0</v>
      </c>
      <c r="AY248" s="165">
        <f>+'[153]VENTAS TOTALES'!$D30</f>
        <v>0</v>
      </c>
      <c r="AZ248" s="170">
        <f>+'[153]VENTAS TOTALES'!$E30</f>
        <v>0</v>
      </c>
      <c r="BA248" s="171">
        <f>+'[153]VENTAS TOTALES'!$F30</f>
        <v>0</v>
      </c>
      <c r="BB248" s="165">
        <f>+'[154]VENTAS TOTALES'!$D30</f>
        <v>0</v>
      </c>
      <c r="BC248" s="170">
        <f>+'[154]VENTAS TOTALES'!$E30</f>
        <v>0</v>
      </c>
      <c r="BD248" s="171">
        <f>+'[154]VENTAS TOTALES'!$F30</f>
        <v>0</v>
      </c>
      <c r="BE248" s="165">
        <f>+'[155]VENTAS TOTALES'!$D30</f>
        <v>0</v>
      </c>
      <c r="BF248" s="170">
        <f>+'[155]VENTAS TOTALES'!$E30</f>
        <v>0</v>
      </c>
      <c r="BG248" s="171">
        <f>+'[155]VENTAS TOTALES'!$F30</f>
        <v>0</v>
      </c>
      <c r="BH248" s="165">
        <f>+'[156]VENTAS TOTALES'!$D30</f>
        <v>0</v>
      </c>
      <c r="BI248" s="170">
        <f>+'[156]VENTAS TOTALES'!$E30</f>
        <v>0</v>
      </c>
      <c r="BJ248" s="171">
        <f>+'[156]VENTAS TOTALES'!$F30</f>
        <v>0</v>
      </c>
      <c r="BK248" s="165">
        <f>+'[157]VENTAS TOTALES'!$D30</f>
        <v>0</v>
      </c>
      <c r="BL248" s="170">
        <f>+'[157]VENTAS TOTALES'!$E30</f>
        <v>0</v>
      </c>
      <c r="BM248" s="171">
        <f>+'[157]VENTAS TOTALES'!$F30</f>
        <v>0</v>
      </c>
      <c r="BN248" s="165">
        <f>+'[158]VENTAS TOTALES'!$D30</f>
        <v>0</v>
      </c>
      <c r="BO248" s="170">
        <f>+'[158]VENTAS TOTALES'!$E30</f>
        <v>0</v>
      </c>
      <c r="BP248" s="171">
        <f>+'[158]VENTAS TOTALES'!$F30</f>
        <v>0</v>
      </c>
      <c r="BQ248" s="165">
        <f>+'[159]VENTAS TOTALES'!$D30</f>
        <v>0</v>
      </c>
      <c r="BR248" s="170">
        <f>+'[159]VENTAS TOTALES'!$E30</f>
        <v>0</v>
      </c>
      <c r="BS248" s="171">
        <f>+'[159]VENTAS TOTALES'!$F30</f>
        <v>0</v>
      </c>
      <c r="BT248" s="165">
        <f>+'[160]VENTAS TOTALES'!$D30</f>
        <v>0</v>
      </c>
      <c r="BU248" s="170">
        <f>+'[160]VENTAS TOTALES'!$E30</f>
        <v>0</v>
      </c>
      <c r="BV248" s="171">
        <f>+'[160]VENTAS TOTALES'!$F30</f>
        <v>0</v>
      </c>
      <c r="BW248" s="165">
        <f>+'[161]VENTAS TOTALES'!$D30</f>
        <v>0</v>
      </c>
      <c r="BX248" s="170">
        <f>+'[161]VENTAS TOTALES'!$E30</f>
        <v>0</v>
      </c>
      <c r="BY248" s="171">
        <f>+'[161]VENTAS TOTALES'!$F30</f>
        <v>0</v>
      </c>
      <c r="BZ248" s="165">
        <f>+'[162]VENTAS TOTALES'!$D30</f>
        <v>0</v>
      </c>
      <c r="CA248" s="170">
        <f>+'[162]VENTAS TOTALES'!$E30</f>
        <v>0</v>
      </c>
      <c r="CB248" s="171">
        <f>+'[162]VENTAS TOTALES'!$F30</f>
        <v>0</v>
      </c>
      <c r="CC248" s="165">
        <f>+'[163]VENTAS TOTALES'!$D30</f>
        <v>0</v>
      </c>
      <c r="CD248" s="170">
        <f>+'[163]VENTAS TOTALES'!$E30</f>
        <v>0</v>
      </c>
      <c r="CE248" s="171">
        <f>+'[163]VENTAS TOTALES'!$F30</f>
        <v>0</v>
      </c>
      <c r="CF248" s="165">
        <f>+'[164]VENTAS TOTALES'!$D30</f>
        <v>0</v>
      </c>
      <c r="CG248" s="170">
        <f>+'[164]VENTAS TOTALES'!$E30</f>
        <v>0</v>
      </c>
      <c r="CH248" s="171">
        <f>+'[164]VENTAS TOTALES'!$F30</f>
        <v>0</v>
      </c>
      <c r="CI248" s="165">
        <f>+'[165]VENTAS TOTALES'!$D30</f>
        <v>0</v>
      </c>
      <c r="CJ248" s="170">
        <f>+'[165]VENTAS TOTALES'!$E30</f>
        <v>0</v>
      </c>
      <c r="CK248" s="171">
        <f>+'[165]VENTAS TOTALES'!$F30</f>
        <v>0</v>
      </c>
      <c r="CL248" s="165">
        <f>+'[166]VENTAS TOTALES'!$D30</f>
        <v>0</v>
      </c>
      <c r="CM248" s="170">
        <f>+'[166]VENTAS TOTALES'!$E30</f>
        <v>0</v>
      </c>
      <c r="CN248" s="171">
        <f>+'[166]VENTAS TOTALES'!$F30</f>
        <v>0</v>
      </c>
      <c r="CO248" s="165">
        <f>+'[167]VENTAS TOTALES'!$D30</f>
        <v>0</v>
      </c>
      <c r="CP248" s="170">
        <f>+'[167]VENTAS TOTALES'!$E30</f>
        <v>0</v>
      </c>
      <c r="CQ248" s="171">
        <f>+'[167]VENTAS TOTALES'!$F30</f>
        <v>0</v>
      </c>
      <c r="CR248" s="165">
        <f>+'[168]VENTAS TOTALES'!$D30</f>
        <v>0</v>
      </c>
      <c r="CS248" s="170">
        <f>+'[168]VENTAS TOTALES'!$E30</f>
        <v>0</v>
      </c>
      <c r="CT248" s="171">
        <f>+'[168]VENTAS TOTALES'!$F30</f>
        <v>0</v>
      </c>
      <c r="CU248" s="165">
        <f>+'[169]VENTAS TOTALES'!$D30</f>
        <v>0</v>
      </c>
      <c r="CV248" s="170">
        <f>+'[169]VENTAS TOTALES'!$E30</f>
        <v>0</v>
      </c>
      <c r="CW248" s="171">
        <f>+'[169]VENTAS TOTALES'!$F30</f>
        <v>0</v>
      </c>
      <c r="CX248" s="165">
        <f>+'[170]VENTAS TOTALES'!$D30</f>
        <v>0</v>
      </c>
      <c r="CY248" s="170">
        <f>+'[170]VENTAS TOTALES'!$E30</f>
        <v>0</v>
      </c>
      <c r="CZ248" s="171">
        <f>+'[170]VENTAS TOTALES'!$F30</f>
        <v>0</v>
      </c>
    </row>
    <row r="249" spans="1:104" s="10" customFormat="1" x14ac:dyDescent="0.2">
      <c r="A249" s="471"/>
      <c r="B249" s="53" t="s">
        <v>221</v>
      </c>
      <c r="C249" s="165">
        <f>+'[137]VENTAS TOTALES'!$D31</f>
        <v>6720</v>
      </c>
      <c r="D249" s="170">
        <f>+'[137]VENTAS TOTALES'!$E31</f>
        <v>2614200</v>
      </c>
      <c r="E249" s="171">
        <f>+'[137]VENTAS TOTALES'!$F31</f>
        <v>14038200</v>
      </c>
      <c r="F249" s="165">
        <f>+'[138]VENTAS TOTALES'!$D31</f>
        <v>6431</v>
      </c>
      <c r="G249" s="170">
        <f>+'[138]VENTAS TOTALES'!$E31</f>
        <v>2422000</v>
      </c>
      <c r="H249" s="171">
        <f>+'[138]VENTAS TOTALES'!$F31</f>
        <v>13354700</v>
      </c>
      <c r="I249" s="165">
        <f>+'[139]VENTAS TOTALES'!$D31</f>
        <v>5227</v>
      </c>
      <c r="J249" s="170">
        <f>+'[139]VENTAS TOTALES'!$E31</f>
        <v>1767750</v>
      </c>
      <c r="K249" s="171">
        <f>+'[139]VENTAS TOTALES'!$F31</f>
        <v>10653650</v>
      </c>
      <c r="L249" s="165">
        <f>+'[140]VENTAS TOTALES'!$D31</f>
        <v>5160</v>
      </c>
      <c r="M249" s="170">
        <f>+'[140]VENTAS TOTALES'!$E31</f>
        <v>1586800</v>
      </c>
      <c r="N249" s="171">
        <f>+'[140]VENTAS TOTALES'!$F31</f>
        <v>10358800</v>
      </c>
      <c r="O249" s="165">
        <f>+'[141]VENTAS TOTALES'!$D31</f>
        <v>4058</v>
      </c>
      <c r="P249" s="170">
        <f>+'[141]VENTAS TOTALES'!$E31</f>
        <v>1034000</v>
      </c>
      <c r="Q249" s="171">
        <f>+'[141]VENTAS TOTALES'!$F31</f>
        <v>7932600</v>
      </c>
      <c r="R249" s="165">
        <f>+'[142]VENTAS TOTALES'!$D31</f>
        <v>1167</v>
      </c>
      <c r="S249" s="170">
        <f>+'[142]VENTAS TOTALES'!$E31</f>
        <v>343300</v>
      </c>
      <c r="T249" s="171">
        <f>+'[142]VENTAS TOTALES'!$F31</f>
        <v>2327200</v>
      </c>
      <c r="U249" s="165">
        <f>+'[143]VENTAS TOTALES'!$D31</f>
        <v>6339</v>
      </c>
      <c r="V249" s="170">
        <f>+'[143]VENTAS TOTALES'!$E31</f>
        <v>2366200</v>
      </c>
      <c r="W249" s="171">
        <f>+'[143]VENTAS TOTALES'!$F31</f>
        <v>13142500</v>
      </c>
      <c r="X249" s="165">
        <f>+'[144]VENTAS TOTALES'!$D31</f>
        <v>5955</v>
      </c>
      <c r="Y249" s="170">
        <f>+'[144]VENTAS TOTALES'!$E31</f>
        <v>1790000</v>
      </c>
      <c r="Z249" s="171">
        <f>+'[144]VENTAS TOTALES'!$F31</f>
        <v>11913500</v>
      </c>
      <c r="AA249" s="165">
        <f>+'[145]VENTAS TOTALES'!$D31</f>
        <v>5471</v>
      </c>
      <c r="AB249" s="170">
        <f>+'[145]VENTAS TOTALES'!$E31</f>
        <v>1470400</v>
      </c>
      <c r="AC249" s="171">
        <f>+'[145]VENTAS TOTALES'!$F31</f>
        <v>10771100</v>
      </c>
      <c r="AD249" s="165">
        <f>+'[146]VENTAS TOTALES'!$D31</f>
        <v>5572</v>
      </c>
      <c r="AE249" s="170">
        <f>+'[146]VENTAS TOTALES'!$E31</f>
        <v>1859900</v>
      </c>
      <c r="AF249" s="171">
        <f>+'[146]VENTAS TOTALES'!$F31</f>
        <v>11332300</v>
      </c>
      <c r="AG249" s="165">
        <f>+'[147]VENTAS TOTALES'!$D31</f>
        <v>5061</v>
      </c>
      <c r="AH249" s="170">
        <f>+'[147]VENTAS TOTALES'!$E31</f>
        <v>1190550</v>
      </c>
      <c r="AI249" s="171">
        <f>+'[147]VENTAS TOTALES'!$F31</f>
        <v>9794250</v>
      </c>
      <c r="AJ249" s="165">
        <f>+'[148]VENTAS TOTALES'!$D31</f>
        <v>3727</v>
      </c>
      <c r="AK249" s="170">
        <f>+'[148]VENTAS TOTALES'!$E31</f>
        <v>1410850</v>
      </c>
      <c r="AL249" s="171">
        <f>+'[148]VENTAS TOTALES'!$F31</f>
        <v>7746750</v>
      </c>
      <c r="AM249" s="165">
        <f>+'[149]VENTAS TOTALES'!$D31</f>
        <v>1250</v>
      </c>
      <c r="AN249" s="170">
        <f>+'[149]VENTAS TOTALES'!$E31</f>
        <v>191900</v>
      </c>
      <c r="AO249" s="171">
        <f>+'[149]VENTAS TOTALES'!$F31</f>
        <v>2316900</v>
      </c>
      <c r="AP249" s="165">
        <f>+'[150]VENTAS TOTALES'!$D31</f>
        <v>6377</v>
      </c>
      <c r="AQ249" s="170">
        <f>+'[150]VENTAS TOTALES'!$E31</f>
        <v>2562900</v>
      </c>
      <c r="AR249" s="171">
        <f>+'[150]VENTAS TOTALES'!$F31</f>
        <v>13403800</v>
      </c>
      <c r="AS249" s="165">
        <f>+'[151]VENTAS TOTALES'!$D31</f>
        <v>6243</v>
      </c>
      <c r="AT249" s="170">
        <f>+'[151]VENTAS TOTALES'!$E31</f>
        <v>2681600</v>
      </c>
      <c r="AU249" s="171">
        <f>+'[151]VENTAS TOTALES'!$F31</f>
        <v>13294700</v>
      </c>
      <c r="AV249" s="165">
        <f>+'[152]VENTAS TOTALES'!$D31</f>
        <v>6044</v>
      </c>
      <c r="AW249" s="170">
        <f>+'[152]VENTAS TOTALES'!$E31</f>
        <v>2939900</v>
      </c>
      <c r="AX249" s="171">
        <f>+'[152]VENTAS TOTALES'!$F31</f>
        <v>13214700</v>
      </c>
      <c r="AY249" s="165">
        <f>+'[153]VENTAS TOTALES'!$D31</f>
        <v>5723</v>
      </c>
      <c r="AZ249" s="170">
        <f>+'[153]VENTAS TOTALES'!$E31</f>
        <v>2018300</v>
      </c>
      <c r="BA249" s="171">
        <f>+'[153]VENTAS TOTALES'!$F31</f>
        <v>11747400</v>
      </c>
      <c r="BB249" s="165">
        <f>+'[154]VENTAS TOTALES'!$D31</f>
        <v>5645</v>
      </c>
      <c r="BC249" s="170">
        <f>+'[154]VENTAS TOTALES'!$E31</f>
        <v>1879700</v>
      </c>
      <c r="BD249" s="171">
        <f>+'[154]VENTAS TOTALES'!$F31</f>
        <v>11476200</v>
      </c>
      <c r="BE249" s="165">
        <f>+'[155]VENTAS TOTALES'!$D31</f>
        <v>4097</v>
      </c>
      <c r="BF249" s="170">
        <f>+'[155]VENTAS TOTALES'!$E31</f>
        <v>1199900</v>
      </c>
      <c r="BG249" s="171">
        <f>+'[155]VENTAS TOTALES'!$F31</f>
        <v>8164800</v>
      </c>
      <c r="BH249" s="165">
        <f>+'[156]VENTAS TOTALES'!$D31</f>
        <v>1288</v>
      </c>
      <c r="BI249" s="170">
        <f>+'[156]VENTAS TOTALES'!$E31</f>
        <v>196100</v>
      </c>
      <c r="BJ249" s="171">
        <f>+'[156]VENTAS TOTALES'!$F31</f>
        <v>2385700</v>
      </c>
      <c r="BK249" s="165">
        <f>+'[157]VENTAS TOTALES'!$D31</f>
        <v>6829</v>
      </c>
      <c r="BL249" s="170">
        <f>+'[157]VENTAS TOTALES'!$E31</f>
        <v>2224100</v>
      </c>
      <c r="BM249" s="171">
        <f>+'[157]VENTAS TOTALES'!$F31</f>
        <v>13833400</v>
      </c>
      <c r="BN249" s="165">
        <f>+'[158]VENTAS TOTALES'!$D31</f>
        <v>6264</v>
      </c>
      <c r="BO249" s="170">
        <f>+'[158]VENTAS TOTALES'!$E31</f>
        <v>1809500</v>
      </c>
      <c r="BP249" s="171">
        <f>+'[158]VENTAS TOTALES'!$F31</f>
        <v>12458300</v>
      </c>
      <c r="BQ249" s="165">
        <f>+'[159]VENTAS TOTALES'!$D31</f>
        <v>5962</v>
      </c>
      <c r="BR249" s="170">
        <f>+'[159]VENTAS TOTALES'!$E31</f>
        <v>1813400</v>
      </c>
      <c r="BS249" s="171">
        <f>+'[159]VENTAS TOTALES'!$F31</f>
        <v>11948800</v>
      </c>
      <c r="BT249" s="165">
        <f>+'[160]VENTAS TOTALES'!$D31</f>
        <v>5700</v>
      </c>
      <c r="BU249" s="170">
        <f>+'[160]VENTAS TOTALES'!$E31</f>
        <v>1700400</v>
      </c>
      <c r="BV249" s="171">
        <f>+'[160]VENTAS TOTALES'!$F31</f>
        <v>11390400</v>
      </c>
      <c r="BW249" s="165">
        <f>+'[161]VENTAS TOTALES'!$D31</f>
        <v>5603</v>
      </c>
      <c r="BX249" s="170">
        <f>+'[161]VENTAS TOTALES'!$E31</f>
        <v>1522950</v>
      </c>
      <c r="BY249" s="171">
        <f>+'[161]VENTAS TOTALES'!$F31</f>
        <v>11048050</v>
      </c>
      <c r="BZ249" s="165">
        <f>+'[162]VENTAS TOTALES'!$D31</f>
        <v>4132</v>
      </c>
      <c r="CA249" s="170">
        <f>+'[162]VENTAS TOTALES'!$E31</f>
        <v>1294100</v>
      </c>
      <c r="CB249" s="171">
        <f>+'[162]VENTAS TOTALES'!$F31</f>
        <v>8318500</v>
      </c>
      <c r="CC249" s="165">
        <f>+'[163]VENTAS TOTALES'!$D31</f>
        <v>1362</v>
      </c>
      <c r="CD249" s="170">
        <f>+'[163]VENTAS TOTALES'!$E31</f>
        <v>178450</v>
      </c>
      <c r="CE249" s="171">
        <f>+'[163]VENTAS TOTALES'!$F31</f>
        <v>2493850</v>
      </c>
      <c r="CF249" s="165">
        <f>+'[164]VENTAS TOTALES'!$D31</f>
        <v>7320</v>
      </c>
      <c r="CG249" s="170">
        <f>+'[164]VENTAS TOTALES'!$E31</f>
        <v>3101100</v>
      </c>
      <c r="CH249" s="171">
        <f>+'[164]VENTAS TOTALES'!$F31</f>
        <v>15545100</v>
      </c>
      <c r="CI249" s="165">
        <f>+'[165]VENTAS TOTALES'!$D31</f>
        <v>7224</v>
      </c>
      <c r="CJ249" s="170">
        <f>+'[165]VENTAS TOTALES'!$E31</f>
        <v>3320150</v>
      </c>
      <c r="CK249" s="171">
        <f>+'[165]VENTAS TOTALES'!$F31</f>
        <v>15600950</v>
      </c>
      <c r="CL249" s="165">
        <f>+'[166]VENTAS TOTALES'!$D31</f>
        <v>6604</v>
      </c>
      <c r="CM249" s="170">
        <f>+'[166]VENTAS TOTALES'!$E31</f>
        <v>2676500</v>
      </c>
      <c r="CN249" s="171">
        <f>+'[166]VENTAS TOTALES'!$F31</f>
        <v>13903300</v>
      </c>
      <c r="CO249" s="165">
        <f>+'[167]VENTAS TOTALES'!$D31</f>
        <v>6035</v>
      </c>
      <c r="CP249" s="170">
        <f>+'[167]VENTAS TOTALES'!$E31</f>
        <v>2197100</v>
      </c>
      <c r="CQ249" s="171">
        <f>+'[167]VENTAS TOTALES'!$F31</f>
        <v>12456600</v>
      </c>
      <c r="CR249" s="165">
        <f>+'[168]VENTAS TOTALES'!$D31</f>
        <v>5505</v>
      </c>
      <c r="CS249" s="170">
        <f>+'[168]VENTAS TOTALES'!$E31</f>
        <v>1806300</v>
      </c>
      <c r="CT249" s="171">
        <f>+'[168]VENTAS TOTALES'!$F31</f>
        <v>11164800</v>
      </c>
      <c r="CU249" s="165">
        <f>+'[169]VENTAS TOTALES'!$D31</f>
        <v>4127</v>
      </c>
      <c r="CV249" s="170">
        <f>+'[169]VENTAS TOTALES'!$E31</f>
        <v>1214800</v>
      </c>
      <c r="CW249" s="171">
        <f>+'[169]VENTAS TOTALES'!$F31</f>
        <v>8230700</v>
      </c>
      <c r="CX249" s="165">
        <f>+'[170]VENTAS TOTALES'!$D31</f>
        <v>1365</v>
      </c>
      <c r="CY249" s="170">
        <f>+'[170]VENTAS TOTALES'!$E31</f>
        <v>193900</v>
      </c>
      <c r="CZ249" s="171">
        <f>+'[170]VENTAS TOTALES'!$F31</f>
        <v>2514400</v>
      </c>
    </row>
    <row r="250" spans="1:104" s="10" customFormat="1" x14ac:dyDescent="0.2">
      <c r="A250" s="471"/>
      <c r="B250" s="53" t="s">
        <v>222</v>
      </c>
      <c r="C250" s="165">
        <f>+'[137]VENTAS TOTALES'!$D32</f>
        <v>3538</v>
      </c>
      <c r="D250" s="170">
        <f>+'[137]VENTAS TOTALES'!$E32</f>
        <v>2005900</v>
      </c>
      <c r="E250" s="171">
        <f>+'[137]VENTAS TOTALES'!$F32</f>
        <v>8020500</v>
      </c>
      <c r="F250" s="165">
        <f>+'[138]VENTAS TOTALES'!$D32</f>
        <v>3347</v>
      </c>
      <c r="G250" s="170">
        <f>+'[138]VENTAS TOTALES'!$E32</f>
        <v>1757250</v>
      </c>
      <c r="H250" s="171">
        <f>+'[138]VENTAS TOTALES'!$F32</f>
        <v>7447150</v>
      </c>
      <c r="I250" s="165">
        <f>+'[139]VENTAS TOTALES'!$D32</f>
        <v>3440</v>
      </c>
      <c r="J250" s="170">
        <f>+'[139]VENTAS TOTALES'!$E32</f>
        <v>1157800</v>
      </c>
      <c r="K250" s="171">
        <f>+'[139]VENTAS TOTALES'!$F32</f>
        <v>7005800</v>
      </c>
      <c r="L250" s="165">
        <f>+'[140]VENTAS TOTALES'!$D32</f>
        <v>2938</v>
      </c>
      <c r="M250" s="170">
        <f>+'[140]VENTAS TOTALES'!$E32</f>
        <v>1043000</v>
      </c>
      <c r="N250" s="171">
        <f>+'[140]VENTAS TOTALES'!$F32</f>
        <v>6037600</v>
      </c>
      <c r="O250" s="165">
        <f>+'[141]VENTAS TOTALES'!$D32</f>
        <v>2386</v>
      </c>
      <c r="P250" s="170">
        <f>+'[141]VENTAS TOTALES'!$E32</f>
        <v>721600</v>
      </c>
      <c r="Q250" s="171">
        <f>+'[141]VENTAS TOTALES'!$F32</f>
        <v>4777800</v>
      </c>
      <c r="R250" s="165">
        <f>+'[142]VENTAS TOTALES'!$D32</f>
        <v>1072</v>
      </c>
      <c r="S250" s="170">
        <f>+'[142]VENTAS TOTALES'!$E32</f>
        <v>295000</v>
      </c>
      <c r="T250" s="171">
        <f>+'[142]VENTAS TOTALES'!$F32</f>
        <v>2117400</v>
      </c>
      <c r="U250" s="165">
        <f>+'[143]VENTAS TOTALES'!$D32</f>
        <v>3460</v>
      </c>
      <c r="V250" s="170">
        <f>+'[143]VENTAS TOTALES'!$E32</f>
        <v>1424800</v>
      </c>
      <c r="W250" s="171">
        <f>+'[143]VENTAS TOTALES'!$F32</f>
        <v>7306800</v>
      </c>
      <c r="X250" s="165">
        <f>+'[144]VENTAS TOTALES'!$D32</f>
        <v>3107</v>
      </c>
      <c r="Y250" s="170">
        <f>+'[144]VENTAS TOTALES'!$E32</f>
        <v>940600</v>
      </c>
      <c r="Z250" s="171">
        <f>+'[144]VENTAS TOTALES'!$F32</f>
        <v>6222500</v>
      </c>
      <c r="AA250" s="165">
        <f>+'[145]VENTAS TOTALES'!$D32</f>
        <v>3101</v>
      </c>
      <c r="AB250" s="170">
        <f>+'[145]VENTAS TOTALES'!$E32</f>
        <v>1118800</v>
      </c>
      <c r="AC250" s="171">
        <f>+'[145]VENTAS TOTALES'!$F32</f>
        <v>6390500</v>
      </c>
      <c r="AD250" s="165">
        <f>+'[146]VENTAS TOTALES'!$D32</f>
        <v>4005</v>
      </c>
      <c r="AE250" s="170">
        <f>+'[146]VENTAS TOTALES'!$E32</f>
        <v>1087400</v>
      </c>
      <c r="AF250" s="171">
        <f>+'[146]VENTAS TOTALES'!$F32</f>
        <v>7895900</v>
      </c>
      <c r="AG250" s="165">
        <f>+'[147]VENTAS TOTALES'!$D32</f>
        <v>4029</v>
      </c>
      <c r="AH250" s="170">
        <f>+'[147]VENTAS TOTALES'!$E32</f>
        <v>1016150</v>
      </c>
      <c r="AI250" s="171">
        <f>+'[147]VENTAS TOTALES'!$F32</f>
        <v>7865450</v>
      </c>
      <c r="AJ250" s="165">
        <f>+'[148]VENTAS TOTALES'!$D32</f>
        <v>3093</v>
      </c>
      <c r="AK250" s="170">
        <f>+'[148]VENTAS TOTALES'!$E32</f>
        <v>622150</v>
      </c>
      <c r="AL250" s="171">
        <f>+'[148]VENTAS TOTALES'!$F32</f>
        <v>5880250</v>
      </c>
      <c r="AM250" s="165">
        <f>+'[149]VENTAS TOTALES'!$D32</f>
        <v>1749</v>
      </c>
      <c r="AN250" s="170">
        <f>+'[149]VENTAS TOTALES'!$E32</f>
        <v>267500</v>
      </c>
      <c r="AO250" s="171">
        <f>+'[149]VENTAS TOTALES'!$F32</f>
        <v>3240800</v>
      </c>
      <c r="AP250" s="165">
        <f>+'[150]VENTAS TOTALES'!$D32</f>
        <v>3916</v>
      </c>
      <c r="AQ250" s="170">
        <f>+'[150]VENTAS TOTALES'!$E32</f>
        <v>1593900</v>
      </c>
      <c r="AR250" s="171">
        <f>+'[150]VENTAS TOTALES'!$F32</f>
        <v>8251100</v>
      </c>
      <c r="AS250" s="165">
        <f>+'[151]VENTAS TOTALES'!$D32</f>
        <v>3324</v>
      </c>
      <c r="AT250" s="170">
        <f>+'[151]VENTAS TOTALES'!$E32</f>
        <v>1455050</v>
      </c>
      <c r="AU250" s="171">
        <f>+'[151]VENTAS TOTALES'!$F32</f>
        <v>7105850</v>
      </c>
      <c r="AV250" s="165">
        <f>+'[152]VENTAS TOTALES'!$D32</f>
        <v>3256</v>
      </c>
      <c r="AW250" s="170">
        <f>+'[152]VENTAS TOTALES'!$E32</f>
        <v>1382350</v>
      </c>
      <c r="AX250" s="171">
        <f>+'[152]VENTAS TOTALES'!$F32</f>
        <v>6917550</v>
      </c>
      <c r="AY250" s="165">
        <f>+'[153]VENTAS TOTALES'!$D32</f>
        <v>3094</v>
      </c>
      <c r="AZ250" s="170">
        <f>+'[153]VENTAS TOTALES'!$E32</f>
        <v>1042300</v>
      </c>
      <c r="BA250" s="171">
        <f>+'[153]VENTAS TOTALES'!$F32</f>
        <v>6302100</v>
      </c>
      <c r="BB250" s="165">
        <f>+'[154]VENTAS TOTALES'!$D32</f>
        <v>3295</v>
      </c>
      <c r="BC250" s="170">
        <f>+'[154]VENTAS TOTALES'!$E32</f>
        <v>1094900</v>
      </c>
      <c r="BD250" s="171">
        <f>+'[154]VENTAS TOTALES'!$F32</f>
        <v>6696400</v>
      </c>
      <c r="BE250" s="165">
        <f>+'[155]VENTAS TOTALES'!$D32</f>
        <v>2348</v>
      </c>
      <c r="BF250" s="170">
        <f>+'[155]VENTAS TOTALES'!$E32</f>
        <v>681400</v>
      </c>
      <c r="BG250" s="171">
        <f>+'[155]VENTAS TOTALES'!$F32</f>
        <v>4673000</v>
      </c>
      <c r="BH250" s="165">
        <f>+'[156]VENTAS TOTALES'!$D32</f>
        <v>993</v>
      </c>
      <c r="BI250" s="170">
        <f>+'[156]VENTAS TOTALES'!$E32</f>
        <v>232300</v>
      </c>
      <c r="BJ250" s="171">
        <f>+'[156]VENTAS TOTALES'!$F32</f>
        <v>1920400</v>
      </c>
      <c r="BK250" s="165">
        <f>+'[157]VENTAS TOTALES'!$D32</f>
        <v>3762</v>
      </c>
      <c r="BL250" s="170">
        <f>+'[157]VENTAS TOTALES'!$E32</f>
        <v>1335400</v>
      </c>
      <c r="BM250" s="171">
        <f>+'[157]VENTAS TOTALES'!$F32</f>
        <v>7730800</v>
      </c>
      <c r="BN250" s="165">
        <f>+'[158]VENTAS TOTALES'!$D32</f>
        <v>3220</v>
      </c>
      <c r="BO250" s="170">
        <f>+'[158]VENTAS TOTALES'!$E32</f>
        <v>1149500</v>
      </c>
      <c r="BP250" s="171">
        <f>+'[158]VENTAS TOTALES'!$F32</f>
        <v>6623500</v>
      </c>
      <c r="BQ250" s="165">
        <f>+'[159]VENTAS TOTALES'!$D32</f>
        <v>3102</v>
      </c>
      <c r="BR250" s="170">
        <f>+'[159]VENTAS TOTALES'!$E32</f>
        <v>978600</v>
      </c>
      <c r="BS250" s="171">
        <f>+'[159]VENTAS TOTALES'!$F32</f>
        <v>6252000</v>
      </c>
      <c r="BT250" s="165">
        <f>+'[160]VENTAS TOTALES'!$D32</f>
        <v>3212</v>
      </c>
      <c r="BU250" s="170">
        <f>+'[160]VENTAS TOTALES'!$E32</f>
        <v>934600</v>
      </c>
      <c r="BV250" s="171">
        <f>+'[160]VENTAS TOTALES'!$F32</f>
        <v>6395000</v>
      </c>
      <c r="BW250" s="165">
        <f>+'[161]VENTAS TOTALES'!$D32</f>
        <v>2892</v>
      </c>
      <c r="BX250" s="170">
        <f>+'[161]VENTAS TOTALES'!$E32</f>
        <v>1122750</v>
      </c>
      <c r="BY250" s="171">
        <f>+'[161]VENTAS TOTALES'!$F32</f>
        <v>6039150</v>
      </c>
      <c r="BZ250" s="165">
        <f>+'[162]VENTAS TOTALES'!$D32</f>
        <v>2361</v>
      </c>
      <c r="CA250" s="170">
        <f>+'[162]VENTAS TOTALES'!$E32</f>
        <v>1069400</v>
      </c>
      <c r="CB250" s="171">
        <f>+'[162]VENTAS TOTALES'!$F32</f>
        <v>5083100</v>
      </c>
      <c r="CC250" s="165">
        <f>+'[163]VENTAS TOTALES'!$D32</f>
        <v>1670</v>
      </c>
      <c r="CD250" s="170">
        <f>+'[163]VENTAS TOTALES'!$E32</f>
        <v>220300</v>
      </c>
      <c r="CE250" s="171">
        <f>+'[163]VENTAS TOTALES'!$F32</f>
        <v>3059300</v>
      </c>
      <c r="CF250" s="165">
        <f>+'[164]VENTAS TOTALES'!$D32</f>
        <v>3940</v>
      </c>
      <c r="CG250" s="170">
        <f>+'[164]VENTAS TOTALES'!$E32</f>
        <v>1798400</v>
      </c>
      <c r="CH250" s="171">
        <f>+'[164]VENTAS TOTALES'!$F32</f>
        <v>8496400</v>
      </c>
      <c r="CI250" s="165">
        <f>+'[165]VENTAS TOTALES'!$D32</f>
        <v>3906</v>
      </c>
      <c r="CJ250" s="170">
        <f>+'[165]VENTAS TOTALES'!$E32</f>
        <v>1930750</v>
      </c>
      <c r="CK250" s="171">
        <f>+'[165]VENTAS TOTALES'!$F32</f>
        <v>8570950</v>
      </c>
      <c r="CL250" s="165">
        <f>+'[166]VENTAS TOTALES'!$D32</f>
        <v>3449</v>
      </c>
      <c r="CM250" s="170">
        <f>+'[166]VENTAS TOTALES'!$E32</f>
        <v>1969750</v>
      </c>
      <c r="CN250" s="171">
        <f>+'[166]VENTAS TOTALES'!$F32</f>
        <v>7833050</v>
      </c>
      <c r="CO250" s="165">
        <f>+'[167]VENTAS TOTALES'!$D32</f>
        <v>3412</v>
      </c>
      <c r="CP250" s="170">
        <f>+'[167]VENTAS TOTALES'!$E32</f>
        <v>1039300</v>
      </c>
      <c r="CQ250" s="171">
        <f>+'[167]VENTAS TOTALES'!$F32</f>
        <v>6839700</v>
      </c>
      <c r="CR250" s="165">
        <f>+'[168]VENTAS TOTALES'!$D32</f>
        <v>3014</v>
      </c>
      <c r="CS250" s="170">
        <f>+'[168]VENTAS TOTALES'!$E32</f>
        <v>879850</v>
      </c>
      <c r="CT250" s="171">
        <f>+'[168]VENTAS TOTALES'!$F32</f>
        <v>6003650</v>
      </c>
      <c r="CU250" s="165">
        <f>+'[169]VENTAS TOTALES'!$D32</f>
        <v>2972</v>
      </c>
      <c r="CV250" s="170">
        <f>+'[169]VENTAS TOTALES'!$E32</f>
        <v>689400</v>
      </c>
      <c r="CW250" s="171">
        <f>+'[169]VENTAS TOTALES'!$F32</f>
        <v>5741800</v>
      </c>
      <c r="CX250" s="165">
        <f>+'[170]VENTAS TOTALES'!$D32</f>
        <v>981</v>
      </c>
      <c r="CY250" s="170">
        <f>+'[170]VENTAS TOTALES'!$E32</f>
        <v>271700</v>
      </c>
      <c r="CZ250" s="171">
        <f>+'[170]VENTAS TOTALES'!$F32</f>
        <v>1939400</v>
      </c>
    </row>
    <row r="251" spans="1:104" s="10" customFormat="1" x14ac:dyDescent="0.2">
      <c r="A251" s="471"/>
      <c r="B251" s="53" t="s">
        <v>223</v>
      </c>
      <c r="C251" s="165">
        <f>+'[137]VENTAS TOTALES'!$D33</f>
        <v>7597</v>
      </c>
      <c r="D251" s="170">
        <f>+'[137]VENTAS TOTALES'!$E33</f>
        <v>4025800</v>
      </c>
      <c r="E251" s="171">
        <f>+'[137]VENTAS TOTALES'!$F33</f>
        <v>16940700</v>
      </c>
      <c r="F251" s="165">
        <f>+'[138]VENTAS TOTALES'!$D33</f>
        <v>7034</v>
      </c>
      <c r="G251" s="170">
        <f>+'[138]VENTAS TOTALES'!$E33</f>
        <v>3101500</v>
      </c>
      <c r="H251" s="171">
        <f>+'[138]VENTAS TOTALES'!$F33</f>
        <v>15059300</v>
      </c>
      <c r="I251" s="165">
        <f>+'[139]VENTAS TOTALES'!$D33</f>
        <v>5990</v>
      </c>
      <c r="J251" s="170">
        <f>+'[139]VENTAS TOTALES'!$E33</f>
        <v>2467900</v>
      </c>
      <c r="K251" s="171">
        <f>+'[139]VENTAS TOTALES'!$F33</f>
        <v>12650900</v>
      </c>
      <c r="L251" s="165">
        <f>+'[140]VENTAS TOTALES'!$D33</f>
        <v>6253</v>
      </c>
      <c r="M251" s="170">
        <f>+'[140]VENTAS TOTALES'!$E33</f>
        <v>1995700</v>
      </c>
      <c r="N251" s="171">
        <f>+'[140]VENTAS TOTALES'!$F33</f>
        <v>12625800</v>
      </c>
      <c r="O251" s="165">
        <f>+'[141]VENTAS TOTALES'!$D33</f>
        <v>4985</v>
      </c>
      <c r="P251" s="170">
        <f>+'[141]VENTAS TOTALES'!$E33</f>
        <v>1729500</v>
      </c>
      <c r="Q251" s="171">
        <f>+'[141]VENTAS TOTALES'!$F33</f>
        <v>10204000</v>
      </c>
      <c r="R251" s="165">
        <f>+'[142]VENTAS TOTALES'!$D33</f>
        <v>3070</v>
      </c>
      <c r="S251" s="170">
        <f>+'[142]VENTAS TOTALES'!$E33</f>
        <v>558250</v>
      </c>
      <c r="T251" s="171">
        <f>+'[142]VENTAS TOTALES'!$F33</f>
        <v>5777250</v>
      </c>
      <c r="U251" s="165">
        <f>+'[143]VENTAS TOTALES'!$D33</f>
        <v>7080</v>
      </c>
      <c r="V251" s="170">
        <f>+'[143]VENTAS TOTALES'!$E33</f>
        <v>3350450</v>
      </c>
      <c r="W251" s="171">
        <f>+'[143]VENTAS TOTALES'!$F33</f>
        <v>15386450</v>
      </c>
      <c r="X251" s="165">
        <f>+'[144]VENTAS TOTALES'!$D33</f>
        <v>6669</v>
      </c>
      <c r="Y251" s="170">
        <f>+'[144]VENTAS TOTALES'!$E33</f>
        <v>2247650</v>
      </c>
      <c r="Z251" s="171">
        <f>+'[144]VENTAS TOTALES'!$F33</f>
        <v>13584950</v>
      </c>
      <c r="AA251" s="165">
        <f>+'[145]VENTAS TOTALES'!$D33</f>
        <v>6111</v>
      </c>
      <c r="AB251" s="170">
        <f>+'[145]VENTAS TOTALES'!$E33</f>
        <v>2235200</v>
      </c>
      <c r="AC251" s="171">
        <f>+'[145]VENTAS TOTALES'!$F33</f>
        <v>12623900</v>
      </c>
      <c r="AD251" s="165">
        <f>+'[146]VENTAS TOTALES'!$D33</f>
        <v>6481</v>
      </c>
      <c r="AE251" s="170">
        <f>+'[146]VENTAS TOTALES'!$E33</f>
        <v>2197100</v>
      </c>
      <c r="AF251" s="171">
        <f>+'[146]VENTAS TOTALES'!$F33</f>
        <v>13214800</v>
      </c>
      <c r="AG251" s="165">
        <f>+'[147]VENTAS TOTALES'!$D33</f>
        <v>6205</v>
      </c>
      <c r="AH251" s="170">
        <f>+'[147]VENTAS TOTALES'!$E33</f>
        <v>1582600</v>
      </c>
      <c r="AI251" s="171">
        <f>+'[147]VENTAS TOTALES'!$F33</f>
        <v>12131100</v>
      </c>
      <c r="AJ251" s="165">
        <f>+'[148]VENTAS TOTALES'!$D33</f>
        <v>5893</v>
      </c>
      <c r="AK251" s="170">
        <f>+'[148]VENTAS TOTALES'!$E33</f>
        <v>1499400</v>
      </c>
      <c r="AL251" s="171">
        <f>+'[148]VENTAS TOTALES'!$F33</f>
        <v>11517500</v>
      </c>
      <c r="AM251" s="165">
        <f>+'[149]VENTAS TOTALES'!$D33</f>
        <v>2602</v>
      </c>
      <c r="AN251" s="170">
        <f>+'[149]VENTAS TOTALES'!$E33</f>
        <v>529950</v>
      </c>
      <c r="AO251" s="171">
        <f>+'[149]VENTAS TOTALES'!$F33</f>
        <v>4953350</v>
      </c>
      <c r="AP251" s="165">
        <f>+'[150]VENTAS TOTALES'!$D33</f>
        <v>7520</v>
      </c>
      <c r="AQ251" s="170">
        <f>+'[150]VENTAS TOTALES'!$E33</f>
        <v>3123950</v>
      </c>
      <c r="AR251" s="171">
        <f>+'[150]VENTAS TOTALES'!$F33</f>
        <v>15907950</v>
      </c>
      <c r="AS251" s="165">
        <f>+'[151]VENTAS TOTALES'!$D33</f>
        <v>7032</v>
      </c>
      <c r="AT251" s="170">
        <f>+'[151]VENTAS TOTALES'!$E33</f>
        <v>3338950</v>
      </c>
      <c r="AU251" s="171">
        <f>+'[151]VENTAS TOTALES'!$F33</f>
        <v>15293350</v>
      </c>
      <c r="AV251" s="165">
        <f>+'[152]VENTAS TOTALES'!$D33</f>
        <v>6371</v>
      </c>
      <c r="AW251" s="170">
        <f>+'[152]VENTAS TOTALES'!$E33</f>
        <v>2644650</v>
      </c>
      <c r="AX251" s="171">
        <f>+'[152]VENTAS TOTALES'!$F33</f>
        <v>13475350</v>
      </c>
      <c r="AY251" s="165">
        <f>+'[153]VENTAS TOTALES'!$D33</f>
        <v>6584</v>
      </c>
      <c r="AZ251" s="170">
        <f>+'[153]VENTAS TOTALES'!$E33</f>
        <v>2482800</v>
      </c>
      <c r="BA251" s="171">
        <f>+'[153]VENTAS TOTALES'!$F33</f>
        <v>13675600</v>
      </c>
      <c r="BB251" s="165">
        <f>+'[154]VENTAS TOTALES'!$D33</f>
        <v>6092</v>
      </c>
      <c r="BC251" s="170">
        <f>+'[154]VENTAS TOTALES'!$E33</f>
        <v>2140750</v>
      </c>
      <c r="BD251" s="171">
        <f>+'[154]VENTAS TOTALES'!$F33</f>
        <v>12497150</v>
      </c>
      <c r="BE251" s="165">
        <f>+'[155]VENTAS TOTALES'!$D33</f>
        <v>5890</v>
      </c>
      <c r="BF251" s="170">
        <f>+'[155]VENTAS TOTALES'!$E33</f>
        <v>1339600</v>
      </c>
      <c r="BG251" s="171">
        <f>+'[155]VENTAS TOTALES'!$F33</f>
        <v>11352600</v>
      </c>
      <c r="BH251" s="165">
        <f>+'[156]VENTAS TOTALES'!$D33</f>
        <v>2235</v>
      </c>
      <c r="BI251" s="170">
        <f>+'[156]VENTAS TOTALES'!$E33</f>
        <v>561300</v>
      </c>
      <c r="BJ251" s="171">
        <f>+'[156]VENTAS TOTALES'!$F33</f>
        <v>4360800</v>
      </c>
      <c r="BK251" s="165">
        <f>+'[157]VENTAS TOTALES'!$D33</f>
        <v>7391</v>
      </c>
      <c r="BL251" s="170">
        <f>+'[157]VENTAS TOTALES'!$E33</f>
        <v>2896200</v>
      </c>
      <c r="BM251" s="171">
        <f>+'[157]VENTAS TOTALES'!$F33</f>
        <v>15460900</v>
      </c>
      <c r="BN251" s="165">
        <f>+'[158]VENTAS TOTALES'!$D33</f>
        <v>6675</v>
      </c>
      <c r="BO251" s="170">
        <f>+'[158]VENTAS TOTALES'!$E33</f>
        <v>2168550</v>
      </c>
      <c r="BP251" s="171">
        <f>+'[158]VENTAS TOTALES'!$F33</f>
        <v>13516050</v>
      </c>
      <c r="BQ251" s="165">
        <f>+'[159]VENTAS TOTALES'!$D33</f>
        <v>6174</v>
      </c>
      <c r="BR251" s="170">
        <f>+'[159]VENTAS TOTALES'!$E33</f>
        <v>1899750</v>
      </c>
      <c r="BS251" s="171">
        <f>+'[159]VENTAS TOTALES'!$F33</f>
        <v>12395550</v>
      </c>
      <c r="BT251" s="165">
        <f>+'[160]VENTAS TOTALES'!$D33</f>
        <v>5847</v>
      </c>
      <c r="BU251" s="170">
        <f>+'[160]VENTAS TOTALES'!$E33</f>
        <v>1995750</v>
      </c>
      <c r="BV251" s="171">
        <f>+'[160]VENTAS TOTALES'!$F33</f>
        <v>11935650</v>
      </c>
      <c r="BW251" s="165">
        <f>+'[161]VENTAS TOTALES'!$D33</f>
        <v>6319</v>
      </c>
      <c r="BX251" s="170">
        <f>+'[161]VENTAS TOTALES'!$E33</f>
        <v>2056850</v>
      </c>
      <c r="BY251" s="171">
        <f>+'[161]VENTAS TOTALES'!$F33</f>
        <v>12799150</v>
      </c>
      <c r="BZ251" s="165">
        <f>+'[162]VENTAS TOTALES'!$D33</f>
        <v>5430</v>
      </c>
      <c r="CA251" s="170">
        <f>+'[162]VENTAS TOTALES'!$E33</f>
        <v>1764350</v>
      </c>
      <c r="CB251" s="171">
        <f>+'[162]VENTAS TOTALES'!$F33</f>
        <v>10995350</v>
      </c>
      <c r="CC251" s="165">
        <f>+'[163]VENTAS TOTALES'!$D33</f>
        <v>4120</v>
      </c>
      <c r="CD251" s="170">
        <f>+'[163]VENTAS TOTALES'!$E33</f>
        <v>833600</v>
      </c>
      <c r="CE251" s="171">
        <f>+'[163]VENTAS TOTALES'!$F33</f>
        <v>7837600</v>
      </c>
      <c r="CF251" s="165">
        <f>+'[164]VENTAS TOTALES'!$D33</f>
        <v>8288</v>
      </c>
      <c r="CG251" s="170">
        <f>+'[164]VENTAS TOTALES'!$E33</f>
        <v>4990500</v>
      </c>
      <c r="CH251" s="171">
        <f>+'[164]VENTAS TOTALES'!$F33</f>
        <v>19080100</v>
      </c>
      <c r="CI251" s="165">
        <f>+'[165]VENTAS TOTALES'!$D33</f>
        <v>7801</v>
      </c>
      <c r="CJ251" s="170">
        <f>+'[165]VENTAS TOTALES'!$E33</f>
        <v>3971500</v>
      </c>
      <c r="CK251" s="171">
        <f>+'[165]VENTAS TOTALES'!$F33</f>
        <v>17233200</v>
      </c>
      <c r="CL251" s="165">
        <f>+'[166]VENTAS TOTALES'!$D33</f>
        <v>6917</v>
      </c>
      <c r="CM251" s="170">
        <f>+'[166]VENTAS TOTALES'!$E33</f>
        <v>2704900</v>
      </c>
      <c r="CN251" s="171">
        <f>+'[166]VENTAS TOTALES'!$F33</f>
        <v>14463800</v>
      </c>
      <c r="CO251" s="165">
        <f>+'[167]VENTAS TOTALES'!$D33</f>
        <v>6684</v>
      </c>
      <c r="CP251" s="170">
        <f>+'[167]VENTAS TOTALES'!$E33</f>
        <v>2730100</v>
      </c>
      <c r="CQ251" s="171">
        <f>+'[167]VENTAS TOTALES'!$F33</f>
        <v>14092900</v>
      </c>
      <c r="CR251" s="165">
        <f>+'[168]VENTAS TOTALES'!$D33</f>
        <v>6401</v>
      </c>
      <c r="CS251" s="170">
        <f>+'[168]VENTAS TOTALES'!$E33</f>
        <v>1699100</v>
      </c>
      <c r="CT251" s="171">
        <f>+'[168]VENTAS TOTALES'!$F33</f>
        <v>12580800</v>
      </c>
      <c r="CU251" s="165">
        <f>+'[169]VENTAS TOTALES'!$D33</f>
        <v>6101</v>
      </c>
      <c r="CV251" s="170">
        <f>+'[169]VENTAS TOTALES'!$E33</f>
        <v>1742900</v>
      </c>
      <c r="CW251" s="171">
        <f>+'[169]VENTAS TOTALES'!$F33</f>
        <v>12114600</v>
      </c>
      <c r="CX251" s="165">
        <f>+'[170]VENTAS TOTALES'!$D33</f>
        <v>2903</v>
      </c>
      <c r="CY251" s="170">
        <f>+'[170]VENTAS TOTALES'!$E33</f>
        <v>651350</v>
      </c>
      <c r="CZ251" s="171">
        <f>+'[170]VENTAS TOTALES'!$F33</f>
        <v>5586450</v>
      </c>
    </row>
    <row r="252" spans="1:104" s="10" customFormat="1" x14ac:dyDescent="0.2">
      <c r="A252" s="471"/>
      <c r="B252" s="53" t="s">
        <v>224</v>
      </c>
      <c r="C252" s="165">
        <f>+'[137]VENTAS TOTALES'!$D34</f>
        <v>2821</v>
      </c>
      <c r="D252" s="170">
        <f>+'[137]VENTAS TOTALES'!$E34</f>
        <v>1947000</v>
      </c>
      <c r="E252" s="171">
        <f>+'[137]VENTAS TOTALES'!$F34</f>
        <v>6742700</v>
      </c>
      <c r="F252" s="165">
        <f>+'[138]VENTAS TOTALES'!$D34</f>
        <v>2484</v>
      </c>
      <c r="G252" s="170">
        <f>+'[138]VENTAS TOTALES'!$E34</f>
        <v>1528300</v>
      </c>
      <c r="H252" s="171">
        <f>+'[138]VENTAS TOTALES'!$F34</f>
        <v>5751100</v>
      </c>
      <c r="I252" s="165">
        <f>+'[139]VENTAS TOTALES'!$D34</f>
        <v>2085</v>
      </c>
      <c r="J252" s="170">
        <f>+'[139]VENTAS TOTALES'!$E34</f>
        <v>1061800</v>
      </c>
      <c r="K252" s="171">
        <f>+'[139]VENTAS TOTALES'!$F34</f>
        <v>4606300</v>
      </c>
      <c r="L252" s="165">
        <f>+'[140]VENTAS TOTALES'!$D34</f>
        <v>2030</v>
      </c>
      <c r="M252" s="170">
        <f>+'[140]VENTAS TOTALES'!$E34</f>
        <v>957650</v>
      </c>
      <c r="N252" s="171">
        <f>+'[140]VENTAS TOTALES'!$F34</f>
        <v>4408650</v>
      </c>
      <c r="O252" s="165">
        <f>+'[141]VENTAS TOTALES'!$D34</f>
        <v>1254</v>
      </c>
      <c r="P252" s="170">
        <f>+'[141]VENTAS TOTALES'!$E34</f>
        <v>486500</v>
      </c>
      <c r="Q252" s="171">
        <f>+'[141]VENTAS TOTALES'!$F34</f>
        <v>2618300</v>
      </c>
      <c r="R252" s="165">
        <f>+'[142]VENTAS TOTALES'!$D34</f>
        <v>445</v>
      </c>
      <c r="S252" s="170">
        <f>+'[142]VENTAS TOTALES'!$E34</f>
        <v>80500</v>
      </c>
      <c r="T252" s="171">
        <f>+'[142]VENTAS TOTALES'!$F34</f>
        <v>837000</v>
      </c>
      <c r="U252" s="165">
        <f>+'[143]VENTAS TOTALES'!$D34</f>
        <v>2565</v>
      </c>
      <c r="V252" s="170">
        <f>+'[143]VENTAS TOTALES'!$E34</f>
        <v>1582200</v>
      </c>
      <c r="W252" s="171">
        <f>+'[143]VENTAS TOTALES'!$F34</f>
        <v>5942700</v>
      </c>
      <c r="X252" s="165">
        <f>+'[144]VENTAS TOTALES'!$D34</f>
        <v>2388</v>
      </c>
      <c r="Y252" s="170">
        <f>+'[144]VENTAS TOTALES'!$E34</f>
        <v>999500</v>
      </c>
      <c r="Z252" s="171">
        <f>+'[144]VENTAS TOTALES'!$F34</f>
        <v>5059100</v>
      </c>
      <c r="AA252" s="165">
        <f>+'[145]VENTAS TOTALES'!$D34</f>
        <v>2282</v>
      </c>
      <c r="AB252" s="170">
        <f>+'[145]VENTAS TOTALES'!$E34</f>
        <v>1081100</v>
      </c>
      <c r="AC252" s="171">
        <f>+'[145]VENTAS TOTALES'!$F34</f>
        <v>4960500</v>
      </c>
      <c r="AD252" s="165">
        <f>+'[146]VENTAS TOTALES'!$D34</f>
        <v>2183</v>
      </c>
      <c r="AE252" s="170">
        <f>+'[146]VENTAS TOTALES'!$E34</f>
        <v>749950</v>
      </c>
      <c r="AF252" s="171">
        <f>+'[146]VENTAS TOTALES'!$F34</f>
        <v>4461050</v>
      </c>
      <c r="AG252" s="165">
        <f>+'[147]VENTAS TOTALES'!$D34</f>
        <v>2049</v>
      </c>
      <c r="AH252" s="170">
        <f>+'[147]VENTAS TOTALES'!$E34</f>
        <v>696950</v>
      </c>
      <c r="AI252" s="171">
        <f>+'[147]VENTAS TOTALES'!$F34</f>
        <v>4180250</v>
      </c>
      <c r="AJ252" s="165">
        <f>+'[148]VENTAS TOTALES'!$D34</f>
        <v>1459</v>
      </c>
      <c r="AK252" s="170">
        <f>+'[148]VENTAS TOTALES'!$E34</f>
        <v>424800</v>
      </c>
      <c r="AL252" s="171">
        <f>+'[148]VENTAS TOTALES'!$F34</f>
        <v>2905100</v>
      </c>
      <c r="AM252" s="165">
        <f>+'[149]VENTAS TOTALES'!$D34</f>
        <v>359</v>
      </c>
      <c r="AN252" s="170">
        <f>+'[149]VENTAS TOTALES'!$E34</f>
        <v>123400</v>
      </c>
      <c r="AO252" s="171">
        <f>+'[149]VENTAS TOTALES'!$F34</f>
        <v>733700</v>
      </c>
      <c r="AP252" s="165">
        <f>+'[150]VENTAS TOTALES'!$D34</f>
        <v>2823</v>
      </c>
      <c r="AQ252" s="170">
        <f>+'[150]VENTAS TOTALES'!$E34</f>
        <v>1349950</v>
      </c>
      <c r="AR252" s="171">
        <f>+'[150]VENTAS TOTALES'!$F34</f>
        <v>6149050</v>
      </c>
      <c r="AS252" s="165">
        <f>+'[151]VENTAS TOTALES'!$D34</f>
        <v>2613</v>
      </c>
      <c r="AT252" s="170">
        <f>+'[151]VENTAS TOTALES'!$E34</f>
        <v>1187050</v>
      </c>
      <c r="AU252" s="171">
        <f>+'[151]VENTAS TOTALES'!$F34</f>
        <v>5629150</v>
      </c>
      <c r="AV252" s="165">
        <f>+'[152]VENTAS TOTALES'!$D34</f>
        <v>2478</v>
      </c>
      <c r="AW252" s="170">
        <f>+'[152]VENTAS TOTALES'!$E34</f>
        <v>1178450</v>
      </c>
      <c r="AX252" s="171">
        <f>+'[152]VENTAS TOTALES'!$F34</f>
        <v>5391050</v>
      </c>
      <c r="AY252" s="165">
        <f>+'[153]VENTAS TOTALES'!$D34</f>
        <v>2427</v>
      </c>
      <c r="AZ252" s="170">
        <f>+'[153]VENTAS TOTALES'!$E34</f>
        <v>1320300</v>
      </c>
      <c r="BA252" s="171">
        <f>+'[153]VENTAS TOTALES'!$F34</f>
        <v>5446200</v>
      </c>
      <c r="BB252" s="165">
        <f>+'[154]VENTAS TOTALES'!$D34</f>
        <v>2126</v>
      </c>
      <c r="BC252" s="170">
        <f>+'[154]VENTAS TOTALES'!$E34</f>
        <v>847500</v>
      </c>
      <c r="BD252" s="171">
        <f>+'[154]VENTAS TOTALES'!$F34</f>
        <v>4461700</v>
      </c>
      <c r="BE252" s="165">
        <f>+'[155]VENTAS TOTALES'!$D34</f>
        <v>1395</v>
      </c>
      <c r="BF252" s="170">
        <f>+'[155]VENTAS TOTALES'!$E34</f>
        <v>414650</v>
      </c>
      <c r="BG252" s="171">
        <f>+'[155]VENTAS TOTALES'!$F34</f>
        <v>2786150</v>
      </c>
      <c r="BH252" s="165">
        <f>+'[156]VENTAS TOTALES'!$D34</f>
        <v>422</v>
      </c>
      <c r="BI252" s="170">
        <f>+'[156]VENTAS TOTALES'!$E34</f>
        <v>155700</v>
      </c>
      <c r="BJ252" s="171">
        <f>+'[156]VENTAS TOTALES'!$F34</f>
        <v>873100</v>
      </c>
      <c r="BK252" s="165">
        <f>+'[157]VENTAS TOTALES'!$D34</f>
        <v>2484</v>
      </c>
      <c r="BL252" s="170">
        <f>+'[157]VENTAS TOTALES'!$E34</f>
        <v>1313900</v>
      </c>
      <c r="BM252" s="171">
        <f>+'[157]VENTAS TOTALES'!$F34</f>
        <v>5536700</v>
      </c>
      <c r="BN252" s="165">
        <f>+'[158]VENTAS TOTALES'!$D34</f>
        <v>2538</v>
      </c>
      <c r="BO252" s="170">
        <f>+'[158]VENTAS TOTALES'!$E34</f>
        <v>986150</v>
      </c>
      <c r="BP252" s="171">
        <f>+'[158]VENTAS TOTALES'!$F34</f>
        <v>5300750</v>
      </c>
      <c r="BQ252" s="165">
        <f>+'[159]VENTAS TOTALES'!$D34</f>
        <v>2252</v>
      </c>
      <c r="BR252" s="170">
        <f>+'[159]VENTAS TOTALES'!$E34</f>
        <v>937700</v>
      </c>
      <c r="BS252" s="171">
        <f>+'[159]VENTAS TOTALES'!$F34</f>
        <v>4766100</v>
      </c>
      <c r="BT252" s="165">
        <f>+'[160]VENTAS TOTALES'!$D34</f>
        <v>2221</v>
      </c>
      <c r="BU252" s="170">
        <f>+'[160]VENTAS TOTALES'!$E34</f>
        <v>871500</v>
      </c>
      <c r="BV252" s="171">
        <f>+'[160]VENTAS TOTALES'!$F34</f>
        <v>4647200</v>
      </c>
      <c r="BW252" s="165">
        <f>+'[161]VENTAS TOTALES'!$D34</f>
        <v>2251</v>
      </c>
      <c r="BX252" s="170">
        <f>+'[161]VENTAS TOTALES'!$E34</f>
        <v>891300</v>
      </c>
      <c r="BY252" s="171">
        <f>+'[161]VENTAS TOTALES'!$F34</f>
        <v>4718000</v>
      </c>
      <c r="BZ252" s="165">
        <f>+'[162]VENTAS TOTALES'!$D34</f>
        <v>1340</v>
      </c>
      <c r="CA252" s="170">
        <f>+'[162]VENTAS TOTALES'!$E34</f>
        <v>605300</v>
      </c>
      <c r="CB252" s="171">
        <f>+'[162]VENTAS TOTALES'!$F34</f>
        <v>2883300</v>
      </c>
      <c r="CC252" s="165">
        <f>+'[163]VENTAS TOTALES'!$D34</f>
        <v>540</v>
      </c>
      <c r="CD252" s="170">
        <f>+'[163]VENTAS TOTALES'!$E34</f>
        <v>225300</v>
      </c>
      <c r="CE252" s="171">
        <f>+'[163]VENTAS TOTALES'!$F34</f>
        <v>1143300</v>
      </c>
      <c r="CF252" s="165">
        <f>+'[164]VENTAS TOTALES'!$D34</f>
        <v>3055</v>
      </c>
      <c r="CG252" s="170">
        <f>+'[164]VENTAS TOTALES'!$E34</f>
        <v>2319000</v>
      </c>
      <c r="CH252" s="171">
        <f>+'[164]VENTAS TOTALES'!$F34</f>
        <v>7512500</v>
      </c>
      <c r="CI252" s="165">
        <f>+'[165]VENTAS TOTALES'!$D34</f>
        <v>2885</v>
      </c>
      <c r="CJ252" s="170">
        <f>+'[165]VENTAS TOTALES'!$E34</f>
        <v>1692750</v>
      </c>
      <c r="CK252" s="171">
        <f>+'[165]VENTAS TOTALES'!$F34</f>
        <v>6597250</v>
      </c>
      <c r="CL252" s="165">
        <f>+'[166]VENTAS TOTALES'!$D34</f>
        <v>2620</v>
      </c>
      <c r="CM252" s="170">
        <f>+'[166]VENTAS TOTALES'!$E34</f>
        <v>1330800</v>
      </c>
      <c r="CN252" s="171">
        <f>+'[166]VENTAS TOTALES'!$F34</f>
        <v>5784800</v>
      </c>
      <c r="CO252" s="165">
        <f>+'[167]VENTAS TOTALES'!$D34</f>
        <v>2482</v>
      </c>
      <c r="CP252" s="170">
        <f>+'[167]VENTAS TOTALES'!$E34</f>
        <v>1233200</v>
      </c>
      <c r="CQ252" s="171">
        <f>+'[167]VENTAS TOTALES'!$F34</f>
        <v>5452600</v>
      </c>
      <c r="CR252" s="165">
        <f>+'[168]VENTAS TOTALES'!$D34</f>
        <v>2375</v>
      </c>
      <c r="CS252" s="170">
        <f>+'[168]VENTAS TOTALES'!$E34</f>
        <v>1265000</v>
      </c>
      <c r="CT252" s="171">
        <f>+'[168]VENTAS TOTALES'!$F34</f>
        <v>5302500</v>
      </c>
      <c r="CU252" s="165">
        <f>+'[169]VENTAS TOTALES'!$D34</f>
        <v>1711</v>
      </c>
      <c r="CV252" s="170">
        <f>+'[169]VENTAS TOTALES'!$E34</f>
        <v>548900</v>
      </c>
      <c r="CW252" s="171">
        <f>+'[169]VENTAS TOTALES'!$F34</f>
        <v>3457600</v>
      </c>
      <c r="CX252" s="165">
        <f>+'[170]VENTAS TOTALES'!$D34</f>
        <v>452</v>
      </c>
      <c r="CY252" s="170">
        <f>+'[170]VENTAS TOTALES'!$E34</f>
        <v>124500</v>
      </c>
      <c r="CZ252" s="171">
        <f>+'[170]VENTAS TOTALES'!$F34</f>
        <v>892900</v>
      </c>
    </row>
    <row r="253" spans="1:104" s="10" customFormat="1" x14ac:dyDescent="0.2">
      <c r="A253" s="471"/>
      <c r="B253" s="53" t="s">
        <v>225</v>
      </c>
      <c r="C253" s="165">
        <f>+'[137]VENTAS TOTALES'!$D35</f>
        <v>6902</v>
      </c>
      <c r="D253" s="170">
        <f>+'[137]VENTAS TOTALES'!$E35</f>
        <v>3493400</v>
      </c>
      <c r="E253" s="171">
        <f>+'[137]VENTAS TOTALES'!$F35</f>
        <v>15226800</v>
      </c>
      <c r="F253" s="165">
        <f>+'[138]VENTAS TOTALES'!$D35</f>
        <v>6795</v>
      </c>
      <c r="G253" s="170">
        <f>+'[138]VENTAS TOTALES'!$E35</f>
        <v>2433100</v>
      </c>
      <c r="H253" s="171">
        <f>+'[138]VENTAS TOTALES'!$F35</f>
        <v>13984600</v>
      </c>
      <c r="I253" s="165">
        <f>+'[139]VENTAS TOTALES'!$D35</f>
        <v>5925</v>
      </c>
      <c r="J253" s="170">
        <f>+'[139]VENTAS TOTALES'!$E35</f>
        <v>3900300</v>
      </c>
      <c r="K253" s="171">
        <f>+'[139]VENTAS TOTALES'!$F35</f>
        <v>13972800</v>
      </c>
      <c r="L253" s="165">
        <f>+'[140]VENTAS TOTALES'!$D35</f>
        <v>6137</v>
      </c>
      <c r="M253" s="170">
        <f>+'[140]VENTAS TOTALES'!$E35</f>
        <v>2007300</v>
      </c>
      <c r="N253" s="171">
        <f>+'[140]VENTAS TOTALES'!$F35</f>
        <v>12440200</v>
      </c>
      <c r="O253" s="165">
        <f>+'[141]VENTAS TOTALES'!$D35</f>
        <v>3033</v>
      </c>
      <c r="P253" s="170">
        <f>+'[141]VENTAS TOTALES'!$E35</f>
        <v>785900</v>
      </c>
      <c r="Q253" s="171">
        <f>+'[141]VENTAS TOTALES'!$F35</f>
        <v>5942000</v>
      </c>
      <c r="R253" s="165">
        <f>+'[142]VENTAS TOTALES'!$D35</f>
        <v>755</v>
      </c>
      <c r="S253" s="170">
        <f>+'[142]VENTAS TOTALES'!$E35</f>
        <v>161600</v>
      </c>
      <c r="T253" s="171">
        <f>+'[142]VENTAS TOTALES'!$F35</f>
        <v>1445100</v>
      </c>
      <c r="U253" s="165">
        <f>+'[143]VENTAS TOTALES'!$D35</f>
        <v>9046</v>
      </c>
      <c r="V253" s="170">
        <f>+'[143]VENTAS TOTALES'!$E35</f>
        <v>4653700</v>
      </c>
      <c r="W253" s="171">
        <f>+'[143]VENTAS TOTALES'!$F35</f>
        <v>20031900</v>
      </c>
      <c r="X253" s="165">
        <f>+'[144]VENTAS TOTALES'!$D35</f>
        <v>8579</v>
      </c>
      <c r="Y253" s="170">
        <f>+'[144]VENTAS TOTALES'!$E35</f>
        <v>3699600</v>
      </c>
      <c r="Z253" s="171">
        <f>+'[144]VENTAS TOTALES'!$F35</f>
        <v>18283900</v>
      </c>
      <c r="AA253" s="165">
        <f>+'[145]VENTAS TOTALES'!$D35</f>
        <v>7969</v>
      </c>
      <c r="AB253" s="170">
        <f>+'[145]VENTAS TOTALES'!$E35</f>
        <v>3133600</v>
      </c>
      <c r="AC253" s="171">
        <f>+'[145]VENTAS TOTALES'!$F35</f>
        <v>16680900</v>
      </c>
      <c r="AD253" s="165">
        <f>+'[146]VENTAS TOTALES'!$D35</f>
        <v>7763</v>
      </c>
      <c r="AE253" s="170">
        <f>+'[146]VENTAS TOTALES'!$E35</f>
        <v>3323950</v>
      </c>
      <c r="AF253" s="171">
        <f>+'[146]VENTAS TOTALES'!$F35</f>
        <v>16521050</v>
      </c>
      <c r="AG253" s="165">
        <f>+'[147]VENTAS TOTALES'!$D35</f>
        <v>7648</v>
      </c>
      <c r="AH253" s="170">
        <f>+'[147]VENTAS TOTALES'!$E35</f>
        <v>2759450</v>
      </c>
      <c r="AI253" s="171">
        <f>+'[147]VENTAS TOTALES'!$F35</f>
        <v>15761050</v>
      </c>
      <c r="AJ253" s="165">
        <f>+'[148]VENTAS TOTALES'!$D35</f>
        <v>3398</v>
      </c>
      <c r="AK253" s="170">
        <f>+'[148]VENTAS TOTALES'!$E35</f>
        <v>1037300</v>
      </c>
      <c r="AL253" s="171">
        <f>+'[148]VENTAS TOTALES'!$F35</f>
        <v>6813900</v>
      </c>
      <c r="AM253" s="165">
        <f>+'[149]VENTAS TOTALES'!$D35</f>
        <v>891</v>
      </c>
      <c r="AN253" s="170">
        <f>+'[149]VENTAS TOTALES'!$E35</f>
        <v>178850</v>
      </c>
      <c r="AO253" s="171">
        <f>+'[149]VENTAS TOTALES'!$F35</f>
        <v>1693550</v>
      </c>
      <c r="AP253" s="165">
        <f>+'[150]VENTAS TOTALES'!$D35</f>
        <v>9660</v>
      </c>
      <c r="AQ253" s="170">
        <f>+'[150]VENTAS TOTALES'!$E35</f>
        <v>4592850</v>
      </c>
      <c r="AR253" s="171">
        <f>+'[150]VENTAS TOTALES'!$F35</f>
        <v>21014850</v>
      </c>
      <c r="AS253" s="165">
        <f>+'[151]VENTAS TOTALES'!$D35</f>
        <v>8751</v>
      </c>
      <c r="AT253" s="170">
        <f>+'[151]VENTAS TOTALES'!$E35</f>
        <v>4100200</v>
      </c>
      <c r="AU253" s="171">
        <f>+'[151]VENTAS TOTALES'!$F35</f>
        <v>18976900</v>
      </c>
      <c r="AV253" s="165">
        <f>+'[152]VENTAS TOTALES'!$D35</f>
        <v>8574</v>
      </c>
      <c r="AW253" s="170">
        <f>+'[152]VENTAS TOTALES'!$E35</f>
        <v>3308450</v>
      </c>
      <c r="AX253" s="171">
        <f>+'[152]VENTAS TOTALES'!$F35</f>
        <v>17884250</v>
      </c>
      <c r="AY253" s="165">
        <f>+'[153]VENTAS TOTALES'!$D35</f>
        <v>8285</v>
      </c>
      <c r="AZ253" s="170">
        <f>+'[153]VENTAS TOTALES'!$E35</f>
        <v>3344000</v>
      </c>
      <c r="BA253" s="171">
        <f>+'[153]VENTAS TOTALES'!$F35</f>
        <v>17428500</v>
      </c>
      <c r="BB253" s="165">
        <f>+'[154]VENTAS TOTALES'!$D35</f>
        <v>7739</v>
      </c>
      <c r="BC253" s="170">
        <f>+'[154]VENTAS TOTALES'!$E35</f>
        <v>2930000</v>
      </c>
      <c r="BD253" s="171">
        <f>+'[154]VENTAS TOTALES'!$F35</f>
        <v>16086300</v>
      </c>
      <c r="BE253" s="165">
        <f>+'[155]VENTAS TOTALES'!$D35</f>
        <v>3799</v>
      </c>
      <c r="BF253" s="170">
        <f>+'[155]VENTAS TOTALES'!$E35</f>
        <v>1233600</v>
      </c>
      <c r="BG253" s="171">
        <f>+'[155]VENTAS TOTALES'!$F35</f>
        <v>7691900</v>
      </c>
      <c r="BH253" s="165">
        <f>+'[156]VENTAS TOTALES'!$D35</f>
        <v>778</v>
      </c>
      <c r="BI253" s="170">
        <f>+'[156]VENTAS TOTALES'!$E35</f>
        <v>200900</v>
      </c>
      <c r="BJ253" s="171">
        <f>+'[156]VENTAS TOTALES'!$F35</f>
        <v>1523500</v>
      </c>
      <c r="BK253" s="165">
        <f>+'[157]VENTAS TOTALES'!$D35</f>
        <v>9525</v>
      </c>
      <c r="BL253" s="170">
        <f>+'[157]VENTAS TOTALES'!$E35</f>
        <v>4619100</v>
      </c>
      <c r="BM253" s="171">
        <f>+'[157]VENTAS TOTALES'!$F35</f>
        <v>20811600</v>
      </c>
      <c r="BN253" s="165">
        <f>+'[158]VENTAS TOTALES'!$D35</f>
        <v>8503</v>
      </c>
      <c r="BO253" s="170">
        <f>+'[158]VENTAS TOTALES'!$E35</f>
        <v>3144350</v>
      </c>
      <c r="BP253" s="171">
        <f>+'[158]VENTAS TOTALES'!$F35</f>
        <v>17599450</v>
      </c>
      <c r="BQ253" s="165">
        <f>+'[159]VENTAS TOTALES'!$D35</f>
        <v>8126</v>
      </c>
      <c r="BR253" s="170">
        <f>+'[159]VENTAS TOTALES'!$E35</f>
        <v>3309050</v>
      </c>
      <c r="BS253" s="171">
        <f>+'[159]VENTAS TOTALES'!$F35</f>
        <v>17123250</v>
      </c>
      <c r="BT253" s="165">
        <f>+'[160]VENTAS TOTALES'!$D35</f>
        <v>7953</v>
      </c>
      <c r="BU253" s="170">
        <f>+'[160]VENTAS TOTALES'!$E35</f>
        <v>2502500</v>
      </c>
      <c r="BV253" s="171">
        <f>+'[160]VENTAS TOTALES'!$F35</f>
        <v>16022600</v>
      </c>
      <c r="BW253" s="165">
        <f>+'[161]VENTAS TOTALES'!$D35</f>
        <v>8016</v>
      </c>
      <c r="BX253" s="170">
        <f>+'[161]VENTAS TOTALES'!$E35</f>
        <v>2499800</v>
      </c>
      <c r="BY253" s="171">
        <f>+'[161]VENTAS TOTALES'!$F35</f>
        <v>16127000</v>
      </c>
      <c r="BZ253" s="165">
        <f>+'[162]VENTAS TOTALES'!$D35</f>
        <v>4047</v>
      </c>
      <c r="CA253" s="170">
        <f>+'[162]VENTAS TOTALES'!$E35</f>
        <v>1184600</v>
      </c>
      <c r="CB253" s="171">
        <f>+'[162]VENTAS TOTALES'!$F35</f>
        <v>8064500</v>
      </c>
      <c r="CC253" s="165">
        <f>+'[163]VENTAS TOTALES'!$D35</f>
        <v>973</v>
      </c>
      <c r="CD253" s="170">
        <f>+'[163]VENTAS TOTALES'!$E35</f>
        <v>121900</v>
      </c>
      <c r="CE253" s="171">
        <f>+'[163]VENTAS TOTALES'!$F35</f>
        <v>1776000</v>
      </c>
      <c r="CF253" s="165">
        <f>+'[164]VENTAS TOTALES'!$D35</f>
        <v>10600</v>
      </c>
      <c r="CG253" s="170">
        <f>+'[164]VENTAS TOTALES'!$E35</f>
        <v>6483900</v>
      </c>
      <c r="CH253" s="171">
        <f>+'[164]VENTAS TOTALES'!$F35</f>
        <v>24503900</v>
      </c>
      <c r="CI253" s="165">
        <f>+'[165]VENTAS TOTALES'!$D35</f>
        <v>9342</v>
      </c>
      <c r="CJ253" s="170">
        <f>+'[165]VENTAS TOTALES'!$E35</f>
        <v>4859050</v>
      </c>
      <c r="CK253" s="171">
        <f>+'[165]VENTAS TOTALES'!$F35</f>
        <v>20740450</v>
      </c>
      <c r="CL253" s="165">
        <f>+'[166]VENTAS TOTALES'!$D35</f>
        <v>8707</v>
      </c>
      <c r="CM253" s="170">
        <f>+'[166]VENTAS TOTALES'!$E35</f>
        <v>3996150</v>
      </c>
      <c r="CN253" s="171">
        <f>+'[166]VENTAS TOTALES'!$F35</f>
        <v>18798050</v>
      </c>
      <c r="CO253" s="165">
        <f>+'[167]VENTAS TOTALES'!$D35</f>
        <v>8554</v>
      </c>
      <c r="CP253" s="170">
        <f>+'[167]VENTAS TOTALES'!$E35</f>
        <v>3440400</v>
      </c>
      <c r="CQ253" s="171">
        <f>+'[167]VENTAS TOTALES'!$F35</f>
        <v>17982200</v>
      </c>
      <c r="CR253" s="165">
        <f>+'[168]VENTAS TOTALES'!$D35</f>
        <v>8584</v>
      </c>
      <c r="CS253" s="170">
        <f>+'[168]VENTAS TOTALES'!$E35</f>
        <v>3121750</v>
      </c>
      <c r="CT253" s="171">
        <f>+'[168]VENTAS TOTALES'!$F35</f>
        <v>17714550</v>
      </c>
      <c r="CU253" s="165">
        <f>+'[169]VENTAS TOTALES'!$D35</f>
        <v>4286</v>
      </c>
      <c r="CV253" s="170">
        <f>+'[169]VENTAS TOTALES'!$E35</f>
        <v>1397300</v>
      </c>
      <c r="CW253" s="171">
        <f>+'[169]VENTAS TOTALES'!$F35</f>
        <v>8683500</v>
      </c>
      <c r="CX253" s="165">
        <f>+'[170]VENTAS TOTALES'!$D35</f>
        <v>855</v>
      </c>
      <c r="CY253" s="170">
        <f>+'[170]VENTAS TOTALES'!$E35</f>
        <v>191200</v>
      </c>
      <c r="CZ253" s="171">
        <f>+'[170]VENTAS TOTALES'!$F35</f>
        <v>1644700</v>
      </c>
    </row>
    <row r="254" spans="1:104" s="10" customFormat="1" x14ac:dyDescent="0.2">
      <c r="A254" s="471"/>
      <c r="B254" s="53" t="s">
        <v>226</v>
      </c>
      <c r="C254" s="165">
        <f>+'[137]VENTAS TOTALES'!$D36</f>
        <v>5298</v>
      </c>
      <c r="D254" s="170">
        <f>+'[137]VENTAS TOTALES'!$E36</f>
        <v>1907200</v>
      </c>
      <c r="E254" s="171">
        <f>+'[137]VENTAS TOTALES'!$F36</f>
        <v>10913800</v>
      </c>
      <c r="F254" s="165">
        <f>+'[138]VENTAS TOTALES'!$D36</f>
        <v>5017</v>
      </c>
      <c r="G254" s="170">
        <f>+'[138]VENTAS TOTALES'!$E36</f>
        <v>2480100</v>
      </c>
      <c r="H254" s="171">
        <f>+'[138]VENTAS TOTALES'!$F36</f>
        <v>11009000</v>
      </c>
      <c r="I254" s="165">
        <f>+'[139]VENTAS TOTALES'!$D36</f>
        <v>4099</v>
      </c>
      <c r="J254" s="170">
        <f>+'[139]VENTAS TOTALES'!$E36</f>
        <v>1519450</v>
      </c>
      <c r="K254" s="171">
        <f>+'[139]VENTAS TOTALES'!$F36</f>
        <v>8487750</v>
      </c>
      <c r="L254" s="165">
        <f>+'[140]VENTAS TOTALES'!$D36</f>
        <v>4111</v>
      </c>
      <c r="M254" s="170">
        <f>+'[140]VENTAS TOTALES'!$E36</f>
        <v>960000</v>
      </c>
      <c r="N254" s="171">
        <f>+'[140]VENTAS TOTALES'!$F36</f>
        <v>7948700</v>
      </c>
      <c r="O254" s="165">
        <f>+'[141]VENTAS TOTALES'!$D36</f>
        <v>2867</v>
      </c>
      <c r="P254" s="170">
        <f>+'[141]VENTAS TOTALES'!$E36</f>
        <v>848900</v>
      </c>
      <c r="Q254" s="171">
        <f>+'[141]VENTAS TOTALES'!$F36</f>
        <v>5722800</v>
      </c>
      <c r="R254" s="165">
        <f>+'[142]VENTAS TOTALES'!$D36</f>
        <v>1385</v>
      </c>
      <c r="S254" s="170">
        <f>+'[142]VENTAS TOTALES'!$E36</f>
        <v>222800</v>
      </c>
      <c r="T254" s="171">
        <f>+'[142]VENTAS TOTALES'!$F36</f>
        <v>2577300</v>
      </c>
      <c r="U254" s="165">
        <f>+'[143]VENTAS TOTALES'!$D36</f>
        <v>5190</v>
      </c>
      <c r="V254" s="170">
        <f>+'[143]VENTAS TOTALES'!$E36</f>
        <v>1846450</v>
      </c>
      <c r="W254" s="171">
        <f>+'[143]VENTAS TOTALES'!$F36</f>
        <v>10669450</v>
      </c>
      <c r="X254" s="165">
        <f>+'[144]VENTAS TOTALES'!$D36</f>
        <v>4756</v>
      </c>
      <c r="Y254" s="170">
        <f>+'[144]VENTAS TOTALES'!$E36</f>
        <v>1158100</v>
      </c>
      <c r="Z254" s="171">
        <f>+'[144]VENTAS TOTALES'!$F36</f>
        <v>9243300</v>
      </c>
      <c r="AA254" s="165">
        <f>+'[145]VENTAS TOTALES'!$D36</f>
        <v>4309</v>
      </c>
      <c r="AB254" s="170">
        <f>+'[145]VENTAS TOTALES'!$E36</f>
        <v>1001150</v>
      </c>
      <c r="AC254" s="171">
        <f>+'[145]VENTAS TOTALES'!$F36</f>
        <v>8326450</v>
      </c>
      <c r="AD254" s="165">
        <f>+'[146]VENTAS TOTALES'!$D36</f>
        <v>4530</v>
      </c>
      <c r="AE254" s="170">
        <f>+'[146]VENTAS TOTALES'!$E36</f>
        <v>1378100</v>
      </c>
      <c r="AF254" s="171">
        <f>+'[146]VENTAS TOTALES'!$F36</f>
        <v>9079100</v>
      </c>
      <c r="AG254" s="165">
        <f>+'[147]VENTAS TOTALES'!$D36</f>
        <v>4473</v>
      </c>
      <c r="AH254" s="170">
        <f>+'[147]VENTAS TOTALES'!$E36</f>
        <v>1441200</v>
      </c>
      <c r="AI254" s="171">
        <f>+'[147]VENTAS TOTALES'!$F36</f>
        <v>9045300</v>
      </c>
      <c r="AJ254" s="165">
        <f>+'[148]VENTAS TOTALES'!$D36</f>
        <v>3005</v>
      </c>
      <c r="AK254" s="170">
        <f>+'[148]VENTAS TOTALES'!$E36</f>
        <v>903200</v>
      </c>
      <c r="AL254" s="171">
        <f>+'[148]VENTAS TOTALES'!$F36</f>
        <v>6011700</v>
      </c>
      <c r="AM254" s="165">
        <f>+'[149]VENTAS TOTALES'!$D36</f>
        <v>1197</v>
      </c>
      <c r="AN254" s="170">
        <f>+'[149]VENTAS TOTALES'!$E36</f>
        <v>382800</v>
      </c>
      <c r="AO254" s="171">
        <f>+'[149]VENTAS TOTALES'!$F36</f>
        <v>2417700</v>
      </c>
      <c r="AP254" s="165">
        <f>+'[150]VENTAS TOTALES'!$D36</f>
        <v>7074</v>
      </c>
      <c r="AQ254" s="170">
        <f>+'[150]VENTAS TOTALES'!$E36</f>
        <v>2386400</v>
      </c>
      <c r="AR254" s="171">
        <f>+'[150]VENTAS TOTALES'!$F36</f>
        <v>14412200</v>
      </c>
      <c r="AS254" s="165">
        <f>+'[151]VENTAS TOTALES'!$D36</f>
        <v>5087</v>
      </c>
      <c r="AT254" s="170">
        <f>+'[151]VENTAS TOTALES'!$E36</f>
        <v>1995400</v>
      </c>
      <c r="AU254" s="171">
        <f>+'[151]VENTAS TOTALES'!$F36</f>
        <v>10643300</v>
      </c>
      <c r="AV254" s="165">
        <f>+'[152]VENTAS TOTALES'!$D36</f>
        <v>5195</v>
      </c>
      <c r="AW254" s="170">
        <f>+'[152]VENTAS TOTALES'!$E36</f>
        <v>2460700</v>
      </c>
      <c r="AX254" s="171">
        <f>+'[152]VENTAS TOTALES'!$F36</f>
        <v>11292200</v>
      </c>
      <c r="AY254" s="165">
        <f>+'[153]VENTAS TOTALES'!$D36</f>
        <v>4813</v>
      </c>
      <c r="AZ254" s="170">
        <f>+'[153]VENTAS TOTALES'!$E36</f>
        <v>2032700</v>
      </c>
      <c r="BA254" s="171">
        <f>+'[153]VENTAS TOTALES'!$F36</f>
        <v>10214800</v>
      </c>
      <c r="BB254" s="165">
        <f>+'[154]VENTAS TOTALES'!$D36</f>
        <v>4590</v>
      </c>
      <c r="BC254" s="170">
        <f>+'[154]VENTAS TOTALES'!$E36</f>
        <v>1254450</v>
      </c>
      <c r="BD254" s="171">
        <f>+'[154]VENTAS TOTALES'!$F36</f>
        <v>9057450</v>
      </c>
      <c r="BE254" s="165">
        <f>+'[155]VENTAS TOTALES'!$D36</f>
        <v>3088</v>
      </c>
      <c r="BF254" s="170">
        <f>+'[155]VENTAS TOTALES'!$E36</f>
        <v>848200</v>
      </c>
      <c r="BG254" s="171">
        <f>+'[155]VENTAS TOTALES'!$F36</f>
        <v>6097800</v>
      </c>
      <c r="BH254" s="165">
        <f>+'[156]VENTAS TOTALES'!$D36</f>
        <v>1312</v>
      </c>
      <c r="BI254" s="170">
        <f>+'[156]VENTAS TOTALES'!$E36</f>
        <v>305800</v>
      </c>
      <c r="BJ254" s="171">
        <f>+'[156]VENTAS TOTALES'!$F36</f>
        <v>2536200</v>
      </c>
      <c r="BK254" s="165">
        <f>+'[157]VENTAS TOTALES'!$D36</f>
        <v>5187</v>
      </c>
      <c r="BL254" s="170">
        <f>+'[157]VENTAS TOTALES'!$E36</f>
        <v>1549300</v>
      </c>
      <c r="BM254" s="171">
        <f>+'[157]VENTAS TOTALES'!$F36</f>
        <v>10367200</v>
      </c>
      <c r="BN254" s="165">
        <f>+'[158]VENTAS TOTALES'!$D36</f>
        <v>5010</v>
      </c>
      <c r="BO254" s="170">
        <f>+'[158]VENTAS TOTALES'!$E36</f>
        <v>1481000</v>
      </c>
      <c r="BP254" s="171">
        <f>+'[158]VENTAS TOTALES'!$F36</f>
        <v>9998000</v>
      </c>
      <c r="BQ254" s="165">
        <f>+'[159]VENTAS TOTALES'!$D36</f>
        <v>4491</v>
      </c>
      <c r="BR254" s="170">
        <f>+'[159]VENTAS TOTALES'!$E36</f>
        <v>1358550</v>
      </c>
      <c r="BS254" s="171">
        <f>+'[159]VENTAS TOTALES'!$F36</f>
        <v>8993250</v>
      </c>
      <c r="BT254" s="165">
        <f>+'[160]VENTAS TOTALES'!$D36</f>
        <v>4542</v>
      </c>
      <c r="BU254" s="170">
        <f>+'[160]VENTAS TOTALES'!$E36</f>
        <v>1297600</v>
      </c>
      <c r="BV254" s="171">
        <f>+'[160]VENTAS TOTALES'!$F36</f>
        <v>9019000</v>
      </c>
      <c r="BW254" s="165">
        <f>+'[161]VENTAS TOTALES'!$D36</f>
        <v>4416</v>
      </c>
      <c r="BX254" s="170">
        <f>+'[161]VENTAS TOTALES'!$E36</f>
        <v>1085200</v>
      </c>
      <c r="BY254" s="171">
        <f>+'[161]VENTAS TOTALES'!$F36</f>
        <v>8592400</v>
      </c>
      <c r="BZ254" s="165">
        <f>+'[162]VENTAS TOTALES'!$D36</f>
        <v>3052</v>
      </c>
      <c r="CA254" s="170">
        <f>+'[162]VENTAS TOTALES'!$E36</f>
        <v>787800</v>
      </c>
      <c r="CB254" s="171">
        <f>+'[162]VENTAS TOTALES'!$F36</f>
        <v>5976200</v>
      </c>
      <c r="CC254" s="165">
        <f>+'[163]VENTAS TOTALES'!$D36</f>
        <v>1552</v>
      </c>
      <c r="CD254" s="170">
        <f>+'[163]VENTAS TOTALES'!$E36</f>
        <v>342150</v>
      </c>
      <c r="CE254" s="171">
        <f>+'[163]VENTAS TOTALES'!$F36</f>
        <v>2980550</v>
      </c>
      <c r="CF254" s="165">
        <f>+'[164]VENTAS TOTALES'!$D36</f>
        <v>5664</v>
      </c>
      <c r="CG254" s="170">
        <f>+'[164]VENTAS TOTALES'!$E36</f>
        <v>2734500</v>
      </c>
      <c r="CH254" s="171">
        <f>+'[164]VENTAS TOTALES'!$F36</f>
        <v>12363300</v>
      </c>
      <c r="CI254" s="165">
        <f>+'[165]VENTAS TOTALES'!$D36</f>
        <v>5286</v>
      </c>
      <c r="CJ254" s="170">
        <f>+'[165]VENTAS TOTALES'!$E36</f>
        <v>2810100</v>
      </c>
      <c r="CK254" s="171">
        <f>+'[165]VENTAS TOTALES'!$F36</f>
        <v>11796300</v>
      </c>
      <c r="CL254" s="165">
        <f>+'[166]VENTAS TOTALES'!$D36</f>
        <v>4982</v>
      </c>
      <c r="CM254" s="170">
        <f>+'[166]VENTAS TOTALES'!$E36</f>
        <v>2258200</v>
      </c>
      <c r="CN254" s="171">
        <f>+'[166]VENTAS TOTALES'!$F36</f>
        <v>10727600</v>
      </c>
      <c r="CO254" s="165">
        <f>+'[167]VENTAS TOTALES'!$D36</f>
        <v>4703</v>
      </c>
      <c r="CP254" s="170">
        <f>+'[167]VENTAS TOTALES'!$E36</f>
        <v>1556850</v>
      </c>
      <c r="CQ254" s="171">
        <f>+'[167]VENTAS TOTALES'!$F36</f>
        <v>9551950</v>
      </c>
      <c r="CR254" s="165">
        <f>+'[168]VENTAS TOTALES'!$D36</f>
        <v>4266</v>
      </c>
      <c r="CS254" s="170">
        <f>+'[168]VENTAS TOTALES'!$E36</f>
        <v>1215250</v>
      </c>
      <c r="CT254" s="171">
        <f>+'[168]VENTAS TOTALES'!$F36</f>
        <v>8467450</v>
      </c>
      <c r="CU254" s="165">
        <f>+'[169]VENTAS TOTALES'!$D36</f>
        <v>3146</v>
      </c>
      <c r="CV254" s="170">
        <f>+'[169]VENTAS TOTALES'!$E36</f>
        <v>796200</v>
      </c>
      <c r="CW254" s="171">
        <f>+'[169]VENTAS TOTALES'!$F36</f>
        <v>6144400</v>
      </c>
      <c r="CX254" s="165">
        <f>+'[170]VENTAS TOTALES'!$D36</f>
        <v>1270</v>
      </c>
      <c r="CY254" s="170">
        <f>+'[170]VENTAS TOTALES'!$E36</f>
        <v>218100</v>
      </c>
      <c r="CZ254" s="171">
        <f>+'[170]VENTAS TOTALES'!$F36</f>
        <v>2377100</v>
      </c>
    </row>
    <row r="255" spans="1:104" s="10" customFormat="1" x14ac:dyDescent="0.2">
      <c r="A255" s="471"/>
      <c r="B255" s="53" t="s">
        <v>227</v>
      </c>
      <c r="C255" s="165">
        <f>+'[137]VENTAS TOTALES'!$D37</f>
        <v>7837</v>
      </c>
      <c r="D255" s="170">
        <f>+'[137]VENTAS TOTALES'!$E37</f>
        <v>4076550</v>
      </c>
      <c r="E255" s="171">
        <f>+'[137]VENTAS TOTALES'!$F37</f>
        <v>17399450</v>
      </c>
      <c r="F255" s="165">
        <f>+'[138]VENTAS TOTALES'!$D37</f>
        <v>7718</v>
      </c>
      <c r="G255" s="170">
        <f>+'[138]VENTAS TOTALES'!$E37</f>
        <v>3538000</v>
      </c>
      <c r="H255" s="171">
        <f>+'[138]VENTAS TOTALES'!$F37</f>
        <v>16658600</v>
      </c>
      <c r="I255" s="165">
        <f>+'[139]VENTAS TOTALES'!$D37</f>
        <v>6561</v>
      </c>
      <c r="J255" s="170">
        <f>+'[139]VENTAS TOTALES'!$E37</f>
        <v>2259300</v>
      </c>
      <c r="K255" s="171">
        <f>+'[139]VENTAS TOTALES'!$F37</f>
        <v>13413000</v>
      </c>
      <c r="L255" s="165">
        <f>+'[140]VENTAS TOTALES'!$D37</f>
        <v>6073</v>
      </c>
      <c r="M255" s="170">
        <f>+'[140]VENTAS TOTALES'!$E37</f>
        <v>2307600</v>
      </c>
      <c r="N255" s="171">
        <f>+'[140]VENTAS TOTALES'!$F37</f>
        <v>12631700</v>
      </c>
      <c r="O255" s="165">
        <f>+'[141]VENTAS TOTALES'!$D37</f>
        <v>3503</v>
      </c>
      <c r="P255" s="170">
        <f>+'[141]VENTAS TOTALES'!$E37</f>
        <v>1060100</v>
      </c>
      <c r="Q255" s="171">
        <f>+'[141]VENTAS TOTALES'!$F37</f>
        <v>7015200</v>
      </c>
      <c r="R255" s="165">
        <f>+'[142]VENTAS TOTALES'!$D37</f>
        <v>2556</v>
      </c>
      <c r="S255" s="170">
        <f>+'[142]VENTAS TOTALES'!$E37</f>
        <v>741650</v>
      </c>
      <c r="T255" s="171">
        <f>+'[142]VENTAS TOTALES'!$F37</f>
        <v>5086850</v>
      </c>
      <c r="U255" s="165">
        <f>+'[143]VENTAS TOTALES'!$D37</f>
        <v>6818</v>
      </c>
      <c r="V255" s="170">
        <f>+'[143]VENTAS TOTALES'!$E37</f>
        <v>2765800</v>
      </c>
      <c r="W255" s="171">
        <f>+'[143]VENTAS TOTALES'!$F37</f>
        <v>14356400</v>
      </c>
      <c r="X255" s="165">
        <f>+'[144]VENTAS TOTALES'!$D37</f>
        <v>6356</v>
      </c>
      <c r="Y255" s="170">
        <f>+'[144]VENTAS TOTALES'!$E37</f>
        <v>2312800</v>
      </c>
      <c r="Z255" s="171">
        <f>+'[144]VENTAS TOTALES'!$F37</f>
        <v>13118000</v>
      </c>
      <c r="AA255" s="165">
        <f>+'[145]VENTAS TOTALES'!$D37</f>
        <v>6072</v>
      </c>
      <c r="AB255" s="170">
        <f>+'[145]VENTAS TOTALES'!$E37</f>
        <v>2227300</v>
      </c>
      <c r="AC255" s="171">
        <f>+'[145]VENTAS TOTALES'!$F37</f>
        <v>12549700</v>
      </c>
      <c r="AD255" s="165">
        <f>+'[146]VENTAS TOTALES'!$D37</f>
        <v>5858</v>
      </c>
      <c r="AE255" s="170">
        <f>+'[146]VENTAS TOTALES'!$E37</f>
        <v>2140600</v>
      </c>
      <c r="AF255" s="171">
        <f>+'[146]VENTAS TOTALES'!$F37</f>
        <v>12099200</v>
      </c>
      <c r="AG255" s="165">
        <f>+'[147]VENTAS TOTALES'!$D37</f>
        <v>6111</v>
      </c>
      <c r="AH255" s="170">
        <f>+'[147]VENTAS TOTALES'!$E37</f>
        <v>1751950</v>
      </c>
      <c r="AI255" s="171">
        <f>+'[147]VENTAS TOTALES'!$F37</f>
        <v>12140650</v>
      </c>
      <c r="AJ255" s="165">
        <f>+'[148]VENTAS TOTALES'!$D37</f>
        <v>3637</v>
      </c>
      <c r="AK255" s="170">
        <f>+'[148]VENTAS TOTALES'!$E37</f>
        <v>845300</v>
      </c>
      <c r="AL255" s="171">
        <f>+'[148]VENTAS TOTALES'!$F37</f>
        <v>7028200</v>
      </c>
      <c r="AM255" s="165">
        <f>+'[149]VENTAS TOTALES'!$D37</f>
        <v>2435</v>
      </c>
      <c r="AN255" s="170">
        <f>+'[149]VENTAS TOTALES'!$E37</f>
        <v>821100</v>
      </c>
      <c r="AO255" s="171">
        <f>+'[149]VENTAS TOTALES'!$F37</f>
        <v>4960600</v>
      </c>
      <c r="AP255" s="165">
        <f>+'[150]VENTAS TOTALES'!$D37</f>
        <v>7709</v>
      </c>
      <c r="AQ255" s="170">
        <f>+'[150]VENTAS TOTALES'!$E37</f>
        <v>3010000</v>
      </c>
      <c r="AR255" s="171">
        <f>+'[150]VENTAS TOTALES'!$F37</f>
        <v>16115300</v>
      </c>
      <c r="AS255" s="165">
        <f>+'[151]VENTAS TOTALES'!$D37</f>
        <v>6889</v>
      </c>
      <c r="AT255" s="170">
        <f>+'[151]VENTAS TOTALES'!$E37</f>
        <v>3263400</v>
      </c>
      <c r="AU255" s="171">
        <f>+'[151]VENTAS TOTALES'!$F37</f>
        <v>14974700</v>
      </c>
      <c r="AV255" s="165">
        <f>+'[152]VENTAS TOTALES'!$D37</f>
        <v>7029</v>
      </c>
      <c r="AW255" s="170">
        <f>+'[152]VENTAS TOTALES'!$E37</f>
        <v>2825300</v>
      </c>
      <c r="AX255" s="171">
        <f>+'[152]VENTAS TOTALES'!$F37</f>
        <v>14774600</v>
      </c>
      <c r="AY255" s="165">
        <f>+'[153]VENTAS TOTALES'!$D37</f>
        <v>6756</v>
      </c>
      <c r="AZ255" s="170">
        <f>+'[153]VENTAS TOTALES'!$E37</f>
        <v>2466350</v>
      </c>
      <c r="BA255" s="171">
        <f>+'[153]VENTAS TOTALES'!$F37</f>
        <v>13951550</v>
      </c>
      <c r="BB255" s="165">
        <f>+'[154]VENTAS TOTALES'!$D37</f>
        <v>6347</v>
      </c>
      <c r="BC255" s="170">
        <f>+'[154]VENTAS TOTALES'!$E37</f>
        <v>1900900</v>
      </c>
      <c r="BD255" s="171">
        <f>+'[154]VENTAS TOTALES'!$F37</f>
        <v>12690800</v>
      </c>
      <c r="BE255" s="165">
        <f>+'[155]VENTAS TOTALES'!$D37</f>
        <v>3724</v>
      </c>
      <c r="BF255" s="170">
        <f>+'[155]VENTAS TOTALES'!$E37</f>
        <v>964300</v>
      </c>
      <c r="BG255" s="171">
        <f>+'[155]VENTAS TOTALES'!$F37</f>
        <v>7295100</v>
      </c>
      <c r="BH255" s="165">
        <f>+'[156]VENTAS TOTALES'!$D37</f>
        <v>2593</v>
      </c>
      <c r="BI255" s="170">
        <f>+'[156]VENTAS TOTALES'!$E37</f>
        <v>791850</v>
      </c>
      <c r="BJ255" s="171">
        <f>+'[156]VENTAS TOTALES'!$F37</f>
        <v>5199950</v>
      </c>
      <c r="BK255" s="165">
        <f>+'[157]VENTAS TOTALES'!$D37</f>
        <v>6683</v>
      </c>
      <c r="BL255" s="170">
        <f>+'[157]VENTAS TOTALES'!$E37</f>
        <v>2765400</v>
      </c>
      <c r="BM255" s="171">
        <f>+'[157]VENTAS TOTALES'!$F37</f>
        <v>14126500</v>
      </c>
      <c r="BN255" s="165">
        <f>+'[158]VENTAS TOTALES'!$D37</f>
        <v>6372</v>
      </c>
      <c r="BO255" s="170">
        <f>+'[158]VENTAS TOTALES'!$E37</f>
        <v>2735600</v>
      </c>
      <c r="BP255" s="171">
        <f>+'[158]VENTAS TOTALES'!$F37</f>
        <v>13568000</v>
      </c>
      <c r="BQ255" s="165">
        <f>+'[159]VENTAS TOTALES'!$D37</f>
        <v>6244</v>
      </c>
      <c r="BR255" s="170">
        <f>+'[159]VENTAS TOTALES'!$E37</f>
        <v>2469450</v>
      </c>
      <c r="BS255" s="171">
        <f>+'[159]VENTAS TOTALES'!$F37</f>
        <v>13084250</v>
      </c>
      <c r="BT255" s="165">
        <f>+'[160]VENTAS TOTALES'!$D37</f>
        <v>6269</v>
      </c>
      <c r="BU255" s="170">
        <f>+'[160]VENTAS TOTALES'!$E37</f>
        <v>2061900</v>
      </c>
      <c r="BV255" s="171">
        <f>+'[160]VENTAS TOTALES'!$F37</f>
        <v>12719200</v>
      </c>
      <c r="BW255" s="165">
        <f>+'[161]VENTAS TOTALES'!$D37</f>
        <v>6536</v>
      </c>
      <c r="BX255" s="170">
        <f>+'[161]VENTAS TOTALES'!$E37</f>
        <v>1866100</v>
      </c>
      <c r="BY255" s="171">
        <f>+'[161]VENTAS TOTALES'!$F37</f>
        <v>12977300</v>
      </c>
      <c r="BZ255" s="165">
        <f>+'[162]VENTAS TOTALES'!$D37</f>
        <v>4011</v>
      </c>
      <c r="CA255" s="170">
        <f>+'[162]VENTAS TOTALES'!$E37</f>
        <v>1313100</v>
      </c>
      <c r="CB255" s="171">
        <f>+'[162]VENTAS TOTALES'!$F37</f>
        <v>8131800</v>
      </c>
      <c r="CC255" s="165">
        <f>+'[163]VENTAS TOTALES'!$D37</f>
        <v>2609</v>
      </c>
      <c r="CD255" s="170">
        <f>+'[163]VENTAS TOTALES'!$E37</f>
        <v>713900</v>
      </c>
      <c r="CE255" s="171">
        <f>+'[163]VENTAS TOTALES'!$F37</f>
        <v>5149200</v>
      </c>
      <c r="CF255" s="165">
        <f>+'[164]VENTAS TOTALES'!$D37</f>
        <v>7247</v>
      </c>
      <c r="CG255" s="170">
        <f>+'[164]VENTAS TOTALES'!$E37</f>
        <v>4374600</v>
      </c>
      <c r="CH255" s="171">
        <f>+'[164]VENTAS TOTALES'!$F37</f>
        <v>16694500</v>
      </c>
      <c r="CI255" s="165">
        <f>+'[165]VENTAS TOTALES'!$D37</f>
        <v>7383</v>
      </c>
      <c r="CJ255" s="170">
        <f>+'[165]VENTAS TOTALES'!$E37</f>
        <v>4288400</v>
      </c>
      <c r="CK255" s="171">
        <f>+'[165]VENTAS TOTALES'!$F37</f>
        <v>16839500</v>
      </c>
      <c r="CL255" s="165">
        <f>+'[166]VENTAS TOTALES'!$D37</f>
        <v>7525</v>
      </c>
      <c r="CM255" s="170">
        <f>+'[166]VENTAS TOTALES'!$E37</f>
        <v>2948400</v>
      </c>
      <c r="CN255" s="171">
        <f>+'[166]VENTAS TOTALES'!$F37</f>
        <v>15740900</v>
      </c>
      <c r="CO255" s="165">
        <f>+'[167]VENTAS TOTALES'!$D37</f>
        <v>6372</v>
      </c>
      <c r="CP255" s="170">
        <f>+'[167]VENTAS TOTALES'!$E37</f>
        <v>2888150</v>
      </c>
      <c r="CQ255" s="171">
        <f>+'[167]VENTAS TOTALES'!$F37</f>
        <v>13720550</v>
      </c>
      <c r="CR255" s="165">
        <f>+'[168]VENTAS TOTALES'!$D37</f>
        <v>6361</v>
      </c>
      <c r="CS255" s="170">
        <f>+'[168]VENTAS TOTALES'!$E37</f>
        <v>2522800</v>
      </c>
      <c r="CT255" s="171">
        <f>+'[168]VENTAS TOTALES'!$F37</f>
        <v>13336500</v>
      </c>
      <c r="CU255" s="165">
        <f>+'[169]VENTAS TOTALES'!$D37</f>
        <v>4211</v>
      </c>
      <c r="CV255" s="170">
        <f>+'[169]VENTAS TOTALES'!$E37</f>
        <v>922250</v>
      </c>
      <c r="CW255" s="171">
        <f>+'[169]VENTAS TOTALES'!$F37</f>
        <v>8080950</v>
      </c>
      <c r="CX255" s="165">
        <f>+'[170]VENTAS TOTALES'!$D37</f>
        <v>2543</v>
      </c>
      <c r="CY255" s="170">
        <f>+'[170]VENTAS TOTALES'!$E37</f>
        <v>707400</v>
      </c>
      <c r="CZ255" s="171">
        <f>+'[170]VENTAS TOTALES'!$F37</f>
        <v>5030500</v>
      </c>
    </row>
    <row r="256" spans="1:104" s="10" customFormat="1" x14ac:dyDescent="0.2">
      <c r="A256" s="471"/>
      <c r="B256" s="53" t="s">
        <v>228</v>
      </c>
      <c r="C256" s="165">
        <f>+'[137]VENTAS TOTALES'!$D38</f>
        <v>2172</v>
      </c>
      <c r="D256" s="170">
        <f>+'[137]VENTAS TOTALES'!$E38</f>
        <v>908900</v>
      </c>
      <c r="E256" s="171">
        <f>+'[137]VENTAS TOTALES'!$F38</f>
        <v>4601300</v>
      </c>
      <c r="F256" s="165">
        <f>+'[138]VENTAS TOTALES'!$D38</f>
        <v>2132</v>
      </c>
      <c r="G256" s="170">
        <f>+'[138]VENTAS TOTALES'!$E38</f>
        <v>946000</v>
      </c>
      <c r="H256" s="171">
        <f>+'[138]VENTAS TOTALES'!$F38</f>
        <v>4570400</v>
      </c>
      <c r="I256" s="165">
        <f>+'[139]VENTAS TOTALES'!$D38</f>
        <v>1585</v>
      </c>
      <c r="J256" s="170">
        <f>+'[139]VENTAS TOTALES'!$E38</f>
        <v>592100</v>
      </c>
      <c r="K256" s="171">
        <f>+'[139]VENTAS TOTALES'!$F38</f>
        <v>3286600</v>
      </c>
      <c r="L256" s="165">
        <f>+'[140]VENTAS TOTALES'!$D38</f>
        <v>1983</v>
      </c>
      <c r="M256" s="170">
        <f>+'[140]VENTAS TOTALES'!$E38</f>
        <v>398550</v>
      </c>
      <c r="N256" s="171">
        <f>+'[140]VENTAS TOTALES'!$F38</f>
        <v>3769650</v>
      </c>
      <c r="O256" s="165">
        <f>+'[141]VENTAS TOTALES'!$D38</f>
        <v>1264</v>
      </c>
      <c r="P256" s="170">
        <f>+'[141]VENTAS TOTALES'!$E38</f>
        <v>243300</v>
      </c>
      <c r="Q256" s="171">
        <f>+'[141]VENTAS TOTALES'!$F38</f>
        <v>2392100</v>
      </c>
      <c r="R256" s="165">
        <f>+'[142]VENTAS TOTALES'!$D38</f>
        <v>565</v>
      </c>
      <c r="S256" s="170">
        <f>+'[142]VENTAS TOTALES'!$E38</f>
        <v>136200</v>
      </c>
      <c r="T256" s="171">
        <f>+'[142]VENTAS TOTALES'!$F38</f>
        <v>1096700</v>
      </c>
      <c r="U256" s="165">
        <f>+'[143]VENTAS TOTALES'!$D38</f>
        <v>2311</v>
      </c>
      <c r="V256" s="170">
        <f>+'[143]VENTAS TOTALES'!$E38</f>
        <v>628000</v>
      </c>
      <c r="W256" s="171">
        <f>+'[143]VENTAS TOTALES'!$F38</f>
        <v>4556700</v>
      </c>
      <c r="X256" s="165">
        <f>+'[144]VENTAS TOTALES'!$D38</f>
        <v>1853</v>
      </c>
      <c r="Y256" s="170">
        <f>+'[144]VENTAS TOTALES'!$E38</f>
        <v>622600</v>
      </c>
      <c r="Z256" s="171">
        <f>+'[144]VENTAS TOTALES'!$F38</f>
        <v>3772700</v>
      </c>
      <c r="AA256" s="165">
        <f>+'[145]VENTAS TOTALES'!$D38</f>
        <v>1841</v>
      </c>
      <c r="AB256" s="170">
        <f>+'[145]VENTAS TOTALES'!$E38</f>
        <v>500700</v>
      </c>
      <c r="AC256" s="171">
        <f>+'[145]VENTAS TOTALES'!$F38</f>
        <v>3630400</v>
      </c>
      <c r="AD256" s="165">
        <f>+'[146]VENTAS TOTALES'!$D38</f>
        <v>1787</v>
      </c>
      <c r="AE256" s="170">
        <f>+'[146]VENTAS TOTALES'!$E38</f>
        <v>482800</v>
      </c>
      <c r="AF256" s="171">
        <f>+'[146]VENTAS TOTALES'!$F38</f>
        <v>3520700</v>
      </c>
      <c r="AG256" s="165">
        <f>+'[147]VENTAS TOTALES'!$D38</f>
        <v>1732</v>
      </c>
      <c r="AH256" s="170">
        <f>+'[147]VENTAS TOTALES'!$E38</f>
        <v>424500</v>
      </c>
      <c r="AI256" s="171">
        <f>+'[147]VENTAS TOTALES'!$F38</f>
        <v>3368900</v>
      </c>
      <c r="AJ256" s="165">
        <f>+'[148]VENTAS TOTALES'!$D38</f>
        <v>1169</v>
      </c>
      <c r="AK256" s="170">
        <f>+'[148]VENTAS TOTALES'!$E38</f>
        <v>258200</v>
      </c>
      <c r="AL256" s="171">
        <f>+'[148]VENTAS TOTALES'!$F38</f>
        <v>2245500</v>
      </c>
      <c r="AM256" s="165">
        <f>+'[149]VENTAS TOTALES'!$D38</f>
        <v>608</v>
      </c>
      <c r="AN256" s="170">
        <f>+'[149]VENTAS TOTALES'!$E38</f>
        <v>75400</v>
      </c>
      <c r="AO256" s="171">
        <f>+'[149]VENTAS TOTALES'!$F38</f>
        <v>1109000</v>
      </c>
      <c r="AP256" s="165">
        <f>+'[150]VENTAS TOTALES'!$D38</f>
        <v>2283</v>
      </c>
      <c r="AQ256" s="170">
        <f>+'[150]VENTAS TOTALES'!$E38</f>
        <v>915500</v>
      </c>
      <c r="AR256" s="171">
        <f>+'[150]VENTAS TOTALES'!$F38</f>
        <v>4796600</v>
      </c>
      <c r="AS256" s="165">
        <f>+'[151]VENTAS TOTALES'!$D38</f>
        <v>2065</v>
      </c>
      <c r="AT256" s="170">
        <f>+'[151]VENTAS TOTALES'!$E38</f>
        <v>831300</v>
      </c>
      <c r="AU256" s="171">
        <f>+'[151]VENTAS TOTALES'!$F38</f>
        <v>4341800</v>
      </c>
      <c r="AV256" s="165">
        <f>+'[152]VENTAS TOTALES'!$D38</f>
        <v>2066</v>
      </c>
      <c r="AW256" s="170">
        <f>+'[152]VENTAS TOTALES'!$E38</f>
        <v>779150</v>
      </c>
      <c r="AX256" s="171">
        <f>+'[152]VENTAS TOTALES'!$F38</f>
        <v>4291350</v>
      </c>
      <c r="AY256" s="165">
        <f>+'[153]VENTAS TOTALES'!$D38</f>
        <v>2066</v>
      </c>
      <c r="AZ256" s="170">
        <f>+'[153]VENTAS TOTALES'!$E38</f>
        <v>689600</v>
      </c>
      <c r="BA256" s="171">
        <f>+'[153]VENTAS TOTALES'!$F38</f>
        <v>4201800</v>
      </c>
      <c r="BB256" s="165">
        <f>+'[154]VENTAS TOTALES'!$D38</f>
        <v>1773</v>
      </c>
      <c r="BC256" s="170">
        <f>+'[154]VENTAS TOTALES'!$E38</f>
        <v>521800</v>
      </c>
      <c r="BD256" s="171">
        <f>+'[154]VENTAS TOTALES'!$F38</f>
        <v>3535900</v>
      </c>
      <c r="BE256" s="165">
        <f>+'[155]VENTAS TOTALES'!$D38</f>
        <v>1332</v>
      </c>
      <c r="BF256" s="170">
        <f>+'[155]VENTAS TOTALES'!$E38</f>
        <v>369800</v>
      </c>
      <c r="BG256" s="171">
        <f>+'[155]VENTAS TOTALES'!$F38</f>
        <v>2634200</v>
      </c>
      <c r="BH256" s="165">
        <f>+'[156]VENTAS TOTALES'!$D38</f>
        <v>654</v>
      </c>
      <c r="BI256" s="170">
        <f>+'[156]VENTAS TOTALES'!$E38</f>
        <v>99300</v>
      </c>
      <c r="BJ256" s="171">
        <f>+'[156]VENTAS TOTALES'!$F38</f>
        <v>1211100</v>
      </c>
      <c r="BK256" s="165">
        <f>+'[157]VENTAS TOTALES'!$D38</f>
        <v>2169</v>
      </c>
      <c r="BL256" s="170">
        <f>+'[157]VENTAS TOTALES'!$E38</f>
        <v>654700</v>
      </c>
      <c r="BM256" s="171">
        <f>+'[157]VENTAS TOTALES'!$F38</f>
        <v>4342000</v>
      </c>
      <c r="BN256" s="165">
        <f>+'[158]VENTAS TOTALES'!$D38</f>
        <v>1924</v>
      </c>
      <c r="BO256" s="170">
        <f>+'[158]VENTAS TOTALES'!$E38</f>
        <v>547300</v>
      </c>
      <c r="BP256" s="171">
        <f>+'[158]VENTAS TOTALES'!$F38</f>
        <v>3818100</v>
      </c>
      <c r="BQ256" s="165">
        <f>+'[159]VENTAS TOTALES'!$D38</f>
        <v>1937</v>
      </c>
      <c r="BR256" s="170">
        <f>+'[159]VENTAS TOTALES'!$E38</f>
        <v>647600</v>
      </c>
      <c r="BS256" s="171">
        <f>+'[159]VENTAS TOTALES'!$F38</f>
        <v>3940500</v>
      </c>
      <c r="BT256" s="165">
        <f>+'[160]VENTAS TOTALES'!$D38</f>
        <v>1772</v>
      </c>
      <c r="BU256" s="170">
        <f>+'[160]VENTAS TOTALES'!$E38</f>
        <v>464100</v>
      </c>
      <c r="BV256" s="171">
        <f>+'[160]VENTAS TOTALES'!$F38</f>
        <v>3476500</v>
      </c>
      <c r="BW256" s="165">
        <f>+'[161]VENTAS TOTALES'!$D38</f>
        <v>1807</v>
      </c>
      <c r="BX256" s="170">
        <f>+'[161]VENTAS TOTALES'!$E38</f>
        <v>337250</v>
      </c>
      <c r="BY256" s="171">
        <f>+'[161]VENTAS TOTALES'!$F38</f>
        <v>3409150</v>
      </c>
      <c r="BZ256" s="165">
        <f>+'[162]VENTAS TOTALES'!$D38</f>
        <v>1456</v>
      </c>
      <c r="CA256" s="170">
        <f>+'[162]VENTAS TOTALES'!$E38</f>
        <v>363000</v>
      </c>
      <c r="CB256" s="171">
        <f>+'[162]VENTAS TOTALES'!$F38</f>
        <v>2838200</v>
      </c>
      <c r="CC256" s="165">
        <f>+'[163]VENTAS TOTALES'!$D38</f>
        <v>730</v>
      </c>
      <c r="CD256" s="170">
        <f>+'[163]VENTAS TOTALES'!$E38</f>
        <v>88300</v>
      </c>
      <c r="CE256" s="171">
        <f>+'[163]VENTAS TOTALES'!$F38</f>
        <v>1329300</v>
      </c>
      <c r="CF256" s="165">
        <f>+'[164]VENTAS TOTALES'!$D38</f>
        <v>2231</v>
      </c>
      <c r="CG256" s="170">
        <f>+'[164]VENTAS TOTALES'!$E38</f>
        <v>1267700</v>
      </c>
      <c r="CH256" s="171">
        <f>+'[164]VENTAS TOTALES'!$F38</f>
        <v>5060400</v>
      </c>
      <c r="CI256" s="165">
        <f>+'[165]VENTAS TOTALES'!$D38</f>
        <v>2378</v>
      </c>
      <c r="CJ256" s="170">
        <f>+'[165]VENTAS TOTALES'!$E38</f>
        <v>1188800</v>
      </c>
      <c r="CK256" s="171">
        <f>+'[165]VENTAS TOTALES'!$F38</f>
        <v>5231400</v>
      </c>
      <c r="CL256" s="165">
        <f>+'[166]VENTAS TOTALES'!$D38</f>
        <v>2244</v>
      </c>
      <c r="CM256" s="170">
        <f>+'[166]VENTAS TOTALES'!$E38</f>
        <v>783000</v>
      </c>
      <c r="CN256" s="171">
        <f>+'[166]VENTAS TOTALES'!$F38</f>
        <v>4597800</v>
      </c>
      <c r="CO256" s="165">
        <f>+'[167]VENTAS TOTALES'!$D38</f>
        <v>2232</v>
      </c>
      <c r="CP256" s="170">
        <f>+'[167]VENTAS TOTALES'!$E38</f>
        <v>736800</v>
      </c>
      <c r="CQ256" s="171">
        <f>+'[167]VENTAS TOTALES'!$F38</f>
        <v>4531200</v>
      </c>
      <c r="CR256" s="165">
        <f>+'[168]VENTAS TOTALES'!$D38</f>
        <v>1941</v>
      </c>
      <c r="CS256" s="170">
        <f>+'[168]VENTAS TOTALES'!$E38</f>
        <v>703300</v>
      </c>
      <c r="CT256" s="171">
        <f>+'[168]VENTAS TOTALES'!$F38</f>
        <v>4003000</v>
      </c>
      <c r="CU256" s="165">
        <f>+'[169]VENTAS TOTALES'!$D38</f>
        <v>1475</v>
      </c>
      <c r="CV256" s="170">
        <f>+'[169]VENTAS TOTALES'!$E38</f>
        <v>301000</v>
      </c>
      <c r="CW256" s="171">
        <f>+'[169]VENTAS TOTALES'!$F38</f>
        <v>2808500</v>
      </c>
      <c r="CX256" s="165">
        <f>+'[170]VENTAS TOTALES'!$D38</f>
        <v>699</v>
      </c>
      <c r="CY256" s="170">
        <f>+'[170]VENTAS TOTALES'!$E38</f>
        <v>53500</v>
      </c>
      <c r="CZ256" s="171">
        <f>+'[170]VENTAS TOTALES'!$F38</f>
        <v>1241800</v>
      </c>
    </row>
    <row r="257" spans="1:104" s="10" customFormat="1" x14ac:dyDescent="0.2">
      <c r="A257" s="471"/>
      <c r="B257" s="53" t="s">
        <v>229</v>
      </c>
      <c r="C257" s="165">
        <f>+'[137]VENTAS TOTALES'!$D39</f>
        <v>5884</v>
      </c>
      <c r="D257" s="170">
        <f>+'[137]VENTAS TOTALES'!$E39</f>
        <v>2787300</v>
      </c>
      <c r="E257" s="171">
        <f>+'[137]VENTAS TOTALES'!$F39</f>
        <v>12790100</v>
      </c>
      <c r="F257" s="165">
        <f>+'[138]VENTAS TOTALES'!$D39</f>
        <v>5564</v>
      </c>
      <c r="G257" s="170">
        <f>+'[138]VENTAS TOTALES'!$E39</f>
        <v>1594700</v>
      </c>
      <c r="H257" s="171">
        <f>+'[138]VENTAS TOTALES'!$F39</f>
        <v>11053500</v>
      </c>
      <c r="I257" s="165">
        <f>+'[139]VENTAS TOTALES'!$D39</f>
        <v>4478</v>
      </c>
      <c r="J257" s="170">
        <f>+'[139]VENTAS TOTALES'!$E39</f>
        <v>1274200</v>
      </c>
      <c r="K257" s="171">
        <f>+'[139]VENTAS TOTALES'!$F39</f>
        <v>8886800</v>
      </c>
      <c r="L257" s="165">
        <f>+'[140]VENTAS TOTALES'!$D39</f>
        <v>4734</v>
      </c>
      <c r="M257" s="170">
        <f>+'[140]VENTAS TOTALES'!$E39</f>
        <v>1071700</v>
      </c>
      <c r="N257" s="171">
        <f>+'[140]VENTAS TOTALES'!$F39</f>
        <v>9119500</v>
      </c>
      <c r="O257" s="165">
        <f>+'[141]VENTAS TOTALES'!$D39</f>
        <v>2557</v>
      </c>
      <c r="P257" s="170">
        <f>+'[141]VENTAS TOTALES'!$E39</f>
        <v>690100</v>
      </c>
      <c r="Q257" s="171">
        <f>+'[141]VENTAS TOTALES'!$F39</f>
        <v>5037000</v>
      </c>
      <c r="R257" s="165">
        <f>+'[142]VENTAS TOTALES'!$D39</f>
        <v>683</v>
      </c>
      <c r="S257" s="170">
        <f>+'[142]VENTAS TOTALES'!$E39</f>
        <v>154800</v>
      </c>
      <c r="T257" s="171">
        <f>+'[142]VENTAS TOTALES'!$F39</f>
        <v>1315900</v>
      </c>
      <c r="U257" s="165">
        <f>+'[143]VENTAS TOTALES'!$D39</f>
        <v>5266</v>
      </c>
      <c r="V257" s="170">
        <f>+'[143]VENTAS TOTALES'!$E39</f>
        <v>1737400</v>
      </c>
      <c r="W257" s="171">
        <f>+'[143]VENTAS TOTALES'!$F39</f>
        <v>10689600</v>
      </c>
      <c r="X257" s="165">
        <f>+'[144]VENTAS TOTALES'!$D39</f>
        <v>5128</v>
      </c>
      <c r="Y257" s="170">
        <f>+'[144]VENTAS TOTALES'!$E39</f>
        <v>1287900</v>
      </c>
      <c r="Z257" s="171">
        <f>+'[144]VENTAS TOTALES'!$F39</f>
        <v>10005500</v>
      </c>
      <c r="AA257" s="165">
        <f>+'[145]VENTAS TOTALES'!$D39</f>
        <v>4950</v>
      </c>
      <c r="AB257" s="170">
        <f>+'[145]VENTAS TOTALES'!$E39</f>
        <v>1118500</v>
      </c>
      <c r="AC257" s="171">
        <f>+'[145]VENTAS TOTALES'!$F39</f>
        <v>9533500</v>
      </c>
      <c r="AD257" s="165">
        <f>+'[146]VENTAS TOTALES'!$D39</f>
        <v>4816</v>
      </c>
      <c r="AE257" s="170">
        <f>+'[146]VENTAS TOTALES'!$E39</f>
        <v>1186700</v>
      </c>
      <c r="AF257" s="171">
        <f>+'[146]VENTAS TOTALES'!$F39</f>
        <v>9373900</v>
      </c>
      <c r="AG257" s="165">
        <f>+'[147]VENTAS TOTALES'!$D39</f>
        <v>4741</v>
      </c>
      <c r="AH257" s="170">
        <f>+'[147]VENTAS TOTALES'!$E39</f>
        <v>1122900</v>
      </c>
      <c r="AI257" s="171">
        <f>+'[147]VENTAS TOTALES'!$F39</f>
        <v>9182600</v>
      </c>
      <c r="AJ257" s="165">
        <f>+'[148]VENTAS TOTALES'!$D39</f>
        <v>2365</v>
      </c>
      <c r="AK257" s="170">
        <f>+'[148]VENTAS TOTALES'!$E39</f>
        <v>611100</v>
      </c>
      <c r="AL257" s="171">
        <f>+'[148]VENTAS TOTALES'!$F39</f>
        <v>4631600</v>
      </c>
      <c r="AM257" s="165">
        <f>+'[149]VENTAS TOTALES'!$D39</f>
        <v>703</v>
      </c>
      <c r="AN257" s="170">
        <f>+'[149]VENTAS TOTALES'!$E39</f>
        <v>127500</v>
      </c>
      <c r="AO257" s="171">
        <f>+'[149]VENTAS TOTALES'!$F39</f>
        <v>1322600</v>
      </c>
      <c r="AP257" s="165">
        <f>+'[150]VENTAS TOTALES'!$D39</f>
        <v>5901</v>
      </c>
      <c r="AQ257" s="170">
        <f>+'[150]VENTAS TOTALES'!$E39</f>
        <v>1507500</v>
      </c>
      <c r="AR257" s="171">
        <f>+'[150]VENTAS TOTALES'!$F39</f>
        <v>11539200</v>
      </c>
      <c r="AS257" s="165">
        <f>+'[151]VENTAS TOTALES'!$D39</f>
        <v>5641</v>
      </c>
      <c r="AT257" s="170">
        <f>+'[151]VENTAS TOTALES'!$E39</f>
        <v>2423650</v>
      </c>
      <c r="AU257" s="171">
        <f>+'[151]VENTAS TOTALES'!$F39</f>
        <v>12013350</v>
      </c>
      <c r="AV257" s="165">
        <f>+'[152]VENTAS TOTALES'!$D39</f>
        <v>5392</v>
      </c>
      <c r="AW257" s="170">
        <f>+'[152]VENTAS TOTALES'!$E39</f>
        <v>1954500</v>
      </c>
      <c r="AX257" s="171">
        <f>+'[152]VENTAS TOTALES'!$F39</f>
        <v>11120900</v>
      </c>
      <c r="AY257" s="165">
        <f>+'[153]VENTAS TOTALES'!$D39</f>
        <v>5143</v>
      </c>
      <c r="AZ257" s="170">
        <f>+'[153]VENTAS TOTALES'!$E39</f>
        <v>1294700</v>
      </c>
      <c r="BA257" s="171">
        <f>+'[153]VENTAS TOTALES'!$F39</f>
        <v>10037800</v>
      </c>
      <c r="BB257" s="165">
        <f>+'[154]VENTAS TOTALES'!$D39</f>
        <v>4751</v>
      </c>
      <c r="BC257" s="170">
        <f>+'[154]VENTAS TOTALES'!$E39</f>
        <v>1155100</v>
      </c>
      <c r="BD257" s="171">
        <f>+'[154]VENTAS TOTALES'!$F39</f>
        <v>9231800</v>
      </c>
      <c r="BE257" s="165">
        <f>+'[155]VENTAS TOTALES'!$D39</f>
        <v>2464</v>
      </c>
      <c r="BF257" s="170">
        <f>+'[155]VENTAS TOTALES'!$E39</f>
        <v>635400</v>
      </c>
      <c r="BG257" s="171">
        <f>+'[155]VENTAS TOTALES'!$F39</f>
        <v>4824200</v>
      </c>
      <c r="BH257" s="165">
        <f>+'[156]VENTAS TOTALES'!$D39</f>
        <v>677</v>
      </c>
      <c r="BI257" s="170">
        <f>+'[156]VENTAS TOTALES'!$E39</f>
        <v>197600</v>
      </c>
      <c r="BJ257" s="171">
        <f>+'[156]VENTAS TOTALES'!$F39</f>
        <v>1348500</v>
      </c>
      <c r="BK257" s="165">
        <f>+'[157]VENTAS TOTALES'!$D39</f>
        <v>5194</v>
      </c>
      <c r="BL257" s="170">
        <f>+'[157]VENTAS TOTALES'!$E39</f>
        <v>1608100</v>
      </c>
      <c r="BM257" s="171">
        <f>+'[157]VENTAS TOTALES'!$F39</f>
        <v>10437900</v>
      </c>
      <c r="BN257" s="165">
        <f>+'[158]VENTAS TOTALES'!$D39</f>
        <v>4855</v>
      </c>
      <c r="BO257" s="170">
        <f>+'[158]VENTAS TOTALES'!$E39</f>
        <v>1655800</v>
      </c>
      <c r="BP257" s="171">
        <f>+'[158]VENTAS TOTALES'!$F39</f>
        <v>9909300</v>
      </c>
      <c r="BQ257" s="165">
        <f>+'[159]VENTAS TOTALES'!$D39</f>
        <v>5143</v>
      </c>
      <c r="BR257" s="170">
        <f>+'[159]VENTAS TOTALES'!$E39</f>
        <v>1625050</v>
      </c>
      <c r="BS257" s="171">
        <f>+'[159]VENTAS TOTALES'!$F39</f>
        <v>10368150</v>
      </c>
      <c r="BT257" s="165">
        <f>+'[160]VENTAS TOTALES'!$D39</f>
        <v>5058</v>
      </c>
      <c r="BU257" s="170">
        <f>+'[160]VENTAS TOTALES'!$E39</f>
        <v>1276400</v>
      </c>
      <c r="BV257" s="171">
        <f>+'[160]VENTAS TOTALES'!$F39</f>
        <v>9875000</v>
      </c>
      <c r="BW257" s="165">
        <f>+'[161]VENTAS TOTALES'!$D39</f>
        <v>4899</v>
      </c>
      <c r="BX257" s="170">
        <f>+'[161]VENTAS TOTALES'!$E39</f>
        <v>1387700</v>
      </c>
      <c r="BY257" s="171">
        <f>+'[161]VENTAS TOTALES'!$F39</f>
        <v>9716000</v>
      </c>
      <c r="BZ257" s="165">
        <f>+'[162]VENTAS TOTALES'!$D39</f>
        <v>2285</v>
      </c>
      <c r="CA257" s="170">
        <f>+'[162]VENTAS TOTALES'!$E39</f>
        <v>672600</v>
      </c>
      <c r="CB257" s="171">
        <f>+'[162]VENTAS TOTALES'!$F39</f>
        <v>4557100</v>
      </c>
      <c r="CC257" s="165">
        <f>+'[163]VENTAS TOTALES'!$D39</f>
        <v>839</v>
      </c>
      <c r="CD257" s="170">
        <f>+'[163]VENTAS TOTALES'!$E39</f>
        <v>170700</v>
      </c>
      <c r="CE257" s="171">
        <f>+'[163]VENTAS TOTALES'!$F39</f>
        <v>1597000</v>
      </c>
      <c r="CF257" s="165">
        <f>+'[164]VENTAS TOTALES'!$D39</f>
        <v>6095</v>
      </c>
      <c r="CG257" s="170">
        <f>+'[164]VENTAS TOTALES'!$E39</f>
        <v>3104100</v>
      </c>
      <c r="CH257" s="171">
        <f>+'[164]VENTAS TOTALES'!$F39</f>
        <v>13465600</v>
      </c>
      <c r="CI257" s="165">
        <f>+'[165]VENTAS TOTALES'!$D39</f>
        <v>6032</v>
      </c>
      <c r="CJ257" s="170">
        <f>+'[165]VENTAS TOTALES'!$E39</f>
        <v>2503550</v>
      </c>
      <c r="CK257" s="171">
        <f>+'[165]VENTAS TOTALES'!$F39</f>
        <v>12757950</v>
      </c>
      <c r="CL257" s="165">
        <f>+'[166]VENTAS TOTALES'!$D39</f>
        <v>5386</v>
      </c>
      <c r="CM257" s="170">
        <f>+'[166]VENTAS TOTALES'!$E39</f>
        <v>1863600</v>
      </c>
      <c r="CN257" s="171">
        <f>+'[166]VENTAS TOTALES'!$F39</f>
        <v>11019800</v>
      </c>
      <c r="CO257" s="165">
        <f>+'[167]VENTAS TOTALES'!$D39</f>
        <v>5067</v>
      </c>
      <c r="CP257" s="170">
        <f>+'[167]VENTAS TOTALES'!$E39</f>
        <v>1617000</v>
      </c>
      <c r="CQ257" s="171">
        <f>+'[167]VENTAS TOTALES'!$F39</f>
        <v>10230900</v>
      </c>
      <c r="CR257" s="165">
        <f>+'[168]VENTAS TOTALES'!$D39</f>
        <v>4734</v>
      </c>
      <c r="CS257" s="170">
        <f>+'[168]VENTAS TOTALES'!$E39</f>
        <v>1404150</v>
      </c>
      <c r="CT257" s="171">
        <f>+'[168]VENTAS TOTALES'!$F39</f>
        <v>9451950</v>
      </c>
      <c r="CU257" s="165">
        <f>+'[169]VENTAS TOTALES'!$D39</f>
        <v>2325</v>
      </c>
      <c r="CV257" s="170">
        <f>+'[169]VENTAS TOTALES'!$E39</f>
        <v>836850</v>
      </c>
      <c r="CW257" s="171">
        <f>+'[169]VENTAS TOTALES'!$F39</f>
        <v>4789350</v>
      </c>
      <c r="CX257" s="165">
        <f>+'[170]VENTAS TOTALES'!$D39</f>
        <v>777</v>
      </c>
      <c r="CY257" s="170">
        <f>+'[170]VENTAS TOTALES'!$E39</f>
        <v>112900</v>
      </c>
      <c r="CZ257" s="171">
        <f>+'[170]VENTAS TOTALES'!$F39</f>
        <v>1433800</v>
      </c>
    </row>
    <row r="258" spans="1:104" s="10" customFormat="1" x14ac:dyDescent="0.2">
      <c r="A258" s="471"/>
      <c r="B258" s="118" t="s">
        <v>230</v>
      </c>
      <c r="C258" s="117">
        <f>+'[137]VENTAS TOTALES'!$D40</f>
        <v>7468</v>
      </c>
      <c r="D258" s="156">
        <f>+'[137]VENTAS TOTALES'!$E40</f>
        <v>3467400</v>
      </c>
      <c r="E258" s="156">
        <f>+'[137]VENTAS TOTALES'!$F40</f>
        <v>16163000</v>
      </c>
      <c r="F258" s="117">
        <f>+'[138]VENTAS TOTALES'!$D40</f>
        <v>7534</v>
      </c>
      <c r="G258" s="156">
        <f>+'[138]VENTAS TOTALES'!$E40</f>
        <v>2999200</v>
      </c>
      <c r="H258" s="156">
        <f>+'[138]VENTAS TOTALES'!$F40</f>
        <v>15807000</v>
      </c>
      <c r="I258" s="117">
        <f>+'[139]VENTAS TOTALES'!$D40</f>
        <v>6357</v>
      </c>
      <c r="J258" s="156">
        <f>+'[139]VENTAS TOTALES'!$E40</f>
        <v>2266300</v>
      </c>
      <c r="K258" s="156">
        <f>+'[139]VENTAS TOTALES'!$F40</f>
        <v>13073200</v>
      </c>
      <c r="L258" s="117">
        <f>+'[140]VENTAS TOTALES'!$D40</f>
        <v>6443</v>
      </c>
      <c r="M258" s="156">
        <f>+'[140]VENTAS TOTALES'!$E40</f>
        <v>1855500</v>
      </c>
      <c r="N258" s="156">
        <f>+'[140]VENTAS TOTALES'!$F40</f>
        <v>12808600</v>
      </c>
      <c r="O258" s="117">
        <f>+'[141]VENTAS TOTALES'!$D40</f>
        <v>5171</v>
      </c>
      <c r="P258" s="156">
        <f>+'[141]VENTAS TOTALES'!$E40</f>
        <v>1692400</v>
      </c>
      <c r="Q258" s="156">
        <f>+'[141]VENTAS TOTALES'!$F40</f>
        <v>10483100</v>
      </c>
      <c r="R258" s="117">
        <f>+'[142]VENTAS TOTALES'!$D40</f>
        <v>1654</v>
      </c>
      <c r="S258" s="156">
        <f>+'[142]VENTAS TOTALES'!$E40</f>
        <v>504200</v>
      </c>
      <c r="T258" s="156">
        <f>+'[142]VENTAS TOTALES'!$F40</f>
        <v>3316000</v>
      </c>
      <c r="U258" s="117">
        <f>+'[143]VENTAS TOTALES'!$D40</f>
        <v>7724</v>
      </c>
      <c r="V258" s="156">
        <f>+'[143]VENTAS TOTALES'!$E40</f>
        <v>2773200</v>
      </c>
      <c r="W258" s="156">
        <f>+'[143]VENTAS TOTALES'!$F40</f>
        <v>15904000</v>
      </c>
      <c r="X258" s="117">
        <f>+'[144]VENTAS TOTALES'!$D40</f>
        <v>6674</v>
      </c>
      <c r="Y258" s="156">
        <f>+'[144]VENTAS TOTALES'!$E40</f>
        <v>1805100</v>
      </c>
      <c r="Z258" s="156">
        <f>+'[144]VENTAS TOTALES'!$F40</f>
        <v>13150900</v>
      </c>
      <c r="AA258" s="117">
        <f>+'[145]VENTAS TOTALES'!$D40</f>
        <v>6404</v>
      </c>
      <c r="AB258" s="156">
        <f>+'[145]VENTAS TOTALES'!$E40</f>
        <v>1895450</v>
      </c>
      <c r="AC258" s="156">
        <f>+'[145]VENTAS TOTALES'!$F40</f>
        <v>12782250</v>
      </c>
      <c r="AD258" s="117">
        <f>+'[146]VENTAS TOTALES'!$D40</f>
        <v>6454</v>
      </c>
      <c r="AE258" s="156">
        <f>+'[146]VENTAS TOTALES'!$E40</f>
        <v>2391700</v>
      </c>
      <c r="AF258" s="156">
        <f>+'[146]VENTAS TOTALES'!$F40</f>
        <v>13363500</v>
      </c>
      <c r="AG258" s="117">
        <f>+'[147]VENTAS TOTALES'!$D40</f>
        <v>6396</v>
      </c>
      <c r="AH258" s="156">
        <f>+'[147]VENTAS TOTALES'!$E40</f>
        <v>1657900</v>
      </c>
      <c r="AI258" s="156">
        <f>+'[147]VENTAS TOTALES'!$F40</f>
        <v>12531100</v>
      </c>
      <c r="AJ258" s="117">
        <f>+'[148]VENTAS TOTALES'!$D40</f>
        <v>5070</v>
      </c>
      <c r="AK258" s="156">
        <f>+'[148]VENTAS TOTALES'!$E40</f>
        <v>1446500</v>
      </c>
      <c r="AL258" s="156">
        <f>+'[148]VENTAS TOTALES'!$F40</f>
        <v>10065500</v>
      </c>
      <c r="AM258" s="117">
        <f>+'[149]VENTAS TOTALES'!$D40</f>
        <v>1494</v>
      </c>
      <c r="AN258" s="156">
        <f>+'[149]VENTAS TOTALES'!$E40</f>
        <v>449300</v>
      </c>
      <c r="AO258" s="156">
        <f>+'[149]VENTAS TOTALES'!$F40</f>
        <v>2989100</v>
      </c>
      <c r="AP258" s="117">
        <f>+'[150]VENTAS TOTALES'!$D40</f>
        <v>8036</v>
      </c>
      <c r="AQ258" s="156">
        <f>+'[150]VENTAS TOTALES'!$E40</f>
        <v>2576200</v>
      </c>
      <c r="AR258" s="156">
        <f>+'[150]VENTAS TOTALES'!$F40</f>
        <v>16237400</v>
      </c>
      <c r="AS258" s="117">
        <f>+'[151]VENTAS TOTALES'!$D40</f>
        <v>7493</v>
      </c>
      <c r="AT258" s="156">
        <f>+'[151]VENTAS TOTALES'!$E40</f>
        <v>2689600</v>
      </c>
      <c r="AU258" s="156">
        <f>+'[151]VENTAS TOTALES'!$F40</f>
        <v>15427700</v>
      </c>
      <c r="AV258" s="117">
        <f>+'[152]VENTAS TOTALES'!$D40</f>
        <v>7502</v>
      </c>
      <c r="AW258" s="156">
        <f>+'[152]VENTAS TOTALES'!$E40</f>
        <v>3897700</v>
      </c>
      <c r="AX258" s="156">
        <f>+'[152]VENTAS TOTALES'!$F40</f>
        <v>16651100</v>
      </c>
      <c r="AY258" s="117">
        <f>+'[153]VENTAS TOTALES'!$D40</f>
        <v>7313</v>
      </c>
      <c r="AZ258" s="156">
        <f>+'[153]VENTAS TOTALES'!$E40</f>
        <v>3076100</v>
      </c>
      <c r="BA258" s="156">
        <f>+'[153]VENTAS TOTALES'!$F40</f>
        <v>15508200</v>
      </c>
      <c r="BB258" s="117">
        <f>+'[154]VENTAS TOTALES'!$D40</f>
        <v>6826</v>
      </c>
      <c r="BC258" s="156">
        <f>+'[154]VENTAS TOTALES'!$E40</f>
        <v>2580200</v>
      </c>
      <c r="BD258" s="156">
        <f>+'[154]VENTAS TOTALES'!$F40</f>
        <v>14184400</v>
      </c>
      <c r="BE258" s="117">
        <f>+'[155]VENTAS TOTALES'!$D40</f>
        <v>5493</v>
      </c>
      <c r="BF258" s="156">
        <f>+'[155]VENTAS TOTALES'!$E40</f>
        <v>1582100</v>
      </c>
      <c r="BG258" s="156">
        <f>+'[155]VENTAS TOTALES'!$F40</f>
        <v>10920200</v>
      </c>
      <c r="BH258" s="117">
        <f>+'[156]VENTAS TOTALES'!$D40</f>
        <v>1509</v>
      </c>
      <c r="BI258" s="156">
        <f>+'[156]VENTAS TOTALES'!$E40</f>
        <v>337200</v>
      </c>
      <c r="BJ258" s="156">
        <f>+'[156]VENTAS TOTALES'!$F40</f>
        <v>2902500</v>
      </c>
      <c r="BK258" s="117">
        <f>+'[157]VENTAS TOTALES'!$D40</f>
        <v>7669</v>
      </c>
      <c r="BL258" s="156">
        <f>+'[157]VENTAS TOTALES'!$E40</f>
        <v>2612300</v>
      </c>
      <c r="BM258" s="156">
        <f>+'[157]VENTAS TOTALES'!$F40</f>
        <v>15649600</v>
      </c>
      <c r="BN258" s="117">
        <f>+'[158]VENTAS TOTALES'!$D40</f>
        <v>6605</v>
      </c>
      <c r="BO258" s="156">
        <f>+'[158]VENTAS TOTALES'!$E40</f>
        <v>2106500</v>
      </c>
      <c r="BP258" s="156">
        <f>+'[158]VENTAS TOTALES'!$F40</f>
        <v>13335000</v>
      </c>
      <c r="BQ258" s="117">
        <f>+'[159]VENTAS TOTALES'!$D40</f>
        <v>6474</v>
      </c>
      <c r="BR258" s="156">
        <f>+'[159]VENTAS TOTALES'!$E40</f>
        <v>1954800</v>
      </c>
      <c r="BS258" s="156">
        <f>+'[159]VENTAS TOTALES'!$F40</f>
        <v>12960600</v>
      </c>
      <c r="BT258" s="117">
        <f>+'[160]VENTAS TOTALES'!$D40</f>
        <v>6574</v>
      </c>
      <c r="BU258" s="156">
        <f>+'[160]VENTAS TOTALES'!$E40</f>
        <v>1712800</v>
      </c>
      <c r="BV258" s="156">
        <f>+'[160]VENTAS TOTALES'!$F40</f>
        <v>12888600</v>
      </c>
      <c r="BW258" s="117">
        <f>+'[161]VENTAS TOTALES'!$D40</f>
        <v>6171</v>
      </c>
      <c r="BX258" s="156">
        <f>+'[161]VENTAS TOTALES'!$E40</f>
        <v>1751400</v>
      </c>
      <c r="BY258" s="156">
        <f>+'[161]VENTAS TOTALES'!$F40</f>
        <v>12242100</v>
      </c>
      <c r="BZ258" s="117">
        <f>+'[162]VENTAS TOTALES'!$D40</f>
        <v>5158</v>
      </c>
      <c r="CA258" s="156">
        <f>+'[162]VENTAS TOTALES'!$E40</f>
        <v>1703700</v>
      </c>
      <c r="CB258" s="156">
        <f>+'[162]VENTAS TOTALES'!$F40</f>
        <v>10472300</v>
      </c>
      <c r="CC258" s="117">
        <f>+'[163]VENTAS TOTALES'!$D40</f>
        <v>1568</v>
      </c>
      <c r="CD258" s="156">
        <f>+'[163]VENTAS TOTALES'!$E40</f>
        <v>335400</v>
      </c>
      <c r="CE258" s="156">
        <f>+'[163]VENTAS TOTALES'!$F40</f>
        <v>3001000</v>
      </c>
      <c r="CF258" s="117">
        <f>+'[164]VENTAS TOTALES'!$D40</f>
        <v>8344</v>
      </c>
      <c r="CG258" s="156">
        <f>+'[164]VENTAS TOTALES'!$E40</f>
        <v>3292300</v>
      </c>
      <c r="CH258" s="156">
        <f>+'[164]VENTAS TOTALES'!$F40</f>
        <v>17477100</v>
      </c>
      <c r="CI258" s="117">
        <f>+'[165]VENTAS TOTALES'!$D40</f>
        <v>7816</v>
      </c>
      <c r="CJ258" s="156">
        <f>+'[165]VENTAS TOTALES'!$E40</f>
        <v>3197350</v>
      </c>
      <c r="CK258" s="156">
        <f>+'[165]VENTAS TOTALES'!$F40</f>
        <v>16484550</v>
      </c>
      <c r="CL258" s="117">
        <f>+'[166]VENTAS TOTALES'!$D40</f>
        <v>7468</v>
      </c>
      <c r="CM258" s="156">
        <f>+'[166]VENTAS TOTALES'!$E40</f>
        <v>2997000</v>
      </c>
      <c r="CN258" s="156">
        <f>+'[166]VENTAS TOTALES'!$F40</f>
        <v>15692600</v>
      </c>
      <c r="CO258" s="117">
        <f>+'[167]VENTAS TOTALES'!$D40</f>
        <v>7072</v>
      </c>
      <c r="CP258" s="156">
        <f>+'[167]VENTAS TOTALES'!$E40</f>
        <v>2314100</v>
      </c>
      <c r="CQ258" s="156">
        <f>+'[167]VENTAS TOTALES'!$F40</f>
        <v>14336500</v>
      </c>
      <c r="CR258" s="117">
        <f>+'[168]VENTAS TOTALES'!$D40</f>
        <v>7029</v>
      </c>
      <c r="CS258" s="156">
        <f>+'[168]VENTAS TOTALES'!$E40</f>
        <v>1846200</v>
      </c>
      <c r="CT258" s="156">
        <f>+'[168]VENTAS TOTALES'!$F40</f>
        <v>13795500</v>
      </c>
      <c r="CU258" s="117">
        <f>+'[169]VENTAS TOTALES'!$D40</f>
        <v>5283</v>
      </c>
      <c r="CV258" s="156">
        <f>+'[169]VENTAS TOTALES'!$E40</f>
        <v>1799700</v>
      </c>
      <c r="CW258" s="156">
        <f>+'[169]VENTAS TOTALES'!$F40</f>
        <v>10780800</v>
      </c>
      <c r="CX258" s="117">
        <f>+'[170]VENTAS TOTALES'!$D40</f>
        <v>1478</v>
      </c>
      <c r="CY258" s="156">
        <f>+'[170]VENTAS TOTALES'!$E40</f>
        <v>388700</v>
      </c>
      <c r="CZ258" s="156">
        <f>+'[170]VENTAS TOTALES'!$F40</f>
        <v>2901300</v>
      </c>
    </row>
    <row r="259" spans="1:104" s="10" customFormat="1" x14ac:dyDescent="0.2">
      <c r="A259" s="471"/>
      <c r="B259" s="118" t="s">
        <v>231</v>
      </c>
      <c r="C259" s="117">
        <f>+'[137]VENTAS TOTALES'!$D41</f>
        <v>2979</v>
      </c>
      <c r="D259" s="156">
        <f>+'[137]VENTAS TOTALES'!$E41</f>
        <v>2388600</v>
      </c>
      <c r="E259" s="156">
        <f>+'[137]VENTAS TOTALES'!$F41</f>
        <v>7452900</v>
      </c>
      <c r="F259" s="117">
        <f>+'[138]VENTAS TOTALES'!$D41</f>
        <v>2496</v>
      </c>
      <c r="G259" s="156">
        <f>+'[138]VENTAS TOTALES'!$E41</f>
        <v>1402550</v>
      </c>
      <c r="H259" s="156">
        <f>+'[138]VENTAS TOTALES'!$F41</f>
        <v>5645750</v>
      </c>
      <c r="I259" s="117">
        <f>+'[139]VENTAS TOTALES'!$D41</f>
        <v>2230</v>
      </c>
      <c r="J259" s="156">
        <f>+'[139]VENTAS TOTALES'!$E41</f>
        <v>921600</v>
      </c>
      <c r="K259" s="156">
        <f>+'[139]VENTAS TOTALES'!$F41</f>
        <v>4712600</v>
      </c>
      <c r="L259" s="117">
        <f>+'[140]VENTAS TOTALES'!$D41</f>
        <v>2225</v>
      </c>
      <c r="M259" s="156">
        <f>+'[140]VENTAS TOTALES'!$E41</f>
        <v>877300</v>
      </c>
      <c r="N259" s="156">
        <f>+'[140]VENTAS TOTALES'!$F41</f>
        <v>4659800</v>
      </c>
      <c r="O259" s="117">
        <f>+'[141]VENTAS TOTALES'!$D41</f>
        <v>1240</v>
      </c>
      <c r="P259" s="156">
        <f>+'[141]VENTAS TOTALES'!$E41</f>
        <v>625400</v>
      </c>
      <c r="Q259" s="156">
        <f>+'[141]VENTAS TOTALES'!$F41</f>
        <v>2733400</v>
      </c>
      <c r="R259" s="117">
        <f>+'[142]VENTAS TOTALES'!$D41</f>
        <v>280</v>
      </c>
      <c r="S259" s="156">
        <f>+'[142]VENTAS TOTALES'!$E41</f>
        <v>111900</v>
      </c>
      <c r="T259" s="156">
        <f>+'[142]VENTAS TOTALES'!$F41</f>
        <v>587900</v>
      </c>
      <c r="U259" s="117">
        <f>+'[143]VENTAS TOTALES'!$D41</f>
        <v>2604</v>
      </c>
      <c r="V259" s="156">
        <f>+'[143]VENTAS TOTALES'!$E41</f>
        <v>1360100</v>
      </c>
      <c r="W259" s="156">
        <f>+'[143]VENTAS TOTALES'!$F41</f>
        <v>5786900</v>
      </c>
      <c r="X259" s="117">
        <f>+'[144]VENTAS TOTALES'!$D41</f>
        <v>2314</v>
      </c>
      <c r="Y259" s="156">
        <f>+'[144]VENTAS TOTALES'!$E41</f>
        <v>868100</v>
      </c>
      <c r="Z259" s="156">
        <f>+'[144]VENTAS TOTALES'!$F41</f>
        <v>4801900</v>
      </c>
      <c r="AA259" s="117">
        <f>+'[145]VENTAS TOTALES'!$D41</f>
        <v>2266</v>
      </c>
      <c r="AB259" s="156">
        <f>+'[145]VENTAS TOTALES'!$E41</f>
        <v>1102100</v>
      </c>
      <c r="AC259" s="156">
        <f>+'[145]VENTAS TOTALES'!$F41</f>
        <v>4954300</v>
      </c>
      <c r="AD259" s="117">
        <f>+'[146]VENTAS TOTALES'!$D41</f>
        <v>2338</v>
      </c>
      <c r="AE259" s="156">
        <f>+'[146]VENTAS TOTALES'!$E41</f>
        <v>775500</v>
      </c>
      <c r="AF259" s="156">
        <f>+'[146]VENTAS TOTALES'!$F41</f>
        <v>4750100</v>
      </c>
      <c r="AG259" s="117">
        <f>+'[147]VENTAS TOTALES'!$D41</f>
        <v>2158</v>
      </c>
      <c r="AH259" s="156">
        <f>+'[147]VENTAS TOTALES'!$E41</f>
        <v>789600</v>
      </c>
      <c r="AI259" s="156">
        <f>+'[147]VENTAS TOTALES'!$F41</f>
        <v>4458200</v>
      </c>
      <c r="AJ259" s="117">
        <f>+'[148]VENTAS TOTALES'!$D41</f>
        <v>1203</v>
      </c>
      <c r="AK259" s="156">
        <f>+'[148]VENTAS TOTALES'!$E41</f>
        <v>404900</v>
      </c>
      <c r="AL259" s="156">
        <f>+'[148]VENTAS TOTALES'!$F41</f>
        <v>2450000</v>
      </c>
      <c r="AM259" s="117">
        <f>+'[149]VENTAS TOTALES'!$D41</f>
        <v>332</v>
      </c>
      <c r="AN259" s="156">
        <f>+'[149]VENTAS TOTALES'!$E41</f>
        <v>41800</v>
      </c>
      <c r="AO259" s="156">
        <f>+'[149]VENTAS TOTALES'!$F41</f>
        <v>606200</v>
      </c>
      <c r="AP259" s="117">
        <f>+'[150]VENTAS TOTALES'!$D41</f>
        <v>2781</v>
      </c>
      <c r="AQ259" s="156">
        <f>+'[150]VENTAS TOTALES'!$E41</f>
        <v>1193950</v>
      </c>
      <c r="AR259" s="156">
        <f>+'[150]VENTAS TOTALES'!$F41</f>
        <v>5921650</v>
      </c>
      <c r="AS259" s="117">
        <f>+'[151]VENTAS TOTALES'!$D41</f>
        <v>2421</v>
      </c>
      <c r="AT259" s="156">
        <f>+'[151]VENTAS TOTALES'!$E41</f>
        <v>2153400</v>
      </c>
      <c r="AU259" s="156">
        <f>+'[151]VENTAS TOTALES'!$F41</f>
        <v>6269100</v>
      </c>
      <c r="AV259" s="117">
        <f>+'[152]VENTAS TOTALES'!$D41</f>
        <v>2529</v>
      </c>
      <c r="AW259" s="156">
        <f>+'[152]VENTAS TOTALES'!$E41</f>
        <v>1776050</v>
      </c>
      <c r="AX259" s="156">
        <f>+'[152]VENTAS TOTALES'!$F41</f>
        <v>6075350</v>
      </c>
      <c r="AY259" s="117">
        <f>+'[153]VENTAS TOTALES'!$D41</f>
        <v>2509</v>
      </c>
      <c r="AZ259" s="156">
        <f>+'[153]VENTAS TOTALES'!$E41</f>
        <v>1110350</v>
      </c>
      <c r="BA259" s="156">
        <f>+'[153]VENTAS TOTALES'!$F41</f>
        <v>5375650</v>
      </c>
      <c r="BB259" s="117">
        <f>+'[154]VENTAS TOTALES'!$D41</f>
        <v>2304</v>
      </c>
      <c r="BC259" s="156">
        <f>+'[154]VENTAS TOTALES'!$E41</f>
        <v>975700</v>
      </c>
      <c r="BD259" s="156">
        <f>+'[154]VENTAS TOTALES'!$F41</f>
        <v>4892500</v>
      </c>
      <c r="BE259" s="117">
        <f>+'[155]VENTAS TOTALES'!$D41</f>
        <v>1435</v>
      </c>
      <c r="BF259" s="156">
        <f>+'[155]VENTAS TOTALES'!$E41</f>
        <v>766450</v>
      </c>
      <c r="BG259" s="156">
        <f>+'[155]VENTAS TOTALES'!$F41</f>
        <v>3205950</v>
      </c>
      <c r="BH259" s="117">
        <f>+'[156]VENTAS TOTALES'!$D41</f>
        <v>358</v>
      </c>
      <c r="BI259" s="156">
        <f>+'[156]VENTAS TOTALES'!$E41</f>
        <v>175000</v>
      </c>
      <c r="BJ259" s="156">
        <f>+'[156]VENTAS TOTALES'!$F41</f>
        <v>783600</v>
      </c>
      <c r="BK259" s="117">
        <f>+'[157]VENTAS TOTALES'!$D41</f>
        <v>2793</v>
      </c>
      <c r="BL259" s="156">
        <f>+'[157]VENTAS TOTALES'!$E41</f>
        <v>1353350</v>
      </c>
      <c r="BM259" s="156">
        <f>+'[157]VENTAS TOTALES'!$F41</f>
        <v>6101450</v>
      </c>
      <c r="BN259" s="117">
        <f>+'[158]VENTAS TOTALES'!$D41</f>
        <v>2339</v>
      </c>
      <c r="BO259" s="156">
        <f>+'[158]VENTAS TOTALES'!$E41</f>
        <v>973900</v>
      </c>
      <c r="BP259" s="156">
        <f>+'[158]VENTAS TOTALES'!$F41</f>
        <v>4950200</v>
      </c>
      <c r="BQ259" s="117">
        <f>+'[159]VENTAS TOTALES'!$D41</f>
        <v>2223</v>
      </c>
      <c r="BR259" s="156">
        <f>+'[159]VENTAS TOTALES'!$E41</f>
        <v>923100</v>
      </c>
      <c r="BS259" s="156">
        <f>+'[159]VENTAS TOTALES'!$F41</f>
        <v>4702200</v>
      </c>
      <c r="BT259" s="117">
        <f>+'[160]VENTAS TOTALES'!$D41</f>
        <v>2286</v>
      </c>
      <c r="BU259" s="156">
        <f>+'[160]VENTAS TOTALES'!$E41</f>
        <v>917200</v>
      </c>
      <c r="BV259" s="156">
        <f>+'[160]VENTAS TOTALES'!$F41</f>
        <v>4803400</v>
      </c>
      <c r="BW259" s="117">
        <f>+'[161]VENTAS TOTALES'!$D41</f>
        <v>2108</v>
      </c>
      <c r="BX259" s="156">
        <f>+'[161]VENTAS TOTALES'!$E41</f>
        <v>1102000</v>
      </c>
      <c r="BY259" s="156">
        <f>+'[161]VENTAS TOTALES'!$F41</f>
        <v>4685600</v>
      </c>
      <c r="BZ259" s="117">
        <f>+'[162]VENTAS TOTALES'!$D41</f>
        <v>1433</v>
      </c>
      <c r="CA259" s="156">
        <f>+'[162]VENTAS TOTALES'!$E41</f>
        <v>673350</v>
      </c>
      <c r="CB259" s="156">
        <f>+'[162]VENTAS TOTALES'!$F41</f>
        <v>3109450</v>
      </c>
      <c r="CC259" s="117">
        <f>+'[163]VENTAS TOTALES'!$D41</f>
        <v>314</v>
      </c>
      <c r="CD259" s="156">
        <f>+'[163]VENTAS TOTALES'!$E41</f>
        <v>178500</v>
      </c>
      <c r="CE259" s="156">
        <f>+'[163]VENTAS TOTALES'!$F41</f>
        <v>712300</v>
      </c>
      <c r="CF259" s="117">
        <f>+'[164]VENTAS TOTALES'!$D41</f>
        <v>3281</v>
      </c>
      <c r="CG259" s="156">
        <f>+'[164]VENTAS TOTALES'!$E41</f>
        <v>2423750</v>
      </c>
      <c r="CH259" s="156">
        <f>+'[164]VENTAS TOTALES'!$F41</f>
        <v>8001450</v>
      </c>
      <c r="CI259" s="117">
        <f>+'[165]VENTAS TOTALES'!$D41</f>
        <v>3123</v>
      </c>
      <c r="CJ259" s="156">
        <f>+'[165]VENTAS TOTALES'!$E41</f>
        <v>2140000</v>
      </c>
      <c r="CK259" s="156">
        <f>+'[165]VENTAS TOTALES'!$F41</f>
        <v>7449100</v>
      </c>
      <c r="CL259" s="117">
        <f>+'[166]VENTAS TOTALES'!$D41</f>
        <v>2862</v>
      </c>
      <c r="CM259" s="156">
        <f>+'[166]VENTAS TOTALES'!$E41</f>
        <v>1534650</v>
      </c>
      <c r="CN259" s="156">
        <f>+'[166]VENTAS TOTALES'!$F41</f>
        <v>6400050</v>
      </c>
      <c r="CO259" s="117">
        <f>+'[167]VENTAS TOTALES'!$D41</f>
        <v>2452</v>
      </c>
      <c r="CP259" s="156">
        <f>+'[167]VENTAS TOTALES'!$E41</f>
        <v>1169000</v>
      </c>
      <c r="CQ259" s="156">
        <f>+'[167]VENTAS TOTALES'!$F41</f>
        <v>5337400</v>
      </c>
      <c r="CR259" s="117">
        <f>+'[168]VENTAS TOTALES'!$D41</f>
        <v>2270</v>
      </c>
      <c r="CS259" s="156">
        <f>+'[168]VENTAS TOTALES'!$E41</f>
        <v>859950</v>
      </c>
      <c r="CT259" s="156">
        <f>+'[168]VENTAS TOTALES'!$F41</f>
        <v>4718950</v>
      </c>
      <c r="CU259" s="117">
        <f>+'[169]VENTAS TOTALES'!$D41</f>
        <v>1527</v>
      </c>
      <c r="CV259" s="156">
        <f>+'[169]VENTAS TOTALES'!$E41</f>
        <v>627900</v>
      </c>
      <c r="CW259" s="156">
        <f>+'[169]VENTAS TOTALES'!$F41</f>
        <v>3223800</v>
      </c>
      <c r="CX259" s="117">
        <f>+'[170]VENTAS TOTALES'!$D41</f>
        <v>320</v>
      </c>
      <c r="CY259" s="156">
        <f>+'[170]VENTAS TOTALES'!$E41</f>
        <v>58100</v>
      </c>
      <c r="CZ259" s="156">
        <f>+'[170]VENTAS TOTALES'!$F41</f>
        <v>602100</v>
      </c>
    </row>
    <row r="260" spans="1:104" s="10" customFormat="1" x14ac:dyDescent="0.2">
      <c r="A260" s="471"/>
      <c r="B260" s="54" t="s">
        <v>235</v>
      </c>
      <c r="C260" s="165">
        <f>+'[137]VENTAS TOTALES'!$D42</f>
        <v>2061</v>
      </c>
      <c r="D260" s="170">
        <f>+'[137]VENTAS TOTALES'!$E42</f>
        <v>884800</v>
      </c>
      <c r="E260" s="171">
        <f>+'[137]VENTAS TOTALES'!$F42</f>
        <v>4388500</v>
      </c>
      <c r="F260" s="165">
        <f>+'[138]VENTAS TOTALES'!$D42</f>
        <v>2151</v>
      </c>
      <c r="G260" s="170">
        <f>+'[138]VENTAS TOTALES'!$E42</f>
        <v>583200</v>
      </c>
      <c r="H260" s="171">
        <f>+'[138]VENTAS TOTALES'!$F42</f>
        <v>4239900</v>
      </c>
      <c r="I260" s="165">
        <f>+'[139]VENTAS TOTALES'!$D42</f>
        <v>1594</v>
      </c>
      <c r="J260" s="170">
        <f>+'[139]VENTAS TOTALES'!$E42</f>
        <v>540500</v>
      </c>
      <c r="K260" s="171">
        <f>+'[139]VENTAS TOTALES'!$F42</f>
        <v>3250300</v>
      </c>
      <c r="L260" s="165">
        <f>+'[140]VENTAS TOTALES'!$D42</f>
        <v>1716</v>
      </c>
      <c r="M260" s="170">
        <f>+'[140]VENTAS TOTALES'!$E42</f>
        <v>379500</v>
      </c>
      <c r="N260" s="171">
        <f>+'[140]VENTAS TOTALES'!$F42</f>
        <v>3296700</v>
      </c>
      <c r="O260" s="165">
        <f>+'[141]VENTAS TOTALES'!$D42</f>
        <v>1249</v>
      </c>
      <c r="P260" s="170">
        <f>+'[141]VENTAS TOTALES'!$E42</f>
        <v>346400</v>
      </c>
      <c r="Q260" s="171">
        <f>+'[141]VENTAS TOTALES'!$F42</f>
        <v>2469700</v>
      </c>
      <c r="R260" s="165">
        <f>+'[142]VENTAS TOTALES'!$D42</f>
        <v>526</v>
      </c>
      <c r="S260" s="170">
        <f>+'[142]VENTAS TOTALES'!$E42</f>
        <v>66000</v>
      </c>
      <c r="T260" s="171">
        <f>+'[142]VENTAS TOTALES'!$F42</f>
        <v>960200</v>
      </c>
      <c r="U260" s="165">
        <f>+'[143]VENTAS TOTALES'!$D42</f>
        <v>2117</v>
      </c>
      <c r="V260" s="170">
        <f>+'[143]VENTAS TOTALES'!$E42</f>
        <v>652400</v>
      </c>
      <c r="W260" s="171">
        <f>+'[143]VENTAS TOTALES'!$F42</f>
        <v>4251300</v>
      </c>
      <c r="X260" s="165">
        <f>+'[144]VENTAS TOTALES'!$D42</f>
        <v>1802</v>
      </c>
      <c r="Y260" s="170">
        <f>+'[144]VENTAS TOTALES'!$E42</f>
        <v>585500</v>
      </c>
      <c r="Z260" s="171">
        <f>+'[144]VENTAS TOTALES'!$F42</f>
        <v>3648900</v>
      </c>
      <c r="AA260" s="165">
        <f>+'[145]VENTAS TOTALES'!$D42</f>
        <v>1826</v>
      </c>
      <c r="AB260" s="170">
        <f>+'[145]VENTAS TOTALES'!$E42</f>
        <v>473050</v>
      </c>
      <c r="AC260" s="171">
        <f>+'[145]VENTAS TOTALES'!$F42</f>
        <v>3577250</v>
      </c>
      <c r="AD260" s="165">
        <f>+'[146]VENTAS TOTALES'!$D42</f>
        <v>1877</v>
      </c>
      <c r="AE260" s="170">
        <f>+'[146]VENTAS TOTALES'!$E42</f>
        <v>440900</v>
      </c>
      <c r="AF260" s="171">
        <f>+'[146]VENTAS TOTALES'!$F42</f>
        <v>3631800</v>
      </c>
      <c r="AG260" s="165">
        <f>+'[147]VENTAS TOTALES'!$D42</f>
        <v>1671</v>
      </c>
      <c r="AH260" s="170">
        <f>+'[147]VENTAS TOTALES'!$E42</f>
        <v>396500</v>
      </c>
      <c r="AI260" s="171">
        <f>+'[147]VENTAS TOTALES'!$F42</f>
        <v>3237200</v>
      </c>
      <c r="AJ260" s="165">
        <f>+'[148]VENTAS TOTALES'!$D42</f>
        <v>1219</v>
      </c>
      <c r="AK260" s="170">
        <f>+'[148]VENTAS TOTALES'!$E42</f>
        <v>225000</v>
      </c>
      <c r="AL260" s="171">
        <f>+'[148]VENTAS TOTALES'!$F42</f>
        <v>2297300</v>
      </c>
      <c r="AM260" s="165">
        <f>+'[149]VENTAS TOTALES'!$D42</f>
        <v>429</v>
      </c>
      <c r="AN260" s="170">
        <f>+'[149]VENTAS TOTALES'!$E42</f>
        <v>44900</v>
      </c>
      <c r="AO260" s="171">
        <f>+'[149]VENTAS TOTALES'!$F42</f>
        <v>774200</v>
      </c>
      <c r="AP260" s="165">
        <f>+'[150]VENTAS TOTALES'!$D42</f>
        <v>2088</v>
      </c>
      <c r="AQ260" s="170">
        <f>+'[150]VENTAS TOTALES'!$E42</f>
        <v>751350</v>
      </c>
      <c r="AR260" s="171">
        <f>+'[150]VENTAS TOTALES'!$F42</f>
        <v>4300950</v>
      </c>
      <c r="AS260" s="165">
        <f>+'[151]VENTAS TOTALES'!$D42</f>
        <v>2039</v>
      </c>
      <c r="AT260" s="170">
        <f>+'[151]VENTAS TOTALES'!$E42</f>
        <v>546800</v>
      </c>
      <c r="AU260" s="171">
        <f>+'[151]VENTAS TOTALES'!$F42</f>
        <v>4013100</v>
      </c>
      <c r="AV260" s="165">
        <f>+'[152]VENTAS TOTALES'!$D42</f>
        <v>1953</v>
      </c>
      <c r="AW260" s="170">
        <f>+'[152]VENTAS TOTALES'!$E42</f>
        <v>804600</v>
      </c>
      <c r="AX260" s="171">
        <f>+'[152]VENTAS TOTALES'!$F42</f>
        <v>4124700</v>
      </c>
      <c r="AY260" s="165">
        <f>+'[153]VENTAS TOTALES'!$D42</f>
        <v>1917</v>
      </c>
      <c r="AZ260" s="170">
        <f>+'[153]VENTAS TOTALES'!$E42</f>
        <v>611300</v>
      </c>
      <c r="BA260" s="171">
        <f>+'[153]VENTAS TOTALES'!$F42</f>
        <v>3870200</v>
      </c>
      <c r="BB260" s="165">
        <f>+'[154]VENTAS TOTALES'!$D42</f>
        <v>1708</v>
      </c>
      <c r="BC260" s="170">
        <f>+'[154]VENTAS TOTALES'!$E42</f>
        <v>516400</v>
      </c>
      <c r="BD260" s="171">
        <f>+'[154]VENTAS TOTALES'!$F42</f>
        <v>3420000</v>
      </c>
      <c r="BE260" s="165">
        <f>+'[155]VENTAS TOTALES'!$D42</f>
        <v>1313</v>
      </c>
      <c r="BF260" s="170">
        <f>+'[155]VENTAS TOTALES'!$E42</f>
        <v>243600</v>
      </c>
      <c r="BG260" s="171">
        <f>+'[155]VENTAS TOTALES'!$F42</f>
        <v>2475700</v>
      </c>
      <c r="BH260" s="165">
        <f>+'[156]VENTAS TOTALES'!$D42</f>
        <v>486</v>
      </c>
      <c r="BI260" s="170">
        <f>+'[156]VENTAS TOTALES'!$E42</f>
        <v>85200</v>
      </c>
      <c r="BJ260" s="171">
        <f>+'[156]VENTAS TOTALES'!$F42</f>
        <v>911400</v>
      </c>
      <c r="BK260" s="165">
        <f>+'[157]VENTAS TOTALES'!$D42</f>
        <v>1982</v>
      </c>
      <c r="BL260" s="170">
        <f>+'[157]VENTAS TOTALES'!$E42</f>
        <v>850600</v>
      </c>
      <c r="BM260" s="171">
        <f>+'[157]VENTAS TOTALES'!$F42</f>
        <v>4220000</v>
      </c>
      <c r="BN260" s="165">
        <f>+'[158]VENTAS TOTALES'!$D42</f>
        <v>1868</v>
      </c>
      <c r="BO260" s="170">
        <f>+'[158]VENTAS TOTALES'!$E42</f>
        <v>445800</v>
      </c>
      <c r="BP260" s="171">
        <f>+'[158]VENTAS TOTALES'!$F42</f>
        <v>3621400</v>
      </c>
      <c r="BQ260" s="165">
        <f>+'[159]VENTAS TOTALES'!$D42</f>
        <v>1823</v>
      </c>
      <c r="BR260" s="170">
        <f>+'[159]VENTAS TOTALES'!$E42</f>
        <v>281500</v>
      </c>
      <c r="BS260" s="171">
        <f>+'[159]VENTAS TOTALES'!$F42</f>
        <v>3380600</v>
      </c>
      <c r="BT260" s="165">
        <f>+'[160]VENTAS TOTALES'!$D42</f>
        <v>1589</v>
      </c>
      <c r="BU260" s="170">
        <f>+'[160]VENTAS TOTALES'!$E42</f>
        <v>451900</v>
      </c>
      <c r="BV260" s="171">
        <f>+'[160]VENTAS TOTALES'!$F42</f>
        <v>3153200</v>
      </c>
      <c r="BW260" s="165">
        <f>+'[161]VENTAS TOTALES'!$D42</f>
        <v>1678</v>
      </c>
      <c r="BX260" s="170">
        <f>+'[161]VENTAS TOTALES'!$E42</f>
        <v>325200</v>
      </c>
      <c r="BY260" s="171">
        <f>+'[161]VENTAS TOTALES'!$F42</f>
        <v>3177800</v>
      </c>
      <c r="BZ260" s="165">
        <f>+'[162]VENTAS TOTALES'!$D42</f>
        <v>1229</v>
      </c>
      <c r="CA260" s="170">
        <f>+'[162]VENTAS TOTALES'!$E42</f>
        <v>323000</v>
      </c>
      <c r="CB260" s="171">
        <f>+'[162]VENTAS TOTALES'!$F42</f>
        <v>2412300</v>
      </c>
      <c r="CC260" s="165">
        <f>+'[163]VENTAS TOTALES'!$D42</f>
        <v>488</v>
      </c>
      <c r="CD260" s="170">
        <f>+'[163]VENTAS TOTALES'!$E42</f>
        <v>52100</v>
      </c>
      <c r="CE260" s="171">
        <f>+'[163]VENTAS TOTALES'!$F42</f>
        <v>881700</v>
      </c>
      <c r="CF260" s="165">
        <f>+'[164]VENTAS TOTALES'!$D42</f>
        <v>2062</v>
      </c>
      <c r="CG260" s="170">
        <f>+'[164]VENTAS TOTALES'!$E42</f>
        <v>844200</v>
      </c>
      <c r="CH260" s="171">
        <f>+'[164]VENTAS TOTALES'!$F42</f>
        <v>4349600</v>
      </c>
      <c r="CI260" s="165">
        <f>+'[165]VENTAS TOTALES'!$D42</f>
        <v>2154</v>
      </c>
      <c r="CJ260" s="170">
        <f>+'[165]VENTAS TOTALES'!$E42</f>
        <v>1095150</v>
      </c>
      <c r="CK260" s="171">
        <f>+'[165]VENTAS TOTALES'!$F42</f>
        <v>4756950</v>
      </c>
      <c r="CL260" s="165">
        <f>+'[166]VENTAS TOTALES'!$D42</f>
        <v>2258</v>
      </c>
      <c r="CM260" s="170">
        <f>+'[166]VENTAS TOTALES'!$E42</f>
        <v>799400</v>
      </c>
      <c r="CN260" s="171">
        <f>+'[166]VENTAS TOTALES'!$F42</f>
        <v>4638000</v>
      </c>
      <c r="CO260" s="165">
        <f>+'[167]VENTAS TOTALES'!$D42</f>
        <v>1888</v>
      </c>
      <c r="CP260" s="170">
        <f>+'[167]VENTAS TOTALES'!$E42</f>
        <v>540600</v>
      </c>
      <c r="CQ260" s="171">
        <f>+'[167]VENTAS TOTALES'!$F42</f>
        <v>3750200</v>
      </c>
      <c r="CR260" s="165">
        <f>+'[168]VENTAS TOTALES'!$D42</f>
        <v>1814</v>
      </c>
      <c r="CS260" s="170">
        <f>+'[168]VENTAS TOTALES'!$E42</f>
        <v>505850</v>
      </c>
      <c r="CT260" s="171">
        <f>+'[168]VENTAS TOTALES'!$F42</f>
        <v>3589650</v>
      </c>
      <c r="CU260" s="165">
        <f>+'[169]VENTAS TOTALES'!$D42</f>
        <v>1445</v>
      </c>
      <c r="CV260" s="170">
        <f>+'[169]VENTAS TOTALES'!$E42</f>
        <v>348300</v>
      </c>
      <c r="CW260" s="171">
        <f>+'[169]VENTAS TOTALES'!$F42</f>
        <v>2804800</v>
      </c>
      <c r="CX260" s="165">
        <f>+'[170]VENTAS TOTALES'!$D42</f>
        <v>487</v>
      </c>
      <c r="CY260" s="170">
        <f>+'[170]VENTAS TOTALES'!$E42</f>
        <v>73100</v>
      </c>
      <c r="CZ260" s="171">
        <f>+'[170]VENTAS TOTALES'!$F42</f>
        <v>901000</v>
      </c>
    </row>
    <row r="261" spans="1:104" s="10" customFormat="1" x14ac:dyDescent="0.2">
      <c r="A261" s="471"/>
      <c r="B261" s="54" t="s">
        <v>236</v>
      </c>
      <c r="C261" s="165">
        <f>+'[137]VENTAS TOTALES'!$D43</f>
        <v>5838</v>
      </c>
      <c r="D261" s="170">
        <f>+'[137]VENTAS TOTALES'!$E43</f>
        <v>1988200</v>
      </c>
      <c r="E261" s="171">
        <f>+'[137]VENTAS TOTALES'!$F43</f>
        <v>11912800</v>
      </c>
      <c r="F261" s="165">
        <f>+'[138]VENTAS TOTALES'!$D43</f>
        <v>5678</v>
      </c>
      <c r="G261" s="170">
        <f>+'[138]VENTAS TOTALES'!$E43</f>
        <v>1785000</v>
      </c>
      <c r="H261" s="171">
        <f>+'[138]VENTAS TOTALES'!$F43</f>
        <v>11437600</v>
      </c>
      <c r="I261" s="165">
        <f>+'[139]VENTAS TOTALES'!$D43</f>
        <v>4709</v>
      </c>
      <c r="J261" s="170">
        <f>+'[139]VENTAS TOTALES'!$E43</f>
        <v>1316250</v>
      </c>
      <c r="K261" s="171">
        <f>+'[139]VENTAS TOTALES'!$F43</f>
        <v>9321550</v>
      </c>
      <c r="L261" s="165">
        <f>+'[140]VENTAS TOTALES'!$D43</f>
        <v>4943</v>
      </c>
      <c r="M261" s="170">
        <f>+'[140]VENTAS TOTALES'!$E43</f>
        <v>1112700</v>
      </c>
      <c r="N261" s="171">
        <f>+'[140]VENTAS TOTALES'!$F43</f>
        <v>9515800</v>
      </c>
      <c r="O261" s="165">
        <f>+'[141]VENTAS TOTALES'!$D43</f>
        <v>4022</v>
      </c>
      <c r="P261" s="170">
        <f>+'[141]VENTAS TOTALES'!$E43</f>
        <v>904450</v>
      </c>
      <c r="Q261" s="171">
        <f>+'[141]VENTAS TOTALES'!$F43</f>
        <v>7741850</v>
      </c>
      <c r="R261" s="165">
        <f>+'[142]VENTAS TOTALES'!$D43</f>
        <v>1850</v>
      </c>
      <c r="S261" s="170">
        <f>+'[142]VENTAS TOTALES'!$E43</f>
        <v>545550</v>
      </c>
      <c r="T261" s="171">
        <f>+'[142]VENTAS TOTALES'!$F43</f>
        <v>3690550</v>
      </c>
      <c r="U261" s="165">
        <f>+'[143]VENTAS TOTALES'!$D43</f>
        <v>6066</v>
      </c>
      <c r="V261" s="170">
        <f>+'[143]VENTAS TOTALES'!$E43</f>
        <v>1932600</v>
      </c>
      <c r="W261" s="171">
        <f>+'[143]VENTAS TOTALES'!$F43</f>
        <v>12244800</v>
      </c>
      <c r="X261" s="165">
        <f>+'[144]VENTAS TOTALES'!$D43</f>
        <v>5287</v>
      </c>
      <c r="Y261" s="170">
        <f>+'[144]VENTAS TOTALES'!$E43</f>
        <v>1138800</v>
      </c>
      <c r="Z261" s="171">
        <f>+'[144]VENTAS TOTALES'!$F43</f>
        <v>10126700</v>
      </c>
      <c r="AA261" s="165">
        <f>+'[145]VENTAS TOTALES'!$D43</f>
        <v>5120</v>
      </c>
      <c r="AB261" s="170">
        <f>+'[145]VENTAS TOTALES'!$E43</f>
        <v>1148600</v>
      </c>
      <c r="AC261" s="171">
        <f>+'[145]VENTAS TOTALES'!$F43</f>
        <v>9852600</v>
      </c>
      <c r="AD261" s="165">
        <f>+'[146]VENTAS TOTALES'!$D43</f>
        <v>5079</v>
      </c>
      <c r="AE261" s="170">
        <f>+'[146]VENTAS TOTALES'!$E43</f>
        <v>1303150</v>
      </c>
      <c r="AF261" s="171">
        <f>+'[146]VENTAS TOTALES'!$F43</f>
        <v>9937450</v>
      </c>
      <c r="AG261" s="165">
        <f>+'[147]VENTAS TOTALES'!$D43</f>
        <v>4979</v>
      </c>
      <c r="AH261" s="170">
        <f>+'[147]VENTAS TOTALES'!$E43</f>
        <v>1073700</v>
      </c>
      <c r="AI261" s="171">
        <f>+'[147]VENTAS TOTALES'!$F43</f>
        <v>9538000</v>
      </c>
      <c r="AJ261" s="165">
        <f>+'[148]VENTAS TOTALES'!$D43</f>
        <v>4134</v>
      </c>
      <c r="AK261" s="170">
        <f>+'[148]VENTAS TOTALES'!$E43</f>
        <v>809900</v>
      </c>
      <c r="AL261" s="171">
        <f>+'[148]VENTAS TOTALES'!$F43</f>
        <v>7837700</v>
      </c>
      <c r="AM261" s="165">
        <f>+'[149]VENTAS TOTALES'!$D43</f>
        <v>1868</v>
      </c>
      <c r="AN261" s="170">
        <f>+'[149]VENTAS TOTALES'!$E43</f>
        <v>411300</v>
      </c>
      <c r="AO261" s="171">
        <f>+'[149]VENTAS TOTALES'!$F43</f>
        <v>3586900</v>
      </c>
      <c r="AP261" s="165">
        <f>+'[150]VENTAS TOTALES'!$D43</f>
        <v>6205</v>
      </c>
      <c r="AQ261" s="170">
        <f>+'[150]VENTAS TOTALES'!$E43</f>
        <v>1617250</v>
      </c>
      <c r="AR261" s="171">
        <f>+'[150]VENTAS TOTALES'!$F43</f>
        <v>12165750</v>
      </c>
      <c r="AS261" s="165">
        <f>+'[151]VENTAS TOTALES'!$D43</f>
        <v>5723</v>
      </c>
      <c r="AT261" s="170">
        <f>+'[151]VENTAS TOTALES'!$E43</f>
        <v>1573500</v>
      </c>
      <c r="AU261" s="171">
        <f>+'[151]VENTAS TOTALES'!$F43</f>
        <v>11302600</v>
      </c>
      <c r="AV261" s="165">
        <f>+'[152]VENTAS TOTALES'!$D43</f>
        <v>6124</v>
      </c>
      <c r="AW261" s="170">
        <f>+'[152]VENTAS TOTALES'!$E43</f>
        <v>1756600</v>
      </c>
      <c r="AX261" s="171">
        <f>+'[152]VENTAS TOTALES'!$F43</f>
        <v>12167400</v>
      </c>
      <c r="AY261" s="165">
        <f>+'[153]VENTAS TOTALES'!$D43</f>
        <v>5230</v>
      </c>
      <c r="AZ261" s="170">
        <f>+'[153]VENTAS TOTALES'!$E43</f>
        <v>1486500</v>
      </c>
      <c r="BA261" s="171">
        <f>+'[153]VENTAS TOTALES'!$F43</f>
        <v>10377500</v>
      </c>
      <c r="BB261" s="165">
        <f>+'[154]VENTAS TOTALES'!$D43</f>
        <v>4951</v>
      </c>
      <c r="BC261" s="170">
        <f>+'[154]VENTAS TOTALES'!$E43</f>
        <v>1200200</v>
      </c>
      <c r="BD261" s="171">
        <f>+'[154]VENTAS TOTALES'!$F43</f>
        <v>9616900</v>
      </c>
      <c r="BE261" s="165">
        <f>+'[155]VENTAS TOTALES'!$D43</f>
        <v>4264</v>
      </c>
      <c r="BF261" s="170">
        <f>+'[155]VENTAS TOTALES'!$E43</f>
        <v>771800</v>
      </c>
      <c r="BG261" s="171">
        <f>+'[155]VENTAS TOTALES'!$F43</f>
        <v>8020600</v>
      </c>
      <c r="BH261" s="165">
        <f>+'[156]VENTAS TOTALES'!$D43</f>
        <v>1911</v>
      </c>
      <c r="BI261" s="170">
        <f>+'[156]VENTAS TOTALES'!$E43</f>
        <v>464400</v>
      </c>
      <c r="BJ261" s="171">
        <f>+'[156]VENTAS TOTALES'!$F43</f>
        <v>3713100</v>
      </c>
      <c r="BK261" s="165">
        <f>+'[157]VENTAS TOTALES'!$D43</f>
        <v>6344</v>
      </c>
      <c r="BL261" s="170">
        <f>+'[157]VENTAS TOTALES'!$E43</f>
        <v>1642200</v>
      </c>
      <c r="BM261" s="171">
        <f>+'[157]VENTAS TOTALES'!$F43</f>
        <v>12427000</v>
      </c>
      <c r="BN261" s="165">
        <f>+'[158]VENTAS TOTALES'!$D43</f>
        <v>5148</v>
      </c>
      <c r="BO261" s="170">
        <f>+'[158]VENTAS TOTALES'!$E43</f>
        <v>1248400</v>
      </c>
      <c r="BP261" s="171">
        <f>+'[158]VENTAS TOTALES'!$F43</f>
        <v>10000000</v>
      </c>
      <c r="BQ261" s="165">
        <f>+'[159]VENTAS TOTALES'!$D43</f>
        <v>5044</v>
      </c>
      <c r="BR261" s="170">
        <f>+'[159]VENTAS TOTALES'!$E43</f>
        <v>1120500</v>
      </c>
      <c r="BS261" s="171">
        <f>+'[159]VENTAS TOTALES'!$F43</f>
        <v>9695300</v>
      </c>
      <c r="BT261" s="165">
        <f>+'[160]VENTAS TOTALES'!$D43</f>
        <v>4869</v>
      </c>
      <c r="BU261" s="170">
        <f>+'[160]VENTAS TOTALES'!$E43</f>
        <v>1160900</v>
      </c>
      <c r="BV261" s="171">
        <f>+'[160]VENTAS TOTALES'!$F43</f>
        <v>9438200</v>
      </c>
      <c r="BW261" s="165">
        <f>+'[161]VENTAS TOTALES'!$D43</f>
        <v>4932</v>
      </c>
      <c r="BX261" s="170">
        <f>+'[161]VENTAS TOTALES'!$E43</f>
        <v>944700</v>
      </c>
      <c r="BY261" s="171">
        <f>+'[161]VENTAS TOTALES'!$F43</f>
        <v>9329100</v>
      </c>
      <c r="BZ261" s="165">
        <f>+'[162]VENTAS TOTALES'!$D43</f>
        <v>4162</v>
      </c>
      <c r="CA261" s="170">
        <f>+'[162]VENTAS TOTALES'!$E43</f>
        <v>761300</v>
      </c>
      <c r="CB261" s="171">
        <f>+'[162]VENTAS TOTALES'!$F43</f>
        <v>7836700</v>
      </c>
      <c r="CC261" s="165">
        <f>+'[163]VENTAS TOTALES'!$D43</f>
        <v>1939</v>
      </c>
      <c r="CD261" s="170">
        <f>+'[163]VENTAS TOTALES'!$E43</f>
        <v>278300</v>
      </c>
      <c r="CE261" s="171">
        <f>+'[163]VENTAS TOTALES'!$F43</f>
        <v>3574600</v>
      </c>
      <c r="CF261" s="165">
        <f>+'[164]VENTAS TOTALES'!$D43</f>
        <v>6682</v>
      </c>
      <c r="CG261" s="170">
        <f>+'[164]VENTAS TOTALES'!$E43</f>
        <v>2221300</v>
      </c>
      <c r="CH261" s="171">
        <f>+'[164]VENTAS TOTALES'!$F43</f>
        <v>13580700</v>
      </c>
      <c r="CI261" s="165">
        <f>+'[165]VENTAS TOTALES'!$D43</f>
        <v>6159</v>
      </c>
      <c r="CJ261" s="170">
        <f>+'[165]VENTAS TOTALES'!$E43</f>
        <v>2480800</v>
      </c>
      <c r="CK261" s="171">
        <f>+'[165]VENTAS TOTALES'!$F43</f>
        <v>12951100</v>
      </c>
      <c r="CL261" s="165">
        <f>+'[166]VENTAS TOTALES'!$D43</f>
        <v>5951</v>
      </c>
      <c r="CM261" s="170">
        <f>+'[166]VENTAS TOTALES'!$E43</f>
        <v>2063800</v>
      </c>
      <c r="CN261" s="171">
        <f>+'[166]VENTAS TOTALES'!$F43</f>
        <v>12180500</v>
      </c>
      <c r="CO261" s="165">
        <f>+'[167]VENTAS TOTALES'!$D43</f>
        <v>5165</v>
      </c>
      <c r="CP261" s="170">
        <f>+'[167]VENTAS TOTALES'!$E43</f>
        <v>1544400</v>
      </c>
      <c r="CQ261" s="171">
        <f>+'[167]VENTAS TOTALES'!$F43</f>
        <v>10324900</v>
      </c>
      <c r="CR261" s="165">
        <f>+'[168]VENTAS TOTALES'!$D43</f>
        <v>5144</v>
      </c>
      <c r="CS261" s="170">
        <f>+'[168]VENTAS TOTALES'!$E43</f>
        <v>1065500</v>
      </c>
      <c r="CT261" s="171">
        <f>+'[168]VENTAS TOTALES'!$F43</f>
        <v>9810300</v>
      </c>
      <c r="CU261" s="165">
        <f>+'[169]VENTAS TOTALES'!$D43</f>
        <v>4273</v>
      </c>
      <c r="CV261" s="170">
        <f>+'[169]VENTAS TOTALES'!$E43</f>
        <v>1131800</v>
      </c>
      <c r="CW261" s="171">
        <f>+'[169]VENTAS TOTALES'!$F43</f>
        <v>8395900</v>
      </c>
      <c r="CX261" s="165">
        <f>+'[170]VENTAS TOTALES'!$D43</f>
        <v>1790</v>
      </c>
      <c r="CY261" s="170">
        <f>+'[170]VENTAS TOTALES'!$E43</f>
        <v>415100</v>
      </c>
      <c r="CZ261" s="171">
        <f>+'[170]VENTAS TOTALES'!$F43</f>
        <v>3458100</v>
      </c>
    </row>
    <row r="262" spans="1:104" s="10" customFormat="1" x14ac:dyDescent="0.2">
      <c r="A262" s="471"/>
      <c r="B262" s="53" t="s">
        <v>234</v>
      </c>
      <c r="C262" s="165">
        <f>+'[137]VENTAS TOTALES'!$D44</f>
        <v>6078</v>
      </c>
      <c r="D262" s="170">
        <f>+'[137]VENTAS TOTALES'!$E44</f>
        <v>2666600</v>
      </c>
      <c r="E262" s="171">
        <f>+'[137]VENTAS TOTALES'!$F44</f>
        <v>12999200</v>
      </c>
      <c r="F262" s="165">
        <f>+'[138]VENTAS TOTALES'!$D44</f>
        <v>5697</v>
      </c>
      <c r="G262" s="170">
        <f>+'[138]VENTAS TOTALES'!$E44</f>
        <v>1919850</v>
      </c>
      <c r="H262" s="171">
        <f>+'[138]VENTAS TOTALES'!$F44</f>
        <v>11604750</v>
      </c>
      <c r="I262" s="165">
        <f>+'[139]VENTAS TOTALES'!$D44</f>
        <v>4722</v>
      </c>
      <c r="J262" s="170">
        <f>+'[139]VENTAS TOTALES'!$E44</f>
        <v>1233300</v>
      </c>
      <c r="K262" s="171">
        <f>+'[139]VENTAS TOTALES'!$F44</f>
        <v>9260700</v>
      </c>
      <c r="L262" s="165">
        <f>+'[140]VENTAS TOTALES'!$D44</f>
        <v>4969</v>
      </c>
      <c r="M262" s="170">
        <f>+'[140]VENTAS TOTALES'!$E44</f>
        <v>1223500</v>
      </c>
      <c r="N262" s="171">
        <f>+'[140]VENTAS TOTALES'!$F44</f>
        <v>9670800</v>
      </c>
      <c r="O262" s="165">
        <f>+'[141]VENTAS TOTALES'!$D44</f>
        <v>4052</v>
      </c>
      <c r="P262" s="170">
        <f>+'[141]VENTAS TOTALES'!$E44</f>
        <v>835000</v>
      </c>
      <c r="Q262" s="171">
        <f>+'[141]VENTAS TOTALES'!$F44</f>
        <v>7723400</v>
      </c>
      <c r="R262" s="165">
        <f>+'[142]VENTAS TOTALES'!$D44</f>
        <v>2304</v>
      </c>
      <c r="S262" s="170">
        <f>+'[142]VENTAS TOTALES'!$E44</f>
        <v>602100</v>
      </c>
      <c r="T262" s="171">
        <f>+'[142]VENTAS TOTALES'!$F44</f>
        <v>4518900</v>
      </c>
      <c r="U262" s="165">
        <f>+'[143]VENTAS TOTALES'!$D44</f>
        <v>6254</v>
      </c>
      <c r="V262" s="170">
        <f>+'[143]VENTAS TOTALES'!$E44</f>
        <v>1974600</v>
      </c>
      <c r="W262" s="171">
        <f>+'[143]VENTAS TOTALES'!$F44</f>
        <v>12606400</v>
      </c>
      <c r="X262" s="165">
        <f>+'[144]VENTAS TOTALES'!$D44</f>
        <v>5408</v>
      </c>
      <c r="Y262" s="170">
        <f>+'[144]VENTAS TOTALES'!$E44</f>
        <v>1140850</v>
      </c>
      <c r="Z262" s="171">
        <f>+'[144]VENTAS TOTALES'!$F44</f>
        <v>10334450</v>
      </c>
      <c r="AA262" s="165">
        <f>+'[145]VENTAS TOTALES'!$D44</f>
        <v>5106</v>
      </c>
      <c r="AB262" s="170">
        <f>+'[145]VENTAS TOTALES'!$E44</f>
        <v>1443900</v>
      </c>
      <c r="AC262" s="171">
        <f>+'[145]VENTAS TOTALES'!$F44</f>
        <v>10124100</v>
      </c>
      <c r="AD262" s="165">
        <f>+'[146]VENTAS TOTALES'!$D44</f>
        <v>5204</v>
      </c>
      <c r="AE262" s="170">
        <f>+'[146]VENTAS TOTALES'!$E44</f>
        <v>1251800</v>
      </c>
      <c r="AF262" s="171">
        <f>+'[146]VENTAS TOTALES'!$F44</f>
        <v>10098600</v>
      </c>
      <c r="AG262" s="165">
        <f>+'[147]VENTAS TOTALES'!$D44</f>
        <v>4952</v>
      </c>
      <c r="AH262" s="170">
        <f>+'[147]VENTAS TOTALES'!$E44</f>
        <v>1226700</v>
      </c>
      <c r="AI262" s="171">
        <f>+'[147]VENTAS TOTALES'!$F44</f>
        <v>9645100</v>
      </c>
      <c r="AJ262" s="165">
        <f>+'[148]VENTAS TOTALES'!$D44</f>
        <v>4264</v>
      </c>
      <c r="AK262" s="170">
        <f>+'[148]VENTAS TOTALES'!$E44</f>
        <v>773600</v>
      </c>
      <c r="AL262" s="171">
        <f>+'[148]VENTAS TOTALES'!$F44</f>
        <v>8022400</v>
      </c>
      <c r="AM262" s="165">
        <f>+'[149]VENTAS TOTALES'!$D44</f>
        <v>2027</v>
      </c>
      <c r="AN262" s="170">
        <f>+'[149]VENTAS TOTALES'!$E44</f>
        <v>321200</v>
      </c>
      <c r="AO262" s="171">
        <f>+'[149]VENTAS TOTALES'!$F44</f>
        <v>3767100</v>
      </c>
      <c r="AP262" s="165">
        <f>+'[150]VENTAS TOTALES'!$D44</f>
        <v>6211</v>
      </c>
      <c r="AQ262" s="170">
        <f>+'[150]VENTAS TOTALES'!$E44</f>
        <v>2121650</v>
      </c>
      <c r="AR262" s="171">
        <f>+'[150]VENTAS TOTALES'!$F44</f>
        <v>12680350</v>
      </c>
      <c r="AS262" s="165">
        <f>+'[151]VENTAS TOTALES'!$D44</f>
        <v>5441</v>
      </c>
      <c r="AT262" s="170">
        <f>+'[151]VENTAS TOTALES'!$E44</f>
        <v>1843700</v>
      </c>
      <c r="AU262" s="171">
        <f>+'[151]VENTAS TOTALES'!$F44</f>
        <v>11093400</v>
      </c>
      <c r="AV262" s="165">
        <f>+'[152]VENTAS TOTALES'!$D44</f>
        <v>5400</v>
      </c>
      <c r="AW262" s="170">
        <f>+'[152]VENTAS TOTALES'!$E44</f>
        <v>2040800</v>
      </c>
      <c r="AX262" s="171">
        <f>+'[152]VENTAS TOTALES'!$F44</f>
        <v>11220800</v>
      </c>
      <c r="AY262" s="165">
        <f>+'[153]VENTAS TOTALES'!$D44</f>
        <v>5054</v>
      </c>
      <c r="AZ262" s="170">
        <f>+'[153]VENTAS TOTALES'!$E44</f>
        <v>1557400</v>
      </c>
      <c r="BA262" s="171">
        <f>+'[153]VENTAS TOTALES'!$F44</f>
        <v>10149200</v>
      </c>
      <c r="BB262" s="165">
        <f>+'[154]VENTAS TOTALES'!$D44</f>
        <v>5009</v>
      </c>
      <c r="BC262" s="170">
        <f>+'[154]VENTAS TOTALES'!$E44</f>
        <v>1060900</v>
      </c>
      <c r="BD262" s="171">
        <f>+'[154]VENTAS TOTALES'!$F44</f>
        <v>9576200</v>
      </c>
      <c r="BE262" s="165">
        <f>+'[155]VENTAS TOTALES'!$D44</f>
        <v>4212</v>
      </c>
      <c r="BF262" s="170">
        <f>+'[155]VENTAS TOTALES'!$E44</f>
        <v>843200</v>
      </c>
      <c r="BG262" s="171">
        <f>+'[155]VENTAS TOTALES'!$F44</f>
        <v>8003600</v>
      </c>
      <c r="BH262" s="165">
        <f>+'[156]VENTAS TOTALES'!$D44</f>
        <v>2224</v>
      </c>
      <c r="BI262" s="170">
        <f>+'[156]VENTAS TOTALES'!$E44</f>
        <v>550200</v>
      </c>
      <c r="BJ262" s="171">
        <f>+'[156]VENTAS TOTALES'!$F44</f>
        <v>4331000</v>
      </c>
      <c r="BK262" s="165">
        <f>+'[157]VENTAS TOTALES'!$D44</f>
        <v>6386</v>
      </c>
      <c r="BL262" s="170">
        <f>+'[157]VENTAS TOTALES'!$E44</f>
        <v>2117750</v>
      </c>
      <c r="BM262" s="171">
        <f>+'[157]VENTAS TOTALES'!$F44</f>
        <v>12973950</v>
      </c>
      <c r="BN262" s="165">
        <f>+'[158]VENTAS TOTALES'!$D44</f>
        <v>5194</v>
      </c>
      <c r="BO262" s="170">
        <f>+'[158]VENTAS TOTALES'!$E44</f>
        <v>1264000</v>
      </c>
      <c r="BP262" s="171">
        <f>+'[158]VENTAS TOTALES'!$F44</f>
        <v>10093800</v>
      </c>
      <c r="BQ262" s="165">
        <f>+'[159]VENTAS TOTALES'!$D44</f>
        <v>5195</v>
      </c>
      <c r="BR262" s="170">
        <f>+'[159]VENTAS TOTALES'!$E44</f>
        <v>1316200</v>
      </c>
      <c r="BS262" s="171">
        <f>+'[159]VENTAS TOTALES'!$F44</f>
        <v>10147700</v>
      </c>
      <c r="BT262" s="165">
        <f>+'[160]VENTAS TOTALES'!$D44</f>
        <v>4893</v>
      </c>
      <c r="BU262" s="170">
        <f>+'[160]VENTAS TOTALES'!$E44</f>
        <v>1217250</v>
      </c>
      <c r="BV262" s="171">
        <f>+'[160]VENTAS TOTALES'!$F44</f>
        <v>9535350</v>
      </c>
      <c r="BW262" s="165">
        <f>+'[161]VENTAS TOTALES'!$D44</f>
        <v>5050</v>
      </c>
      <c r="BX262" s="170">
        <f>+'[161]VENTAS TOTALES'!$E44</f>
        <v>1085900</v>
      </c>
      <c r="BY262" s="171">
        <f>+'[161]VENTAS TOTALES'!$F44</f>
        <v>9670900</v>
      </c>
      <c r="BZ262" s="165">
        <f>+'[162]VENTAS TOTALES'!$D44</f>
        <v>4327</v>
      </c>
      <c r="CA262" s="170">
        <f>+'[162]VENTAS TOTALES'!$E44</f>
        <v>1135000</v>
      </c>
      <c r="CB262" s="171">
        <f>+'[162]VENTAS TOTALES'!$F44</f>
        <v>8490900</v>
      </c>
      <c r="CC262" s="165">
        <f>+'[163]VENTAS TOTALES'!$D44</f>
        <v>2309</v>
      </c>
      <c r="CD262" s="170">
        <f>+'[163]VENTAS TOTALES'!$E44</f>
        <v>908500</v>
      </c>
      <c r="CE262" s="171">
        <f>+'[163]VENTAS TOTALES'!$F44</f>
        <v>4833800</v>
      </c>
      <c r="CF262" s="165">
        <f>+'[164]VENTAS TOTALES'!$D44</f>
        <v>6505</v>
      </c>
      <c r="CG262" s="170">
        <f>+'[164]VENTAS TOTALES'!$E44</f>
        <v>2708950</v>
      </c>
      <c r="CH262" s="171">
        <f>+'[164]VENTAS TOTALES'!$F44</f>
        <v>13767450</v>
      </c>
      <c r="CI262" s="165">
        <f>+'[165]VENTAS TOTALES'!$D44</f>
        <v>6357</v>
      </c>
      <c r="CJ262" s="170">
        <f>+'[165]VENTAS TOTALES'!$E44</f>
        <v>1960400</v>
      </c>
      <c r="CK262" s="171">
        <f>+'[165]VENTAS TOTALES'!$F44</f>
        <v>12767300</v>
      </c>
      <c r="CL262" s="165">
        <f>+'[166]VENTAS TOTALES'!$D44</f>
        <v>5679</v>
      </c>
      <c r="CM262" s="170">
        <f>+'[166]VENTAS TOTALES'!$E44</f>
        <v>2024950</v>
      </c>
      <c r="CN262" s="171">
        <f>+'[166]VENTAS TOTALES'!$F44</f>
        <v>11679250</v>
      </c>
      <c r="CO262" s="165">
        <f>+'[167]VENTAS TOTALES'!$D44</f>
        <v>5537</v>
      </c>
      <c r="CP262" s="170">
        <f>+'[167]VENTAS TOTALES'!$E44</f>
        <v>1157350</v>
      </c>
      <c r="CQ262" s="171">
        <f>+'[167]VENTAS TOTALES'!$F44</f>
        <v>10570250</v>
      </c>
      <c r="CR262" s="165">
        <f>+'[168]VENTAS TOTALES'!$D44</f>
        <v>4939</v>
      </c>
      <c r="CS262" s="170">
        <f>+'[168]VENTAS TOTALES'!$E44</f>
        <v>1235500</v>
      </c>
      <c r="CT262" s="171">
        <f>+'[168]VENTAS TOTALES'!$F44</f>
        <v>9631800</v>
      </c>
      <c r="CU262" s="165">
        <f>+'[169]VENTAS TOTALES'!$D44</f>
        <v>4553</v>
      </c>
      <c r="CV262" s="170">
        <f>+'[169]VENTAS TOTALES'!$E44</f>
        <v>1119650</v>
      </c>
      <c r="CW262" s="171">
        <f>+'[169]VENTAS TOTALES'!$F44</f>
        <v>8859750</v>
      </c>
      <c r="CX262" s="165">
        <f>+'[170]VENTAS TOTALES'!$D44</f>
        <v>2189</v>
      </c>
      <c r="CY262" s="170">
        <f>+'[170]VENTAS TOTALES'!$E44</f>
        <v>640100</v>
      </c>
      <c r="CZ262" s="171">
        <f>+'[170]VENTAS TOTALES'!$F44</f>
        <v>4361400</v>
      </c>
    </row>
    <row r="263" spans="1:104" s="10" customFormat="1" x14ac:dyDescent="0.2">
      <c r="A263" s="471"/>
      <c r="B263" s="53" t="s">
        <v>238</v>
      </c>
      <c r="C263" s="165">
        <f>+'[137]VENTAS TOTALES'!$D45</f>
        <v>6794</v>
      </c>
      <c r="D263" s="170">
        <f>+'[137]VENTAS TOTALES'!$E45</f>
        <v>2619300</v>
      </c>
      <c r="E263" s="171">
        <f>+'[137]VENTAS TOTALES'!$F45</f>
        <v>14169100</v>
      </c>
      <c r="F263" s="165">
        <f>+'[138]VENTAS TOTALES'!$D45</f>
        <v>6416</v>
      </c>
      <c r="G263" s="170">
        <f>+'[138]VENTAS TOTALES'!$E45</f>
        <v>2303000</v>
      </c>
      <c r="H263" s="171">
        <f>+'[138]VENTAS TOTALES'!$F45</f>
        <v>13210200</v>
      </c>
      <c r="I263" s="165">
        <f>+'[139]VENTAS TOTALES'!$D45</f>
        <v>5406</v>
      </c>
      <c r="J263" s="170">
        <f>+'[139]VENTAS TOTALES'!$E45</f>
        <v>1271650</v>
      </c>
      <c r="K263" s="171">
        <f>+'[139]VENTAS TOTALES'!$F45</f>
        <v>10461850</v>
      </c>
      <c r="L263" s="165">
        <f>+'[140]VENTAS TOTALES'!$D45</f>
        <v>5359</v>
      </c>
      <c r="M263" s="170">
        <f>+'[140]VENTAS TOTALES'!$E45</f>
        <v>1055300</v>
      </c>
      <c r="N263" s="171">
        <f>+'[140]VENTAS TOTALES'!$F45</f>
        <v>10165600</v>
      </c>
      <c r="O263" s="165">
        <f>+'[141]VENTAS TOTALES'!$D45</f>
        <v>4140</v>
      </c>
      <c r="P263" s="170">
        <f>+'[141]VENTAS TOTALES'!$E45</f>
        <v>1041250</v>
      </c>
      <c r="Q263" s="171">
        <f>+'[141]VENTAS TOTALES'!$F45</f>
        <v>8079250</v>
      </c>
      <c r="R263" s="165">
        <f>+'[142]VENTAS TOTALES'!$D45</f>
        <v>2026</v>
      </c>
      <c r="S263" s="170">
        <f>+'[142]VENTAS TOTALES'!$E45</f>
        <v>478400</v>
      </c>
      <c r="T263" s="171">
        <f>+'[142]VENTAS TOTALES'!$F45</f>
        <v>3922600</v>
      </c>
      <c r="U263" s="165">
        <f>+'[143]VENTAS TOTALES'!$D45</f>
        <v>7161</v>
      </c>
      <c r="V263" s="170">
        <f>+'[143]VENTAS TOTALES'!$E45</f>
        <v>2270800</v>
      </c>
      <c r="W263" s="171">
        <f>+'[143]VENTAS TOTALES'!$F45</f>
        <v>14444500</v>
      </c>
      <c r="X263" s="165">
        <f>+'[144]VENTAS TOTALES'!$D45</f>
        <v>6127</v>
      </c>
      <c r="Y263" s="170">
        <f>+'[144]VENTAS TOTALES'!$E45</f>
        <v>1744800</v>
      </c>
      <c r="Z263" s="171">
        <f>+'[144]VENTAS TOTALES'!$F45</f>
        <v>12160700</v>
      </c>
      <c r="AA263" s="165">
        <f>+'[145]VENTAS TOTALES'!$D45</f>
        <v>5491</v>
      </c>
      <c r="AB263" s="170">
        <f>+'[145]VENTAS TOTALES'!$E45</f>
        <v>1302250</v>
      </c>
      <c r="AC263" s="171">
        <f>+'[145]VENTAS TOTALES'!$F45</f>
        <v>10636950</v>
      </c>
      <c r="AD263" s="165">
        <f>+'[146]VENTAS TOTALES'!$D45</f>
        <v>5464</v>
      </c>
      <c r="AE263" s="170">
        <f>+'[146]VENTAS TOTALES'!$E45</f>
        <v>1458600</v>
      </c>
      <c r="AF263" s="171">
        <f>+'[146]VENTAS TOTALES'!$F45</f>
        <v>10747400</v>
      </c>
      <c r="AG263" s="165">
        <f>+'[147]VENTAS TOTALES'!$D45</f>
        <v>5192</v>
      </c>
      <c r="AH263" s="170">
        <f>+'[147]VENTAS TOTALES'!$E45</f>
        <v>1255250</v>
      </c>
      <c r="AI263" s="171">
        <f>+'[147]VENTAS TOTALES'!$F45</f>
        <v>10081650</v>
      </c>
      <c r="AJ263" s="165">
        <f>+'[148]VENTAS TOTALES'!$D45</f>
        <v>4124</v>
      </c>
      <c r="AK263" s="170">
        <f>+'[148]VENTAS TOTALES'!$E45</f>
        <v>1028600</v>
      </c>
      <c r="AL263" s="171">
        <f>+'[148]VENTAS TOTALES'!$F45</f>
        <v>8039400</v>
      </c>
      <c r="AM263" s="165">
        <f>+'[149]VENTAS TOTALES'!$D45</f>
        <v>1791</v>
      </c>
      <c r="AN263" s="170">
        <f>+'[149]VENTAS TOTALES'!$E45</f>
        <v>450450</v>
      </c>
      <c r="AO263" s="171">
        <f>+'[149]VENTAS TOTALES'!$F45</f>
        <v>3495150</v>
      </c>
      <c r="AP263" s="165">
        <f>+'[150]VENTAS TOTALES'!$D45</f>
        <v>6754</v>
      </c>
      <c r="AQ263" s="170">
        <f>+'[150]VENTAS TOTALES'!$E45</f>
        <v>2195900</v>
      </c>
      <c r="AR263" s="171">
        <f>+'[150]VENTAS TOTALES'!$F45</f>
        <v>13677700</v>
      </c>
      <c r="AS263" s="165">
        <f>+'[151]VENTAS TOTALES'!$D45</f>
        <v>6616</v>
      </c>
      <c r="AT263" s="170">
        <f>+'[151]VENTAS TOTALES'!$E45</f>
        <v>1798801</v>
      </c>
      <c r="AU263" s="171">
        <f>+'[151]VENTAS TOTALES'!$F45</f>
        <v>13046001</v>
      </c>
      <c r="AV263" s="165">
        <f>+'[152]VENTAS TOTALES'!$D45</f>
        <v>6184</v>
      </c>
      <c r="AW263" s="170">
        <f>+'[152]VENTAS TOTALES'!$E45</f>
        <v>1968650</v>
      </c>
      <c r="AX263" s="171">
        <f>+'[152]VENTAS TOTALES'!$F45</f>
        <v>12481450</v>
      </c>
      <c r="AY263" s="165">
        <f>+'[153]VENTAS TOTALES'!$D45</f>
        <v>5704</v>
      </c>
      <c r="AZ263" s="170">
        <f>+'[153]VENTAS TOTALES'!$E45</f>
        <v>1969600</v>
      </c>
      <c r="BA263" s="171">
        <f>+'[153]VENTAS TOTALES'!$F45</f>
        <v>11666400</v>
      </c>
      <c r="BB263" s="165">
        <f>+'[154]VENTAS TOTALES'!$D45</f>
        <v>5322</v>
      </c>
      <c r="BC263" s="170">
        <f>+'[154]VENTAS TOTALES'!$E45</f>
        <v>1647000</v>
      </c>
      <c r="BD263" s="171">
        <f>+'[154]VENTAS TOTALES'!$F45</f>
        <v>10694400</v>
      </c>
      <c r="BE263" s="165">
        <f>+'[155]VENTAS TOTALES'!$D45</f>
        <v>4387</v>
      </c>
      <c r="BF263" s="170">
        <f>+'[155]VENTAS TOTALES'!$E45</f>
        <v>1098000</v>
      </c>
      <c r="BG263" s="171">
        <f>+'[155]VENTAS TOTALES'!$F45</f>
        <v>8555900</v>
      </c>
      <c r="BH263" s="165">
        <f>+'[156]VENTAS TOTALES'!$D45</f>
        <v>1911</v>
      </c>
      <c r="BI263" s="170">
        <f>+'[156]VENTAS TOTALES'!$E45</f>
        <v>508300</v>
      </c>
      <c r="BJ263" s="171">
        <f>+'[156]VENTAS TOTALES'!$F45</f>
        <v>3757000</v>
      </c>
      <c r="BK263" s="165">
        <f>+'[157]VENTAS TOTALES'!$D45</f>
        <v>6862</v>
      </c>
      <c r="BL263" s="170">
        <f>+'[157]VENTAS TOTALES'!$E45</f>
        <v>2172350</v>
      </c>
      <c r="BM263" s="171">
        <f>+'[157]VENTAS TOTALES'!$F45</f>
        <v>13837750</v>
      </c>
      <c r="BN263" s="165">
        <f>+'[158]VENTAS TOTALES'!$D45</f>
        <v>5831</v>
      </c>
      <c r="BO263" s="170">
        <f>+'[158]VENTAS TOTALES'!$E45</f>
        <v>1511650</v>
      </c>
      <c r="BP263" s="171">
        <f>+'[158]VENTAS TOTALES'!$F45</f>
        <v>11424350</v>
      </c>
      <c r="BQ263" s="165">
        <f>+'[159]VENTAS TOTALES'!$D45</f>
        <v>5237</v>
      </c>
      <c r="BR263" s="170">
        <f>+'[159]VENTAS TOTALES'!$E45</f>
        <v>1413800</v>
      </c>
      <c r="BS263" s="171">
        <f>+'[159]VENTAS TOTALES'!$F45</f>
        <v>10316700</v>
      </c>
      <c r="BT263" s="165">
        <f>+'[160]VENTAS TOTALES'!$D45</f>
        <v>5360</v>
      </c>
      <c r="BU263" s="170">
        <f>+'[160]VENTAS TOTALES'!$E45</f>
        <v>1291250</v>
      </c>
      <c r="BV263" s="171">
        <f>+'[160]VENTAS TOTALES'!$F45</f>
        <v>10403250</v>
      </c>
      <c r="BW263" s="165">
        <f>+'[161]VENTAS TOTALES'!$D45</f>
        <v>5242</v>
      </c>
      <c r="BX263" s="170">
        <f>+'[161]VENTAS TOTALES'!$E45</f>
        <v>1177700</v>
      </c>
      <c r="BY263" s="171">
        <f>+'[161]VENTAS TOTALES'!$F45</f>
        <v>10089100</v>
      </c>
      <c r="BZ263" s="165">
        <f>+'[162]VENTAS TOTALES'!$D45</f>
        <v>4417</v>
      </c>
      <c r="CA263" s="170">
        <f>+'[162]VENTAS TOTALES'!$E45</f>
        <v>991000</v>
      </c>
      <c r="CB263" s="171">
        <f>+'[162]VENTAS TOTALES'!$F45</f>
        <v>8499900</v>
      </c>
      <c r="CC263" s="165">
        <f>+'[163]VENTAS TOTALES'!$D45</f>
        <v>2204</v>
      </c>
      <c r="CD263" s="170">
        <f>+'[163]VENTAS TOTALES'!$E45</f>
        <v>728650</v>
      </c>
      <c r="CE263" s="171">
        <f>+'[163]VENTAS TOTALES'!$F45</f>
        <v>4475450</v>
      </c>
      <c r="CF263" s="165">
        <f>+'[164]VENTAS TOTALES'!$D45</f>
        <v>6978</v>
      </c>
      <c r="CG263" s="170">
        <f>+'[164]VENTAS TOTALES'!$E45</f>
        <v>2814650</v>
      </c>
      <c r="CH263" s="171">
        <f>+'[164]VENTAS TOTALES'!$F45</f>
        <v>14677250</v>
      </c>
      <c r="CI263" s="165">
        <f>+'[165]VENTAS TOTALES'!$D45</f>
        <v>6749</v>
      </c>
      <c r="CJ263" s="170">
        <f>+'[165]VENTAS TOTALES'!$E45</f>
        <v>2507950</v>
      </c>
      <c r="CK263" s="171">
        <f>+'[165]VENTAS TOTALES'!$F45</f>
        <v>13981250</v>
      </c>
      <c r="CL263" s="165">
        <f>+'[166]VENTAS TOTALES'!$D45</f>
        <v>6351</v>
      </c>
      <c r="CM263" s="170">
        <f>+'[166]VENTAS TOTALES'!$E45</f>
        <v>1913200</v>
      </c>
      <c r="CN263" s="171">
        <f>+'[166]VENTAS TOTALES'!$F45</f>
        <v>12709900</v>
      </c>
      <c r="CO263" s="165">
        <f>+'[167]VENTAS TOTALES'!$D45</f>
        <v>5670</v>
      </c>
      <c r="CP263" s="170">
        <f>+'[167]VENTAS TOTALES'!$E45</f>
        <v>1659100</v>
      </c>
      <c r="CQ263" s="171">
        <f>+'[167]VENTAS TOTALES'!$F45</f>
        <v>11298100</v>
      </c>
      <c r="CR263" s="165">
        <f>+'[168]VENTAS TOTALES'!$D45</f>
        <v>5457</v>
      </c>
      <c r="CS263" s="170">
        <f>+'[168]VENTAS TOTALES'!$E45</f>
        <v>1341400</v>
      </c>
      <c r="CT263" s="171">
        <f>+'[168]VENTAS TOTALES'!$F45</f>
        <v>10618300</v>
      </c>
      <c r="CU263" s="165">
        <f>+'[169]VENTAS TOTALES'!$D45</f>
        <v>4388</v>
      </c>
      <c r="CV263" s="170">
        <f>+'[169]VENTAS TOTALES'!$E45</f>
        <v>1133800</v>
      </c>
      <c r="CW263" s="171">
        <f>+'[169]VENTAS TOTALES'!$F45</f>
        <v>8593400</v>
      </c>
      <c r="CX263" s="165">
        <f>+'[170]VENTAS TOTALES'!$D45</f>
        <v>1775</v>
      </c>
      <c r="CY263" s="170">
        <f>+'[170]VENTAS TOTALES'!$E45</f>
        <v>412100</v>
      </c>
      <c r="CZ263" s="171">
        <f>+'[170]VENTAS TOTALES'!$F45</f>
        <v>3429600</v>
      </c>
    </row>
    <row r="264" spans="1:104" s="10" customFormat="1" x14ac:dyDescent="0.2">
      <c r="A264" s="471"/>
      <c r="B264" s="53" t="s">
        <v>239</v>
      </c>
      <c r="C264" s="165">
        <f>+'[137]VENTAS TOTALES'!$D46</f>
        <v>3849</v>
      </c>
      <c r="D264" s="170">
        <f>+'[137]VENTAS TOTALES'!$E46</f>
        <v>1465300</v>
      </c>
      <c r="E264" s="171">
        <f>+'[137]VENTAS TOTALES'!$F46</f>
        <v>8008600</v>
      </c>
      <c r="F264" s="165">
        <f>+'[138]VENTAS TOTALES'!$D46</f>
        <v>3559</v>
      </c>
      <c r="G264" s="170">
        <f>+'[138]VENTAS TOTALES'!$E46</f>
        <v>1496400</v>
      </c>
      <c r="H264" s="171">
        <f>+'[138]VENTAS TOTALES'!$F46</f>
        <v>7546700</v>
      </c>
      <c r="I264" s="165">
        <f>+'[139]VENTAS TOTALES'!$D46</f>
        <v>3163</v>
      </c>
      <c r="J264" s="170">
        <f>+'[139]VENTAS TOTALES'!$E46</f>
        <v>962700</v>
      </c>
      <c r="K264" s="171">
        <f>+'[139]VENTAS TOTALES'!$F46</f>
        <v>6339800</v>
      </c>
      <c r="L264" s="165">
        <f>+'[140]VENTAS TOTALES'!$D46</f>
        <v>2876</v>
      </c>
      <c r="M264" s="170">
        <f>+'[140]VENTAS TOTALES'!$E46</f>
        <v>927800</v>
      </c>
      <c r="N264" s="171">
        <f>+'[140]VENTAS TOTALES'!$F46</f>
        <v>5817000</v>
      </c>
      <c r="O264" s="165">
        <f>+'[141]VENTAS TOTALES'!$D46</f>
        <v>2123</v>
      </c>
      <c r="P264" s="170">
        <f>+'[141]VENTAS TOTALES'!$E46</f>
        <v>424200</v>
      </c>
      <c r="Q264" s="171">
        <f>+'[141]VENTAS TOTALES'!$F46</f>
        <v>4033300</v>
      </c>
      <c r="R264" s="165">
        <f>+'[142]VENTAS TOTALES'!$D46</f>
        <v>1246</v>
      </c>
      <c r="S264" s="170">
        <f>+'[142]VENTAS TOTALES'!$E46</f>
        <v>324100</v>
      </c>
      <c r="T264" s="171">
        <f>+'[142]VENTAS TOTALES'!$F46</f>
        <v>2442300</v>
      </c>
      <c r="U264" s="165">
        <f>+'[143]VENTAS TOTALES'!$D46</f>
        <v>4055</v>
      </c>
      <c r="V264" s="170">
        <f>+'[143]VENTAS TOTALES'!$E46</f>
        <v>1354100</v>
      </c>
      <c r="W264" s="171">
        <f>+'[143]VENTAS TOTALES'!$F46</f>
        <v>8247600</v>
      </c>
      <c r="X264" s="165">
        <f>+'[144]VENTAS TOTALES'!$D46</f>
        <v>3537</v>
      </c>
      <c r="Y264" s="170">
        <f>+'[144]VENTAS TOTALES'!$E46</f>
        <v>906500</v>
      </c>
      <c r="Z264" s="171">
        <f>+'[144]VENTAS TOTALES'!$F46</f>
        <v>6919400</v>
      </c>
      <c r="AA264" s="165">
        <f>+'[145]VENTAS TOTALES'!$D46</f>
        <v>3285</v>
      </c>
      <c r="AB264" s="170">
        <f>+'[145]VENTAS TOTALES'!$E46</f>
        <v>745100</v>
      </c>
      <c r="AC264" s="171">
        <f>+'[145]VENTAS TOTALES'!$F46</f>
        <v>6329600</v>
      </c>
      <c r="AD264" s="165">
        <f>+'[146]VENTAS TOTALES'!$D46</f>
        <v>3113</v>
      </c>
      <c r="AE264" s="170">
        <f>+'[146]VENTAS TOTALES'!$E46</f>
        <v>930800</v>
      </c>
      <c r="AF264" s="171">
        <f>+'[146]VENTAS TOTALES'!$F46</f>
        <v>6222900</v>
      </c>
      <c r="AG264" s="165">
        <f>+'[147]VENTAS TOTALES'!$D46</f>
        <v>2788</v>
      </c>
      <c r="AH264" s="170">
        <f>+'[147]VENTAS TOTALES'!$E46</f>
        <v>614100</v>
      </c>
      <c r="AI264" s="171">
        <f>+'[147]VENTAS TOTALES'!$F46</f>
        <v>5353700</v>
      </c>
      <c r="AJ264" s="165">
        <f>+'[148]VENTAS TOTALES'!$D46</f>
        <v>2118</v>
      </c>
      <c r="AK264" s="170">
        <f>+'[148]VENTAS TOTALES'!$E46</f>
        <v>531600</v>
      </c>
      <c r="AL264" s="171">
        <f>+'[148]VENTAS TOTALES'!$F46</f>
        <v>4132200</v>
      </c>
      <c r="AM264" s="165">
        <f>+'[149]VENTAS TOTALES'!$D46</f>
        <v>1042</v>
      </c>
      <c r="AN264" s="170">
        <f>+'[149]VENTAS TOTALES'!$E46</f>
        <v>352050</v>
      </c>
      <c r="AO264" s="171">
        <f>+'[149]VENTAS TOTALES'!$F46</f>
        <v>2123450</v>
      </c>
      <c r="AP264" s="165">
        <f>+'[150]VENTAS TOTALES'!$D46</f>
        <v>4159</v>
      </c>
      <c r="AQ264" s="170">
        <f>+'[150]VENTAS TOTALES'!$E46</f>
        <v>1283700</v>
      </c>
      <c r="AR264" s="171">
        <f>+'[150]VENTAS TOTALES'!$F46</f>
        <v>8354000</v>
      </c>
      <c r="AS264" s="165">
        <f>+'[151]VENTAS TOTALES'!$D46</f>
        <v>3496</v>
      </c>
      <c r="AT264" s="170">
        <f>+'[151]VENTAS TOTALES'!$E46</f>
        <v>1621200</v>
      </c>
      <c r="AU264" s="171">
        <f>+'[151]VENTAS TOTALES'!$F46</f>
        <v>7564400</v>
      </c>
      <c r="AV264" s="165">
        <f>+'[152]VENTAS TOTALES'!$D46</f>
        <v>3404</v>
      </c>
      <c r="AW264" s="170">
        <f>+'[152]VENTAS TOTALES'!$E46</f>
        <v>1243600</v>
      </c>
      <c r="AX264" s="171">
        <f>+'[152]VENTAS TOTALES'!$F46</f>
        <v>7030400</v>
      </c>
      <c r="AY264" s="165">
        <f>+'[153]VENTAS TOTALES'!$D46</f>
        <v>3355</v>
      </c>
      <c r="AZ264" s="170">
        <f>+'[153]VENTAS TOTALES'!$E46</f>
        <v>1091300</v>
      </c>
      <c r="BA264" s="171">
        <f>+'[153]VENTAS TOTALES'!$F46</f>
        <v>6794800</v>
      </c>
      <c r="BB264" s="165">
        <f>+'[154]VENTAS TOTALES'!$D46</f>
        <v>3093</v>
      </c>
      <c r="BC264" s="170">
        <f>+'[154]VENTAS TOTALES'!$E46</f>
        <v>904800</v>
      </c>
      <c r="BD264" s="171">
        <f>+'[154]VENTAS TOTALES'!$F46</f>
        <v>6162900</v>
      </c>
      <c r="BE264" s="165">
        <f>+'[155]VENTAS TOTALES'!$D46</f>
        <v>2297</v>
      </c>
      <c r="BF264" s="170">
        <f>+'[155]VENTAS TOTALES'!$E46</f>
        <v>753400</v>
      </c>
      <c r="BG264" s="171">
        <f>+'[155]VENTAS TOTALES'!$F46</f>
        <v>4658300</v>
      </c>
      <c r="BH264" s="165">
        <f>+'[156]VENTAS TOTALES'!$D46</f>
        <v>1055</v>
      </c>
      <c r="BI264" s="170">
        <f>+'[156]VENTAS TOTALES'!$E46</f>
        <v>291300</v>
      </c>
      <c r="BJ264" s="171">
        <f>+'[156]VENTAS TOTALES'!$F46</f>
        <v>2084800</v>
      </c>
      <c r="BK264" s="165">
        <f>+'[157]VENTAS TOTALES'!$D46</f>
        <v>4248</v>
      </c>
      <c r="BL264" s="170">
        <f>+'[157]VENTAS TOTALES'!$E46</f>
        <v>1336700</v>
      </c>
      <c r="BM264" s="171">
        <f>+'[157]VENTAS TOTALES'!$F46</f>
        <v>8558300</v>
      </c>
      <c r="BN264" s="165">
        <f>+'[158]VENTAS TOTALES'!$D46</f>
        <v>3249</v>
      </c>
      <c r="BO264" s="170">
        <f>+'[158]VENTAS TOTALES'!$E46</f>
        <v>969600</v>
      </c>
      <c r="BP264" s="171">
        <f>+'[158]VENTAS TOTALES'!$F46</f>
        <v>6492900</v>
      </c>
      <c r="BQ264" s="165">
        <f>+'[159]VENTAS TOTALES'!$D46</f>
        <v>3176</v>
      </c>
      <c r="BR264" s="170">
        <f>+'[159]VENTAS TOTALES'!$E46</f>
        <v>723550</v>
      </c>
      <c r="BS264" s="171">
        <f>+'[159]VENTAS TOTALES'!$F46</f>
        <v>6122750</v>
      </c>
      <c r="BT264" s="165">
        <f>+'[160]VENTAS TOTALES'!$D46</f>
        <v>3163</v>
      </c>
      <c r="BU264" s="170">
        <f>+'[160]VENTAS TOTALES'!$E46</f>
        <v>710200</v>
      </c>
      <c r="BV264" s="171">
        <f>+'[160]VENTAS TOTALES'!$F46</f>
        <v>6087300</v>
      </c>
      <c r="BW264" s="165">
        <f>+'[161]VENTAS TOTALES'!$D46</f>
        <v>2818</v>
      </c>
      <c r="BX264" s="170">
        <f>+'[161]VENTAS TOTALES'!$E46</f>
        <v>993900</v>
      </c>
      <c r="BY264" s="171">
        <f>+'[161]VENTAS TOTALES'!$F46</f>
        <v>5784500</v>
      </c>
      <c r="BZ264" s="165">
        <f>+'[162]VENTAS TOTALES'!$D46</f>
        <v>2208</v>
      </c>
      <c r="CA264" s="170">
        <f>+'[162]VENTAS TOTALES'!$E46</f>
        <v>571150</v>
      </c>
      <c r="CB264" s="171">
        <f>+'[162]VENTAS TOTALES'!$F46</f>
        <v>4324750</v>
      </c>
      <c r="CC264" s="165">
        <f>+'[163]VENTAS TOTALES'!$D46</f>
        <v>1231</v>
      </c>
      <c r="CD264" s="170">
        <f>+'[163]VENTAS TOTALES'!$E46</f>
        <v>443600</v>
      </c>
      <c r="CE264" s="171">
        <f>+'[163]VENTAS TOTALES'!$F46</f>
        <v>2536300</v>
      </c>
      <c r="CF264" s="165">
        <f>+'[164]VENTAS TOTALES'!$D46</f>
        <v>4712</v>
      </c>
      <c r="CG264" s="170">
        <f>+'[164]VENTAS TOTALES'!$E46</f>
        <v>2039700</v>
      </c>
      <c r="CH264" s="171">
        <f>+'[164]VENTAS TOTALES'!$F46</f>
        <v>10050100</v>
      </c>
      <c r="CI264" s="165">
        <f>+'[165]VENTAS TOTALES'!$D46</f>
        <v>3900</v>
      </c>
      <c r="CJ264" s="170">
        <f>+'[165]VENTAS TOTALES'!$E46</f>
        <v>1408300</v>
      </c>
      <c r="CK264" s="171">
        <f>+'[165]VENTAS TOTALES'!$F46</f>
        <v>8038300</v>
      </c>
      <c r="CL264" s="165">
        <f>+'[166]VENTAS TOTALES'!$D46</f>
        <v>3767</v>
      </c>
      <c r="CM264" s="170">
        <f>+'[166]VENTAS TOTALES'!$E46</f>
        <v>1293200</v>
      </c>
      <c r="CN264" s="171">
        <f>+'[166]VENTAS TOTALES'!$F46</f>
        <v>7697100</v>
      </c>
      <c r="CO264" s="165">
        <f>+'[167]VENTAS TOTALES'!$D46</f>
        <v>3300</v>
      </c>
      <c r="CP264" s="170">
        <f>+'[167]VENTAS TOTALES'!$E46</f>
        <v>1195500</v>
      </c>
      <c r="CQ264" s="171">
        <f>+'[167]VENTAS TOTALES'!$F46</f>
        <v>6805500</v>
      </c>
      <c r="CR264" s="165">
        <f>+'[168]VENTAS TOTALES'!$D46</f>
        <v>2847</v>
      </c>
      <c r="CS264" s="170">
        <f>+'[168]VENTAS TOTALES'!$E46</f>
        <v>873000</v>
      </c>
      <c r="CT264" s="171">
        <f>+'[168]VENTAS TOTALES'!$F46</f>
        <v>5712900</v>
      </c>
      <c r="CU264" s="165">
        <f>+'[169]VENTAS TOTALES'!$D46</f>
        <v>2456</v>
      </c>
      <c r="CV264" s="170">
        <f>+'[169]VENTAS TOTALES'!$E46</f>
        <v>752200</v>
      </c>
      <c r="CW264" s="171">
        <f>+'[169]VENTAS TOTALES'!$F46</f>
        <v>4927400</v>
      </c>
      <c r="CX264" s="165">
        <f>+'[170]VENTAS TOTALES'!$D46</f>
        <v>935</v>
      </c>
      <c r="CY264" s="170">
        <f>+'[170]VENTAS TOTALES'!$E46</f>
        <v>201350</v>
      </c>
      <c r="CZ264" s="171">
        <f>+'[170]VENTAS TOTALES'!$F46</f>
        <v>1790850</v>
      </c>
    </row>
    <row r="265" spans="1:104" s="10" customFormat="1" x14ac:dyDescent="0.2">
      <c r="A265" s="471"/>
      <c r="B265" s="53" t="s">
        <v>240</v>
      </c>
      <c r="C265" s="165">
        <f>+'[137]VENTAS TOTALES'!$D47</f>
        <v>4255</v>
      </c>
      <c r="D265" s="170">
        <f>+'[137]VENTAS TOTALES'!$E47</f>
        <v>2753600</v>
      </c>
      <c r="E265" s="171">
        <f>+'[137]VENTAS TOTALES'!$F47</f>
        <v>9987100</v>
      </c>
      <c r="F265" s="165">
        <f>+'[138]VENTAS TOTALES'!$D47</f>
        <v>3791</v>
      </c>
      <c r="G265" s="170">
        <f>+'[138]VENTAS TOTALES'!$E47</f>
        <v>2233700</v>
      </c>
      <c r="H265" s="171">
        <f>+'[138]VENTAS TOTALES'!$F47</f>
        <v>8678400</v>
      </c>
      <c r="I265" s="165">
        <f>+'[139]VENTAS TOTALES'!$D47</f>
        <v>3345</v>
      </c>
      <c r="J265" s="170">
        <f>+'[139]VENTAS TOTALES'!$E47</f>
        <v>1541000</v>
      </c>
      <c r="K265" s="171">
        <f>+'[139]VENTAS TOTALES'!$F47</f>
        <v>7227500</v>
      </c>
      <c r="L265" s="165">
        <f>+'[140]VENTAS TOTALES'!$D47</f>
        <v>3554</v>
      </c>
      <c r="M265" s="170">
        <f>+'[140]VENTAS TOTALES'!$E47</f>
        <v>1404200</v>
      </c>
      <c r="N265" s="171">
        <f>+'[140]VENTAS TOTALES'!$F47</f>
        <v>7446000</v>
      </c>
      <c r="O265" s="165">
        <f>+'[141]VENTAS TOTALES'!$D47</f>
        <v>3722</v>
      </c>
      <c r="P265" s="170">
        <f>+'[141]VENTAS TOTALES'!$E47</f>
        <v>1445500</v>
      </c>
      <c r="Q265" s="171">
        <f>+'[141]VENTAS TOTALES'!$F47</f>
        <v>7772900</v>
      </c>
      <c r="R265" s="165">
        <f>+'[142]VENTAS TOTALES'!$D47</f>
        <v>3011</v>
      </c>
      <c r="S265" s="170">
        <f>+'[142]VENTAS TOTALES'!$E47</f>
        <v>1082700</v>
      </c>
      <c r="T265" s="171">
        <f>+'[142]VENTAS TOTALES'!$F47</f>
        <v>6201400</v>
      </c>
      <c r="U265" s="165">
        <f>+'[143]VENTAS TOTALES'!$D47</f>
        <v>3811</v>
      </c>
      <c r="V265" s="170">
        <f>+'[143]VENTAS TOTALES'!$E47</f>
        <v>2415800</v>
      </c>
      <c r="W265" s="171">
        <f>+'[143]VENTAS TOTALES'!$F47</f>
        <v>8894500</v>
      </c>
      <c r="X265" s="165">
        <f>+'[144]VENTAS TOTALES'!$D47</f>
        <v>3286</v>
      </c>
      <c r="Y265" s="170">
        <f>+'[144]VENTAS TOTALES'!$E47</f>
        <v>1507300</v>
      </c>
      <c r="Z265" s="171">
        <f>+'[144]VENTAS TOTALES'!$F47</f>
        <v>7093500</v>
      </c>
      <c r="AA265" s="165">
        <f>+'[145]VENTAS TOTALES'!$D47</f>
        <v>3223</v>
      </c>
      <c r="AB265" s="170">
        <f>+'[145]VENTAS TOTALES'!$E47</f>
        <v>1071700</v>
      </c>
      <c r="AC265" s="171">
        <f>+'[145]VENTAS TOTALES'!$F47</f>
        <v>6550800</v>
      </c>
      <c r="AD265" s="165">
        <f>+'[146]VENTAS TOTALES'!$D47</f>
        <v>3158</v>
      </c>
      <c r="AE265" s="170">
        <f>+'[146]VENTAS TOTALES'!$E47</f>
        <v>1332750</v>
      </c>
      <c r="AF265" s="171">
        <f>+'[146]VENTAS TOTALES'!$F47</f>
        <v>6701350</v>
      </c>
      <c r="AG265" s="165">
        <f>+'[147]VENTAS TOTALES'!$D47</f>
        <v>3173</v>
      </c>
      <c r="AH265" s="170">
        <f>+'[147]VENTAS TOTALES'!$E47</f>
        <v>1160400</v>
      </c>
      <c r="AI265" s="171">
        <f>+'[147]VENTAS TOTALES'!$F47</f>
        <v>6554500</v>
      </c>
      <c r="AJ265" s="165">
        <f>+'[148]VENTAS TOTALES'!$D47</f>
        <v>3825</v>
      </c>
      <c r="AK265" s="170">
        <f>+'[148]VENTAS TOTALES'!$E47</f>
        <v>1144650</v>
      </c>
      <c r="AL265" s="171">
        <f>+'[148]VENTAS TOTALES'!$F47</f>
        <v>7647150</v>
      </c>
      <c r="AM265" s="165">
        <f>+'[149]VENTAS TOTALES'!$D47</f>
        <v>2768</v>
      </c>
      <c r="AN265" s="170">
        <f>+'[149]VENTAS TOTALES'!$E47</f>
        <v>1091200</v>
      </c>
      <c r="AO265" s="171">
        <f>+'[149]VENTAS TOTALES'!$F47</f>
        <v>5796800</v>
      </c>
      <c r="AP265" s="165">
        <f>+'[150]VENTAS TOTALES'!$D47</f>
        <v>3713</v>
      </c>
      <c r="AQ265" s="170">
        <f>+'[150]VENTAS TOTALES'!$E47</f>
        <v>1921900</v>
      </c>
      <c r="AR265" s="171">
        <f>+'[150]VENTAS TOTALES'!$F47</f>
        <v>8234000</v>
      </c>
      <c r="AS265" s="165">
        <f>+'[151]VENTAS TOTALES'!$D47</f>
        <v>3598</v>
      </c>
      <c r="AT265" s="170">
        <f>+'[151]VENTAS TOTALES'!$E47</f>
        <v>2810800</v>
      </c>
      <c r="AU265" s="171">
        <f>+'[151]VENTAS TOTALES'!$F47</f>
        <v>8927400</v>
      </c>
      <c r="AV265" s="165">
        <f>+'[152]VENTAS TOTALES'!$D47</f>
        <v>3885</v>
      </c>
      <c r="AW265" s="170">
        <f>+'[152]VENTAS TOTALES'!$E47</f>
        <v>2038250</v>
      </c>
      <c r="AX265" s="171">
        <f>+'[152]VENTAS TOTALES'!$F47</f>
        <v>8642750</v>
      </c>
      <c r="AY265" s="165">
        <f>+'[153]VENTAS TOTALES'!$D47</f>
        <v>3444</v>
      </c>
      <c r="AZ265" s="170">
        <f>+'[153]VENTAS TOTALES'!$E47</f>
        <v>1965800</v>
      </c>
      <c r="BA265" s="171">
        <f>+'[153]VENTAS TOTALES'!$F47</f>
        <v>7820600</v>
      </c>
      <c r="BB265" s="165">
        <f>+'[154]VENTAS TOTALES'!$D47</f>
        <v>3446</v>
      </c>
      <c r="BC265" s="170">
        <f>+'[154]VENTAS TOTALES'!$E47</f>
        <v>1655450</v>
      </c>
      <c r="BD265" s="171">
        <f>+'[154]VENTAS TOTALES'!$F47</f>
        <v>7513650</v>
      </c>
      <c r="BE265" s="165">
        <f>+'[155]VENTAS TOTALES'!$D47</f>
        <v>3854</v>
      </c>
      <c r="BF265" s="170">
        <f>+'[155]VENTAS TOTALES'!$E47</f>
        <v>1233000</v>
      </c>
      <c r="BG265" s="171">
        <f>+'[155]VENTAS TOTALES'!$F47</f>
        <v>7784800</v>
      </c>
      <c r="BH265" s="165">
        <f>+'[156]VENTAS TOTALES'!$D47</f>
        <v>2705</v>
      </c>
      <c r="BI265" s="170">
        <f>+'[156]VENTAS TOTALES'!$E47</f>
        <v>853050</v>
      </c>
      <c r="BJ265" s="171">
        <f>+'[156]VENTAS TOTALES'!$F47</f>
        <v>5451550</v>
      </c>
      <c r="BK265" s="165">
        <f>+'[157]VENTAS TOTALES'!$D47</f>
        <v>3723</v>
      </c>
      <c r="BL265" s="170">
        <f>+'[157]VENTAS TOTALES'!$E47</f>
        <v>2043750</v>
      </c>
      <c r="BM265" s="171">
        <f>+'[157]VENTAS TOTALES'!$F47</f>
        <v>8372850</v>
      </c>
      <c r="BN265" s="165">
        <f>+'[158]VENTAS TOTALES'!$D47</f>
        <v>3308</v>
      </c>
      <c r="BO265" s="170">
        <f>+'[158]VENTAS TOTALES'!$E47</f>
        <v>1673050</v>
      </c>
      <c r="BP265" s="171">
        <f>+'[158]VENTAS TOTALES'!$F47</f>
        <v>7296650</v>
      </c>
      <c r="BQ265" s="165">
        <f>+'[159]VENTAS TOTALES'!$D47</f>
        <v>3194</v>
      </c>
      <c r="BR265" s="170">
        <f>+'[159]VENTAS TOTALES'!$E47</f>
        <v>1267700</v>
      </c>
      <c r="BS265" s="171">
        <f>+'[159]VENTAS TOTALES'!$F47</f>
        <v>6697500</v>
      </c>
      <c r="BT265" s="165">
        <f>+'[160]VENTAS TOTALES'!$D47</f>
        <v>3075</v>
      </c>
      <c r="BU265" s="170">
        <f>+'[160]VENTAS TOTALES'!$E47</f>
        <v>1191600</v>
      </c>
      <c r="BV265" s="171">
        <f>+'[160]VENTAS TOTALES'!$F47</f>
        <v>6419100</v>
      </c>
      <c r="BW265" s="165">
        <f>+'[161]VENTAS TOTALES'!$D47</f>
        <v>3374</v>
      </c>
      <c r="BX265" s="170">
        <f>+'[161]VENTAS TOTALES'!$E47</f>
        <v>1287050</v>
      </c>
      <c r="BY265" s="171">
        <f>+'[161]VENTAS TOTALES'!$F47</f>
        <v>7022850</v>
      </c>
      <c r="BZ265" s="165">
        <f>+'[162]VENTAS TOTALES'!$D47</f>
        <v>3750</v>
      </c>
      <c r="CA265" s="170">
        <f>+'[162]VENTAS TOTALES'!$E47</f>
        <v>1531200</v>
      </c>
      <c r="CB265" s="171">
        <f>+'[162]VENTAS TOTALES'!$F47</f>
        <v>7906200</v>
      </c>
      <c r="CC265" s="165">
        <f>+'[163]VENTAS TOTALES'!$D47</f>
        <v>3465</v>
      </c>
      <c r="CD265" s="170">
        <f>+'[163]VENTAS TOTALES'!$E47</f>
        <v>1230200</v>
      </c>
      <c r="CE265" s="171">
        <f>+'[163]VENTAS TOTALES'!$F47</f>
        <v>7120700</v>
      </c>
      <c r="CF265" s="165">
        <f>+'[164]VENTAS TOTALES'!$D47</f>
        <v>4362</v>
      </c>
      <c r="CG265" s="170">
        <f>+'[164]VENTAS TOTALES'!$E47</f>
        <v>3294550</v>
      </c>
      <c r="CH265" s="171">
        <f>+'[164]VENTAS TOTALES'!$F47</f>
        <v>10709950</v>
      </c>
      <c r="CI265" s="165">
        <f>+'[165]VENTAS TOTALES'!$D47</f>
        <v>4335</v>
      </c>
      <c r="CJ265" s="170">
        <f>+'[165]VENTAS TOTALES'!$E47</f>
        <v>3168300</v>
      </c>
      <c r="CK265" s="171">
        <f>+'[165]VENTAS TOTALES'!$F47</f>
        <v>10537800</v>
      </c>
      <c r="CL265" s="165">
        <f>+'[166]VENTAS TOTALES'!$D47</f>
        <v>4091</v>
      </c>
      <c r="CM265" s="170">
        <f>+'[166]VENTAS TOTALES'!$E47</f>
        <v>2632800</v>
      </c>
      <c r="CN265" s="171">
        <f>+'[166]VENTAS TOTALES'!$F47</f>
        <v>9587500</v>
      </c>
      <c r="CO265" s="165">
        <f>+'[167]VENTAS TOTALES'!$D47</f>
        <v>3791</v>
      </c>
      <c r="CP265" s="170">
        <f>+'[167]VENTAS TOTALES'!$E47</f>
        <v>2361400</v>
      </c>
      <c r="CQ265" s="171">
        <f>+'[167]VENTAS TOTALES'!$F47</f>
        <v>8806100</v>
      </c>
      <c r="CR265" s="165">
        <f>+'[168]VENTAS TOTALES'!$D47</f>
        <v>3700</v>
      </c>
      <c r="CS265" s="170">
        <f>+'[168]VENTAS TOTALES'!$E47</f>
        <v>1650400</v>
      </c>
      <c r="CT265" s="171">
        <f>+'[168]VENTAS TOTALES'!$F47</f>
        <v>7940400</v>
      </c>
      <c r="CU265" s="165">
        <f>+'[169]VENTAS TOTALES'!$D47</f>
        <v>3921</v>
      </c>
      <c r="CV265" s="170">
        <f>+'[169]VENTAS TOTALES'!$E47</f>
        <v>1269650</v>
      </c>
      <c r="CW265" s="171">
        <f>+'[169]VENTAS TOTALES'!$F47</f>
        <v>7935350</v>
      </c>
      <c r="CX265" s="165">
        <f>+'[170]VENTAS TOTALES'!$D47</f>
        <v>2877</v>
      </c>
      <c r="CY265" s="170">
        <f>+'[170]VENTAS TOTALES'!$E47</f>
        <v>960900</v>
      </c>
      <c r="CZ265" s="171">
        <f>+'[170]VENTAS TOTALES'!$F47</f>
        <v>5851800</v>
      </c>
    </row>
    <row r="266" spans="1:104" s="10" customFormat="1" x14ac:dyDescent="0.2">
      <c r="A266" s="471"/>
      <c r="B266" s="53" t="s">
        <v>241</v>
      </c>
      <c r="C266" s="165">
        <f>+'[137]VENTAS TOTALES'!$D48</f>
        <v>4869</v>
      </c>
      <c r="D266" s="170">
        <f>+'[137]VENTAS TOTALES'!$E48</f>
        <v>2367500</v>
      </c>
      <c r="E266" s="171">
        <f>+'[137]VENTAS TOTALES'!$F48</f>
        <v>10644800</v>
      </c>
      <c r="F266" s="165">
        <f>+'[138]VENTAS TOTALES'!$D48</f>
        <v>4358</v>
      </c>
      <c r="G266" s="170">
        <f>+'[138]VENTAS TOTALES'!$E48</f>
        <v>1666200</v>
      </c>
      <c r="H266" s="171">
        <f>+'[138]VENTAS TOTALES'!$F48</f>
        <v>9074800</v>
      </c>
      <c r="I266" s="165">
        <f>+'[139]VENTAS TOTALES'!$D48</f>
        <v>3381</v>
      </c>
      <c r="J266" s="170">
        <f>+'[139]VENTAS TOTALES'!$E48</f>
        <v>1326900</v>
      </c>
      <c r="K266" s="171">
        <f>+'[139]VENTAS TOTALES'!$F48</f>
        <v>7074600</v>
      </c>
      <c r="L266" s="165">
        <f>+'[140]VENTAS TOTALES'!$D48</f>
        <v>3346</v>
      </c>
      <c r="M266" s="170">
        <f>+'[140]VENTAS TOTALES'!$E48</f>
        <v>935100</v>
      </c>
      <c r="N266" s="171">
        <f>+'[140]VENTAS TOTALES'!$F48</f>
        <v>6623300</v>
      </c>
      <c r="O266" s="165">
        <f>+'[141]VENTAS TOTALES'!$D48</f>
        <v>2323</v>
      </c>
      <c r="P266" s="170">
        <f>+'[141]VENTAS TOTALES'!$E48</f>
        <v>787450</v>
      </c>
      <c r="Q266" s="171">
        <f>+'[141]VENTAS TOTALES'!$F48</f>
        <v>4736550</v>
      </c>
      <c r="R266" s="165">
        <f>+'[142]VENTAS TOTALES'!$D48</f>
        <v>1229</v>
      </c>
      <c r="S266" s="170">
        <f>+'[142]VENTAS TOTALES'!$E48</f>
        <v>257000</v>
      </c>
      <c r="T266" s="171">
        <f>+'[142]VENTAS TOTALES'!$F48</f>
        <v>2346300</v>
      </c>
      <c r="U266" s="165">
        <f>+'[143]VENTAS TOTALES'!$D48</f>
        <v>4914</v>
      </c>
      <c r="V266" s="170">
        <f>+'[143]VENTAS TOTALES'!$E48</f>
        <v>2500400</v>
      </c>
      <c r="W266" s="171">
        <f>+'[143]VENTAS TOTALES'!$F48</f>
        <v>10854200</v>
      </c>
      <c r="X266" s="165">
        <f>+'[144]VENTAS TOTALES'!$D48</f>
        <v>3919</v>
      </c>
      <c r="Y266" s="170">
        <f>+'[144]VENTAS TOTALES'!$E48</f>
        <v>1472400</v>
      </c>
      <c r="Z266" s="171">
        <f>+'[144]VENTAS TOTALES'!$F48</f>
        <v>8134700</v>
      </c>
      <c r="AA266" s="165">
        <f>+'[145]VENTAS TOTALES'!$D48</f>
        <v>3723</v>
      </c>
      <c r="AB266" s="170">
        <f>+'[145]VENTAS TOTALES'!$E48</f>
        <v>1102400</v>
      </c>
      <c r="AC266" s="171">
        <f>+'[145]VENTAS TOTALES'!$F48</f>
        <v>7431500</v>
      </c>
      <c r="AD266" s="165">
        <f>+'[146]VENTAS TOTALES'!$D48</f>
        <v>3495</v>
      </c>
      <c r="AE266" s="170">
        <f>+'[146]VENTAS TOTALES'!$E48</f>
        <v>839500</v>
      </c>
      <c r="AF266" s="171">
        <f>+'[146]VENTAS TOTALES'!$F48</f>
        <v>6781000</v>
      </c>
      <c r="AG266" s="165">
        <f>+'[147]VENTAS TOTALES'!$D48</f>
        <v>3273</v>
      </c>
      <c r="AH266" s="170">
        <f>+'[147]VENTAS TOTALES'!$E48</f>
        <v>1030450</v>
      </c>
      <c r="AI266" s="171">
        <f>+'[147]VENTAS TOTALES'!$F48</f>
        <v>6594550</v>
      </c>
      <c r="AJ266" s="165">
        <f>+'[148]VENTAS TOTALES'!$D48</f>
        <v>2360</v>
      </c>
      <c r="AK266" s="170">
        <f>+'[148]VENTAS TOTALES'!$E48</f>
        <v>602250</v>
      </c>
      <c r="AL266" s="171">
        <f>+'[148]VENTAS TOTALES'!$F48</f>
        <v>4614250</v>
      </c>
      <c r="AM266" s="165">
        <f>+'[149]VENTAS TOTALES'!$D48</f>
        <v>1110</v>
      </c>
      <c r="AN266" s="170">
        <f>+'[149]VENTAS TOTALES'!$E48</f>
        <v>222800</v>
      </c>
      <c r="AO266" s="171">
        <f>+'[149]VENTAS TOTALES'!$F48</f>
        <v>2109800</v>
      </c>
      <c r="AP266" s="165">
        <f>+'[150]VENTAS TOTALES'!$D48</f>
        <v>4953</v>
      </c>
      <c r="AQ266" s="170">
        <f>+'[150]VENTAS TOTALES'!$E48</f>
        <v>2094000</v>
      </c>
      <c r="AR266" s="171">
        <f>+'[150]VENTAS TOTALES'!$F48</f>
        <v>10514100</v>
      </c>
      <c r="AS266" s="165">
        <f>+'[151]VENTAS TOTALES'!$D48</f>
        <v>4249</v>
      </c>
      <c r="AT266" s="170">
        <f>+'[151]VENTAS TOTALES'!$E48</f>
        <v>1590350</v>
      </c>
      <c r="AU266" s="171">
        <f>+'[151]VENTAS TOTALES'!$F48</f>
        <v>8813650</v>
      </c>
      <c r="AV266" s="165">
        <f>+'[152]VENTAS TOTALES'!$D48</f>
        <v>4330</v>
      </c>
      <c r="AW266" s="170">
        <f>+'[152]VENTAS TOTALES'!$E48</f>
        <v>1958600</v>
      </c>
      <c r="AX266" s="171">
        <f>+'[152]VENTAS TOTALES'!$F48</f>
        <v>9319600</v>
      </c>
      <c r="AY266" s="165">
        <f>+'[153]VENTAS TOTALES'!$D48</f>
        <v>4139</v>
      </c>
      <c r="AZ266" s="170">
        <f>+'[153]VENTAS TOTALES'!$E48</f>
        <v>1366850</v>
      </c>
      <c r="BA266" s="171">
        <f>+'[153]VENTAS TOTALES'!$F48</f>
        <v>8403150</v>
      </c>
      <c r="BB266" s="165">
        <f>+'[154]VENTAS TOTALES'!$D48</f>
        <v>3585</v>
      </c>
      <c r="BC266" s="170">
        <f>+'[154]VENTAS TOTALES'!$E48</f>
        <v>1288600</v>
      </c>
      <c r="BD266" s="171">
        <f>+'[154]VENTAS TOTALES'!$F48</f>
        <v>7383100</v>
      </c>
      <c r="BE266" s="165">
        <f>+'[155]VENTAS TOTALES'!$D48</f>
        <v>2315</v>
      </c>
      <c r="BF266" s="170">
        <f>+'[155]VENTAS TOTALES'!$E48</f>
        <v>825300</v>
      </c>
      <c r="BG266" s="171">
        <f>+'[155]VENTAS TOTALES'!$F48</f>
        <v>4760800</v>
      </c>
      <c r="BH266" s="165">
        <f>+'[156]VENTAS TOTALES'!$D48</f>
        <v>1108</v>
      </c>
      <c r="BI266" s="170">
        <f>+'[156]VENTAS TOTALES'!$E48</f>
        <v>370800</v>
      </c>
      <c r="BJ266" s="171">
        <f>+'[156]VENTAS TOTALES'!$F48</f>
        <v>2254400</v>
      </c>
      <c r="BK266" s="165">
        <f>+'[157]VENTAS TOTALES'!$D48</f>
        <v>4798</v>
      </c>
      <c r="BL266" s="170">
        <f>+'[157]VENTAS TOTALES'!$E48</f>
        <v>2198700</v>
      </c>
      <c r="BM266" s="171">
        <f>+'[157]VENTAS TOTALES'!$F48</f>
        <v>10355300</v>
      </c>
      <c r="BN266" s="165">
        <f>+'[158]VENTAS TOTALES'!$D48</f>
        <v>3829</v>
      </c>
      <c r="BO266" s="170">
        <f>+'[158]VENTAS TOTALES'!$E48</f>
        <v>1535300</v>
      </c>
      <c r="BP266" s="171">
        <f>+'[158]VENTAS TOTALES'!$F48</f>
        <v>8044600</v>
      </c>
      <c r="BQ266" s="165">
        <f>+'[159]VENTAS TOTALES'!$D48</f>
        <v>3663</v>
      </c>
      <c r="BR266" s="170">
        <f>+'[159]VENTAS TOTALES'!$E48</f>
        <v>1198500</v>
      </c>
      <c r="BS266" s="171">
        <f>+'[159]VENTAS TOTALES'!$F48</f>
        <v>7425600</v>
      </c>
      <c r="BT266" s="165">
        <f>+'[160]VENTAS TOTALES'!$D48</f>
        <v>3586</v>
      </c>
      <c r="BU266" s="170">
        <f>+'[160]VENTAS TOTALES'!$E48</f>
        <v>1135600</v>
      </c>
      <c r="BV266" s="171">
        <f>+'[160]VENTAS TOTALES'!$F48</f>
        <v>7231800</v>
      </c>
      <c r="BW266" s="165">
        <f>+'[161]VENTAS TOTALES'!$D48</f>
        <v>3669</v>
      </c>
      <c r="BX266" s="170">
        <f>+'[161]VENTAS TOTALES'!$E48</f>
        <v>1115750</v>
      </c>
      <c r="BY266" s="171">
        <f>+'[161]VENTAS TOTALES'!$F48</f>
        <v>7353050</v>
      </c>
      <c r="BZ266" s="165">
        <f>+'[162]VENTAS TOTALES'!$D48</f>
        <v>2406</v>
      </c>
      <c r="CA266" s="170">
        <f>+'[162]VENTAS TOTALES'!$E48</f>
        <v>602300</v>
      </c>
      <c r="CB266" s="171">
        <f>+'[162]VENTAS TOTALES'!$F48</f>
        <v>4692500</v>
      </c>
      <c r="CC266" s="165">
        <f>+'[163]VENTAS TOTALES'!$D48</f>
        <v>1147</v>
      </c>
      <c r="CD266" s="170">
        <f>+'[163]VENTAS TOTALES'!$E48</f>
        <v>396700</v>
      </c>
      <c r="CE266" s="171">
        <f>+'[163]VENTAS TOTALES'!$F48</f>
        <v>2346600</v>
      </c>
      <c r="CF266" s="165">
        <f>+'[164]VENTAS TOTALES'!$D48</f>
        <v>5409</v>
      </c>
      <c r="CG266" s="170">
        <f>+'[164]VENTAS TOTALES'!$E48</f>
        <v>2699550</v>
      </c>
      <c r="CH266" s="171">
        <f>+'[164]VENTAS TOTALES'!$F48</f>
        <v>11894850</v>
      </c>
      <c r="CI266" s="165">
        <f>+'[165]VENTAS TOTALES'!$D48</f>
        <v>5168</v>
      </c>
      <c r="CJ266" s="170">
        <f>+'[165]VENTAS TOTALES'!$E48</f>
        <v>2422050</v>
      </c>
      <c r="CK266" s="171">
        <f>+'[165]VENTAS TOTALES'!$F48</f>
        <v>11207650</v>
      </c>
      <c r="CL266" s="165">
        <f>+'[166]VENTAS TOTALES'!$D48</f>
        <v>4730</v>
      </c>
      <c r="CM266" s="170">
        <f>+'[166]VENTAS TOTALES'!$E48</f>
        <v>1548450</v>
      </c>
      <c r="CN266" s="171">
        <f>+'[166]VENTAS TOTALES'!$F48</f>
        <v>9589450</v>
      </c>
      <c r="CO266" s="165">
        <f>+'[167]VENTAS TOTALES'!$D48</f>
        <v>3953</v>
      </c>
      <c r="CP266" s="170">
        <f>+'[167]VENTAS TOTALES'!$E48</f>
        <v>1607700</v>
      </c>
      <c r="CQ266" s="171">
        <f>+'[167]VENTAS TOTALES'!$F48</f>
        <v>8327800</v>
      </c>
      <c r="CR266" s="165">
        <f>+'[168]VENTAS TOTALES'!$D48</f>
        <v>3691</v>
      </c>
      <c r="CS266" s="170">
        <f>+'[168]VENTAS TOTALES'!$E48</f>
        <v>1264600</v>
      </c>
      <c r="CT266" s="171">
        <f>+'[168]VENTAS TOTALES'!$F48</f>
        <v>7539300</v>
      </c>
      <c r="CU266" s="165">
        <f>+'[169]VENTAS TOTALES'!$D48</f>
        <v>2460</v>
      </c>
      <c r="CV266" s="170">
        <f>+'[169]VENTAS TOTALES'!$E48</f>
        <v>538800</v>
      </c>
      <c r="CW266" s="171">
        <f>+'[169]VENTAS TOTALES'!$F48</f>
        <v>4720800</v>
      </c>
      <c r="CX266" s="165">
        <f>+'[170]VENTAS TOTALES'!$D48</f>
        <v>1184</v>
      </c>
      <c r="CY266" s="170">
        <f>+'[170]VENTAS TOTALES'!$E48</f>
        <v>170600</v>
      </c>
      <c r="CZ266" s="171">
        <f>+'[170]VENTAS TOTALES'!$F48</f>
        <v>2183400</v>
      </c>
    </row>
    <row r="267" spans="1:104" s="10" customFormat="1" x14ac:dyDescent="0.2">
      <c r="A267" s="471"/>
      <c r="B267" s="54" t="s">
        <v>290</v>
      </c>
      <c r="C267" s="165">
        <f>+'[137]VENTAS TOTALES'!$D49</f>
        <v>2673</v>
      </c>
      <c r="D267" s="170">
        <f>+'[137]VENTAS TOTALES'!$E49</f>
        <v>930000</v>
      </c>
      <c r="E267" s="171">
        <f>+'[137]VENTAS TOTALES'!$F49</f>
        <v>5474100</v>
      </c>
      <c r="F267" s="165">
        <f>+'[138]VENTAS TOTALES'!$D49</f>
        <v>2244</v>
      </c>
      <c r="G267" s="170">
        <f>+'[138]VENTAS TOTALES'!$E49</f>
        <v>791900</v>
      </c>
      <c r="H267" s="171">
        <f>+'[138]VENTAS TOTALES'!$F49</f>
        <v>4606700</v>
      </c>
      <c r="I267" s="165">
        <f>+'[139]VENTAS TOTALES'!$D49</f>
        <v>1854</v>
      </c>
      <c r="J267" s="170">
        <f>+'[139]VENTAS TOTALES'!$E49</f>
        <v>655800</v>
      </c>
      <c r="K267" s="171">
        <f>+'[139]VENTAS TOTALES'!$F49</f>
        <v>3807600</v>
      </c>
      <c r="L267" s="165">
        <f>+'[140]VENTAS TOTALES'!$D49</f>
        <v>1993</v>
      </c>
      <c r="M267" s="170">
        <f>+'[140]VENTAS TOTALES'!$E49</f>
        <v>455100</v>
      </c>
      <c r="N267" s="171">
        <f>+'[140]VENTAS TOTALES'!$F49</f>
        <v>3843200</v>
      </c>
      <c r="O267" s="165">
        <f>+'[141]VENTAS TOTALES'!$D49</f>
        <v>1288</v>
      </c>
      <c r="P267" s="170">
        <f>+'[141]VENTAS TOTALES'!$E49</f>
        <v>362600</v>
      </c>
      <c r="Q267" s="171">
        <f>+'[141]VENTAS TOTALES'!$F49</f>
        <v>2552200</v>
      </c>
      <c r="R267" s="165">
        <f>+'[142]VENTAS TOTALES'!$D49</f>
        <v>565</v>
      </c>
      <c r="S267" s="170">
        <f>+'[142]VENTAS TOTALES'!$E49</f>
        <v>144900</v>
      </c>
      <c r="T267" s="171">
        <f>+'[142]VENTAS TOTALES'!$F49</f>
        <v>1105400</v>
      </c>
      <c r="U267" s="165">
        <f>+'[143]VENTAS TOTALES'!$D49</f>
        <v>3151</v>
      </c>
      <c r="V267" s="170">
        <f>+'[143]VENTAS TOTALES'!$E49</f>
        <v>886200</v>
      </c>
      <c r="W267" s="171">
        <f>+'[143]VENTAS TOTALES'!$F49</f>
        <v>6242900</v>
      </c>
      <c r="X267" s="165">
        <f>+'[144]VENTAS TOTALES'!$D49</f>
        <v>2193</v>
      </c>
      <c r="Y267" s="170">
        <f>+'[144]VENTAS TOTALES'!$E49</f>
        <v>754200</v>
      </c>
      <c r="Z267" s="171">
        <f>+'[144]VENTAS TOTALES'!$F49</f>
        <v>4482300</v>
      </c>
      <c r="AA267" s="165">
        <f>+'[145]VENTAS TOTALES'!$D49</f>
        <v>2205</v>
      </c>
      <c r="AB267" s="170">
        <f>+'[145]VENTAS TOTALES'!$E49</f>
        <v>509000</v>
      </c>
      <c r="AC267" s="171">
        <f>+'[145]VENTAS TOTALES'!$F49</f>
        <v>4257500</v>
      </c>
      <c r="AD267" s="165">
        <f>+'[146]VENTAS TOTALES'!$D49</f>
        <v>2070</v>
      </c>
      <c r="AE267" s="170">
        <f>+'[146]VENTAS TOTALES'!$E49</f>
        <v>429400</v>
      </c>
      <c r="AF267" s="171">
        <f>+'[146]VENTAS TOTALES'!$F49</f>
        <v>3948400</v>
      </c>
      <c r="AG267" s="165">
        <f>+'[147]VENTAS TOTALES'!$D49</f>
        <v>1934</v>
      </c>
      <c r="AH267" s="170">
        <f>+'[147]VENTAS TOTALES'!$E49</f>
        <v>575900</v>
      </c>
      <c r="AI267" s="171">
        <f>+'[147]VENTAS TOTALES'!$F49</f>
        <v>3863700</v>
      </c>
      <c r="AJ267" s="165">
        <f>+'[148]VENTAS TOTALES'!$D49</f>
        <v>1317</v>
      </c>
      <c r="AK267" s="170">
        <f>+'[148]VENTAS TOTALES'!$E49</f>
        <v>216100</v>
      </c>
      <c r="AL267" s="171">
        <f>+'[148]VENTAS TOTALES'!$F49</f>
        <v>2455000</v>
      </c>
      <c r="AM267" s="165">
        <f>+'[149]VENTAS TOTALES'!$D49</f>
        <v>500</v>
      </c>
      <c r="AN267" s="170">
        <f>+'[149]VENTAS TOTALES'!$E49</f>
        <v>74000</v>
      </c>
      <c r="AO267" s="171">
        <f>+'[149]VENTAS TOTALES'!$F49</f>
        <v>924000</v>
      </c>
      <c r="AP267" s="165">
        <f>+'[150]VENTAS TOTALES'!$D49</f>
        <v>2922</v>
      </c>
      <c r="AQ267" s="170">
        <f>+'[150]VENTAS TOTALES'!$E49</f>
        <v>813500</v>
      </c>
      <c r="AR267" s="171">
        <f>+'[150]VENTAS TOTALES'!$F49</f>
        <v>5780900</v>
      </c>
      <c r="AS267" s="165">
        <f>+'[151]VENTAS TOTALES'!$D49</f>
        <v>2496</v>
      </c>
      <c r="AT267" s="170">
        <f>+'[151]VENTAS TOTALES'!$E49</f>
        <v>923800</v>
      </c>
      <c r="AU267" s="171">
        <f>+'[151]VENTAS TOTALES'!$F49</f>
        <v>5167000</v>
      </c>
      <c r="AV267" s="165">
        <f>+'[152]VENTAS TOTALES'!$D49</f>
        <v>2637</v>
      </c>
      <c r="AW267" s="170">
        <f>+'[152]VENTAS TOTALES'!$E49</f>
        <v>1294700</v>
      </c>
      <c r="AX267" s="171">
        <f>+'[152]VENTAS TOTALES'!$F49</f>
        <v>5777600</v>
      </c>
      <c r="AY267" s="165">
        <f>+'[153]VENTAS TOTALES'!$D49</f>
        <v>2296</v>
      </c>
      <c r="AZ267" s="170">
        <f>+'[153]VENTAS TOTALES'!$E49</f>
        <v>928100</v>
      </c>
      <c r="BA267" s="171">
        <f>+'[153]VENTAS TOTALES'!$F49</f>
        <v>4831300</v>
      </c>
      <c r="BB267" s="165">
        <f>+'[154]VENTAS TOTALES'!$D49</f>
        <v>2183</v>
      </c>
      <c r="BC267" s="170">
        <f>+'[154]VENTAS TOTALES'!$E49</f>
        <v>673700</v>
      </c>
      <c r="BD267" s="171">
        <f>+'[154]VENTAS TOTALES'!$F49</f>
        <v>4384800</v>
      </c>
      <c r="BE267" s="165">
        <f>+'[155]VENTAS TOTALES'!$D49</f>
        <v>1291</v>
      </c>
      <c r="BF267" s="170">
        <f>+'[155]VENTAS TOTALES'!$E49</f>
        <v>265300</v>
      </c>
      <c r="BG267" s="171">
        <f>+'[155]VENTAS TOTALES'!$F49</f>
        <v>2460000</v>
      </c>
      <c r="BH267" s="165">
        <f>+'[156]VENTAS TOTALES'!$D49</f>
        <v>504</v>
      </c>
      <c r="BI267" s="170">
        <f>+'[156]VENTAS TOTALES'!$E49</f>
        <v>116800</v>
      </c>
      <c r="BJ267" s="171">
        <f>+'[156]VENTAS TOTALES'!$F49</f>
        <v>973600</v>
      </c>
      <c r="BK267" s="165">
        <f>+'[157]VENTAS TOTALES'!$D49</f>
        <v>3102</v>
      </c>
      <c r="BL267" s="170">
        <f>+'[157]VENTAS TOTALES'!$E49</f>
        <v>1023300</v>
      </c>
      <c r="BM267" s="171">
        <f>+'[157]VENTAS TOTALES'!$F49</f>
        <v>6296700</v>
      </c>
      <c r="BN267" s="165">
        <f>+'[158]VENTAS TOTALES'!$D49</f>
        <v>2119</v>
      </c>
      <c r="BO267" s="170">
        <f>+'[158]VENTAS TOTALES'!$E49</f>
        <v>764100</v>
      </c>
      <c r="BP267" s="171">
        <f>+'[158]VENTAS TOTALES'!$F49</f>
        <v>4366400</v>
      </c>
      <c r="BQ267" s="165">
        <f>+'[159]VENTAS TOTALES'!$D49</f>
        <v>2135</v>
      </c>
      <c r="BR267" s="170">
        <f>+'[159]VENTAS TOTALES'!$E49</f>
        <v>403000</v>
      </c>
      <c r="BS267" s="171">
        <f>+'[159]VENTAS TOTALES'!$F49</f>
        <v>4032500</v>
      </c>
      <c r="BT267" s="165">
        <f>+'[160]VENTAS TOTALES'!$D49</f>
        <v>2035</v>
      </c>
      <c r="BU267" s="170">
        <f>+'[160]VENTAS TOTALES'!$E49</f>
        <v>697900</v>
      </c>
      <c r="BV267" s="171">
        <f>+'[160]VENTAS TOTALES'!$F49</f>
        <v>4157400</v>
      </c>
      <c r="BW267" s="165">
        <f>+'[161]VENTAS TOTALES'!$D49</f>
        <v>2165</v>
      </c>
      <c r="BX267" s="170">
        <f>+'[161]VENTAS TOTALES'!$E49</f>
        <v>479100</v>
      </c>
      <c r="BY267" s="171">
        <f>+'[161]VENTAS TOTALES'!$F49</f>
        <v>4159600</v>
      </c>
      <c r="BZ267" s="165">
        <f>+'[162]VENTAS TOTALES'!$D49</f>
        <v>1585</v>
      </c>
      <c r="CA267" s="170">
        <f>+'[162]VENTAS TOTALES'!$E49</f>
        <v>285400</v>
      </c>
      <c r="CB267" s="171">
        <f>+'[162]VENTAS TOTALES'!$F49</f>
        <v>2979900</v>
      </c>
      <c r="CC267" s="165">
        <f>+'[163]VENTAS TOTALES'!$D49</f>
        <v>494</v>
      </c>
      <c r="CD267" s="170">
        <f>+'[163]VENTAS TOTALES'!$E49</f>
        <v>108000</v>
      </c>
      <c r="CE267" s="171">
        <f>+'[163]VENTAS TOTALES'!$F49</f>
        <v>947800</v>
      </c>
      <c r="CF267" s="165">
        <f>+'[164]VENTAS TOTALES'!$D49</f>
        <v>3331</v>
      </c>
      <c r="CG267" s="170">
        <f>+'[164]VENTAS TOTALES'!$E49</f>
        <v>1357000</v>
      </c>
      <c r="CH267" s="171">
        <f>+'[164]VENTAS TOTALES'!$F49</f>
        <v>7019700</v>
      </c>
      <c r="CI267" s="165">
        <f>+'[165]VENTAS TOTALES'!$D49</f>
        <v>2710</v>
      </c>
      <c r="CJ267" s="170">
        <f>+'[165]VENTAS TOTALES'!$E49</f>
        <v>1069600</v>
      </c>
      <c r="CK267" s="171">
        <f>+'[165]VENTAS TOTALES'!$F49</f>
        <v>5676600</v>
      </c>
      <c r="CL267" s="165">
        <f>+'[166]VENTAS TOTALES'!$D49</f>
        <v>2541</v>
      </c>
      <c r="CM267" s="170">
        <f>+'[166]VENTAS TOTALES'!$E49</f>
        <v>1340100</v>
      </c>
      <c r="CN267" s="171">
        <f>+'[166]VENTAS TOTALES'!$F49</f>
        <v>5659800</v>
      </c>
      <c r="CO267" s="165">
        <f>+'[167]VENTAS TOTALES'!$D49</f>
        <v>2240</v>
      </c>
      <c r="CP267" s="170">
        <f>+'[167]VENTAS TOTALES'!$E49</f>
        <v>581100</v>
      </c>
      <c r="CQ267" s="171">
        <f>+'[167]VENTAS TOTALES'!$F49</f>
        <v>4389100</v>
      </c>
      <c r="CR267" s="165">
        <f>+'[168]VENTAS TOTALES'!$D49</f>
        <v>2029</v>
      </c>
      <c r="CS267" s="170">
        <f>+'[168]VENTAS TOTALES'!$E49</f>
        <v>678600</v>
      </c>
      <c r="CT267" s="171">
        <f>+'[168]VENTAS TOTALES'!$F49</f>
        <v>4127900</v>
      </c>
      <c r="CU267" s="165">
        <f>+'[169]VENTAS TOTALES'!$D49</f>
        <v>1405</v>
      </c>
      <c r="CV267" s="170">
        <f>+'[169]VENTAS TOTALES'!$E49</f>
        <v>286500</v>
      </c>
      <c r="CW267" s="171">
        <f>+'[169]VENTAS TOTALES'!$F49</f>
        <v>2675000</v>
      </c>
      <c r="CX267" s="165">
        <f>+'[170]VENTAS TOTALES'!$D49</f>
        <v>529</v>
      </c>
      <c r="CY267" s="170">
        <f>+'[170]VENTAS TOTALES'!$E49</f>
        <v>111500</v>
      </c>
      <c r="CZ267" s="171">
        <f>+'[170]VENTAS TOTALES'!$F49</f>
        <v>1010800</v>
      </c>
    </row>
    <row r="268" spans="1:104" s="10" customFormat="1" x14ac:dyDescent="0.2">
      <c r="A268" s="471"/>
      <c r="B268" s="53" t="s">
        <v>245</v>
      </c>
      <c r="C268" s="165">
        <f>+'[137]VENTAS TOTALES'!$D50</f>
        <v>4720</v>
      </c>
      <c r="D268" s="170">
        <f>+'[137]VENTAS TOTALES'!$E50</f>
        <v>3046900</v>
      </c>
      <c r="E268" s="171">
        <f>+'[137]VENTAS TOTALES'!$F50</f>
        <v>11070900</v>
      </c>
      <c r="F268" s="165">
        <f>+'[138]VENTAS TOTALES'!$D50</f>
        <v>4606</v>
      </c>
      <c r="G268" s="170">
        <f>+'[138]VENTAS TOTALES'!$E50</f>
        <v>2164350</v>
      </c>
      <c r="H268" s="171">
        <f>+'[138]VENTAS TOTALES'!$F50</f>
        <v>9994550</v>
      </c>
      <c r="I268" s="165">
        <f>+'[139]VENTAS TOTALES'!$D50</f>
        <v>4124</v>
      </c>
      <c r="J268" s="170">
        <f>+'[139]VENTAS TOTALES'!$E50</f>
        <v>1691700</v>
      </c>
      <c r="K268" s="171">
        <f>+'[139]VENTAS TOTALES'!$F50</f>
        <v>8702500</v>
      </c>
      <c r="L268" s="165">
        <f>+'[140]VENTAS TOTALES'!$D50</f>
        <v>3960</v>
      </c>
      <c r="M268" s="170">
        <f>+'[140]VENTAS TOTALES'!$E50</f>
        <v>1440200</v>
      </c>
      <c r="N268" s="171">
        <f>+'[140]VENTAS TOTALES'!$F50</f>
        <v>8172200</v>
      </c>
      <c r="O268" s="165">
        <f>+'[141]VENTAS TOTALES'!$D50</f>
        <v>3308</v>
      </c>
      <c r="P268" s="170">
        <f>+'[141]VENTAS TOTALES'!$E50</f>
        <v>1234200</v>
      </c>
      <c r="Q268" s="171">
        <f>+'[141]VENTAS TOTALES'!$F50</f>
        <v>6857800</v>
      </c>
      <c r="R268" s="165">
        <f>+'[142]VENTAS TOTALES'!$D50</f>
        <v>1518</v>
      </c>
      <c r="S268" s="170">
        <f>+'[142]VENTAS TOTALES'!$E50</f>
        <v>567200</v>
      </c>
      <c r="T268" s="171">
        <f>+'[142]VENTAS TOTALES'!$F50</f>
        <v>3147800</v>
      </c>
      <c r="U268" s="165">
        <f>+'[143]VENTAS TOTALES'!$D50</f>
        <v>4728</v>
      </c>
      <c r="V268" s="170">
        <f>+'[143]VENTAS TOTALES'!$E50</f>
        <v>2755200</v>
      </c>
      <c r="W268" s="171">
        <f>+'[143]VENTAS TOTALES'!$F50</f>
        <v>10792800</v>
      </c>
      <c r="X268" s="165">
        <f>+'[144]VENTAS TOTALES'!$D50</f>
        <v>4442</v>
      </c>
      <c r="Y268" s="170">
        <f>+'[144]VENTAS TOTALES'!$E50</f>
        <v>1894600</v>
      </c>
      <c r="Z268" s="171">
        <f>+'[144]VENTAS TOTALES'!$F50</f>
        <v>9446000</v>
      </c>
      <c r="AA268" s="165">
        <f>+'[145]VENTAS TOTALES'!$D50</f>
        <v>4002</v>
      </c>
      <c r="AB268" s="170">
        <f>+'[145]VENTAS TOTALES'!$E50</f>
        <v>1288100</v>
      </c>
      <c r="AC268" s="171">
        <f>+'[145]VENTAS TOTALES'!$F50</f>
        <v>8091500</v>
      </c>
      <c r="AD268" s="165">
        <f>+'[146]VENTAS TOTALES'!$D50</f>
        <v>3861</v>
      </c>
      <c r="AE268" s="170">
        <f>+'[146]VENTAS TOTALES'!$E50</f>
        <v>1038000</v>
      </c>
      <c r="AF268" s="171">
        <f>+'[146]VENTAS TOTALES'!$F50</f>
        <v>7601700</v>
      </c>
      <c r="AG268" s="165">
        <f>+'[147]VENTAS TOTALES'!$D50</f>
        <v>3851</v>
      </c>
      <c r="AH268" s="170">
        <f>+'[147]VENTAS TOTALES'!$E50</f>
        <v>1434000</v>
      </c>
      <c r="AI268" s="171">
        <f>+'[147]VENTAS TOTALES'!$F50</f>
        <v>7980700</v>
      </c>
      <c r="AJ268" s="165">
        <f>+'[148]VENTAS TOTALES'!$D50</f>
        <v>3137</v>
      </c>
      <c r="AK268" s="170">
        <f>+'[148]VENTAS TOTALES'!$E50</f>
        <v>844000</v>
      </c>
      <c r="AL268" s="171">
        <f>+'[148]VENTAS TOTALES'!$F50</f>
        <v>6176900</v>
      </c>
      <c r="AM268" s="165">
        <f>+'[149]VENTAS TOTALES'!$D50</f>
        <v>1516</v>
      </c>
      <c r="AN268" s="170">
        <f>+'[149]VENTAS TOTALES'!$E50</f>
        <v>425100</v>
      </c>
      <c r="AO268" s="171">
        <f>+'[149]VENTAS TOTALES'!$F50</f>
        <v>3002300</v>
      </c>
      <c r="AP268" s="165">
        <f>+'[150]VENTAS TOTALES'!$D50</f>
        <v>5076</v>
      </c>
      <c r="AQ268" s="170">
        <f>+'[150]VENTAS TOTALES'!$E50</f>
        <v>2275700</v>
      </c>
      <c r="AR268" s="171">
        <f>+'[150]VENTAS TOTALES'!$F50</f>
        <v>10904900</v>
      </c>
      <c r="AS268" s="165">
        <f>+'[151]VENTAS TOTALES'!$D50</f>
        <v>4363</v>
      </c>
      <c r="AT268" s="170">
        <f>+'[151]VENTAS TOTALES'!$E50</f>
        <v>2221100</v>
      </c>
      <c r="AU268" s="171">
        <f>+'[151]VENTAS TOTALES'!$F50</f>
        <v>9638200</v>
      </c>
      <c r="AV268" s="165">
        <f>+'[152]VENTAS TOTALES'!$D50</f>
        <v>4478</v>
      </c>
      <c r="AW268" s="170">
        <f>+'[152]VENTAS TOTALES'!$E50</f>
        <v>2844200</v>
      </c>
      <c r="AX268" s="171">
        <f>+'[152]VENTAS TOTALES'!$F50</f>
        <v>10456800</v>
      </c>
      <c r="AY268" s="165">
        <f>+'[153]VENTAS TOTALES'!$D50</f>
        <v>4296</v>
      </c>
      <c r="AZ268" s="170">
        <f>+'[153]VENTAS TOTALES'!$E50</f>
        <v>1715150</v>
      </c>
      <c r="BA268" s="171">
        <f>+'[153]VENTAS TOTALES'!$F50</f>
        <v>9018350</v>
      </c>
      <c r="BB268" s="165">
        <f>+'[154]VENTAS TOTALES'!$D50</f>
        <v>3935</v>
      </c>
      <c r="BC268" s="170">
        <f>+'[154]VENTAS TOTALES'!$E50</f>
        <v>1321800</v>
      </c>
      <c r="BD268" s="171">
        <f>+'[154]VENTAS TOTALES'!$F50</f>
        <v>8011300</v>
      </c>
      <c r="BE268" s="165">
        <f>+'[155]VENTAS TOTALES'!$D50</f>
        <v>3194</v>
      </c>
      <c r="BF268" s="170">
        <f>+'[155]VENTAS TOTALES'!$E50</f>
        <v>1204550</v>
      </c>
      <c r="BG268" s="171">
        <f>+'[155]VENTAS TOTALES'!$F50</f>
        <v>6634350</v>
      </c>
      <c r="BH268" s="165">
        <f>+'[156]VENTAS TOTALES'!$D50</f>
        <v>1590</v>
      </c>
      <c r="BI268" s="170">
        <f>+'[156]VENTAS TOTALES'!$E50</f>
        <v>484900</v>
      </c>
      <c r="BJ268" s="171">
        <f>+'[156]VENTAS TOTALES'!$F50</f>
        <v>3187900</v>
      </c>
      <c r="BK268" s="165">
        <f>+'[157]VENTAS TOTALES'!$D50</f>
        <v>4764</v>
      </c>
      <c r="BL268" s="170">
        <f>+'[157]VENTAS TOTALES'!$E50</f>
        <v>2310300</v>
      </c>
      <c r="BM268" s="171">
        <f>+'[157]VENTAS TOTALES'!$F50</f>
        <v>10409100</v>
      </c>
      <c r="BN268" s="165">
        <f>+'[158]VENTAS TOTALES'!$D50</f>
        <v>4283</v>
      </c>
      <c r="BO268" s="170">
        <f>+'[158]VENTAS TOTALES'!$E50</f>
        <v>1674800</v>
      </c>
      <c r="BP268" s="171">
        <f>+'[158]VENTAS TOTALES'!$F50</f>
        <v>8955900</v>
      </c>
      <c r="BQ268" s="165">
        <f>+'[159]VENTAS TOTALES'!$D50</f>
        <v>4014</v>
      </c>
      <c r="BR268" s="170">
        <f>+'[159]VENTAS TOTALES'!$E50</f>
        <v>1409000</v>
      </c>
      <c r="BS268" s="171">
        <f>+'[159]VENTAS TOTALES'!$F50</f>
        <v>8232800</v>
      </c>
      <c r="BT268" s="165">
        <f>+'[160]VENTAS TOTALES'!$D50</f>
        <v>4080</v>
      </c>
      <c r="BU268" s="170">
        <f>+'[160]VENTAS TOTALES'!$E50</f>
        <v>1456700</v>
      </c>
      <c r="BV268" s="171">
        <f>+'[160]VENTAS TOTALES'!$F50</f>
        <v>8392700</v>
      </c>
      <c r="BW268" s="165">
        <f>+'[161]VENTAS TOTALES'!$D50</f>
        <v>4064</v>
      </c>
      <c r="BX268" s="170">
        <f>+'[161]VENTAS TOTALES'!$E50</f>
        <v>1384750</v>
      </c>
      <c r="BY268" s="171">
        <f>+'[161]VENTAS TOTALES'!$F50</f>
        <v>8293550</v>
      </c>
      <c r="BZ268" s="165">
        <f>+'[162]VENTAS TOTALES'!$D50</f>
        <v>3234</v>
      </c>
      <c r="CA268" s="170">
        <f>+'[162]VENTAS TOTALES'!$E50</f>
        <v>1095300</v>
      </c>
      <c r="CB268" s="171">
        <f>+'[162]VENTAS TOTALES'!$F50</f>
        <v>6593100</v>
      </c>
      <c r="CC268" s="165">
        <f>+'[163]VENTAS TOTALES'!$D50</f>
        <v>1514</v>
      </c>
      <c r="CD268" s="170">
        <f>+'[163]VENTAS TOTALES'!$E50</f>
        <v>491900</v>
      </c>
      <c r="CE268" s="171">
        <f>+'[163]VENTAS TOTALES'!$F50</f>
        <v>3065700</v>
      </c>
      <c r="CF268" s="165">
        <f>+'[164]VENTAS TOTALES'!$D50</f>
        <v>5126</v>
      </c>
      <c r="CG268" s="170">
        <f>+'[164]VENTAS TOTALES'!$E50</f>
        <v>3488500</v>
      </c>
      <c r="CH268" s="171">
        <f>+'[164]VENTAS TOTALES'!$F50</f>
        <v>12202700</v>
      </c>
      <c r="CI268" s="165">
        <f>+'[165]VENTAS TOTALES'!$D50</f>
        <v>4804</v>
      </c>
      <c r="CJ268" s="170">
        <f>+'[165]VENTAS TOTALES'!$E50</f>
        <v>2968100</v>
      </c>
      <c r="CK268" s="171">
        <f>+'[165]VENTAS TOTALES'!$F50</f>
        <v>11134900</v>
      </c>
      <c r="CL268" s="165">
        <f>+'[166]VENTAS TOTALES'!$D50</f>
        <v>4651</v>
      </c>
      <c r="CM268" s="170">
        <f>+'[166]VENTAS TOTALES'!$E50</f>
        <v>2126100</v>
      </c>
      <c r="CN268" s="171">
        <f>+'[166]VENTAS TOTALES'!$F50</f>
        <v>10032800</v>
      </c>
      <c r="CO268" s="165">
        <f>+'[167]VENTAS TOTALES'!$D50</f>
        <v>4723</v>
      </c>
      <c r="CP268" s="170">
        <f>+'[167]VENTAS TOTALES'!$E50</f>
        <v>1775100</v>
      </c>
      <c r="CQ268" s="171">
        <f>+'[167]VENTAS TOTALES'!$F50</f>
        <v>9804200</v>
      </c>
      <c r="CR268" s="165">
        <f>+'[168]VENTAS TOTALES'!$D50</f>
        <v>4056</v>
      </c>
      <c r="CS268" s="170">
        <f>+'[168]VENTAS TOTALES'!$E50</f>
        <v>1703650</v>
      </c>
      <c r="CT268" s="171">
        <f>+'[168]VENTAS TOTALES'!$F50</f>
        <v>8598850</v>
      </c>
      <c r="CU268" s="165">
        <f>+'[169]VENTAS TOTALES'!$D50</f>
        <v>3168</v>
      </c>
      <c r="CV268" s="170">
        <f>+'[169]VENTAS TOTALES'!$E50</f>
        <v>1081150</v>
      </c>
      <c r="CW268" s="171">
        <f>+'[169]VENTAS TOTALES'!$F50</f>
        <v>6466750</v>
      </c>
      <c r="CX268" s="165">
        <f>+'[170]VENTAS TOTALES'!$D50</f>
        <v>1466</v>
      </c>
      <c r="CY268" s="170">
        <f>+'[170]VENTAS TOTALES'!$E50</f>
        <v>504100</v>
      </c>
      <c r="CZ268" s="171">
        <f>+'[170]VENTAS TOTALES'!$F50</f>
        <v>2996300</v>
      </c>
    </row>
    <row r="269" spans="1:104" s="10" customFormat="1" x14ac:dyDescent="0.2">
      <c r="A269" s="471"/>
      <c r="B269" s="53" t="s">
        <v>246</v>
      </c>
      <c r="C269" s="165">
        <f>+'[137]VENTAS TOTALES'!$D51</f>
        <v>5522</v>
      </c>
      <c r="D269" s="170">
        <f>+'[137]VENTAS TOTALES'!$E51</f>
        <v>4193500</v>
      </c>
      <c r="E269" s="171">
        <f>+'[137]VENTAS TOTALES'!$F51</f>
        <v>13580900</v>
      </c>
      <c r="F269" s="165">
        <f>+'[138]VENTAS TOTALES'!$D51</f>
        <v>5567</v>
      </c>
      <c r="G269" s="170">
        <f>+'[138]VENTAS TOTALES'!$E51</f>
        <v>2739700</v>
      </c>
      <c r="H269" s="171">
        <f>+'[138]VENTAS TOTALES'!$F51</f>
        <v>12203600</v>
      </c>
      <c r="I269" s="165">
        <f>+'[139]VENTAS TOTALES'!$D51</f>
        <v>4465</v>
      </c>
      <c r="J269" s="170">
        <f>+'[139]VENTAS TOTALES'!$E51</f>
        <v>2099300</v>
      </c>
      <c r="K269" s="171">
        <f>+'[139]VENTAS TOTALES'!$F51</f>
        <v>9689800</v>
      </c>
      <c r="L269" s="165">
        <f>+'[140]VENTAS TOTALES'!$D51</f>
        <v>4637</v>
      </c>
      <c r="M269" s="170">
        <f>+'[140]VENTAS TOTALES'!$E51</f>
        <v>1863100</v>
      </c>
      <c r="N269" s="171">
        <f>+'[140]VENTAS TOTALES'!$F51</f>
        <v>9746000</v>
      </c>
      <c r="O269" s="165">
        <f>+'[141]VENTAS TOTALES'!$D51</f>
        <v>3641</v>
      </c>
      <c r="P269" s="170">
        <f>+'[141]VENTAS TOTALES'!$E51</f>
        <v>1413200</v>
      </c>
      <c r="Q269" s="171">
        <f>+'[141]VENTAS TOTALES'!$F51</f>
        <v>7602900</v>
      </c>
      <c r="R269" s="165">
        <f>+'[142]VENTAS TOTALES'!$D51</f>
        <v>2051</v>
      </c>
      <c r="S269" s="170">
        <f>+'[142]VENTAS TOTALES'!$E51</f>
        <v>813800</v>
      </c>
      <c r="T269" s="171">
        <f>+'[142]VENTAS TOTALES'!$F51</f>
        <v>4300500</v>
      </c>
      <c r="U269" s="165">
        <f>+'[143]VENTAS TOTALES'!$D51</f>
        <v>6153</v>
      </c>
      <c r="V269" s="170">
        <f>+'[143]VENTAS TOTALES'!$E51</f>
        <v>3152500</v>
      </c>
      <c r="W269" s="171">
        <f>+'[143]VENTAS TOTALES'!$F51</f>
        <v>13612600</v>
      </c>
      <c r="X269" s="165">
        <f>+'[144]VENTAS TOTALES'!$D51</f>
        <v>5076</v>
      </c>
      <c r="Y269" s="170">
        <f>+'[144]VENTAS TOTALES'!$E51</f>
        <v>2118900</v>
      </c>
      <c r="Z269" s="171">
        <f>+'[144]VENTAS TOTALES'!$F51</f>
        <v>10748100</v>
      </c>
      <c r="AA269" s="165">
        <f>+'[145]VENTAS TOTALES'!$D51</f>
        <v>4884</v>
      </c>
      <c r="AB269" s="170">
        <f>+'[145]VENTAS TOTALES'!$E51</f>
        <v>1874900</v>
      </c>
      <c r="AC269" s="171">
        <f>+'[145]VENTAS TOTALES'!$F51</f>
        <v>10177700</v>
      </c>
      <c r="AD269" s="165">
        <f>+'[146]VENTAS TOTALES'!$D51</f>
        <v>4908</v>
      </c>
      <c r="AE269" s="170">
        <f>+'[146]VENTAS TOTALES'!$E51</f>
        <v>1854600</v>
      </c>
      <c r="AF269" s="171">
        <f>+'[146]VENTAS TOTALES'!$F51</f>
        <v>10198200</v>
      </c>
      <c r="AG269" s="165">
        <f>+'[147]VENTAS TOTALES'!$D51</f>
        <v>4657</v>
      </c>
      <c r="AH269" s="170">
        <f>+'[147]VENTAS TOTALES'!$E51</f>
        <v>1532600</v>
      </c>
      <c r="AI269" s="171">
        <f>+'[147]VENTAS TOTALES'!$F51</f>
        <v>9449500</v>
      </c>
      <c r="AJ269" s="165">
        <f>+'[148]VENTAS TOTALES'!$D51</f>
        <v>3659</v>
      </c>
      <c r="AK269" s="170">
        <f>+'[148]VENTAS TOTALES'!$E51</f>
        <v>1258900</v>
      </c>
      <c r="AL269" s="171">
        <f>+'[148]VENTAS TOTALES'!$F51</f>
        <v>7479200</v>
      </c>
      <c r="AM269" s="165">
        <f>+'[149]VENTAS TOTALES'!$D51</f>
        <v>1917</v>
      </c>
      <c r="AN269" s="170">
        <f>+'[149]VENTAS TOTALES'!$E51</f>
        <v>722200</v>
      </c>
      <c r="AO269" s="171">
        <f>+'[149]VENTAS TOTALES'!$F51</f>
        <v>3981100</v>
      </c>
      <c r="AP269" s="165">
        <f>+'[150]VENTAS TOTALES'!$D51</f>
        <v>6266</v>
      </c>
      <c r="AQ269" s="170">
        <f>+'[150]VENTAS TOTALES'!$E51</f>
        <v>3268400</v>
      </c>
      <c r="AR269" s="171">
        <f>+'[150]VENTAS TOTALES'!$F51</f>
        <v>13920600</v>
      </c>
      <c r="AS269" s="165">
        <f>+'[151]VENTAS TOTALES'!$D51</f>
        <v>5634</v>
      </c>
      <c r="AT269" s="170">
        <f>+'[151]VENTAS TOTALES'!$E51</f>
        <v>3237400</v>
      </c>
      <c r="AU269" s="171">
        <f>+'[151]VENTAS TOTALES'!$F51</f>
        <v>12815200</v>
      </c>
      <c r="AV269" s="165">
        <f>+'[152]VENTAS TOTALES'!$D51</f>
        <v>5621</v>
      </c>
      <c r="AW269" s="170">
        <f>+'[152]VENTAS TOTALES'!$E51</f>
        <v>2757850</v>
      </c>
      <c r="AX269" s="171">
        <f>+'[152]VENTAS TOTALES'!$F51</f>
        <v>12313550</v>
      </c>
      <c r="AY269" s="165">
        <f>+'[153]VENTAS TOTALES'!$D51</f>
        <v>5694</v>
      </c>
      <c r="AZ269" s="170">
        <f>+'[153]VENTAS TOTALES'!$E51</f>
        <v>2578650</v>
      </c>
      <c r="BA269" s="171">
        <f>+'[153]VENTAS TOTALES'!$F51</f>
        <v>12258450</v>
      </c>
      <c r="BB269" s="165">
        <f>+'[154]VENTAS TOTALES'!$D51</f>
        <v>5058</v>
      </c>
      <c r="BC269" s="170">
        <f>+'[154]VENTAS TOTALES'!$E51</f>
        <v>1538300</v>
      </c>
      <c r="BD269" s="171">
        <f>+'[154]VENTAS TOTALES'!$F51</f>
        <v>10136900</v>
      </c>
      <c r="BE269" s="165">
        <f>+'[155]VENTAS TOTALES'!$D51</f>
        <v>3881</v>
      </c>
      <c r="BF269" s="170">
        <f>+'[155]VENTAS TOTALES'!$E51</f>
        <v>1230300</v>
      </c>
      <c r="BG269" s="171">
        <f>+'[155]VENTAS TOTALES'!$F51</f>
        <v>7828000</v>
      </c>
      <c r="BH269" s="165">
        <f>+'[156]VENTAS TOTALES'!$D51</f>
        <v>1896</v>
      </c>
      <c r="BI269" s="170">
        <f>+'[156]VENTAS TOTALES'!$E51</f>
        <v>523700</v>
      </c>
      <c r="BJ269" s="171">
        <f>+'[156]VENTAS TOTALES'!$F51</f>
        <v>3746900</v>
      </c>
      <c r="BK269" s="165">
        <f>+'[157]VENTAS TOTALES'!$D51</f>
        <v>6081</v>
      </c>
      <c r="BL269" s="170">
        <f>+'[157]VENTAS TOTALES'!$E51</f>
        <v>3335500</v>
      </c>
      <c r="BM269" s="171">
        <f>+'[157]VENTAS TOTALES'!$F51</f>
        <v>13673200</v>
      </c>
      <c r="BN269" s="165">
        <f>+'[158]VENTAS TOTALES'!$D51</f>
        <v>5080</v>
      </c>
      <c r="BO269" s="170">
        <f>+'[158]VENTAS TOTALES'!$E51</f>
        <v>2193250</v>
      </c>
      <c r="BP269" s="171">
        <f>+'[158]VENTAS TOTALES'!$F51</f>
        <v>10829250</v>
      </c>
      <c r="BQ269" s="165">
        <f>+'[159]VENTAS TOTALES'!$D51</f>
        <v>4988</v>
      </c>
      <c r="BR269" s="170">
        <f>+'[159]VENTAS TOTALES'!$E51</f>
        <v>1777900</v>
      </c>
      <c r="BS269" s="171">
        <f>+'[159]VENTAS TOTALES'!$F51</f>
        <v>10257500</v>
      </c>
      <c r="BT269" s="165">
        <f>+'[160]VENTAS TOTALES'!$D51</f>
        <v>4998</v>
      </c>
      <c r="BU269" s="170">
        <f>+'[160]VENTAS TOTALES'!$E51</f>
        <v>1718900</v>
      </c>
      <c r="BV269" s="171">
        <f>+'[160]VENTAS TOTALES'!$F51</f>
        <v>10215500</v>
      </c>
      <c r="BW269" s="165">
        <f>+'[161]VENTAS TOTALES'!$D51</f>
        <v>5039</v>
      </c>
      <c r="BX269" s="170">
        <f>+'[161]VENTAS TOTALES'!$E51</f>
        <v>1614800</v>
      </c>
      <c r="BY269" s="171">
        <f>+'[161]VENTAS TOTALES'!$F51</f>
        <v>10181100</v>
      </c>
      <c r="BZ269" s="165">
        <f>+'[162]VENTAS TOTALES'!$D51</f>
        <v>3688</v>
      </c>
      <c r="CA269" s="170">
        <f>+'[162]VENTAS TOTALES'!$E51</f>
        <v>1532700</v>
      </c>
      <c r="CB269" s="171">
        <f>+'[162]VENTAS TOTALES'!$F51</f>
        <v>7802300</v>
      </c>
      <c r="CC269" s="165">
        <f>+'[163]VENTAS TOTALES'!$D51</f>
        <v>2217</v>
      </c>
      <c r="CD269" s="170">
        <f>+'[163]VENTAS TOTALES'!$E51</f>
        <v>627100</v>
      </c>
      <c r="CE269" s="171">
        <f>+'[163]VENTAS TOTALES'!$F51</f>
        <v>4396000</v>
      </c>
      <c r="CF269" s="165">
        <f>+'[164]VENTAS TOTALES'!$D51</f>
        <v>6736</v>
      </c>
      <c r="CG269" s="170">
        <f>+'[164]VENTAS TOTALES'!$E51</f>
        <v>4647800</v>
      </c>
      <c r="CH269" s="171">
        <f>+'[164]VENTAS TOTALES'!$F51</f>
        <v>16099000</v>
      </c>
      <c r="CI269" s="165">
        <f>+'[165]VENTAS TOTALES'!$D51</f>
        <v>6355</v>
      </c>
      <c r="CJ269" s="170">
        <f>+'[165]VENTAS TOTALES'!$E51</f>
        <v>3990400</v>
      </c>
      <c r="CK269" s="171">
        <f>+'[165]VENTAS TOTALES'!$F51</f>
        <v>14793900</v>
      </c>
      <c r="CL269" s="165">
        <f>+'[166]VENTAS TOTALES'!$D51</f>
        <v>5976</v>
      </c>
      <c r="CM269" s="170">
        <f>+'[166]VENTAS TOTALES'!$E51</f>
        <v>3015300</v>
      </c>
      <c r="CN269" s="171">
        <f>+'[166]VENTAS TOTALES'!$F51</f>
        <v>13174500</v>
      </c>
      <c r="CO269" s="165">
        <f>+'[167]VENTAS TOTALES'!$D51</f>
        <v>5286</v>
      </c>
      <c r="CP269" s="170">
        <f>+'[167]VENTAS TOTALES'!$E51</f>
        <v>3057100</v>
      </c>
      <c r="CQ269" s="171">
        <f>+'[167]VENTAS TOTALES'!$F51</f>
        <v>12043300</v>
      </c>
      <c r="CR269" s="165">
        <f>+'[168]VENTAS TOTALES'!$D51</f>
        <v>4954</v>
      </c>
      <c r="CS269" s="170">
        <f>+'[168]VENTAS TOTALES'!$E51</f>
        <v>1872600</v>
      </c>
      <c r="CT269" s="171">
        <f>+'[168]VENTAS TOTALES'!$F51</f>
        <v>10294400</v>
      </c>
      <c r="CU269" s="165">
        <f>+'[169]VENTAS TOTALES'!$D51</f>
        <v>4251</v>
      </c>
      <c r="CV269" s="170">
        <f>+'[169]VENTAS TOTALES'!$E51</f>
        <v>1378200</v>
      </c>
      <c r="CW269" s="171">
        <f>+'[169]VENTAS TOTALES'!$F51</f>
        <v>8604900</v>
      </c>
      <c r="CX269" s="165">
        <f>+'[170]VENTAS TOTALES'!$D51</f>
        <v>1903</v>
      </c>
      <c r="CY269" s="170">
        <f>+'[170]VENTAS TOTALES'!$E51</f>
        <v>477400</v>
      </c>
      <c r="CZ269" s="171">
        <f>+'[170]VENTAS TOTALES'!$F51</f>
        <v>3712500</v>
      </c>
    </row>
    <row r="270" spans="1:104" s="10" customFormat="1" x14ac:dyDescent="0.2">
      <c r="A270" s="471"/>
      <c r="B270" s="53" t="s">
        <v>247</v>
      </c>
      <c r="C270" s="165">
        <f>+'[137]VENTAS TOTALES'!$D52</f>
        <v>2246</v>
      </c>
      <c r="D270" s="170">
        <f>+'[137]VENTAS TOTALES'!$E52</f>
        <v>1565950</v>
      </c>
      <c r="E270" s="171">
        <f>+'[137]VENTAS TOTALES'!$F52</f>
        <v>5384150</v>
      </c>
      <c r="F270" s="165">
        <f>+'[138]VENTAS TOTALES'!$D52</f>
        <v>2092</v>
      </c>
      <c r="G270" s="170">
        <f>+'[138]VENTAS TOTALES'!$E52</f>
        <v>1176500</v>
      </c>
      <c r="H270" s="171">
        <f>+'[138]VENTAS TOTALES'!$F52</f>
        <v>4732900</v>
      </c>
      <c r="I270" s="165">
        <f>+'[139]VENTAS TOTALES'!$D52</f>
        <v>1885</v>
      </c>
      <c r="J270" s="170">
        <f>+'[139]VENTAS TOTALES'!$E52</f>
        <v>1054300</v>
      </c>
      <c r="K270" s="171">
        <f>+'[139]VENTAS TOTALES'!$F52</f>
        <v>4258800</v>
      </c>
      <c r="L270" s="165">
        <f>+'[140]VENTAS TOTALES'!$D52</f>
        <v>1749</v>
      </c>
      <c r="M270" s="170">
        <f>+'[140]VENTAS TOTALES'!$E52</f>
        <v>726000</v>
      </c>
      <c r="N270" s="171">
        <f>+'[140]VENTAS TOTALES'!$F52</f>
        <v>3699300</v>
      </c>
      <c r="O270" s="165">
        <f>+'[141]VENTAS TOTALES'!$D52</f>
        <v>1254</v>
      </c>
      <c r="P270" s="170">
        <f>+'[141]VENTAS TOTALES'!$E52</f>
        <v>574800</v>
      </c>
      <c r="Q270" s="171">
        <f>+'[141]VENTAS TOTALES'!$F52</f>
        <v>2706600</v>
      </c>
      <c r="R270" s="165">
        <f>+'[142]VENTAS TOTALES'!$D52</f>
        <v>572</v>
      </c>
      <c r="S270" s="170">
        <f>+'[142]VENTAS TOTALES'!$E52</f>
        <v>108500</v>
      </c>
      <c r="T270" s="171">
        <f>+'[142]VENTAS TOTALES'!$F52</f>
        <v>1080900</v>
      </c>
      <c r="U270" s="165">
        <f>+'[143]VENTAS TOTALES'!$D52</f>
        <v>2278</v>
      </c>
      <c r="V270" s="170">
        <f>+'[143]VENTAS TOTALES'!$E52</f>
        <v>1418900</v>
      </c>
      <c r="W270" s="171">
        <f>+'[143]VENTAS TOTALES'!$F52</f>
        <v>5291500</v>
      </c>
      <c r="X270" s="165">
        <f>+'[144]VENTAS TOTALES'!$D52</f>
        <v>2121</v>
      </c>
      <c r="Y270" s="170">
        <f>+'[144]VENTAS TOTALES'!$E52</f>
        <v>913800</v>
      </c>
      <c r="Z270" s="171">
        <f>+'[144]VENTAS TOTALES'!$F52</f>
        <v>4519500</v>
      </c>
      <c r="AA270" s="165">
        <f>+'[145]VENTAS TOTALES'!$D52</f>
        <v>1973</v>
      </c>
      <c r="AB270" s="170">
        <f>+'[145]VENTAS TOTALES'!$E52</f>
        <v>647100</v>
      </c>
      <c r="AC270" s="171">
        <f>+'[145]VENTAS TOTALES'!$F52</f>
        <v>4001200</v>
      </c>
      <c r="AD270" s="165">
        <f>+'[146]VENTAS TOTALES'!$D52</f>
        <v>1892</v>
      </c>
      <c r="AE270" s="170">
        <f>+'[146]VENTAS TOTALES'!$E52</f>
        <v>904300</v>
      </c>
      <c r="AF270" s="171">
        <f>+'[146]VENTAS TOTALES'!$F52</f>
        <v>4120700</v>
      </c>
      <c r="AG270" s="165">
        <f>+'[147]VENTAS TOTALES'!$D52</f>
        <v>1758</v>
      </c>
      <c r="AH270" s="170">
        <f>+'[147]VENTAS TOTALES'!$E52</f>
        <v>821100</v>
      </c>
      <c r="AI270" s="171">
        <f>+'[147]VENTAS TOTALES'!$F52</f>
        <v>3809700</v>
      </c>
      <c r="AJ270" s="165">
        <f>+'[148]VENTAS TOTALES'!$D52</f>
        <v>1261</v>
      </c>
      <c r="AK270" s="170">
        <f>+'[148]VENTAS TOTALES'!$E52</f>
        <v>505500</v>
      </c>
      <c r="AL270" s="171">
        <f>+'[148]VENTAS TOTALES'!$F52</f>
        <v>2649200</v>
      </c>
      <c r="AM270" s="165">
        <f>+'[149]VENTAS TOTALES'!$D52</f>
        <v>525</v>
      </c>
      <c r="AN270" s="170">
        <f>+'[149]VENTAS TOTALES'!$E52</f>
        <v>141900</v>
      </c>
      <c r="AO270" s="171">
        <f>+'[149]VENTAS TOTALES'!$F52</f>
        <v>1034400</v>
      </c>
      <c r="AP270" s="165">
        <f>+'[150]VENTAS TOTALES'!$D52</f>
        <v>2491</v>
      </c>
      <c r="AQ270" s="170">
        <f>+'[150]VENTAS TOTALES'!$E52</f>
        <v>1286500</v>
      </c>
      <c r="AR270" s="171">
        <f>+'[150]VENTAS TOTALES'!$F52</f>
        <v>5521200</v>
      </c>
      <c r="AS270" s="165">
        <f>+'[151]VENTAS TOTALES'!$D52</f>
        <v>2308</v>
      </c>
      <c r="AT270" s="170">
        <f>+'[151]VENTAS TOTALES'!$E52</f>
        <v>1058500</v>
      </c>
      <c r="AU270" s="171">
        <f>+'[151]VENTAS TOTALES'!$F52</f>
        <v>4982100</v>
      </c>
      <c r="AV270" s="165">
        <f>+'[152]VENTAS TOTALES'!$D52</f>
        <v>2413</v>
      </c>
      <c r="AW270" s="170">
        <f>+'[152]VENTAS TOTALES'!$E52</f>
        <v>1403000</v>
      </c>
      <c r="AX270" s="171">
        <f>+'[152]VENTAS TOTALES'!$F52</f>
        <v>5505100</v>
      </c>
      <c r="AY270" s="165">
        <f>+'[153]VENTAS TOTALES'!$D52</f>
        <v>2098</v>
      </c>
      <c r="AZ270" s="170">
        <f>+'[153]VENTAS TOTALES'!$E52</f>
        <v>1734600</v>
      </c>
      <c r="BA270" s="171">
        <f>+'[153]VENTAS TOTALES'!$F52</f>
        <v>5301200</v>
      </c>
      <c r="BB270" s="165">
        <f>+'[154]VENTAS TOTALES'!$D52</f>
        <v>1914</v>
      </c>
      <c r="BC270" s="170">
        <f>+'[154]VENTAS TOTALES'!$E52</f>
        <v>833600</v>
      </c>
      <c r="BD270" s="171">
        <f>+'[154]VENTAS TOTALES'!$F52</f>
        <v>4087400</v>
      </c>
      <c r="BE270" s="165">
        <f>+'[155]VENTAS TOTALES'!$D52</f>
        <v>1226</v>
      </c>
      <c r="BF270" s="170">
        <f>+'[155]VENTAS TOTALES'!$E52</f>
        <v>374200</v>
      </c>
      <c r="BG270" s="171">
        <f>+'[155]VENTAS TOTALES'!$F52</f>
        <v>2458400</v>
      </c>
      <c r="BH270" s="165">
        <f>+'[156]VENTAS TOTALES'!$D52</f>
        <v>504</v>
      </c>
      <c r="BI270" s="170">
        <f>+'[156]VENTAS TOTALES'!$E52</f>
        <v>131700</v>
      </c>
      <c r="BJ270" s="171">
        <f>+'[156]VENTAS TOTALES'!$F52</f>
        <v>988500</v>
      </c>
      <c r="BK270" s="165">
        <f>+'[157]VENTAS TOTALES'!$D52</f>
        <v>2641</v>
      </c>
      <c r="BL270" s="170">
        <f>+'[157]VENTAS TOTALES'!$E52</f>
        <v>1320500</v>
      </c>
      <c r="BM270" s="171">
        <f>+'[157]VENTAS TOTALES'!$F52</f>
        <v>5810200</v>
      </c>
      <c r="BN270" s="165">
        <f>+'[158]VENTAS TOTALES'!$D52</f>
        <v>2090</v>
      </c>
      <c r="BO270" s="170">
        <f>+'[158]VENTAS TOTALES'!$E52</f>
        <v>933000</v>
      </c>
      <c r="BP270" s="171">
        <f>+'[158]VENTAS TOTALES'!$F52</f>
        <v>4486000</v>
      </c>
      <c r="BQ270" s="165">
        <f>+'[159]VENTAS TOTALES'!$D52</f>
        <v>2150</v>
      </c>
      <c r="BR270" s="170">
        <f>+'[159]VENTAS TOTALES'!$E52</f>
        <v>766700</v>
      </c>
      <c r="BS270" s="171">
        <f>+'[159]VENTAS TOTALES'!$F52</f>
        <v>4421700</v>
      </c>
      <c r="BT270" s="165">
        <f>+'[160]VENTAS TOTALES'!$D52</f>
        <v>2097</v>
      </c>
      <c r="BU270" s="170">
        <f>+'[160]VENTAS TOTALES'!$E52</f>
        <v>684000</v>
      </c>
      <c r="BV270" s="171">
        <f>+'[160]VENTAS TOTALES'!$F52</f>
        <v>4248900</v>
      </c>
      <c r="BW270" s="165">
        <f>+'[161]VENTAS TOTALES'!$D52</f>
        <v>1900</v>
      </c>
      <c r="BX270" s="170">
        <f>+'[161]VENTAS TOTALES'!$E52</f>
        <v>740000</v>
      </c>
      <c r="BY270" s="171">
        <f>+'[161]VENTAS TOTALES'!$F52</f>
        <v>3970000</v>
      </c>
      <c r="BZ270" s="165">
        <f>+'[162]VENTAS TOTALES'!$D52</f>
        <v>1246</v>
      </c>
      <c r="CA270" s="170">
        <f>+'[162]VENTAS TOTALES'!$E52</f>
        <v>433850</v>
      </c>
      <c r="CB270" s="171">
        <f>+'[162]VENTAS TOTALES'!$F52</f>
        <v>2552050</v>
      </c>
      <c r="CC270" s="165">
        <f>+'[163]VENTAS TOTALES'!$D52</f>
        <v>587</v>
      </c>
      <c r="CD270" s="170">
        <f>+'[163]VENTAS TOTALES'!$E52</f>
        <v>167100</v>
      </c>
      <c r="CE270" s="171">
        <f>+'[163]VENTAS TOTALES'!$F52</f>
        <v>1165000</v>
      </c>
      <c r="CF270" s="165">
        <f>+'[164]VENTAS TOTALES'!$D52</f>
        <v>2620</v>
      </c>
      <c r="CG270" s="170">
        <f>+'[164]VENTAS TOTALES'!$E52</f>
        <v>1766500</v>
      </c>
      <c r="CH270" s="171">
        <f>+'[164]VENTAS TOTALES'!$F52</f>
        <v>6220500</v>
      </c>
      <c r="CI270" s="165">
        <f>+'[165]VENTAS TOTALES'!$D52</f>
        <v>2571</v>
      </c>
      <c r="CJ270" s="170">
        <f>+'[165]VENTAS TOTALES'!$E52</f>
        <v>1894350</v>
      </c>
      <c r="CK270" s="171">
        <f>+'[165]VENTAS TOTALES'!$F52</f>
        <v>6265050</v>
      </c>
      <c r="CL270" s="165">
        <f>+'[166]VENTAS TOTALES'!$D52</f>
        <v>2281</v>
      </c>
      <c r="CM270" s="170">
        <f>+'[166]VENTAS TOTALES'!$E52</f>
        <v>1514600</v>
      </c>
      <c r="CN270" s="171">
        <f>+'[166]VENTAS TOTALES'!$F52</f>
        <v>5392300</v>
      </c>
      <c r="CO270" s="165">
        <f>+'[167]VENTAS TOTALES'!$D52</f>
        <v>2130</v>
      </c>
      <c r="CP270" s="170">
        <f>+'[167]VENTAS TOTALES'!$E52</f>
        <v>1087500</v>
      </c>
      <c r="CQ270" s="171">
        <f>+'[167]VENTAS TOTALES'!$F52</f>
        <v>4708500</v>
      </c>
      <c r="CR270" s="165">
        <f>+'[168]VENTAS TOTALES'!$D52</f>
        <v>2002</v>
      </c>
      <c r="CS270" s="170">
        <f>+'[168]VENTAS TOTALES'!$E52</f>
        <v>854400</v>
      </c>
      <c r="CT270" s="171">
        <f>+'[168]VENTAS TOTALES'!$F52</f>
        <v>4257800</v>
      </c>
      <c r="CU270" s="165">
        <f>+'[169]VENTAS TOTALES'!$D52</f>
        <v>1390</v>
      </c>
      <c r="CV270" s="170">
        <f>+'[169]VENTAS TOTALES'!$E52</f>
        <v>576900</v>
      </c>
      <c r="CW270" s="171">
        <f>+'[169]VENTAS TOTALES'!$F52</f>
        <v>2939900</v>
      </c>
      <c r="CX270" s="165">
        <f>+'[170]VENTAS TOTALES'!$D52</f>
        <v>507</v>
      </c>
      <c r="CY270" s="170">
        <f>+'[170]VENTAS TOTALES'!$E52</f>
        <v>98500</v>
      </c>
      <c r="CZ270" s="171">
        <f>+'[170]VENTAS TOTALES'!$F52</f>
        <v>960400</v>
      </c>
    </row>
    <row r="271" spans="1:104" s="10" customFormat="1" x14ac:dyDescent="0.2">
      <c r="A271" s="471"/>
      <c r="B271" s="53" t="s">
        <v>248</v>
      </c>
      <c r="C271" s="165">
        <f>+'[137]VENTAS TOTALES'!$D53</f>
        <v>4625</v>
      </c>
      <c r="D271" s="170">
        <f>+'[137]VENTAS TOTALES'!$E53</f>
        <v>2653600</v>
      </c>
      <c r="E271" s="171">
        <f>+'[137]VENTAS TOTALES'!$F53</f>
        <v>10516100</v>
      </c>
      <c r="F271" s="165">
        <f>+'[138]VENTAS TOTALES'!$D53</f>
        <v>4824</v>
      </c>
      <c r="G271" s="170">
        <f>+'[138]VENTAS TOTALES'!$E53</f>
        <v>1808200</v>
      </c>
      <c r="H271" s="171">
        <f>+'[138]VENTAS TOTALES'!$F53</f>
        <v>10009000</v>
      </c>
      <c r="I271" s="165">
        <f>+'[139]VENTAS TOTALES'!$D53</f>
        <v>4079</v>
      </c>
      <c r="J271" s="170">
        <f>+'[139]VENTAS TOTALES'!$E53</f>
        <v>1555950</v>
      </c>
      <c r="K271" s="171">
        <f>+'[139]VENTAS TOTALES'!$F53</f>
        <v>8490250</v>
      </c>
      <c r="L271" s="165">
        <f>+'[140]VENTAS TOTALES'!$D53</f>
        <v>3837</v>
      </c>
      <c r="M271" s="170">
        <f>+'[140]VENTAS TOTALES'!$E53</f>
        <v>1263700</v>
      </c>
      <c r="N271" s="171">
        <f>+'[140]VENTAS TOTALES'!$F53</f>
        <v>7786600</v>
      </c>
      <c r="O271" s="165">
        <f>+'[141]VENTAS TOTALES'!$D53</f>
        <v>3200</v>
      </c>
      <c r="P271" s="170">
        <f>+'[141]VENTAS TOTALES'!$E53</f>
        <v>851300</v>
      </c>
      <c r="Q271" s="171">
        <f>+'[141]VENTAS TOTALES'!$F53</f>
        <v>6291300</v>
      </c>
      <c r="R271" s="165">
        <f>+'[142]VENTAS TOTALES'!$D53</f>
        <v>1445</v>
      </c>
      <c r="S271" s="170">
        <f>+'[142]VENTAS TOTALES'!$E53</f>
        <v>397900</v>
      </c>
      <c r="T271" s="171">
        <f>+'[142]VENTAS TOTALES'!$F53</f>
        <v>2854400</v>
      </c>
      <c r="U271" s="165">
        <f>+'[143]VENTAS TOTALES'!$D53</f>
        <v>5740</v>
      </c>
      <c r="V271" s="170">
        <f>+'[143]VENTAS TOTALES'!$E53</f>
        <v>2410450</v>
      </c>
      <c r="W271" s="171">
        <f>+'[143]VENTAS TOTALES'!$F53</f>
        <v>12168450</v>
      </c>
      <c r="X271" s="165">
        <f>+'[144]VENTAS TOTALES'!$D53</f>
        <v>4319</v>
      </c>
      <c r="Y271" s="170">
        <f>+'[144]VENTAS TOTALES'!$E53</f>
        <v>1798250</v>
      </c>
      <c r="Z271" s="171">
        <f>+'[144]VENTAS TOTALES'!$F53</f>
        <v>9140550</v>
      </c>
      <c r="AA271" s="165">
        <f>+'[145]VENTAS TOTALES'!$D53</f>
        <v>4086</v>
      </c>
      <c r="AB271" s="170">
        <f>+'[145]VENTAS TOTALES'!$E53</f>
        <v>1209750</v>
      </c>
      <c r="AC271" s="171">
        <f>+'[145]VENTAS TOTALES'!$F53</f>
        <v>8155950</v>
      </c>
      <c r="AD271" s="165">
        <f>+'[146]VENTAS TOTALES'!$D53</f>
        <v>4205</v>
      </c>
      <c r="AE271" s="170">
        <f>+'[146]VENTAS TOTALES'!$E53</f>
        <v>1196450</v>
      </c>
      <c r="AF271" s="171">
        <f>+'[146]VENTAS TOTALES'!$F53</f>
        <v>8344950</v>
      </c>
      <c r="AG271" s="165">
        <f>+'[147]VENTAS TOTALES'!$D53</f>
        <v>3770</v>
      </c>
      <c r="AH271" s="170">
        <f>+'[147]VENTAS TOTALES'!$E53</f>
        <v>1158800</v>
      </c>
      <c r="AI271" s="171">
        <f>+'[147]VENTAS TOTALES'!$F53</f>
        <v>7567800</v>
      </c>
      <c r="AJ271" s="165">
        <f>+'[148]VENTAS TOTALES'!$D53</f>
        <v>3193</v>
      </c>
      <c r="AK271" s="170">
        <f>+'[148]VENTAS TOTALES'!$E53</f>
        <v>867900</v>
      </c>
      <c r="AL271" s="171">
        <f>+'[148]VENTAS TOTALES'!$F53</f>
        <v>6296000</v>
      </c>
      <c r="AM271" s="165">
        <f>+'[149]VENTAS TOTALES'!$D53</f>
        <v>1245</v>
      </c>
      <c r="AN271" s="170">
        <f>+'[149]VENTAS TOTALES'!$E53</f>
        <v>336900</v>
      </c>
      <c r="AO271" s="171">
        <f>+'[149]VENTAS TOTALES'!$F53</f>
        <v>2453400</v>
      </c>
      <c r="AP271" s="165">
        <f>+'[150]VENTAS TOTALES'!$D53</f>
        <v>5509</v>
      </c>
      <c r="AQ271" s="170">
        <f>+'[150]VENTAS TOTALES'!$E53</f>
        <v>2093050</v>
      </c>
      <c r="AR271" s="171">
        <f>+'[150]VENTAS TOTALES'!$F53</f>
        <v>11458350</v>
      </c>
      <c r="AS271" s="165">
        <f>+'[151]VENTAS TOTALES'!$D53</f>
        <v>4659</v>
      </c>
      <c r="AT271" s="170">
        <f>+'[151]VENTAS TOTALES'!$E53</f>
        <v>2351600</v>
      </c>
      <c r="AU271" s="171">
        <f>+'[151]VENTAS TOTALES'!$F53</f>
        <v>10271900</v>
      </c>
      <c r="AV271" s="165">
        <f>+'[152]VENTAS TOTALES'!$D53</f>
        <v>4686</v>
      </c>
      <c r="AW271" s="170">
        <f>+'[152]VENTAS TOTALES'!$E53</f>
        <v>2209900</v>
      </c>
      <c r="AX271" s="171">
        <f>+'[152]VENTAS TOTALES'!$F53</f>
        <v>10176100</v>
      </c>
      <c r="AY271" s="165">
        <f>+'[153]VENTAS TOTALES'!$D53</f>
        <v>4691</v>
      </c>
      <c r="AZ271" s="170">
        <f>+'[153]VENTAS TOTALES'!$E53</f>
        <v>1565000</v>
      </c>
      <c r="BA271" s="171">
        <f>+'[153]VENTAS TOTALES'!$F53</f>
        <v>9539700</v>
      </c>
      <c r="BB271" s="165">
        <f>+'[154]VENTAS TOTALES'!$D53</f>
        <v>4188</v>
      </c>
      <c r="BC271" s="170">
        <f>+'[154]VENTAS TOTALES'!$E53</f>
        <v>1317500</v>
      </c>
      <c r="BD271" s="171">
        <f>+'[154]VENTAS TOTALES'!$F53</f>
        <v>8437100</v>
      </c>
      <c r="BE271" s="165">
        <f>+'[155]VENTAS TOTALES'!$D53</f>
        <v>3266</v>
      </c>
      <c r="BF271" s="170">
        <f>+'[155]VENTAS TOTALES'!$E53</f>
        <v>854250</v>
      </c>
      <c r="BG271" s="171">
        <f>+'[155]VENTAS TOTALES'!$F53</f>
        <v>6406450</v>
      </c>
      <c r="BH271" s="165">
        <f>+'[156]VENTAS TOTALES'!$D53</f>
        <v>1368</v>
      </c>
      <c r="BI271" s="170">
        <f>+'[156]VENTAS TOTALES'!$E53</f>
        <v>436400</v>
      </c>
      <c r="BJ271" s="171">
        <f>+'[156]VENTAS TOTALES'!$F53</f>
        <v>2762000</v>
      </c>
      <c r="BK271" s="165">
        <f>+'[157]VENTAS TOTALES'!$D53</f>
        <v>5817</v>
      </c>
      <c r="BL271" s="170">
        <f>+'[157]VENTAS TOTALES'!$E53</f>
        <v>2191550</v>
      </c>
      <c r="BM271" s="171">
        <f>+'[157]VENTAS TOTALES'!$F53</f>
        <v>12080450</v>
      </c>
      <c r="BN271" s="165">
        <f>+'[158]VENTAS TOTALES'!$D53</f>
        <v>4379</v>
      </c>
      <c r="BO271" s="170">
        <f>+'[158]VENTAS TOTALES'!$E53</f>
        <v>1283400</v>
      </c>
      <c r="BP271" s="171">
        <f>+'[158]VENTAS TOTALES'!$F53</f>
        <v>8727700</v>
      </c>
      <c r="BQ271" s="165">
        <f>+'[159]VENTAS TOTALES'!$D53</f>
        <v>4113</v>
      </c>
      <c r="BR271" s="170">
        <f>+'[159]VENTAS TOTALES'!$E53</f>
        <v>1147200</v>
      </c>
      <c r="BS271" s="171">
        <f>+'[159]VENTAS TOTALES'!$F53</f>
        <v>8139300</v>
      </c>
      <c r="BT271" s="165">
        <f>+'[160]VENTAS TOTALES'!$D53</f>
        <v>3960</v>
      </c>
      <c r="BU271" s="170">
        <f>+'[160]VENTAS TOTALES'!$E53</f>
        <v>1160900</v>
      </c>
      <c r="BV271" s="171">
        <f>+'[160]VENTAS TOTALES'!$F53</f>
        <v>7892900</v>
      </c>
      <c r="BW271" s="165">
        <f>+'[161]VENTAS TOTALES'!$D53</f>
        <v>4239</v>
      </c>
      <c r="BX271" s="170">
        <f>+'[161]VENTAS TOTALES'!$E53</f>
        <v>1006600</v>
      </c>
      <c r="BY271" s="171">
        <f>+'[161]VENTAS TOTALES'!$F53</f>
        <v>8212900</v>
      </c>
      <c r="BZ271" s="165">
        <f>+'[162]VENTAS TOTALES'!$D53</f>
        <v>3248</v>
      </c>
      <c r="CA271" s="170">
        <f>+'[162]VENTAS TOTALES'!$E53</f>
        <v>1181150</v>
      </c>
      <c r="CB271" s="171">
        <f>+'[162]VENTAS TOTALES'!$F53</f>
        <v>6702750</v>
      </c>
      <c r="CC271" s="165">
        <f>+'[163]VENTAS TOTALES'!$D53</f>
        <v>1417</v>
      </c>
      <c r="CD271" s="170">
        <f>+'[163]VENTAS TOTALES'!$E53</f>
        <v>548300</v>
      </c>
      <c r="CE271" s="171">
        <f>+'[163]VENTAS TOTALES'!$F53</f>
        <v>2957200</v>
      </c>
      <c r="CF271" s="165">
        <f>+'[164]VENTAS TOTALES'!$D53</f>
        <v>5840</v>
      </c>
      <c r="CG271" s="170">
        <f>+'[164]VENTAS TOTALES'!$E53</f>
        <v>2932100</v>
      </c>
      <c r="CH271" s="171">
        <f>+'[164]VENTAS TOTALES'!$F53</f>
        <v>12860100</v>
      </c>
      <c r="CI271" s="165">
        <f>+'[165]VENTAS TOTALES'!$D53</f>
        <v>5620</v>
      </c>
      <c r="CJ271" s="170">
        <f>+'[165]VENTAS TOTALES'!$E53</f>
        <v>2614300</v>
      </c>
      <c r="CK271" s="171">
        <f>+'[165]VENTAS TOTALES'!$F53</f>
        <v>12168300</v>
      </c>
      <c r="CL271" s="165">
        <f>+'[166]VENTAS TOTALES'!$D53</f>
        <v>4992</v>
      </c>
      <c r="CM271" s="170">
        <f>+'[166]VENTAS TOTALES'!$E53</f>
        <v>2275600</v>
      </c>
      <c r="CN271" s="171">
        <f>+'[166]VENTAS TOTALES'!$F53</f>
        <v>10762000</v>
      </c>
      <c r="CO271" s="165">
        <f>+'[167]VENTAS TOTALES'!$D53</f>
        <v>4685</v>
      </c>
      <c r="CP271" s="170">
        <f>+'[167]VENTAS TOTALES'!$E53</f>
        <v>1672500</v>
      </c>
      <c r="CQ271" s="171">
        <f>+'[167]VENTAS TOTALES'!$F53</f>
        <v>9637000</v>
      </c>
      <c r="CR271" s="165">
        <f>+'[168]VENTAS TOTALES'!$D53</f>
        <v>4182</v>
      </c>
      <c r="CS271" s="170">
        <f>+'[168]VENTAS TOTALES'!$E53</f>
        <v>984400</v>
      </c>
      <c r="CT271" s="171">
        <f>+'[168]VENTAS TOTALES'!$F53</f>
        <v>8093800</v>
      </c>
      <c r="CU271" s="165">
        <f>+'[169]VENTAS TOTALES'!$D53</f>
        <v>3460</v>
      </c>
      <c r="CV271" s="170">
        <f>+'[169]VENTAS TOTALES'!$E53</f>
        <v>787400</v>
      </c>
      <c r="CW271" s="171">
        <f>+'[169]VENTAS TOTALES'!$F53</f>
        <v>6669400</v>
      </c>
      <c r="CX271" s="165">
        <f>+'[170]VENTAS TOTALES'!$D53</f>
        <v>1360</v>
      </c>
      <c r="CY271" s="170">
        <f>+'[170]VENTAS TOTALES'!$E53</f>
        <v>372700</v>
      </c>
      <c r="CZ271" s="171">
        <f>+'[170]VENTAS TOTALES'!$F53</f>
        <v>2684700</v>
      </c>
    </row>
    <row r="272" spans="1:104" s="10" customFormat="1" x14ac:dyDescent="0.2">
      <c r="A272" s="471"/>
      <c r="B272" s="53" t="s">
        <v>249</v>
      </c>
      <c r="C272" s="165">
        <f>+'[137]VENTAS TOTALES'!$D54</f>
        <v>9927</v>
      </c>
      <c r="D272" s="170">
        <f>+'[137]VENTAS TOTALES'!$E54</f>
        <v>4916400</v>
      </c>
      <c r="E272" s="171">
        <f>+'[137]VENTAS TOTALES'!$F54</f>
        <v>21792300</v>
      </c>
      <c r="F272" s="165">
        <f>+'[138]VENTAS TOTALES'!$D54</f>
        <v>9044</v>
      </c>
      <c r="G272" s="170">
        <f>+'[138]VENTAS TOTALES'!$E54</f>
        <v>4066250</v>
      </c>
      <c r="H272" s="171">
        <f>+'[138]VENTAS TOTALES'!$F54</f>
        <v>19441050</v>
      </c>
      <c r="I272" s="165">
        <f>+'[139]VENTAS TOTALES'!$D54</f>
        <v>7259</v>
      </c>
      <c r="J272" s="170">
        <f>+'[139]VENTAS TOTALES'!$E54</f>
        <v>1835200</v>
      </c>
      <c r="K272" s="171">
        <f>+'[139]VENTAS TOTALES'!$F54</f>
        <v>14175500</v>
      </c>
      <c r="L272" s="165">
        <f>+'[140]VENTAS TOTALES'!$D54</f>
        <v>7617</v>
      </c>
      <c r="M272" s="170">
        <f>+'[140]VENTAS TOTALES'!$E54</f>
        <v>2268000</v>
      </c>
      <c r="N272" s="171">
        <f>+'[140]VENTAS TOTALES'!$F54</f>
        <v>15216900</v>
      </c>
      <c r="O272" s="165">
        <f>+'[141]VENTAS TOTALES'!$D54</f>
        <v>6063</v>
      </c>
      <c r="P272" s="170">
        <f>+'[141]VENTAS TOTALES'!$E54</f>
        <v>1387000</v>
      </c>
      <c r="Q272" s="171">
        <f>+'[141]VENTAS TOTALES'!$F54</f>
        <v>11694100</v>
      </c>
      <c r="R272" s="165">
        <f>+'[142]VENTAS TOTALES'!$D54</f>
        <v>2345</v>
      </c>
      <c r="S272" s="170">
        <f>+'[142]VENTAS TOTALES'!$E54</f>
        <v>731100</v>
      </c>
      <c r="T272" s="171">
        <f>+'[142]VENTAS TOTALES'!$F54</f>
        <v>4717600</v>
      </c>
      <c r="U272" s="165">
        <f>+'[143]VENTAS TOTALES'!$D54</f>
        <v>9938</v>
      </c>
      <c r="V272" s="170">
        <f>+'[143]VENTAS TOTALES'!$E54</f>
        <v>3537300</v>
      </c>
      <c r="W272" s="171">
        <f>+'[143]VENTAS TOTALES'!$F54</f>
        <v>20431900</v>
      </c>
      <c r="X272" s="165">
        <f>+'[144]VENTAS TOTALES'!$D54</f>
        <v>8621</v>
      </c>
      <c r="Y272" s="170">
        <f>+'[144]VENTAS TOTALES'!$E54</f>
        <v>2401200</v>
      </c>
      <c r="Z272" s="171">
        <f>+'[144]VENTAS TOTALES'!$F54</f>
        <v>17056900</v>
      </c>
      <c r="AA272" s="165">
        <f>+'[145]VENTAS TOTALES'!$D54</f>
        <v>8199</v>
      </c>
      <c r="AB272" s="170">
        <f>+'[145]VENTAS TOTALES'!$E54</f>
        <v>2514600</v>
      </c>
      <c r="AC272" s="171">
        <f>+'[145]VENTAS TOTALES'!$F54</f>
        <v>16452900</v>
      </c>
      <c r="AD272" s="165">
        <f>+'[146]VENTAS TOTALES'!$D54</f>
        <v>7867</v>
      </c>
      <c r="AE272" s="170">
        <f>+'[146]VENTAS TOTALES'!$E54</f>
        <v>2300100</v>
      </c>
      <c r="AF272" s="171">
        <f>+'[146]VENTAS TOTALES'!$F54</f>
        <v>15674000</v>
      </c>
      <c r="AG272" s="165">
        <f>+'[147]VENTAS TOTALES'!$D54</f>
        <v>8005</v>
      </c>
      <c r="AH272" s="170">
        <f>+'[147]VENTAS TOTALES'!$E54</f>
        <v>1919200</v>
      </c>
      <c r="AI272" s="171">
        <f>+'[147]VENTAS TOTALES'!$F54</f>
        <v>15527700</v>
      </c>
      <c r="AJ272" s="165">
        <f>+'[148]VENTAS TOTALES'!$D54</f>
        <v>6062</v>
      </c>
      <c r="AK272" s="170">
        <f>+'[148]VENTAS TOTALES'!$E54</f>
        <v>1511300</v>
      </c>
      <c r="AL272" s="171">
        <f>+'[148]VENTAS TOTALES'!$F54</f>
        <v>11816700</v>
      </c>
      <c r="AM272" s="165">
        <f>+'[149]VENTAS TOTALES'!$D54</f>
        <v>2476</v>
      </c>
      <c r="AN272" s="170">
        <f>+'[149]VENTAS TOTALES'!$E54</f>
        <v>434300</v>
      </c>
      <c r="AO272" s="171">
        <f>+'[149]VENTAS TOTALES'!$F54</f>
        <v>4643500</v>
      </c>
      <c r="AP272" s="165">
        <f>+'[150]VENTAS TOTALES'!$D54</f>
        <v>10141</v>
      </c>
      <c r="AQ272" s="170">
        <f>+'[150]VENTAS TOTALES'!$E54</f>
        <v>3795600</v>
      </c>
      <c r="AR272" s="171">
        <f>+'[150]VENTAS TOTALES'!$F54</f>
        <v>21035300</v>
      </c>
      <c r="AS272" s="165">
        <f>+'[151]VENTAS TOTALES'!$D54</f>
        <v>8794</v>
      </c>
      <c r="AT272" s="170">
        <f>+'[151]VENTAS TOTALES'!$E54</f>
        <v>3213600</v>
      </c>
      <c r="AU272" s="171">
        <f>+'[151]VENTAS TOTALES'!$F54</f>
        <v>18163400</v>
      </c>
      <c r="AV272" s="165">
        <f>+'[152]VENTAS TOTALES'!$D54</f>
        <v>9678</v>
      </c>
      <c r="AW272" s="170">
        <f>+'[152]VENTAS TOTALES'!$E54</f>
        <v>3754600</v>
      </c>
      <c r="AX272" s="171">
        <f>+'[152]VENTAS TOTALES'!$F54</f>
        <v>20207200</v>
      </c>
      <c r="AY272" s="165">
        <f>+'[153]VENTAS TOTALES'!$D54</f>
        <v>8428</v>
      </c>
      <c r="AZ272" s="170">
        <f>+'[153]VENTAS TOTALES'!$E54</f>
        <v>3003300</v>
      </c>
      <c r="BA272" s="171">
        <f>+'[153]VENTAS TOTALES'!$F54</f>
        <v>17330900</v>
      </c>
      <c r="BB272" s="165">
        <f>+'[154]VENTAS TOTALES'!$D54</f>
        <v>8014</v>
      </c>
      <c r="BC272" s="170">
        <f>+'[154]VENTAS TOTALES'!$E54</f>
        <v>2772300</v>
      </c>
      <c r="BD272" s="171">
        <f>+'[154]VENTAS TOTALES'!$F54</f>
        <v>16396100</v>
      </c>
      <c r="BE272" s="165">
        <f>+'[155]VENTAS TOTALES'!$D54</f>
        <v>6207</v>
      </c>
      <c r="BF272" s="170">
        <f>+'[155]VENTAS TOTALES'!$E54</f>
        <v>1379050</v>
      </c>
      <c r="BG272" s="171">
        <f>+'[155]VENTAS TOTALES'!$F54</f>
        <v>11930950</v>
      </c>
      <c r="BH272" s="165">
        <f>+'[156]VENTAS TOTALES'!$D54</f>
        <v>2435</v>
      </c>
      <c r="BI272" s="170">
        <f>+'[156]VENTAS TOTALES'!$E54</f>
        <v>543700</v>
      </c>
      <c r="BJ272" s="171">
        <f>+'[156]VENTAS TOTALES'!$F54</f>
        <v>4683200</v>
      </c>
      <c r="BK272" s="165">
        <f>+'[157]VENTAS TOTALES'!$D54</f>
        <v>10347</v>
      </c>
      <c r="BL272" s="170">
        <f>+'[157]VENTAS TOTALES'!$E54</f>
        <v>3155100</v>
      </c>
      <c r="BM272" s="171">
        <f>+'[157]VENTAS TOTALES'!$F54</f>
        <v>20745000</v>
      </c>
      <c r="BN272" s="165">
        <f>+'[158]VENTAS TOTALES'!$D54</f>
        <v>8394</v>
      </c>
      <c r="BO272" s="170">
        <f>+'[158]VENTAS TOTALES'!$E54</f>
        <v>2431800</v>
      </c>
      <c r="BP272" s="171">
        <f>+'[158]VENTAS TOTALES'!$F54</f>
        <v>16701600</v>
      </c>
      <c r="BQ272" s="165">
        <f>+'[159]VENTAS TOTALES'!$D54</f>
        <v>8046</v>
      </c>
      <c r="BR272" s="170">
        <f>+'[159]VENTAS TOTALES'!$E54</f>
        <v>2319000</v>
      </c>
      <c r="BS272" s="171">
        <f>+'[159]VENTAS TOTALES'!$F54</f>
        <v>15997200</v>
      </c>
      <c r="BT272" s="165">
        <f>+'[160]VENTAS TOTALES'!$D54</f>
        <v>7615</v>
      </c>
      <c r="BU272" s="170">
        <f>+'[160]VENTAS TOTALES'!$E54</f>
        <v>2289000</v>
      </c>
      <c r="BV272" s="171">
        <f>+'[160]VENTAS TOTALES'!$F54</f>
        <v>15234500</v>
      </c>
      <c r="BW272" s="165">
        <f>+'[161]VENTAS TOTALES'!$D54</f>
        <v>7800</v>
      </c>
      <c r="BX272" s="170">
        <f>+'[161]VENTAS TOTALES'!$E54</f>
        <v>2843100</v>
      </c>
      <c r="BY272" s="171">
        <f>+'[161]VENTAS TOTALES'!$F54</f>
        <v>16103100</v>
      </c>
      <c r="BZ272" s="165">
        <f>+'[162]VENTAS TOTALES'!$D54</f>
        <v>6309</v>
      </c>
      <c r="CA272" s="170">
        <f>+'[162]VENTAS TOTALES'!$E54</f>
        <v>2011600</v>
      </c>
      <c r="CB272" s="171">
        <f>+'[162]VENTAS TOTALES'!$F54</f>
        <v>12736900</v>
      </c>
      <c r="CC272" s="165">
        <f>+'[163]VENTAS TOTALES'!$D54</f>
        <v>2575</v>
      </c>
      <c r="CD272" s="170">
        <f>+'[163]VENTAS TOTALES'!$E54</f>
        <v>842700</v>
      </c>
      <c r="CE272" s="171">
        <f>+'[163]VENTAS TOTALES'!$F54</f>
        <v>5220200</v>
      </c>
      <c r="CF272" s="165">
        <f>+'[164]VENTAS TOTALES'!$D54</f>
        <v>11080</v>
      </c>
      <c r="CG272" s="170">
        <f>+'[164]VENTAS TOTALES'!$E54</f>
        <v>5576600</v>
      </c>
      <c r="CH272" s="171">
        <f>+'[164]VENTAS TOTALES'!$F54</f>
        <v>24412600</v>
      </c>
      <c r="CI272" s="165">
        <f>+'[165]VENTAS TOTALES'!$D54</f>
        <v>9871</v>
      </c>
      <c r="CJ272" s="170">
        <f>+'[165]VENTAS TOTALES'!$E54</f>
        <v>4518900</v>
      </c>
      <c r="CK272" s="171">
        <f>+'[165]VENTAS TOTALES'!$F54</f>
        <v>21299600</v>
      </c>
      <c r="CL272" s="165">
        <f>+'[166]VENTAS TOTALES'!$D54</f>
        <v>9676</v>
      </c>
      <c r="CM272" s="170">
        <f>+'[166]VENTAS TOTALES'!$E54</f>
        <v>3822300</v>
      </c>
      <c r="CN272" s="171">
        <f>+'[166]VENTAS TOTALES'!$F54</f>
        <v>20271500</v>
      </c>
      <c r="CO272" s="165">
        <f>+'[167]VENTAS TOTALES'!$D54</f>
        <v>9116</v>
      </c>
      <c r="CP272" s="170">
        <f>+'[167]VENTAS TOTALES'!$E54</f>
        <v>2671300</v>
      </c>
      <c r="CQ272" s="171">
        <f>+'[167]VENTAS TOTALES'!$F54</f>
        <v>18168500</v>
      </c>
      <c r="CR272" s="165">
        <f>+'[168]VENTAS TOTALES'!$D54</f>
        <v>8468</v>
      </c>
      <c r="CS272" s="170">
        <f>+'[168]VENTAS TOTALES'!$E54</f>
        <v>2446100</v>
      </c>
      <c r="CT272" s="171">
        <f>+'[168]VENTAS TOTALES'!$F54</f>
        <v>16841700</v>
      </c>
      <c r="CU272" s="165">
        <f>+'[169]VENTAS TOTALES'!$D54</f>
        <v>7042</v>
      </c>
      <c r="CV272" s="170">
        <f>+'[169]VENTAS TOTALES'!$E54</f>
        <v>1728000</v>
      </c>
      <c r="CW272" s="171">
        <f>+'[169]VENTAS TOTALES'!$F54</f>
        <v>13699400</v>
      </c>
      <c r="CX272" s="165">
        <f>+'[170]VENTAS TOTALES'!$D54</f>
        <v>2650</v>
      </c>
      <c r="CY272" s="170">
        <f>+'[170]VENTAS TOTALES'!$E54</f>
        <v>700400</v>
      </c>
      <c r="CZ272" s="171">
        <f>+'[170]VENTAS TOTALES'!$F54</f>
        <v>5205400</v>
      </c>
    </row>
    <row r="273" spans="1:104" s="10" customFormat="1" x14ac:dyDescent="0.2">
      <c r="A273" s="471"/>
      <c r="B273" s="118" t="s">
        <v>251</v>
      </c>
      <c r="C273" s="117">
        <f>+'[137]VENTAS TOTALES'!$D55</f>
        <v>16559</v>
      </c>
      <c r="D273" s="156">
        <f>+'[137]VENTAS TOTALES'!$E55</f>
        <v>7193700</v>
      </c>
      <c r="E273" s="156">
        <f>+'[137]VENTAS TOTALES'!$F55</f>
        <v>35344000</v>
      </c>
      <c r="F273" s="117">
        <f>+'[138]VENTAS TOTALES'!$D55</f>
        <v>15257</v>
      </c>
      <c r="G273" s="156">
        <f>+'[138]VENTAS TOTALES'!$E55</f>
        <v>5656800</v>
      </c>
      <c r="H273" s="156">
        <f>+'[138]VENTAS TOTALES'!$F55</f>
        <v>31593700</v>
      </c>
      <c r="I273" s="117">
        <f>+'[139]VENTAS TOTALES'!$D55</f>
        <v>12954</v>
      </c>
      <c r="J273" s="156">
        <f>+'[139]VENTAS TOTALES'!$E55</f>
        <v>4197900</v>
      </c>
      <c r="K273" s="156">
        <f>+'[139]VENTAS TOTALES'!$F55</f>
        <v>26219700</v>
      </c>
      <c r="L273" s="117">
        <f>+'[140]VENTAS TOTALES'!$D55</f>
        <v>13501</v>
      </c>
      <c r="M273" s="156">
        <f>+'[140]VENTAS TOTALES'!$E55</f>
        <v>3552250</v>
      </c>
      <c r="N273" s="156">
        <f>+'[140]VENTAS TOTALES'!$F55</f>
        <v>26503950</v>
      </c>
      <c r="O273" s="117">
        <f>+'[141]VENTAS TOTALES'!$D55</f>
        <v>10799</v>
      </c>
      <c r="P273" s="156">
        <f>+'[141]VENTAS TOTALES'!$E55</f>
        <v>2579100</v>
      </c>
      <c r="Q273" s="156">
        <f>+'[141]VENTAS TOTALES'!$F55</f>
        <v>20937400</v>
      </c>
      <c r="R273" s="117">
        <f>+'[142]VENTAS TOTALES'!$D55</f>
        <v>6238</v>
      </c>
      <c r="S273" s="156">
        <f>+'[142]VENTAS TOTALES'!$E55</f>
        <v>1421900</v>
      </c>
      <c r="T273" s="156">
        <f>+'[142]VENTAS TOTALES'!$F55</f>
        <v>12026500</v>
      </c>
      <c r="U273" s="117">
        <f>+'[143]VENTAS TOTALES'!$D55</f>
        <v>17969</v>
      </c>
      <c r="V273" s="156">
        <f>+'[143]VENTAS TOTALES'!$E55</f>
        <v>5707300</v>
      </c>
      <c r="W273" s="156">
        <f>+'[143]VENTAS TOTALES'!$F55</f>
        <v>36254600</v>
      </c>
      <c r="X273" s="117">
        <f>+'[144]VENTAS TOTALES'!$D55</f>
        <v>14559</v>
      </c>
      <c r="Y273" s="156">
        <f>+'[144]VENTAS TOTALES'!$E55</f>
        <v>3443600</v>
      </c>
      <c r="Z273" s="156">
        <f>+'[144]VENTAS TOTALES'!$F55</f>
        <v>28193900</v>
      </c>
      <c r="AA273" s="117">
        <f>+'[145]VENTAS TOTALES'!$D55</f>
        <v>14122</v>
      </c>
      <c r="AB273" s="156">
        <f>+'[145]VENTAS TOTALES'!$E55</f>
        <v>3354800</v>
      </c>
      <c r="AC273" s="156">
        <f>+'[145]VENTAS TOTALES'!$F55</f>
        <v>27362200</v>
      </c>
      <c r="AD273" s="117">
        <f>+'[146]VENTAS TOTALES'!$D55</f>
        <v>14188</v>
      </c>
      <c r="AE273" s="156">
        <f>+'[146]VENTAS TOTALES'!$E55</f>
        <v>3147000</v>
      </c>
      <c r="AF273" s="156">
        <f>+'[146]VENTAS TOTALES'!$F55</f>
        <v>27266600</v>
      </c>
      <c r="AG273" s="117">
        <f>+'[147]VENTAS TOTALES'!$D55</f>
        <v>14181</v>
      </c>
      <c r="AH273" s="156">
        <f>+'[147]VENTAS TOTALES'!$E55</f>
        <v>3241500</v>
      </c>
      <c r="AI273" s="156">
        <f>+'[147]VENTAS TOTALES'!$F55</f>
        <v>27349200</v>
      </c>
      <c r="AJ273" s="117">
        <f>+'[148]VENTAS TOTALES'!$D55</f>
        <v>10677</v>
      </c>
      <c r="AK273" s="156">
        <f>+'[148]VENTAS TOTALES'!$E55</f>
        <v>2583950</v>
      </c>
      <c r="AL273" s="156">
        <f>+'[148]VENTAS TOTALES'!$F55</f>
        <v>20734850</v>
      </c>
      <c r="AM273" s="117">
        <f>+'[149]VENTAS TOTALES'!$D55</f>
        <v>5630</v>
      </c>
      <c r="AN273" s="156">
        <f>+'[149]VENTAS TOTALES'!$E55</f>
        <v>1331000</v>
      </c>
      <c r="AO273" s="156">
        <f>+'[149]VENTAS TOTALES'!$F55</f>
        <v>10902000</v>
      </c>
      <c r="AP273" s="117">
        <f>+'[150]VENTAS TOTALES'!$D55</f>
        <v>18952</v>
      </c>
      <c r="AQ273" s="156">
        <f>+'[150]VENTAS TOTALES'!$E55</f>
        <v>4823200</v>
      </c>
      <c r="AR273" s="156">
        <f>+'[150]VENTAS TOTALES'!$F55</f>
        <v>37041600</v>
      </c>
      <c r="AS273" s="117">
        <f>+'[151]VENTAS TOTALES'!$D55</f>
        <v>16659</v>
      </c>
      <c r="AT273" s="156">
        <f>+'[151]VENTAS TOTALES'!$E55</f>
        <v>5282600</v>
      </c>
      <c r="AU273" s="156">
        <f>+'[151]VENTAS TOTALES'!$F55</f>
        <v>33602900</v>
      </c>
      <c r="AV273" s="117">
        <f>+'[152]VENTAS TOTALES'!$D55</f>
        <v>16603</v>
      </c>
      <c r="AW273" s="156">
        <f>+'[152]VENTAS TOTALES'!$E55</f>
        <v>7059500</v>
      </c>
      <c r="AX273" s="156">
        <f>+'[152]VENTAS TOTALES'!$F55</f>
        <v>35284600</v>
      </c>
      <c r="AY273" s="117">
        <f>+'[153]VENTAS TOTALES'!$D55</f>
        <v>15420</v>
      </c>
      <c r="AZ273" s="156">
        <f>+'[153]VENTAS TOTALES'!$E55</f>
        <v>4905800</v>
      </c>
      <c r="BA273" s="156">
        <f>+'[153]VENTAS TOTALES'!$F55</f>
        <v>31119800</v>
      </c>
      <c r="BB273" s="117">
        <f>+'[154]VENTAS TOTALES'!$D55</f>
        <v>14534</v>
      </c>
      <c r="BC273" s="156">
        <f>+'[154]VENTAS TOTALES'!$E55</f>
        <v>3878000</v>
      </c>
      <c r="BD273" s="156">
        <f>+'[154]VENTAS TOTALES'!$F55</f>
        <v>28585800</v>
      </c>
      <c r="BE273" s="117">
        <f>+'[155]VENTAS TOTALES'!$D55</f>
        <v>11237</v>
      </c>
      <c r="BF273" s="156">
        <f>+'[155]VENTAS TOTALES'!$E55</f>
        <v>2419500</v>
      </c>
      <c r="BG273" s="156">
        <f>+'[155]VENTAS TOTALES'!$F55</f>
        <v>21522400</v>
      </c>
      <c r="BH273" s="117">
        <f>+'[156]VENTAS TOTALES'!$D55</f>
        <v>5913</v>
      </c>
      <c r="BI273" s="156">
        <f>+'[156]VENTAS TOTALES'!$E55</f>
        <v>1546700</v>
      </c>
      <c r="BJ273" s="156">
        <f>+'[156]VENTAS TOTALES'!$F55</f>
        <v>11598800</v>
      </c>
      <c r="BK273" s="117">
        <f>+'[157]VENTAS TOTALES'!$D55</f>
        <v>18772</v>
      </c>
      <c r="BL273" s="156">
        <f>+'[157]VENTAS TOTALES'!$E55</f>
        <v>5765200</v>
      </c>
      <c r="BM273" s="156">
        <f>+'[157]VENTAS TOTALES'!$F55</f>
        <v>37677600</v>
      </c>
      <c r="BN273" s="117">
        <f>+'[158]VENTAS TOTALES'!$D55</f>
        <v>14918</v>
      </c>
      <c r="BO273" s="156">
        <f>+'[158]VENTAS TOTALES'!$E55</f>
        <v>3702600</v>
      </c>
      <c r="BP273" s="156">
        <f>+'[158]VENTAS TOTALES'!$F55</f>
        <v>29063200</v>
      </c>
      <c r="BQ273" s="117">
        <f>+'[159]VENTAS TOTALES'!$D55</f>
        <v>14247</v>
      </c>
      <c r="BR273" s="156">
        <f>+'[159]VENTAS TOTALES'!$E55</f>
        <v>3016400</v>
      </c>
      <c r="BS273" s="156">
        <f>+'[159]VENTAS TOTALES'!$F55</f>
        <v>27236300</v>
      </c>
      <c r="BT273" s="117">
        <f>+'[160]VENTAS TOTALES'!$D55</f>
        <v>14078</v>
      </c>
      <c r="BU273" s="156">
        <f>+'[160]VENTAS TOTALES'!$E55</f>
        <v>2732300</v>
      </c>
      <c r="BV273" s="156">
        <f>+'[160]VENTAS TOTALES'!$F55</f>
        <v>26664900</v>
      </c>
      <c r="BW273" s="117">
        <f>+'[161]VENTAS TOTALES'!$D55</f>
        <v>14289</v>
      </c>
      <c r="BX273" s="156">
        <f>+'[161]VENTAS TOTALES'!$E55</f>
        <v>2934900</v>
      </c>
      <c r="BY273" s="156">
        <f>+'[161]VENTAS TOTALES'!$F55</f>
        <v>27226200</v>
      </c>
      <c r="BZ273" s="117">
        <f>+'[162]VENTAS TOTALES'!$D55</f>
        <v>11601</v>
      </c>
      <c r="CA273" s="156">
        <f>+'[162]VENTAS TOTALES'!$E55</f>
        <v>2897500</v>
      </c>
      <c r="CB273" s="156">
        <f>+'[162]VENTAS TOTALES'!$F55</f>
        <v>22619200</v>
      </c>
      <c r="CC273" s="117">
        <f>+'[163]VENTAS TOTALES'!$D55</f>
        <v>5725</v>
      </c>
      <c r="CD273" s="156">
        <f>+'[163]VENTAS TOTALES'!$E55</f>
        <v>1566600</v>
      </c>
      <c r="CE273" s="156">
        <f>+'[163]VENTAS TOTALES'!$F55</f>
        <v>11299100</v>
      </c>
      <c r="CF273" s="117">
        <f>+'[164]VENTAS TOTALES'!$D55</f>
        <v>20322</v>
      </c>
      <c r="CG273" s="156">
        <f>+'[164]VENTAS TOTALES'!$E55</f>
        <v>7973800</v>
      </c>
      <c r="CH273" s="156">
        <f>+'[164]VENTAS TOTALES'!$F55</f>
        <v>42521200</v>
      </c>
      <c r="CI273" s="117">
        <f>+'[165]VENTAS TOTALES'!$D55</f>
        <v>18263</v>
      </c>
      <c r="CJ273" s="156">
        <f>+'[165]VENTAS TOTALES'!$E55</f>
        <v>6771100</v>
      </c>
      <c r="CK273" s="156">
        <f>+'[165]VENTAS TOTALES'!$F55</f>
        <v>37818200</v>
      </c>
      <c r="CL273" s="117">
        <f>+'[166]VENTAS TOTALES'!$D55</f>
        <v>16960</v>
      </c>
      <c r="CM273" s="156">
        <f>+'[166]VENTAS TOTALES'!$E55</f>
        <v>5768200</v>
      </c>
      <c r="CN273" s="156">
        <f>+'[166]VENTAS TOTALES'!$F55</f>
        <v>34600200</v>
      </c>
      <c r="CO273" s="117">
        <f>+'[167]VENTAS TOTALES'!$D55</f>
        <v>16204</v>
      </c>
      <c r="CP273" s="156">
        <f>+'[167]VENTAS TOTALES'!$E55</f>
        <v>3877500</v>
      </c>
      <c r="CQ273" s="156">
        <f>+'[167]VENTAS TOTALES'!$F55</f>
        <v>31424300</v>
      </c>
      <c r="CR273" s="117">
        <f>+'[168]VENTAS TOTALES'!$D55</f>
        <v>15287</v>
      </c>
      <c r="CS273" s="156">
        <f>+'[168]VENTAS TOTALES'!$E55</f>
        <v>3374950</v>
      </c>
      <c r="CT273" s="156">
        <f>+'[168]VENTAS TOTALES'!$F55</f>
        <v>29362850</v>
      </c>
      <c r="CU273" s="117">
        <f>+'[169]VENTAS TOTALES'!$D55</f>
        <v>12544</v>
      </c>
      <c r="CV273" s="156">
        <f>+'[169]VENTAS TOTALES'!$E55</f>
        <v>2941400</v>
      </c>
      <c r="CW273" s="156">
        <f>+'[169]VENTAS TOTALES'!$F55</f>
        <v>24266200</v>
      </c>
      <c r="CX273" s="117">
        <f>+'[170]VENTAS TOTALES'!$D55</f>
        <v>6319</v>
      </c>
      <c r="CY273" s="156">
        <f>+'[170]VENTAS TOTALES'!$E55</f>
        <v>1355400</v>
      </c>
      <c r="CZ273" s="156">
        <f>+'[170]VENTAS TOTALES'!$F55</f>
        <v>12097700</v>
      </c>
    </row>
    <row r="274" spans="1:104" s="10" customFormat="1" x14ac:dyDescent="0.2">
      <c r="A274" s="471"/>
      <c r="B274" s="118" t="s">
        <v>252</v>
      </c>
      <c r="C274" s="117">
        <f>+'[137]VENTAS TOTALES'!$D56</f>
        <v>28335</v>
      </c>
      <c r="D274" s="156">
        <f>+'[137]VENTAS TOTALES'!$E56</f>
        <v>14799350</v>
      </c>
      <c r="E274" s="156">
        <f>+'[137]VENTAS TOTALES'!$F56</f>
        <v>62968850</v>
      </c>
      <c r="F274" s="117">
        <f>+'[138]VENTAS TOTALES'!$D56</f>
        <v>26319</v>
      </c>
      <c r="G274" s="156">
        <f>+'[138]VENTAS TOTALES'!$E56</f>
        <v>12849100</v>
      </c>
      <c r="H274" s="156">
        <f>+'[138]VENTAS TOTALES'!$F56</f>
        <v>57591400</v>
      </c>
      <c r="I274" s="117">
        <f>+'[139]VENTAS TOTALES'!$D56</f>
        <v>22245</v>
      </c>
      <c r="J274" s="156">
        <f>+'[139]VENTAS TOTALES'!$E56</f>
        <v>7816350</v>
      </c>
      <c r="K274" s="156">
        <f>+'[139]VENTAS TOTALES'!$F56</f>
        <v>45632850</v>
      </c>
      <c r="L274" s="117">
        <f>+'[140]VENTAS TOTALES'!$D56</f>
        <v>23498</v>
      </c>
      <c r="M274" s="156">
        <f>+'[140]VENTAS TOTALES'!$E56</f>
        <v>7182350</v>
      </c>
      <c r="N274" s="156">
        <f>+'[140]VENTAS TOTALES'!$F56</f>
        <v>47128950</v>
      </c>
      <c r="O274" s="117">
        <f>+'[141]VENTAS TOTALES'!$D56</f>
        <v>18441</v>
      </c>
      <c r="P274" s="156">
        <f>+'[141]VENTAS TOTALES'!$E56</f>
        <v>4632100</v>
      </c>
      <c r="Q274" s="156">
        <f>+'[141]VENTAS TOTALES'!$F56</f>
        <v>35981800</v>
      </c>
      <c r="R274" s="117">
        <f>+'[142]VENTAS TOTALES'!$D56</f>
        <v>9712</v>
      </c>
      <c r="S274" s="156">
        <f>+'[142]VENTAS TOTALES'!$E56</f>
        <v>2275800</v>
      </c>
      <c r="T274" s="156">
        <f>+'[142]VENTAS TOTALES'!$F56</f>
        <v>18786200</v>
      </c>
      <c r="U274" s="117">
        <f>+'[143]VENTAS TOTALES'!$D56</f>
        <v>31927</v>
      </c>
      <c r="V274" s="156">
        <f>+'[143]VENTAS TOTALES'!$E56</f>
        <v>13338000</v>
      </c>
      <c r="W274" s="156">
        <f>+'[143]VENTAS TOTALES'!$F56</f>
        <v>67613900</v>
      </c>
      <c r="X274" s="117">
        <f>+'[144]VENTAS TOTALES'!$D56</f>
        <v>25055</v>
      </c>
      <c r="Y274" s="156">
        <f>+'[144]VENTAS TOTALES'!$E56</f>
        <v>7823600</v>
      </c>
      <c r="Z274" s="156">
        <f>+'[144]VENTAS TOTALES'!$F56</f>
        <v>50417100</v>
      </c>
      <c r="AA274" s="117">
        <f>+'[145]VENTAS TOTALES'!$D56</f>
        <v>23820</v>
      </c>
      <c r="AB274" s="156">
        <f>+'[145]VENTAS TOTALES'!$E56</f>
        <v>6600700</v>
      </c>
      <c r="AC274" s="156">
        <f>+'[145]VENTAS TOTALES'!$F56</f>
        <v>47094700</v>
      </c>
      <c r="AD274" s="117">
        <f>+'[146]VENTAS TOTALES'!$D56</f>
        <v>23954</v>
      </c>
      <c r="AE274" s="156">
        <f>+'[146]VENTAS TOTALES'!$E56</f>
        <v>6442100</v>
      </c>
      <c r="AF274" s="156">
        <f>+'[146]VENTAS TOTALES'!$F56</f>
        <v>47163900</v>
      </c>
      <c r="AG274" s="117">
        <f>+'[147]VENTAS TOTALES'!$D56</f>
        <v>23725</v>
      </c>
      <c r="AH274" s="156">
        <f>+'[147]VENTAS TOTALES'!$E56</f>
        <v>6060850</v>
      </c>
      <c r="AI274" s="156">
        <f>+'[147]VENTAS TOTALES'!$F56</f>
        <v>46393350</v>
      </c>
      <c r="AJ274" s="117">
        <f>+'[148]VENTAS TOTALES'!$D56</f>
        <v>18722</v>
      </c>
      <c r="AK274" s="156">
        <f>+'[148]VENTAS TOTALES'!$E56</f>
        <v>4273800</v>
      </c>
      <c r="AL274" s="156">
        <f>+'[148]VENTAS TOTALES'!$F56</f>
        <v>36101200</v>
      </c>
      <c r="AM274" s="117">
        <f>+'[149]VENTAS TOTALES'!$D56</f>
        <v>8920</v>
      </c>
      <c r="AN274" s="156">
        <f>+'[149]VENTAS TOTALES'!$E56</f>
        <v>1976300</v>
      </c>
      <c r="AO274" s="156">
        <f>+'[149]VENTAS TOTALES'!$F56</f>
        <v>17140300</v>
      </c>
      <c r="AP274" s="117">
        <f>+'[150]VENTAS TOTALES'!$D56</f>
        <v>32340</v>
      </c>
      <c r="AQ274" s="156">
        <f>+'[150]VENTAS TOTALES'!$E56</f>
        <v>11921000</v>
      </c>
      <c r="AR274" s="156">
        <f>+'[150]VENTAS TOTALES'!$F56</f>
        <v>66899000</v>
      </c>
      <c r="AS274" s="117">
        <f>+'[151]VENTAS TOTALES'!$D56</f>
        <v>27476</v>
      </c>
      <c r="AT274" s="156">
        <f>+'[151]VENTAS TOTALES'!$E56</f>
        <v>9926000</v>
      </c>
      <c r="AU274" s="156">
        <f>+'[151]VENTAS TOTALES'!$F56</f>
        <v>56635200</v>
      </c>
      <c r="AV274" s="117">
        <f>+'[152]VENTAS TOTALES'!$D56</f>
        <v>29516</v>
      </c>
      <c r="AW274" s="156">
        <f>+'[152]VENTAS TOTALES'!$E56</f>
        <v>14764500</v>
      </c>
      <c r="AX274" s="156">
        <f>+'[152]VENTAS TOTALES'!$F56</f>
        <v>64941700</v>
      </c>
      <c r="AY274" s="117">
        <f>+'[153]VENTAS TOTALES'!$D56</f>
        <v>28417</v>
      </c>
      <c r="AZ274" s="156">
        <f>+'[153]VENTAS TOTALES'!$E56</f>
        <v>11737900</v>
      </c>
      <c r="BA274" s="156">
        <f>+'[153]VENTAS TOTALES'!$F56</f>
        <v>60046800</v>
      </c>
      <c r="BB274" s="117">
        <f>+'[154]VENTAS TOTALES'!$D56</f>
        <v>24977</v>
      </c>
      <c r="BC274" s="156">
        <f>+'[154]VENTAS TOTALES'!$E56</f>
        <v>7456100</v>
      </c>
      <c r="BD274" s="156">
        <f>+'[154]VENTAS TOTALES'!$F56</f>
        <v>49917000</v>
      </c>
      <c r="BE274" s="117">
        <f>+'[155]VENTAS TOTALES'!$D56</f>
        <v>19243</v>
      </c>
      <c r="BF274" s="156">
        <f>+'[155]VENTAS TOTALES'!$E56</f>
        <v>4552550</v>
      </c>
      <c r="BG274" s="156">
        <f>+'[155]VENTAS TOTALES'!$F56</f>
        <v>37265650</v>
      </c>
      <c r="BH274" s="117">
        <f>+'[156]VENTAS TOTALES'!$D56</f>
        <v>9313</v>
      </c>
      <c r="BI274" s="156">
        <f>+'[156]VENTAS TOTALES'!$E56</f>
        <v>2103200</v>
      </c>
      <c r="BJ274" s="156">
        <f>+'[156]VENTAS TOTALES'!$F56</f>
        <v>17935300</v>
      </c>
      <c r="BK274" s="117">
        <f>+'[157]VENTAS TOTALES'!$D56</f>
        <v>32875</v>
      </c>
      <c r="BL274" s="156">
        <f>+'[157]VENTAS TOTALES'!$E56</f>
        <v>12787250</v>
      </c>
      <c r="BM274" s="156">
        <f>+'[157]VENTAS TOTALES'!$F56</f>
        <v>68674750</v>
      </c>
      <c r="BN274" s="117">
        <f>+'[158]VENTAS TOTALES'!$D56</f>
        <v>25511</v>
      </c>
      <c r="BO274" s="156">
        <f>+'[158]VENTAS TOTALES'!$E56</f>
        <v>6621950</v>
      </c>
      <c r="BP274" s="156">
        <f>+'[158]VENTAS TOTALES'!$F56</f>
        <v>49990650</v>
      </c>
      <c r="BQ274" s="117">
        <f>+'[159]VENTAS TOTALES'!$D56</f>
        <v>23881</v>
      </c>
      <c r="BR274" s="156">
        <f>+'[159]VENTAS TOTALES'!$E56</f>
        <v>6773900</v>
      </c>
      <c r="BS274" s="156">
        <f>+'[159]VENTAS TOTALES'!$F56</f>
        <v>47371600</v>
      </c>
      <c r="BT274" s="117">
        <f>+'[160]VENTAS TOTALES'!$D56</f>
        <v>23349</v>
      </c>
      <c r="BU274" s="156">
        <f>+'[160]VENTAS TOTALES'!$E56</f>
        <v>5328450</v>
      </c>
      <c r="BV274" s="156">
        <f>+'[160]VENTAS TOTALES'!$F56</f>
        <v>45021750</v>
      </c>
      <c r="BW274" s="117">
        <f>+'[161]VENTAS TOTALES'!$D56</f>
        <v>24080</v>
      </c>
      <c r="BX274" s="156">
        <f>+'[161]VENTAS TOTALES'!$E56</f>
        <v>6005350</v>
      </c>
      <c r="BY274" s="156">
        <f>+'[161]VENTAS TOTALES'!$F56</f>
        <v>46941350</v>
      </c>
      <c r="BZ274" s="117">
        <f>+'[162]VENTAS TOTALES'!$D56</f>
        <v>19696</v>
      </c>
      <c r="CA274" s="156">
        <f>+'[162]VENTAS TOTALES'!$E56</f>
        <v>5786900</v>
      </c>
      <c r="CB274" s="156">
        <f>+'[162]VENTAS TOTALES'!$F56</f>
        <v>39270100</v>
      </c>
      <c r="CC274" s="117">
        <f>+'[163]VENTAS TOTALES'!$D56</f>
        <v>9528</v>
      </c>
      <c r="CD274" s="156">
        <f>+'[163]VENTAS TOTALES'!$E56</f>
        <v>3087550</v>
      </c>
      <c r="CE274" s="156">
        <f>+'[163]VENTAS TOTALES'!$F56</f>
        <v>19285150</v>
      </c>
      <c r="CF274" s="117">
        <f>+'[164]VENTAS TOTALES'!$D56</f>
        <v>34774</v>
      </c>
      <c r="CG274" s="156">
        <f>+'[164]VENTAS TOTALES'!$E56</f>
        <v>15231700</v>
      </c>
      <c r="CH274" s="156">
        <f>+'[164]VENTAS TOTALES'!$F56</f>
        <v>74347500</v>
      </c>
      <c r="CI274" s="117">
        <f>+'[165]VENTAS TOTALES'!$D56</f>
        <v>30778</v>
      </c>
      <c r="CJ274" s="156">
        <f>+'[165]VENTAS TOTALES'!$E56</f>
        <v>15125550</v>
      </c>
      <c r="CK274" s="156">
        <f>+'[165]VENTAS TOTALES'!$F56</f>
        <v>67448150</v>
      </c>
      <c r="CL274" s="117">
        <f>+'[166]VENTAS TOTALES'!$D56</f>
        <v>28658</v>
      </c>
      <c r="CM274" s="156">
        <f>+'[166]VENTAS TOTALES'!$E56</f>
        <v>12117050</v>
      </c>
      <c r="CN274" s="156">
        <f>+'[166]VENTAS TOTALES'!$F56</f>
        <v>60835650</v>
      </c>
      <c r="CO274" s="117">
        <f>+'[167]VENTAS TOTALES'!$D56</f>
        <v>26003</v>
      </c>
      <c r="CP274" s="156">
        <f>+'[167]VENTAS TOTALES'!$E56</f>
        <v>9440650</v>
      </c>
      <c r="CQ274" s="156">
        <f>+'[167]VENTAS TOTALES'!$F56</f>
        <v>53645750</v>
      </c>
      <c r="CR274" s="117">
        <f>+'[168]VENTAS TOTALES'!$D56</f>
        <v>24708</v>
      </c>
      <c r="CS274" s="156">
        <f>+'[168]VENTAS TOTALES'!$E56</f>
        <v>6860450</v>
      </c>
      <c r="CT274" s="156">
        <f>+'[168]VENTAS TOTALES'!$F56</f>
        <v>48864050</v>
      </c>
      <c r="CU274" s="117">
        <f>+'[169]VENTAS TOTALES'!$D56</f>
        <v>19881</v>
      </c>
      <c r="CV274" s="156">
        <f>+'[169]VENTAS TOTALES'!$E56</f>
        <v>4791350</v>
      </c>
      <c r="CW274" s="156">
        <f>+'[169]VENTAS TOTALES'!$F56</f>
        <v>38589050</v>
      </c>
      <c r="CX274" s="117">
        <f>+'[170]VENTAS TOTALES'!$D56</f>
        <v>9788</v>
      </c>
      <c r="CY274" s="156">
        <f>+'[170]VENTAS TOTALES'!$E56</f>
        <v>2286050</v>
      </c>
      <c r="CZ274" s="156">
        <f>+'[170]VENTAS TOTALES'!$F56</f>
        <v>18925650</v>
      </c>
    </row>
    <row r="275" spans="1:104" s="10" customFormat="1" x14ac:dyDescent="0.2">
      <c r="A275" s="471"/>
      <c r="B275" s="118" t="s">
        <v>255</v>
      </c>
      <c r="C275" s="117">
        <f>+'[137]VENTAS TOTALES'!$D57</f>
        <v>12608</v>
      </c>
      <c r="D275" s="156">
        <f>+'[137]VENTAS TOTALES'!$E57</f>
        <v>8163950</v>
      </c>
      <c r="E275" s="156">
        <f>+'[137]VENTAS TOTALES'!$F57</f>
        <v>29597550</v>
      </c>
      <c r="F275" s="117">
        <f>+'[138]VENTAS TOTALES'!$D57</f>
        <v>11734</v>
      </c>
      <c r="G275" s="156">
        <f>+'[138]VENTAS TOTALES'!$E57</f>
        <v>6879400</v>
      </c>
      <c r="H275" s="156">
        <f>+'[138]VENTAS TOTALES'!$F57</f>
        <v>26827200</v>
      </c>
      <c r="I275" s="117">
        <f>+'[139]VENTAS TOTALES'!$D57</f>
        <v>9059</v>
      </c>
      <c r="J275" s="156">
        <f>+'[139]VENTAS TOTALES'!$E57</f>
        <v>4490850</v>
      </c>
      <c r="K275" s="156">
        <f>+'[139]VENTAS TOTALES'!$F57</f>
        <v>19891150</v>
      </c>
      <c r="L275" s="117">
        <f>+'[140]VENTAS TOTALES'!$D57</f>
        <v>9200</v>
      </c>
      <c r="M275" s="156">
        <f>+'[140]VENTAS TOTALES'!$E57</f>
        <v>3648650</v>
      </c>
      <c r="N275" s="156">
        <f>+'[140]VENTAS TOTALES'!$F57</f>
        <v>19288650</v>
      </c>
      <c r="O275" s="117">
        <f>+'[141]VENTAS TOTALES'!$D57</f>
        <v>7953</v>
      </c>
      <c r="P275" s="156">
        <f>+'[141]VENTAS TOTALES'!$E57</f>
        <v>3194800</v>
      </c>
      <c r="Q275" s="156">
        <f>+'[141]VENTAS TOTALES'!$F57</f>
        <v>16714900</v>
      </c>
      <c r="R275" s="117">
        <f>+'[142]VENTAS TOTALES'!$D57</f>
        <v>5208</v>
      </c>
      <c r="S275" s="156">
        <f>+'[142]VENTAS TOTALES'!$E57</f>
        <v>2470550</v>
      </c>
      <c r="T275" s="156">
        <f>+'[142]VENTAS TOTALES'!$F57</f>
        <v>11324150</v>
      </c>
      <c r="U275" s="117">
        <f>+'[143]VENTAS TOTALES'!$D57</f>
        <v>13021</v>
      </c>
      <c r="V275" s="156">
        <f>+'[143]VENTAS TOTALES'!$E57</f>
        <v>7160700</v>
      </c>
      <c r="W275" s="156">
        <f>+'[143]VENTAS TOTALES'!$F57</f>
        <v>29296400</v>
      </c>
      <c r="X275" s="117">
        <f>+'[144]VENTAS TOTALES'!$D57</f>
        <v>10358</v>
      </c>
      <c r="Y275" s="156">
        <f>+'[144]VENTAS TOTALES'!$E57</f>
        <v>4768400</v>
      </c>
      <c r="Z275" s="156">
        <f>+'[144]VENTAS TOTALES'!$F57</f>
        <v>22377000</v>
      </c>
      <c r="AA275" s="117">
        <f>+'[145]VENTAS TOTALES'!$D57</f>
        <v>9663</v>
      </c>
      <c r="AB275" s="156">
        <f>+'[145]VENTAS TOTALES'!$E57</f>
        <v>3618700</v>
      </c>
      <c r="AC275" s="156">
        <f>+'[145]VENTAS TOTALES'!$F57</f>
        <v>20045800</v>
      </c>
      <c r="AD275" s="117">
        <f>+'[146]VENTAS TOTALES'!$D57</f>
        <v>9675</v>
      </c>
      <c r="AE275" s="156">
        <f>+'[146]VENTAS TOTALES'!$E57</f>
        <v>3396350</v>
      </c>
      <c r="AF275" s="156">
        <f>+'[146]VENTAS TOTALES'!$F57</f>
        <v>19843850</v>
      </c>
      <c r="AG275" s="117">
        <f>+'[147]VENTAS TOTALES'!$D57</f>
        <v>9223</v>
      </c>
      <c r="AH275" s="156">
        <f>+'[147]VENTAS TOTALES'!$E57</f>
        <v>3289850</v>
      </c>
      <c r="AI275" s="156">
        <f>+'[147]VENTAS TOTALES'!$F57</f>
        <v>18968950</v>
      </c>
      <c r="AJ275" s="117">
        <f>+'[148]VENTAS TOTALES'!$D57</f>
        <v>7819</v>
      </c>
      <c r="AK275" s="156">
        <f>+'[148]VENTAS TOTALES'!$E57</f>
        <v>2739300</v>
      </c>
      <c r="AL275" s="156">
        <f>+'[148]VENTAS TOTALES'!$F57</f>
        <v>16031600</v>
      </c>
      <c r="AM275" s="117">
        <f>+'[149]VENTAS TOTALES'!$D57</f>
        <v>4665</v>
      </c>
      <c r="AN275" s="156">
        <f>+'[149]VENTAS TOTALES'!$E57</f>
        <v>1618400</v>
      </c>
      <c r="AO275" s="156">
        <f>+'[149]VENTAS TOTALES'!$F57</f>
        <v>9548900</v>
      </c>
      <c r="AP275" s="117">
        <f>+'[150]VENTAS TOTALES'!$D57</f>
        <v>12100</v>
      </c>
      <c r="AQ275" s="156">
        <f>+'[150]VENTAS TOTALES'!$E57</f>
        <v>4234150</v>
      </c>
      <c r="AR275" s="156">
        <f>+'[150]VENTAS TOTALES'!$F57</f>
        <v>24804150</v>
      </c>
      <c r="AS275" s="117">
        <f>+'[151]VENTAS TOTALES'!$D57</f>
        <v>11885</v>
      </c>
      <c r="AT275" s="156">
        <f>+'[151]VENTAS TOTALES'!$E57</f>
        <v>6631300</v>
      </c>
      <c r="AU275" s="156">
        <f>+'[151]VENTAS TOTALES'!$F57</f>
        <v>26835800</v>
      </c>
      <c r="AV275" s="117">
        <f>+'[152]VENTAS TOTALES'!$D57</f>
        <v>11187</v>
      </c>
      <c r="AW275" s="156">
        <f>+'[152]VENTAS TOTALES'!$E57</f>
        <v>6389600</v>
      </c>
      <c r="AX275" s="156">
        <f>+'[152]VENTAS TOTALES'!$F57</f>
        <v>25407500</v>
      </c>
      <c r="AY275" s="117">
        <f>+'[153]VENTAS TOTALES'!$D57</f>
        <v>10751</v>
      </c>
      <c r="AZ275" s="156">
        <f>+'[153]VENTAS TOTALES'!$E57</f>
        <v>5042250</v>
      </c>
      <c r="BA275" s="156">
        <f>+'[153]VENTAS TOTALES'!$F57</f>
        <v>23318950</v>
      </c>
      <c r="BB275" s="117">
        <f>+'[154]VENTAS TOTALES'!$D57</f>
        <v>9825</v>
      </c>
      <c r="BC275" s="156">
        <f>+'[154]VENTAS TOTALES'!$E57</f>
        <v>4084000</v>
      </c>
      <c r="BD275" s="156">
        <f>+'[154]VENTAS TOTALES'!$F57</f>
        <v>20786500</v>
      </c>
      <c r="BE275" s="117">
        <f>+'[155]VENTAS TOTALES'!$D57</f>
        <v>8491</v>
      </c>
      <c r="BF275" s="156">
        <f>+'[155]VENTAS TOTALES'!$E57</f>
        <v>3157200</v>
      </c>
      <c r="BG275" s="156">
        <f>+'[155]VENTAS TOTALES'!$F57</f>
        <v>17591900</v>
      </c>
      <c r="BH275" s="117">
        <f>+'[156]VENTAS TOTALES'!$D57</f>
        <v>5150</v>
      </c>
      <c r="BI275" s="156">
        <f>+'[156]VENTAS TOTALES'!$E57</f>
        <v>2153750</v>
      </c>
      <c r="BJ275" s="156">
        <f>+'[156]VENTAS TOTALES'!$F57</f>
        <v>10908750</v>
      </c>
      <c r="BK275" s="117">
        <f>+'[157]VENTAS TOTALES'!$D57</f>
        <v>13070</v>
      </c>
      <c r="BL275" s="156">
        <f>+'[157]VENTAS TOTALES'!$E57</f>
        <v>7142000</v>
      </c>
      <c r="BM275" s="156">
        <f>+'[157]VENTAS TOTALES'!$F57</f>
        <v>29361000</v>
      </c>
      <c r="BN275" s="117">
        <f>+'[158]VENTAS TOTALES'!$D57</f>
        <v>10418</v>
      </c>
      <c r="BO275" s="156">
        <f>+'[158]VENTAS TOTALES'!$E57</f>
        <v>4706150</v>
      </c>
      <c r="BP275" s="156">
        <f>+'[158]VENTAS TOTALES'!$F57</f>
        <v>22416750</v>
      </c>
      <c r="BQ275" s="117">
        <f>+'[159]VENTAS TOTALES'!$D57</f>
        <v>9685</v>
      </c>
      <c r="BR275" s="156">
        <f>+'[159]VENTAS TOTALES'!$E57</f>
        <v>3896650</v>
      </c>
      <c r="BS275" s="156">
        <f>+'[159]VENTAS TOTALES'!$F57</f>
        <v>20361150</v>
      </c>
      <c r="BT275" s="117">
        <f>+'[160]VENTAS TOTALES'!$D57</f>
        <v>9535</v>
      </c>
      <c r="BU275" s="156">
        <f>+'[160]VENTAS TOTALES'!$E57</f>
        <v>3808600</v>
      </c>
      <c r="BV275" s="156">
        <f>+'[160]VENTAS TOTALES'!$F57</f>
        <v>20018100</v>
      </c>
      <c r="BW275" s="117">
        <f>+'[161]VENTAS TOTALES'!$D57</f>
        <v>9666</v>
      </c>
      <c r="BX275" s="156">
        <f>+'[161]VENTAS TOTALES'!$E57</f>
        <v>3947400</v>
      </c>
      <c r="BY275" s="156">
        <f>+'[161]VENTAS TOTALES'!$F57</f>
        <v>20379600</v>
      </c>
      <c r="BZ275" s="117">
        <f>+'[162]VENTAS TOTALES'!$D57</f>
        <v>8643</v>
      </c>
      <c r="CA275" s="156">
        <f>+'[162]VENTAS TOTALES'!$E57</f>
        <v>3736800</v>
      </c>
      <c r="CB275" s="156">
        <f>+'[162]VENTAS TOTALES'!$F57</f>
        <v>18429900</v>
      </c>
      <c r="CC275" s="117">
        <f>+'[163]VENTAS TOTALES'!$D57</f>
        <v>5568</v>
      </c>
      <c r="CD275" s="156">
        <f>+'[163]VENTAS TOTALES'!$E57</f>
        <v>2642150</v>
      </c>
      <c r="CE275" s="156">
        <f>+'[163]VENTAS TOTALES'!$F57</f>
        <v>12107750</v>
      </c>
      <c r="CF275" s="117">
        <f>+'[164]VENTAS TOTALES'!$D57</f>
        <v>14841</v>
      </c>
      <c r="CG275" s="156">
        <f>+'[164]VENTAS TOTALES'!$E57</f>
        <v>9306800</v>
      </c>
      <c r="CH275" s="156">
        <f>+'[164]VENTAS TOTALES'!$F57</f>
        <v>34536500</v>
      </c>
      <c r="CI275" s="117">
        <f>+'[165]VENTAS TOTALES'!$D57</f>
        <v>13414</v>
      </c>
      <c r="CJ275" s="156">
        <f>+'[165]VENTAS TOTALES'!$E57</f>
        <v>8061100</v>
      </c>
      <c r="CK275" s="156">
        <f>+'[165]VENTAS TOTALES'!$F57</f>
        <v>30864900</v>
      </c>
      <c r="CL275" s="117">
        <f>+'[166]VENTAS TOTALES'!$D57</f>
        <v>12052</v>
      </c>
      <c r="CM275" s="156">
        <f>+'[166]VENTAS TOTALES'!$E57</f>
        <v>7565850</v>
      </c>
      <c r="CN275" s="156">
        <f>+'[166]VENTAS TOTALES'!$F57</f>
        <v>28054250</v>
      </c>
      <c r="CO275" s="117">
        <f>+'[167]VENTAS TOTALES'!$D57</f>
        <v>10922</v>
      </c>
      <c r="CP275" s="156">
        <f>+'[167]VENTAS TOTALES'!$E57</f>
        <v>4608700</v>
      </c>
      <c r="CQ275" s="156">
        <f>+'[167]VENTAS TOTALES'!$F57</f>
        <v>23176100</v>
      </c>
      <c r="CR275" s="117">
        <f>+'[168]VENTAS TOTALES'!$D57</f>
        <v>10321</v>
      </c>
      <c r="CS275" s="156">
        <f>+'[168]VENTAS TOTALES'!$E57</f>
        <v>4193000</v>
      </c>
      <c r="CT275" s="156">
        <f>+'[168]VENTAS TOTALES'!$F57</f>
        <v>21738700</v>
      </c>
      <c r="CU275" s="117">
        <f>+'[169]VENTAS TOTALES'!$D57</f>
        <v>9334</v>
      </c>
      <c r="CV275" s="156">
        <f>+'[169]VENTAS TOTALES'!$E57</f>
        <v>3382200</v>
      </c>
      <c r="CW275" s="156">
        <f>+'[169]VENTAS TOTALES'!$F57</f>
        <v>19250000</v>
      </c>
      <c r="CX275" s="117">
        <f>+'[170]VENTAS TOTALES'!$D57</f>
        <v>5302</v>
      </c>
      <c r="CY275" s="156">
        <f>+'[170]VENTAS TOTALES'!$E57</f>
        <v>2058700</v>
      </c>
      <c r="CZ275" s="156">
        <f>+'[170]VENTAS TOTALES'!$F57</f>
        <v>11072100</v>
      </c>
    </row>
    <row r="276" spans="1:104" s="10" customFormat="1" x14ac:dyDescent="0.2">
      <c r="A276" s="471"/>
      <c r="B276" s="118" t="s">
        <v>256</v>
      </c>
      <c r="C276" s="117">
        <f>+'[137]VENTAS TOTALES'!$D58</f>
        <v>47063</v>
      </c>
      <c r="D276" s="156">
        <f>+'[137]VENTAS TOTALES'!$E58</f>
        <v>23169750</v>
      </c>
      <c r="E276" s="156">
        <f>+'[137]VENTAS TOTALES'!$F58</f>
        <v>103176850</v>
      </c>
      <c r="F276" s="117">
        <f>+'[138]VENTAS TOTALES'!$D58</f>
        <v>43576</v>
      </c>
      <c r="G276" s="156">
        <f>+'[138]VENTAS TOTALES'!$E58</f>
        <v>18416200</v>
      </c>
      <c r="H276" s="156">
        <f>+'[138]VENTAS TOTALES'!$F58</f>
        <v>92495400</v>
      </c>
      <c r="I276" s="117">
        <f>+'[139]VENTAS TOTALES'!$D58</f>
        <v>35730</v>
      </c>
      <c r="J276" s="156">
        <f>+'[139]VENTAS TOTALES'!$E58</f>
        <v>13018300</v>
      </c>
      <c r="K276" s="156">
        <f>+'[139]VENTAS TOTALES'!$F58</f>
        <v>73759300</v>
      </c>
      <c r="L276" s="117">
        <f>+'[140]VENTAS TOTALES'!$D58</f>
        <v>37853</v>
      </c>
      <c r="M276" s="156">
        <f>+'[140]VENTAS TOTALES'!$E58</f>
        <v>10848850</v>
      </c>
      <c r="N276" s="156">
        <f>+'[140]VENTAS TOTALES'!$F58</f>
        <v>75198950</v>
      </c>
      <c r="O276" s="117">
        <f>+'[141]VENTAS TOTALES'!$D58</f>
        <v>29634</v>
      </c>
      <c r="P276" s="156">
        <f>+'[141]VENTAS TOTALES'!$E58</f>
        <v>7202900</v>
      </c>
      <c r="Q276" s="156">
        <f>+'[141]VENTAS TOTALES'!$F58</f>
        <v>57580700</v>
      </c>
      <c r="R276" s="117">
        <f>+'[142]VENTAS TOTALES'!$D58</f>
        <v>14890</v>
      </c>
      <c r="S276" s="156">
        <f>+'[142]VENTAS TOTALES'!$E58</f>
        <v>2875100</v>
      </c>
      <c r="T276" s="156">
        <f>+'[142]VENTAS TOTALES'!$F58</f>
        <v>28188100</v>
      </c>
      <c r="U276" s="117">
        <f>+'[143]VENTAS TOTALES'!$D58</f>
        <v>54924</v>
      </c>
      <c r="V276" s="156">
        <f>+'[143]VENTAS TOTALES'!$E58</f>
        <v>24842750</v>
      </c>
      <c r="W276" s="156">
        <f>+'[143]VENTAS TOTALES'!$F58</f>
        <v>118213550</v>
      </c>
      <c r="X276" s="117">
        <f>+'[144]VENTAS TOTALES'!$D58</f>
        <v>42696</v>
      </c>
      <c r="Y276" s="156">
        <f>+'[144]VENTAS TOTALES'!$E58</f>
        <v>13716550</v>
      </c>
      <c r="Z276" s="156">
        <f>+'[144]VENTAS TOTALES'!$F58</f>
        <v>86299750</v>
      </c>
      <c r="AA276" s="117">
        <f>+'[145]VENTAS TOTALES'!$D58</f>
        <v>39806</v>
      </c>
      <c r="AB276" s="156">
        <f>+'[145]VENTAS TOTALES'!$E58</f>
        <v>12050050</v>
      </c>
      <c r="AC276" s="156">
        <f>+'[145]VENTAS TOTALES'!$F58</f>
        <v>79720250</v>
      </c>
      <c r="AD276" s="117">
        <f>+'[146]VENTAS TOTALES'!$D58</f>
        <v>39487</v>
      </c>
      <c r="AE276" s="156">
        <f>+'[146]VENTAS TOTALES'!$E58</f>
        <v>13271650</v>
      </c>
      <c r="AF276" s="156">
        <f>+'[146]VENTAS TOTALES'!$F58</f>
        <v>80399550</v>
      </c>
      <c r="AG276" s="117">
        <f>+'[147]VENTAS TOTALES'!$D58</f>
        <v>38298</v>
      </c>
      <c r="AH276" s="156">
        <f>+'[147]VENTAS TOTALES'!$E58</f>
        <v>10879950</v>
      </c>
      <c r="AI276" s="156">
        <f>+'[147]VENTAS TOTALES'!$F58</f>
        <v>75986550</v>
      </c>
      <c r="AJ276" s="117">
        <f>+'[148]VENTAS TOTALES'!$D58</f>
        <v>29554</v>
      </c>
      <c r="AK276" s="156">
        <f>+'[148]VENTAS TOTALES'!$E58</f>
        <v>6682400</v>
      </c>
      <c r="AL276" s="156">
        <f>+'[148]VENTAS TOTALES'!$F58</f>
        <v>56924200</v>
      </c>
      <c r="AM276" s="117">
        <f>+'[149]VENTAS TOTALES'!$D58</f>
        <v>13760</v>
      </c>
      <c r="AN276" s="156">
        <f>+'[149]VENTAS TOTALES'!$E58</f>
        <v>2869000</v>
      </c>
      <c r="AO276" s="156">
        <f>+'[149]VENTAS TOTALES'!$F58</f>
        <v>26261000</v>
      </c>
      <c r="AP276" s="117">
        <f>+'[150]VENTAS TOTALES'!$D58</f>
        <v>42633</v>
      </c>
      <c r="AQ276" s="156">
        <f>+'[150]VENTAS TOTALES'!$E58</f>
        <v>12143750</v>
      </c>
      <c r="AR276" s="156">
        <f>+'[150]VENTAS TOTALES'!$F58</f>
        <v>84619850</v>
      </c>
      <c r="AS276" s="117">
        <f>+'[151]VENTAS TOTALES'!$D58</f>
        <v>44155</v>
      </c>
      <c r="AT276" s="156">
        <f>+'[151]VENTAS TOTALES'!$E58</f>
        <v>18449500</v>
      </c>
      <c r="AU276" s="156">
        <f>+'[151]VENTAS TOTALES'!$F58</f>
        <v>93513000</v>
      </c>
      <c r="AV276" s="117">
        <f>+'[152]VENTAS TOTALES'!$D58</f>
        <v>45049</v>
      </c>
      <c r="AW276" s="156">
        <f>+'[152]VENTAS TOTALES'!$E58</f>
        <v>20584900</v>
      </c>
      <c r="AX276" s="156">
        <f>+'[152]VENTAS TOTALES'!$F58</f>
        <v>97168200</v>
      </c>
      <c r="AY276" s="117">
        <f>+'[153]VENTAS TOTALES'!$D58</f>
        <v>41840</v>
      </c>
      <c r="AZ276" s="156">
        <f>+'[153]VENTAS TOTALES'!$E58</f>
        <v>16451950</v>
      </c>
      <c r="BA276" s="156">
        <f>+'[153]VENTAS TOTALES'!$F58</f>
        <v>87579950</v>
      </c>
      <c r="BB276" s="117">
        <f>+'[154]VENTAS TOTALES'!$D58</f>
        <v>39741</v>
      </c>
      <c r="BC276" s="156">
        <f>+'[154]VENTAS TOTALES'!$E58</f>
        <v>11768300</v>
      </c>
      <c r="BD276" s="156">
        <f>+'[154]VENTAS TOTALES'!$F58</f>
        <v>79328000</v>
      </c>
      <c r="BE276" s="117">
        <f>+'[155]VENTAS TOTALES'!$D58</f>
        <v>30410</v>
      </c>
      <c r="BF276" s="156">
        <f>+'[155]VENTAS TOTALES'!$E58</f>
        <v>8059300</v>
      </c>
      <c r="BG276" s="156">
        <f>+'[155]VENTAS TOTALES'!$F58</f>
        <v>59756300</v>
      </c>
      <c r="BH276" s="117">
        <f>+'[156]VENTAS TOTALES'!$D58</f>
        <v>14270</v>
      </c>
      <c r="BI276" s="156">
        <f>+'[156]VENTAS TOTALES'!$E58</f>
        <v>3039750</v>
      </c>
      <c r="BJ276" s="156">
        <f>+'[156]VENTAS TOTALES'!$F58</f>
        <v>27298750</v>
      </c>
      <c r="BK276" s="117">
        <f>+'[157]VENTAS TOTALES'!$D58</f>
        <v>54817</v>
      </c>
      <c r="BL276" s="156">
        <f>+'[157]VENTAS TOTALES'!$E58</f>
        <v>24319000</v>
      </c>
      <c r="BM276" s="156">
        <f>+'[157]VENTAS TOTALES'!$F58</f>
        <v>117507900</v>
      </c>
      <c r="BN276" s="117">
        <f>+'[158]VENTAS TOTALES'!$D58</f>
        <v>41894</v>
      </c>
      <c r="BO276" s="156">
        <f>+'[158]VENTAS TOTALES'!$E58</f>
        <v>13205350</v>
      </c>
      <c r="BP276" s="156">
        <f>+'[158]VENTAS TOTALES'!$F58</f>
        <v>84425150</v>
      </c>
      <c r="BQ276" s="117">
        <f>+'[159]VENTAS TOTALES'!$D58</f>
        <v>40024</v>
      </c>
      <c r="BR276" s="156">
        <f>+'[159]VENTAS TOTALES'!$E58</f>
        <v>10961550</v>
      </c>
      <c r="BS276" s="156">
        <f>+'[159]VENTAS TOTALES'!$F58</f>
        <v>79002350</v>
      </c>
      <c r="BT276" s="117">
        <f>+'[160]VENTAS TOTALES'!$D58</f>
        <v>38457</v>
      </c>
      <c r="BU276" s="156">
        <f>+'[160]VENTAS TOTALES'!$E58</f>
        <v>11958400</v>
      </c>
      <c r="BV276" s="156">
        <f>+'[160]VENTAS TOTALES'!$F58</f>
        <v>77335300</v>
      </c>
      <c r="BW276" s="117">
        <f>+'[161]VENTAS TOTALES'!$D58</f>
        <v>38866</v>
      </c>
      <c r="BX276" s="156">
        <f>+'[161]VENTAS TOTALES'!$E58</f>
        <v>11097300</v>
      </c>
      <c r="BY276" s="156">
        <f>+'[161]VENTAS TOTALES'!$F58</f>
        <v>77169500</v>
      </c>
      <c r="BZ276" s="117">
        <f>+'[162]VENTAS TOTALES'!$D58</f>
        <v>30616</v>
      </c>
      <c r="CA276" s="156">
        <f>+'[162]VENTAS TOTALES'!$E58</f>
        <v>8497050</v>
      </c>
      <c r="CB276" s="156">
        <f>+'[162]VENTAS TOTALES'!$F58</f>
        <v>60544250</v>
      </c>
      <c r="CC276" s="117">
        <f>+'[163]VENTAS TOTALES'!$D58</f>
        <v>14428</v>
      </c>
      <c r="CD276" s="156">
        <f>+'[163]VENTAS TOTALES'!$E58</f>
        <v>3486250</v>
      </c>
      <c r="CE276" s="156">
        <f>+'[163]VENTAS TOTALES'!$F58</f>
        <v>28013850</v>
      </c>
      <c r="CF276" s="117">
        <f>+'[164]VENTAS TOTALES'!$D58</f>
        <v>56555</v>
      </c>
      <c r="CG276" s="156">
        <f>+'[164]VENTAS TOTALES'!$E58</f>
        <v>29188200</v>
      </c>
      <c r="CH276" s="156">
        <f>+'[164]VENTAS TOTALES'!$F58</f>
        <v>125331700</v>
      </c>
      <c r="CI276" s="117">
        <f>+'[165]VENTAS TOTALES'!$D58</f>
        <v>49678</v>
      </c>
      <c r="CJ276" s="156">
        <f>+'[165]VENTAS TOTALES'!$E58</f>
        <v>25281750</v>
      </c>
      <c r="CK276" s="156">
        <f>+'[165]VENTAS TOTALES'!$F58</f>
        <v>109734350</v>
      </c>
      <c r="CL276" s="117">
        <f>+'[166]VENTAS TOTALES'!$D58</f>
        <v>46745</v>
      </c>
      <c r="CM276" s="156">
        <f>+'[166]VENTAS TOTALES'!$E58</f>
        <v>19646200</v>
      </c>
      <c r="CN276" s="156">
        <f>+'[166]VENTAS TOTALES'!$F58</f>
        <v>99112700</v>
      </c>
      <c r="CO276" s="117">
        <f>+'[167]VENTAS TOTALES'!$D58</f>
        <v>41918</v>
      </c>
      <c r="CP276" s="156">
        <f>+'[167]VENTAS TOTALES'!$E58</f>
        <v>15361750</v>
      </c>
      <c r="CQ276" s="156">
        <f>+'[167]VENTAS TOTALES'!$F58</f>
        <v>86622350</v>
      </c>
      <c r="CR276" s="117">
        <f>+'[168]VENTAS TOTALES'!$D58</f>
        <v>40406</v>
      </c>
      <c r="CS276" s="156">
        <f>+'[168]VENTAS TOTALES'!$E58</f>
        <v>11347250</v>
      </c>
      <c r="CT276" s="156">
        <f>+'[168]VENTAS TOTALES'!$F58</f>
        <v>80037450</v>
      </c>
      <c r="CU276" s="117">
        <f>+'[169]VENTAS TOTALES'!$D58</f>
        <v>31326</v>
      </c>
      <c r="CV276" s="156">
        <f>+'[169]VENTAS TOTALES'!$E58</f>
        <v>7760350</v>
      </c>
      <c r="CW276" s="156">
        <f>+'[169]VENTAS TOTALES'!$F58</f>
        <v>61014550</v>
      </c>
      <c r="CX276" s="117">
        <f>+'[170]VENTAS TOTALES'!$D58</f>
        <v>14699</v>
      </c>
      <c r="CY276" s="156">
        <f>+'[170]VENTAS TOTALES'!$E58</f>
        <v>3507450</v>
      </c>
      <c r="CZ276" s="156">
        <f>+'[170]VENTAS TOTALES'!$F58</f>
        <v>28495750</v>
      </c>
    </row>
    <row r="277" spans="1:104" s="10" customFormat="1" x14ac:dyDescent="0.2">
      <c r="A277" s="471"/>
      <c r="B277" s="116" t="s">
        <v>257</v>
      </c>
      <c r="C277" s="165">
        <f>+'[137]VENTAS TOTALES'!$D59</f>
        <v>8110</v>
      </c>
      <c r="D277" s="170">
        <f>+'[137]VENTAS TOTALES'!$E59</f>
        <v>4017250</v>
      </c>
      <c r="E277" s="171">
        <f>+'[137]VENTAS TOTALES'!$F59</f>
        <v>17804250</v>
      </c>
      <c r="F277" s="165">
        <f>+'[138]VENTAS TOTALES'!$D59</f>
        <v>8185</v>
      </c>
      <c r="G277" s="170">
        <f>+'[138]VENTAS TOTALES'!$E59</f>
        <v>3626400</v>
      </c>
      <c r="H277" s="171">
        <f>+'[138]VENTAS TOTALES'!$F59</f>
        <v>17540900</v>
      </c>
      <c r="I277" s="165">
        <f>+'[139]VENTAS TOTALES'!$D59</f>
        <v>6462</v>
      </c>
      <c r="J277" s="170">
        <f>+'[139]VENTAS TOTALES'!$E59</f>
        <v>2285800</v>
      </c>
      <c r="K277" s="171">
        <f>+'[139]VENTAS TOTALES'!$F59</f>
        <v>13271200</v>
      </c>
      <c r="L277" s="165">
        <f>+'[140]VENTAS TOTALES'!$D59</f>
        <v>6590</v>
      </c>
      <c r="M277" s="170">
        <f>+'[140]VENTAS TOTALES'!$E59</f>
        <v>2152100</v>
      </c>
      <c r="N277" s="171">
        <f>+'[140]VENTAS TOTALES'!$F59</f>
        <v>13355100</v>
      </c>
      <c r="O277" s="165">
        <f>+'[141]VENTAS TOTALES'!$D59</f>
        <v>4677</v>
      </c>
      <c r="P277" s="170">
        <f>+'[141]VENTAS TOTALES'!$E59</f>
        <v>1299300</v>
      </c>
      <c r="Q277" s="171">
        <f>+'[141]VENTAS TOTALES'!$F59</f>
        <v>9250200</v>
      </c>
      <c r="R277" s="165">
        <f>+'[142]VENTAS TOTALES'!$D59</f>
        <v>2353</v>
      </c>
      <c r="S277" s="170">
        <f>+'[142]VENTAS TOTALES'!$E59</f>
        <v>908600</v>
      </c>
      <c r="T277" s="171">
        <f>+'[142]VENTAS TOTALES'!$F59</f>
        <v>4908700</v>
      </c>
      <c r="U277" s="165">
        <f>+'[143]VENTAS TOTALES'!$D59</f>
        <v>9180</v>
      </c>
      <c r="V277" s="170">
        <f>+'[143]VENTAS TOTALES'!$E59</f>
        <v>4814500</v>
      </c>
      <c r="W277" s="171">
        <f>+'[143]VENTAS TOTALES'!$F59</f>
        <v>20420500</v>
      </c>
      <c r="X277" s="165">
        <f>+'[144]VENTAS TOTALES'!$D59</f>
        <v>7379</v>
      </c>
      <c r="Y277" s="170">
        <f>+'[144]VENTAS TOTALES'!$E59</f>
        <v>2200250</v>
      </c>
      <c r="Z277" s="171">
        <f>+'[144]VENTAS TOTALES'!$F59</f>
        <v>14744550</v>
      </c>
      <c r="AA277" s="165">
        <f>+'[145]VENTAS TOTALES'!$D59</f>
        <v>7192</v>
      </c>
      <c r="AB277" s="170">
        <f>+'[145]VENTAS TOTALES'!$E59</f>
        <v>2225700</v>
      </c>
      <c r="AC277" s="171">
        <f>+'[145]VENTAS TOTALES'!$F59</f>
        <v>14452100</v>
      </c>
      <c r="AD277" s="165">
        <f>+'[146]VENTAS TOTALES'!$D59</f>
        <v>7052</v>
      </c>
      <c r="AE277" s="170">
        <f>+'[146]VENTAS TOTALES'!$E59</f>
        <v>2459650</v>
      </c>
      <c r="AF277" s="171">
        <f>+'[146]VENTAS TOTALES'!$F59</f>
        <v>14448050</v>
      </c>
      <c r="AG277" s="165">
        <f>+'[147]VENTAS TOTALES'!$D59</f>
        <v>6448</v>
      </c>
      <c r="AH277" s="170">
        <f>+'[147]VENTAS TOTALES'!$E59</f>
        <v>2254800</v>
      </c>
      <c r="AI277" s="171">
        <f>+'[147]VENTAS TOTALES'!$F59</f>
        <v>13216400</v>
      </c>
      <c r="AJ277" s="165">
        <f>+'[148]VENTAS TOTALES'!$D59</f>
        <v>4950</v>
      </c>
      <c r="AK277" s="170">
        <f>+'[148]VENTAS TOTALES'!$E59</f>
        <v>1300000</v>
      </c>
      <c r="AL277" s="171">
        <f>+'[148]VENTAS TOTALES'!$F59</f>
        <v>9715000</v>
      </c>
      <c r="AM277" s="165">
        <f>+'[149]VENTAS TOTALES'!$D59</f>
        <v>1888</v>
      </c>
      <c r="AN277" s="170">
        <f>+'[149]VENTAS TOTALES'!$E59</f>
        <v>1007550</v>
      </c>
      <c r="AO277" s="171">
        <f>+'[149]VENTAS TOTALES'!$F59</f>
        <v>4217150</v>
      </c>
      <c r="AP277" s="165">
        <f>+'[150]VENTAS TOTALES'!$D59</f>
        <v>9629</v>
      </c>
      <c r="AQ277" s="170">
        <f>+'[150]VENTAS TOTALES'!$E59</f>
        <v>3876000</v>
      </c>
      <c r="AR277" s="171">
        <f>+'[150]VENTAS TOTALES'!$F59</f>
        <v>20245300</v>
      </c>
      <c r="AS277" s="165">
        <f>+'[151]VENTAS TOTALES'!$D59</f>
        <v>7659</v>
      </c>
      <c r="AT277" s="170">
        <f>+'[151]VENTAS TOTALES'!$E59</f>
        <v>3091750</v>
      </c>
      <c r="AU277" s="171">
        <f>+'[151]VENTAS TOTALES'!$F59</f>
        <v>16112050</v>
      </c>
      <c r="AV277" s="165">
        <f>+'[152]VENTAS TOTALES'!$D59</f>
        <v>7821</v>
      </c>
      <c r="AW277" s="170">
        <f>+'[152]VENTAS TOTALES'!$E59</f>
        <v>4039700</v>
      </c>
      <c r="AX277" s="171">
        <f>+'[152]VENTAS TOTALES'!$F59</f>
        <v>17335400</v>
      </c>
      <c r="AY277" s="165">
        <f>+'[153]VENTAS TOTALES'!$D59</f>
        <v>7423</v>
      </c>
      <c r="AZ277" s="170">
        <f>+'[153]VENTAS TOTALES'!$E59</f>
        <v>3135500</v>
      </c>
      <c r="BA277" s="171">
        <f>+'[153]VENTAS TOTALES'!$F59</f>
        <v>15754600</v>
      </c>
      <c r="BB277" s="165">
        <f>+'[154]VENTAS TOTALES'!$D59</f>
        <v>6807</v>
      </c>
      <c r="BC277" s="170">
        <f>+'[154]VENTAS TOTALES'!$E59</f>
        <v>2565200</v>
      </c>
      <c r="BD277" s="171">
        <f>+'[154]VENTAS TOTALES'!$F59</f>
        <v>14137100</v>
      </c>
      <c r="BE277" s="165">
        <f>+'[155]VENTAS TOTALES'!$D59</f>
        <v>4839</v>
      </c>
      <c r="BF277" s="170">
        <f>+'[155]VENTAS TOTALES'!$E59</f>
        <v>1303600</v>
      </c>
      <c r="BG277" s="171">
        <f>+'[155]VENTAS TOTALES'!$F59</f>
        <v>9529900</v>
      </c>
      <c r="BH277" s="165">
        <f>+'[156]VENTAS TOTALES'!$D59</f>
        <v>2172</v>
      </c>
      <c r="BI277" s="170">
        <f>+'[156]VENTAS TOTALES'!$E59</f>
        <v>930000</v>
      </c>
      <c r="BJ277" s="171">
        <f>+'[156]VENTAS TOTALES'!$F59</f>
        <v>4622400</v>
      </c>
      <c r="BK277" s="165">
        <f>+'[157]VENTAS TOTALES'!$D59</f>
        <v>10182</v>
      </c>
      <c r="BL277" s="170">
        <f>+'[157]VENTAS TOTALES'!$E59</f>
        <v>3923350</v>
      </c>
      <c r="BM277" s="171">
        <f>+'[157]VENTAS TOTALES'!$F59</f>
        <v>21232750</v>
      </c>
      <c r="BN277" s="165">
        <f>+'[158]VENTAS TOTALES'!$D59</f>
        <v>7547</v>
      </c>
      <c r="BO277" s="170">
        <f>+'[158]VENTAS TOTALES'!$E59</f>
        <v>2844750</v>
      </c>
      <c r="BP277" s="171">
        <f>+'[158]VENTAS TOTALES'!$F59</f>
        <v>15674650</v>
      </c>
      <c r="BQ277" s="165">
        <f>+'[159]VENTAS TOTALES'!$D59</f>
        <v>7180</v>
      </c>
      <c r="BR277" s="170">
        <f>+'[159]VENTAS TOTALES'!$E59</f>
        <v>2063750</v>
      </c>
      <c r="BS277" s="171">
        <f>+'[159]VENTAS TOTALES'!$F59</f>
        <v>14269750</v>
      </c>
      <c r="BT277" s="165">
        <f>+'[160]VENTAS TOTALES'!$D59</f>
        <v>7075</v>
      </c>
      <c r="BU277" s="170">
        <f>+'[160]VENTAS TOTALES'!$E59</f>
        <v>2202850</v>
      </c>
      <c r="BV277" s="171">
        <f>+'[160]VENTAS TOTALES'!$F59</f>
        <v>14230350</v>
      </c>
      <c r="BW277" s="165">
        <f>+'[161]VENTAS TOTALES'!$D59</f>
        <v>6568</v>
      </c>
      <c r="BX277" s="170">
        <f>+'[161]VENTAS TOTALES'!$E59</f>
        <v>2229550</v>
      </c>
      <c r="BY277" s="171">
        <f>+'[161]VENTAS TOTALES'!$F59</f>
        <v>13395150</v>
      </c>
      <c r="BZ277" s="165">
        <f>+'[162]VENTAS TOTALES'!$D59</f>
        <v>5034</v>
      </c>
      <c r="CA277" s="170">
        <f>+'[162]VENTAS TOTALES'!$E59</f>
        <v>1515000</v>
      </c>
      <c r="CB277" s="171">
        <f>+'[162]VENTAS TOTALES'!$F59</f>
        <v>10072800</v>
      </c>
      <c r="CC277" s="165">
        <f>+'[163]VENTAS TOTALES'!$D59</f>
        <v>2226</v>
      </c>
      <c r="CD277" s="170">
        <f>+'[163]VENTAS TOTALES'!$E59</f>
        <v>1022800</v>
      </c>
      <c r="CE277" s="171">
        <f>+'[163]VENTAS TOTALES'!$F59</f>
        <v>4807000</v>
      </c>
      <c r="CF277" s="165">
        <f>+'[164]VENTAS TOTALES'!$D59</f>
        <v>10430</v>
      </c>
      <c r="CG277" s="170">
        <f>+'[164]VENTAS TOTALES'!$E59</f>
        <v>5829850</v>
      </c>
      <c r="CH277" s="171">
        <f>+'[164]VENTAS TOTALES'!$F59</f>
        <v>23560850</v>
      </c>
      <c r="CI277" s="165">
        <f>+'[165]VENTAS TOTALES'!$D59</f>
        <v>8720</v>
      </c>
      <c r="CJ277" s="170">
        <f>+'[165]VENTAS TOTALES'!$E59</f>
        <v>4561400</v>
      </c>
      <c r="CK277" s="171">
        <f>+'[165]VENTAS TOTALES'!$F59</f>
        <v>19385400</v>
      </c>
      <c r="CL277" s="165">
        <f>+'[166]VENTAS TOTALES'!$D59</f>
        <v>8155</v>
      </c>
      <c r="CM277" s="170">
        <f>+'[166]VENTAS TOTALES'!$E59</f>
        <v>4380050</v>
      </c>
      <c r="CN277" s="171">
        <f>+'[166]VENTAS TOTALES'!$F59</f>
        <v>18243550</v>
      </c>
      <c r="CO277" s="165">
        <f>+'[167]VENTAS TOTALES'!$D59</f>
        <v>7649</v>
      </c>
      <c r="CP277" s="170">
        <f>+'[167]VENTAS TOTALES'!$E59</f>
        <v>2735350</v>
      </c>
      <c r="CQ277" s="171">
        <f>+'[167]VENTAS TOTALES'!$F59</f>
        <v>15738650</v>
      </c>
      <c r="CR277" s="165">
        <f>+'[168]VENTAS TOTALES'!$D59</f>
        <v>6953</v>
      </c>
      <c r="CS277" s="170">
        <f>+'[168]VENTAS TOTALES'!$E59</f>
        <v>2102800</v>
      </c>
      <c r="CT277" s="171">
        <f>+'[168]VENTAS TOTALES'!$F59</f>
        <v>13922900</v>
      </c>
      <c r="CU277" s="165">
        <f>+'[169]VENTAS TOTALES'!$D59</f>
        <v>5365</v>
      </c>
      <c r="CV277" s="170">
        <f>+'[169]VENTAS TOTALES'!$E59</f>
        <v>1989900</v>
      </c>
      <c r="CW277" s="171">
        <f>+'[169]VENTAS TOTALES'!$F59</f>
        <v>11110400</v>
      </c>
      <c r="CX277" s="165">
        <f>+'[170]VENTAS TOTALES'!$D59</f>
        <v>2309</v>
      </c>
      <c r="CY277" s="170">
        <f>+'[170]VENTAS TOTALES'!$E59</f>
        <v>727100</v>
      </c>
      <c r="CZ277" s="171">
        <f>+'[170]VENTAS TOTALES'!$F59</f>
        <v>4652400</v>
      </c>
    </row>
    <row r="278" spans="1:104" s="10" customFormat="1" x14ac:dyDescent="0.2">
      <c r="A278" s="471"/>
      <c r="B278" s="53" t="s">
        <v>258</v>
      </c>
      <c r="C278" s="165">
        <f>+'[137]VENTAS TOTALES'!$D60</f>
        <v>9678</v>
      </c>
      <c r="D278" s="170">
        <f>+'[137]VENTAS TOTALES'!$E60</f>
        <v>4032700</v>
      </c>
      <c r="E278" s="171">
        <f>+'[137]VENTAS TOTALES'!$F60</f>
        <v>20485300</v>
      </c>
      <c r="F278" s="165">
        <f>+'[138]VENTAS TOTALES'!$D60</f>
        <v>9145</v>
      </c>
      <c r="G278" s="170">
        <f>+'[138]VENTAS TOTALES'!$E60</f>
        <v>3241100</v>
      </c>
      <c r="H278" s="171">
        <f>+'[138]VENTAS TOTALES'!$F60</f>
        <v>18787600</v>
      </c>
      <c r="I278" s="165">
        <f>+'[139]VENTAS TOTALES'!$D60</f>
        <v>7304</v>
      </c>
      <c r="J278" s="170">
        <f>+'[139]VENTAS TOTALES'!$E60</f>
        <v>2766600</v>
      </c>
      <c r="K278" s="171">
        <f>+'[139]VENTAS TOTALES'!$F60</f>
        <v>15183400</v>
      </c>
      <c r="L278" s="165">
        <f>+'[140]VENTAS TOTALES'!$D60</f>
        <v>7432</v>
      </c>
      <c r="M278" s="170">
        <f>+'[140]VENTAS TOTALES'!$E60</f>
        <v>2072200</v>
      </c>
      <c r="N278" s="171">
        <f>+'[140]VENTAS TOTALES'!$F60</f>
        <v>14706600</v>
      </c>
      <c r="O278" s="165">
        <f>+'[141]VENTAS TOTALES'!$D60</f>
        <v>5475</v>
      </c>
      <c r="P278" s="170">
        <f>+'[141]VENTAS TOTALES'!$E60</f>
        <v>1185400</v>
      </c>
      <c r="Q278" s="171">
        <f>+'[141]VENTAS TOTALES'!$F60</f>
        <v>10492900</v>
      </c>
      <c r="R278" s="165">
        <f>+'[142]VENTAS TOTALES'!$D60</f>
        <v>2815</v>
      </c>
      <c r="S278" s="170">
        <f>+'[142]VENTAS TOTALES'!$E60</f>
        <v>890000</v>
      </c>
      <c r="T278" s="171">
        <f>+'[142]VENTAS TOTALES'!$F60</f>
        <v>5675500</v>
      </c>
      <c r="U278" s="165">
        <f>+'[143]VENTAS TOTALES'!$D60</f>
        <v>10464</v>
      </c>
      <c r="V278" s="170">
        <f>+'[143]VENTAS TOTALES'!$E60</f>
        <v>3512150</v>
      </c>
      <c r="W278" s="171">
        <f>+'[143]VENTAS TOTALES'!$F60</f>
        <v>21300950</v>
      </c>
      <c r="X278" s="165">
        <f>+'[144]VENTAS TOTALES'!$D60</f>
        <v>8521</v>
      </c>
      <c r="Y278" s="170">
        <f>+'[144]VENTAS TOTALES'!$E60</f>
        <v>2495600</v>
      </c>
      <c r="Z278" s="171">
        <f>+'[144]VENTAS TOTALES'!$F60</f>
        <v>16981300</v>
      </c>
      <c r="AA278" s="165">
        <f>+'[145]VENTAS TOTALES'!$D60</f>
        <v>8231</v>
      </c>
      <c r="AB278" s="170">
        <f>+'[145]VENTAS TOTALES'!$E60</f>
        <v>2078500</v>
      </c>
      <c r="AC278" s="171">
        <f>+'[145]VENTAS TOTALES'!$F60</f>
        <v>16071200</v>
      </c>
      <c r="AD278" s="165">
        <f>+'[146]VENTAS TOTALES'!$D60</f>
        <v>7933</v>
      </c>
      <c r="AE278" s="170">
        <f>+'[146]VENTAS TOTALES'!$E60</f>
        <v>1827300</v>
      </c>
      <c r="AF278" s="171">
        <f>+'[146]VENTAS TOTALES'!$F60</f>
        <v>15313400</v>
      </c>
      <c r="AG278" s="165">
        <f>+'[147]VENTAS TOTALES'!$D60</f>
        <v>7522</v>
      </c>
      <c r="AH278" s="170">
        <f>+'[147]VENTAS TOTALES'!$E60</f>
        <v>1952150</v>
      </c>
      <c r="AI278" s="171">
        <f>+'[147]VENTAS TOTALES'!$F60</f>
        <v>14739550</v>
      </c>
      <c r="AJ278" s="165">
        <f>+'[148]VENTAS TOTALES'!$D60</f>
        <v>5542</v>
      </c>
      <c r="AK278" s="170">
        <f>+'[148]VENTAS TOTALES'!$E60</f>
        <v>1261700</v>
      </c>
      <c r="AL278" s="171">
        <f>+'[148]VENTAS TOTALES'!$F60</f>
        <v>10683100</v>
      </c>
      <c r="AM278" s="165">
        <f>+'[149]VENTAS TOTALES'!$D60</f>
        <v>2720</v>
      </c>
      <c r="AN278" s="170">
        <f>+'[149]VENTAS TOTALES'!$E60</f>
        <v>598300</v>
      </c>
      <c r="AO278" s="171">
        <f>+'[149]VENTAS TOTALES'!$F60</f>
        <v>5222300</v>
      </c>
      <c r="AP278" s="165">
        <f>+'[150]VENTAS TOTALES'!$D60</f>
        <v>10482</v>
      </c>
      <c r="AQ278" s="170">
        <f>+'[150]VENTAS TOTALES'!$E60</f>
        <v>3466700</v>
      </c>
      <c r="AR278" s="171">
        <f>+'[150]VENTAS TOTALES'!$F60</f>
        <v>21286100</v>
      </c>
      <c r="AS278" s="165">
        <f>+'[151]VENTAS TOTALES'!$D60</f>
        <v>9129</v>
      </c>
      <c r="AT278" s="170">
        <f>+'[151]VENTAS TOTALES'!$E60</f>
        <v>3165700</v>
      </c>
      <c r="AU278" s="171">
        <f>+'[151]VENTAS TOTALES'!$F60</f>
        <v>18685000</v>
      </c>
      <c r="AV278" s="165">
        <f>+'[152]VENTAS TOTALES'!$D60</f>
        <v>9018</v>
      </c>
      <c r="AW278" s="170">
        <f>+'[152]VENTAS TOTALES'!$E60</f>
        <v>3496200</v>
      </c>
      <c r="AX278" s="171">
        <f>+'[152]VENTAS TOTALES'!$F60</f>
        <v>18826800</v>
      </c>
      <c r="AY278" s="165">
        <f>+'[153]VENTAS TOTALES'!$D60</f>
        <v>8473</v>
      </c>
      <c r="AZ278" s="170">
        <f>+'[153]VENTAS TOTALES'!$E60</f>
        <v>2936700</v>
      </c>
      <c r="BA278" s="171">
        <f>+'[153]VENTAS TOTALES'!$F60</f>
        <v>17340800</v>
      </c>
      <c r="BB278" s="165">
        <f>+'[154]VENTAS TOTALES'!$D60</f>
        <v>7474</v>
      </c>
      <c r="BC278" s="170">
        <f>+'[154]VENTAS TOTALES'!$E60</f>
        <v>1893000</v>
      </c>
      <c r="BD278" s="171">
        <f>+'[154]VENTAS TOTALES'!$F60</f>
        <v>14598800</v>
      </c>
      <c r="BE278" s="165">
        <f>+'[155]VENTAS TOTALES'!$D60</f>
        <v>5849</v>
      </c>
      <c r="BF278" s="170">
        <f>+'[155]VENTAS TOTALES'!$E60</f>
        <v>1334800</v>
      </c>
      <c r="BG278" s="171">
        <f>+'[155]VENTAS TOTALES'!$F60</f>
        <v>11278100</v>
      </c>
      <c r="BH278" s="165">
        <f>+'[156]VENTAS TOTALES'!$D60</f>
        <v>2709</v>
      </c>
      <c r="BI278" s="170">
        <f>+'[156]VENTAS TOTALES'!$E60</f>
        <v>599100</v>
      </c>
      <c r="BJ278" s="171">
        <f>+'[156]VENTAS TOTALES'!$F60</f>
        <v>5204400</v>
      </c>
      <c r="BK278" s="165">
        <f>+'[157]VENTAS TOTALES'!$D60</f>
        <v>10699</v>
      </c>
      <c r="BL278" s="170">
        <f>+'[157]VENTAS TOTALES'!$E60</f>
        <v>3323600</v>
      </c>
      <c r="BM278" s="171">
        <f>+'[157]VENTAS TOTALES'!$F60</f>
        <v>21511900</v>
      </c>
      <c r="BN278" s="165">
        <f>+'[158]VENTAS TOTALES'!$D60</f>
        <v>8351</v>
      </c>
      <c r="BO278" s="170">
        <f>+'[158]VENTAS TOTALES'!$E60</f>
        <v>2249300</v>
      </c>
      <c r="BP278" s="171">
        <f>+'[158]VENTAS TOTALES'!$F60</f>
        <v>16446000</v>
      </c>
      <c r="BQ278" s="165">
        <f>+'[159]VENTAS TOTALES'!$D60</f>
        <v>7925</v>
      </c>
      <c r="BR278" s="170">
        <f>+'[159]VENTAS TOTALES'!$E60</f>
        <v>2225300</v>
      </c>
      <c r="BS278" s="171">
        <f>+'[159]VENTAS TOTALES'!$F60</f>
        <v>15697800</v>
      </c>
      <c r="BT278" s="165">
        <f>+'[160]VENTAS TOTALES'!$D60</f>
        <v>7593</v>
      </c>
      <c r="BU278" s="170">
        <f>+'[160]VENTAS TOTALES'!$E60</f>
        <v>1730400</v>
      </c>
      <c r="BV278" s="171">
        <f>+'[160]VENTAS TOTALES'!$F60</f>
        <v>14638500</v>
      </c>
      <c r="BW278" s="165">
        <f>+'[161]VENTAS TOTALES'!$D60</f>
        <v>7486</v>
      </c>
      <c r="BX278" s="170">
        <f>+'[161]VENTAS TOTALES'!$E60</f>
        <v>1756700</v>
      </c>
      <c r="BY278" s="171">
        <f>+'[161]VENTAS TOTALES'!$F60</f>
        <v>14482900</v>
      </c>
      <c r="BZ278" s="165">
        <f>+'[162]VENTAS TOTALES'!$D60</f>
        <v>5963</v>
      </c>
      <c r="CA278" s="170">
        <f>+'[162]VENTAS TOTALES'!$E60</f>
        <v>1521100</v>
      </c>
      <c r="CB278" s="171">
        <f>+'[162]VENTAS TOTALES'!$F60</f>
        <v>11658200</v>
      </c>
      <c r="CC278" s="165">
        <f>+'[163]VENTAS TOTALES'!$D60</f>
        <v>2893</v>
      </c>
      <c r="CD278" s="170">
        <f>+'[163]VENTAS TOTALES'!$E60</f>
        <v>716600</v>
      </c>
      <c r="CE278" s="171">
        <f>+'[163]VENTAS TOTALES'!$F60</f>
        <v>5634700</v>
      </c>
      <c r="CF278" s="165">
        <f>+'[164]VENTAS TOTALES'!$D60</f>
        <v>11608</v>
      </c>
      <c r="CG278" s="170">
        <f>+'[164]VENTAS TOTALES'!$E60</f>
        <v>4957200</v>
      </c>
      <c r="CH278" s="171">
        <f>+'[164]VENTAS TOTALES'!$F60</f>
        <v>24690800</v>
      </c>
      <c r="CI278" s="165">
        <f>+'[165]VENTAS TOTALES'!$D60</f>
        <v>9941</v>
      </c>
      <c r="CJ278" s="170">
        <f>+'[165]VENTAS TOTALES'!$E60</f>
        <v>4800400</v>
      </c>
      <c r="CK278" s="171">
        <f>+'[165]VENTAS TOTALES'!$F60</f>
        <v>21700100</v>
      </c>
      <c r="CL278" s="165">
        <f>+'[166]VENTAS TOTALES'!$D60</f>
        <v>9327</v>
      </c>
      <c r="CM278" s="170">
        <f>+'[166]VENTAS TOTALES'!$E60</f>
        <v>3505000</v>
      </c>
      <c r="CN278" s="171">
        <f>+'[166]VENTAS TOTALES'!$F60</f>
        <v>19360900</v>
      </c>
      <c r="CO278" s="165">
        <f>+'[167]VENTAS TOTALES'!$D60</f>
        <v>8757</v>
      </c>
      <c r="CP278" s="170">
        <f>+'[167]VENTAS TOTALES'!$E60</f>
        <v>2730400</v>
      </c>
      <c r="CQ278" s="171">
        <f>+'[167]VENTAS TOTALES'!$F60</f>
        <v>17617300</v>
      </c>
      <c r="CR278" s="165">
        <f>+'[168]VENTAS TOTALES'!$D60</f>
        <v>7970</v>
      </c>
      <c r="CS278" s="170">
        <f>+'[168]VENTAS TOTALES'!$E60</f>
        <v>2106900</v>
      </c>
      <c r="CT278" s="171">
        <f>+'[168]VENTAS TOTALES'!$F60</f>
        <v>15655900</v>
      </c>
      <c r="CU278" s="165">
        <f>+'[169]VENTAS TOTALES'!$D60</f>
        <v>6332</v>
      </c>
      <c r="CV278" s="170">
        <f>+'[169]VENTAS TOTALES'!$E60</f>
        <v>1260600</v>
      </c>
      <c r="CW278" s="171">
        <f>+'[169]VENTAS TOTALES'!$F60</f>
        <v>12025000</v>
      </c>
      <c r="CX278" s="165">
        <f>+'[170]VENTAS TOTALES'!$D60</f>
        <v>2769</v>
      </c>
      <c r="CY278" s="170">
        <f>+'[170]VENTAS TOTALES'!$E60</f>
        <v>370600</v>
      </c>
      <c r="CZ278" s="171">
        <f>+'[170]VENTAS TOTALES'!$F60</f>
        <v>5077900</v>
      </c>
    </row>
    <row r="279" spans="1:104" s="10" customFormat="1" x14ac:dyDescent="0.2">
      <c r="A279" s="471"/>
      <c r="B279" s="53" t="s">
        <v>259</v>
      </c>
      <c r="C279" s="165">
        <f>+'[137]VENTAS TOTALES'!$D61</f>
        <v>2132</v>
      </c>
      <c r="D279" s="170">
        <f>+'[137]VENTAS TOTALES'!$E61</f>
        <v>1405500</v>
      </c>
      <c r="E279" s="171">
        <f>+'[137]VENTAS TOTALES'!$F61</f>
        <v>5029900</v>
      </c>
      <c r="F279" s="165">
        <f>+'[138]VENTAS TOTALES'!$D61</f>
        <v>2077</v>
      </c>
      <c r="G279" s="170">
        <f>+'[138]VENTAS TOTALES'!$E61</f>
        <v>1166000</v>
      </c>
      <c r="H279" s="171">
        <f>+'[138]VENTAS TOTALES'!$F61</f>
        <v>4696900</v>
      </c>
      <c r="I279" s="165">
        <f>+'[139]VENTAS TOTALES'!$D61</f>
        <v>1632</v>
      </c>
      <c r="J279" s="170">
        <f>+'[139]VENTAS TOTALES'!$E61</f>
        <v>776200</v>
      </c>
      <c r="K279" s="171">
        <f>+'[139]VENTAS TOTALES'!$F61</f>
        <v>3550600</v>
      </c>
      <c r="L279" s="165">
        <f>+'[140]VENTAS TOTALES'!$D61</f>
        <v>1602</v>
      </c>
      <c r="M279" s="170">
        <f>+'[140]VENTAS TOTALES'!$E61</f>
        <v>601000</v>
      </c>
      <c r="N279" s="171">
        <f>+'[140]VENTAS TOTALES'!$F61</f>
        <v>3324400</v>
      </c>
      <c r="O279" s="165">
        <f>+'[141]VENTAS TOTALES'!$D61</f>
        <v>1091</v>
      </c>
      <c r="P279" s="170">
        <f>+'[141]VENTAS TOTALES'!$E61</f>
        <v>448100</v>
      </c>
      <c r="Q279" s="171">
        <f>+'[141]VENTAS TOTALES'!$F61</f>
        <v>2302800</v>
      </c>
      <c r="R279" s="165">
        <f>+'[142]VENTAS TOTALES'!$D61</f>
        <v>554</v>
      </c>
      <c r="S279" s="170">
        <f>+'[142]VENTAS TOTALES'!$E61</f>
        <v>182800</v>
      </c>
      <c r="T279" s="171">
        <f>+'[142]VENTAS TOTALES'!$F61</f>
        <v>1124600</v>
      </c>
      <c r="U279" s="165">
        <f>+'[143]VENTAS TOTALES'!$D61</f>
        <v>2203</v>
      </c>
      <c r="V279" s="170">
        <f>+'[143]VENTAS TOTALES'!$E61</f>
        <v>1487400</v>
      </c>
      <c r="W279" s="171">
        <f>+'[143]VENTAS TOTALES'!$F61</f>
        <v>5232500</v>
      </c>
      <c r="X279" s="165">
        <f>+'[144]VENTAS TOTALES'!$D61</f>
        <v>1773</v>
      </c>
      <c r="Y279" s="170">
        <f>+'[144]VENTAS TOTALES'!$E61</f>
        <v>796600</v>
      </c>
      <c r="Z279" s="171">
        <f>+'[144]VENTAS TOTALES'!$F61</f>
        <v>3810700</v>
      </c>
      <c r="AA279" s="165">
        <f>+'[145]VENTAS TOTALES'!$D61</f>
        <v>2259</v>
      </c>
      <c r="AB279" s="170">
        <f>+'[145]VENTAS TOTALES'!$E61</f>
        <v>756700</v>
      </c>
      <c r="AC279" s="171">
        <f>+'[145]VENTAS TOTALES'!$F61</f>
        <v>4597000</v>
      </c>
      <c r="AD279" s="165">
        <f>+'[146]VENTAS TOTALES'!$D61</f>
        <v>1505</v>
      </c>
      <c r="AE279" s="170">
        <f>+'[146]VENTAS TOTALES'!$E61</f>
        <v>596250</v>
      </c>
      <c r="AF279" s="171">
        <f>+'[146]VENTAS TOTALES'!$F61</f>
        <v>3154750</v>
      </c>
      <c r="AG279" s="165">
        <f>+'[147]VENTAS TOTALES'!$D61</f>
        <v>1608</v>
      </c>
      <c r="AH279" s="170">
        <f>+'[147]VENTAS TOTALES'!$E61</f>
        <v>644500</v>
      </c>
      <c r="AI279" s="171">
        <f>+'[147]VENTAS TOTALES'!$F61</f>
        <v>3378100</v>
      </c>
      <c r="AJ279" s="165">
        <f>+'[148]VENTAS TOTALES'!$D61</f>
        <v>1052</v>
      </c>
      <c r="AK279" s="170">
        <f>+'[148]VENTAS TOTALES'!$E61</f>
        <v>424700</v>
      </c>
      <c r="AL279" s="171">
        <f>+'[148]VENTAS TOTALES'!$F61</f>
        <v>2213100</v>
      </c>
      <c r="AM279" s="165">
        <f>+'[149]VENTAS TOTALES'!$D61</f>
        <v>515</v>
      </c>
      <c r="AN279" s="170">
        <f>+'[149]VENTAS TOTALES'!$E61</f>
        <v>226100</v>
      </c>
      <c r="AO279" s="171">
        <f>+'[149]VENTAS TOTALES'!$F61</f>
        <v>1101600</v>
      </c>
      <c r="AP279" s="165">
        <f>+'[150]VENTAS TOTALES'!$D61</f>
        <v>2362</v>
      </c>
      <c r="AQ279" s="170">
        <f>+'[150]VENTAS TOTALES'!$E61</f>
        <v>1444300</v>
      </c>
      <c r="AR279" s="171">
        <f>+'[150]VENTAS TOTALES'!$F61</f>
        <v>5459700</v>
      </c>
      <c r="AS279" s="165">
        <f>+'[151]VENTAS TOTALES'!$D61</f>
        <v>1912</v>
      </c>
      <c r="AT279" s="170">
        <f>+'[151]VENTAS TOTALES'!$E61</f>
        <v>1251800</v>
      </c>
      <c r="AU279" s="171">
        <f>+'[151]VENTAS TOTALES'!$F61</f>
        <v>4502200</v>
      </c>
      <c r="AV279" s="165">
        <f>+'[152]VENTAS TOTALES'!$D61</f>
        <v>1861</v>
      </c>
      <c r="AW279" s="170">
        <f>+'[152]VENTAS TOTALES'!$E61</f>
        <v>1201100</v>
      </c>
      <c r="AX279" s="171">
        <f>+'[152]VENTAS TOTALES'!$F61</f>
        <v>4364800</v>
      </c>
      <c r="AY279" s="165">
        <f>+'[153]VENTAS TOTALES'!$D61</f>
        <v>1831</v>
      </c>
      <c r="AZ279" s="170">
        <f>+'[153]VENTAS TOTALES'!$E61</f>
        <v>994100</v>
      </c>
      <c r="BA279" s="171">
        <f>+'[153]VENTAS TOTALES'!$F61</f>
        <v>4106800</v>
      </c>
      <c r="BB279" s="165">
        <f>+'[154]VENTAS TOTALES'!$D61</f>
        <v>1561</v>
      </c>
      <c r="BC279" s="170">
        <f>+'[154]VENTAS TOTALES'!$E61</f>
        <v>678300</v>
      </c>
      <c r="BD279" s="171">
        <f>+'[154]VENTAS TOTALES'!$F61</f>
        <v>3332000</v>
      </c>
      <c r="BE279" s="165">
        <f>+'[155]VENTAS TOTALES'!$D61</f>
        <v>1111</v>
      </c>
      <c r="BF279" s="170">
        <f>+'[155]VENTAS TOTALES'!$E61</f>
        <v>435900</v>
      </c>
      <c r="BG279" s="171">
        <f>+'[155]VENTAS TOTALES'!$F61</f>
        <v>2324600</v>
      </c>
      <c r="BH279" s="165">
        <f>+'[156]VENTAS TOTALES'!$D61</f>
        <v>475</v>
      </c>
      <c r="BI279" s="170">
        <f>+'[156]VENTAS TOTALES'!$E61</f>
        <v>215900</v>
      </c>
      <c r="BJ279" s="171">
        <f>+'[156]VENTAS TOTALES'!$F61</f>
        <v>1023400</v>
      </c>
      <c r="BK279" s="165">
        <f>+'[157]VENTAS TOTALES'!$D61</f>
        <v>2033</v>
      </c>
      <c r="BL279" s="170">
        <f>+'[157]VENTAS TOTALES'!$E61</f>
        <v>1227500</v>
      </c>
      <c r="BM279" s="171">
        <f>+'[157]VENTAS TOTALES'!$F61</f>
        <v>4683600</v>
      </c>
      <c r="BN279" s="165">
        <f>+'[158]VENTAS TOTALES'!$D61</f>
        <v>1632</v>
      </c>
      <c r="BO279" s="170">
        <f>+'[158]VENTAS TOTALES'!$E61</f>
        <v>757100</v>
      </c>
      <c r="BP279" s="171">
        <f>+'[158]VENTAS TOTALES'!$F61</f>
        <v>3531500</v>
      </c>
      <c r="BQ279" s="165">
        <f>+'[159]VENTAS TOTALES'!$D61</f>
        <v>1642</v>
      </c>
      <c r="BR279" s="170">
        <f>+'[159]VENTAS TOTALES'!$E61</f>
        <v>811400</v>
      </c>
      <c r="BS279" s="171">
        <f>+'[159]VENTAS TOTALES'!$F61</f>
        <v>3602800</v>
      </c>
      <c r="BT279" s="165">
        <f>+'[160]VENTAS TOTALES'!$D61</f>
        <v>1546</v>
      </c>
      <c r="BU279" s="170">
        <f>+'[160]VENTAS TOTALES'!$E61</f>
        <v>769300</v>
      </c>
      <c r="BV279" s="171">
        <f>+'[160]VENTAS TOTALES'!$F61</f>
        <v>3397500</v>
      </c>
      <c r="BW279" s="165">
        <f>+'[161]VENTAS TOTALES'!$D61</f>
        <v>1605</v>
      </c>
      <c r="BX279" s="170">
        <f>+'[161]VENTAS TOTALES'!$E61</f>
        <v>703800</v>
      </c>
      <c r="BY279" s="171">
        <f>+'[161]VENTAS TOTALES'!$F61</f>
        <v>3432300</v>
      </c>
      <c r="BZ279" s="165">
        <f>+'[162]VENTAS TOTALES'!$D61</f>
        <v>1202</v>
      </c>
      <c r="CA279" s="170">
        <f>+'[162]VENTAS TOTALES'!$E61</f>
        <v>374350</v>
      </c>
      <c r="CB279" s="171">
        <f>+'[162]VENTAS TOTALES'!$F61</f>
        <v>2417750</v>
      </c>
      <c r="CC279" s="165">
        <f>+'[163]VENTAS TOTALES'!$D61</f>
        <v>485</v>
      </c>
      <c r="CD279" s="170">
        <f>+'[163]VENTAS TOTALES'!$E61</f>
        <v>174700</v>
      </c>
      <c r="CE279" s="171">
        <f>+'[163]VENTAS TOTALES'!$F61</f>
        <v>999200</v>
      </c>
      <c r="CF279" s="165">
        <f>+'[164]VENTAS TOTALES'!$D61</f>
        <v>2457</v>
      </c>
      <c r="CG279" s="170">
        <f>+'[164]VENTAS TOTALES'!$E61</f>
        <v>1582000</v>
      </c>
      <c r="CH279" s="171">
        <f>+'[164]VENTAS TOTALES'!$F61</f>
        <v>5758900</v>
      </c>
      <c r="CI279" s="165">
        <f>+'[165]VENTAS TOTALES'!$D61</f>
        <v>2215</v>
      </c>
      <c r="CJ279" s="170">
        <f>+'[165]VENTAS TOTALES'!$E61</f>
        <v>1332500</v>
      </c>
      <c r="CK279" s="171">
        <f>+'[165]VENTAS TOTALES'!$F61</f>
        <v>5098000</v>
      </c>
      <c r="CL279" s="165">
        <f>+'[166]VENTAS TOTALES'!$D61</f>
        <v>2163</v>
      </c>
      <c r="CM279" s="170">
        <f>+'[166]VENTAS TOTALES'!$E61</f>
        <v>1430900</v>
      </c>
      <c r="CN279" s="171">
        <f>+'[166]VENTAS TOTALES'!$F61</f>
        <v>5108000</v>
      </c>
      <c r="CO279" s="165">
        <f>+'[167]VENTAS TOTALES'!$D61</f>
        <v>1711</v>
      </c>
      <c r="CP279" s="170">
        <f>+'[167]VENTAS TOTALES'!$E61</f>
        <v>1003600</v>
      </c>
      <c r="CQ279" s="171">
        <f>+'[167]VENTAS TOTALES'!$F61</f>
        <v>3912300</v>
      </c>
      <c r="CR279" s="165">
        <f>+'[168]VENTAS TOTALES'!$D61</f>
        <v>1768</v>
      </c>
      <c r="CS279" s="170">
        <f>+'[168]VENTAS TOTALES'!$E61</f>
        <v>589700</v>
      </c>
      <c r="CT279" s="171">
        <f>+'[168]VENTAS TOTALES'!$F61</f>
        <v>3595300</v>
      </c>
      <c r="CU279" s="165">
        <f>+'[169]VENTAS TOTALES'!$D61</f>
        <v>1244</v>
      </c>
      <c r="CV279" s="170">
        <f>+'[169]VENTAS TOTALES'!$E61</f>
        <v>355700</v>
      </c>
      <c r="CW279" s="171">
        <f>+'[169]VENTAS TOTALES'!$F61</f>
        <v>2470500</v>
      </c>
      <c r="CX279" s="165">
        <f>+'[170]VENTAS TOTALES'!$D61</f>
        <v>510</v>
      </c>
      <c r="CY279" s="170">
        <f>+'[170]VENTAS TOTALES'!$E61</f>
        <v>185400</v>
      </c>
      <c r="CZ279" s="171">
        <f>+'[170]VENTAS TOTALES'!$F61</f>
        <v>1052400</v>
      </c>
    </row>
    <row r="280" spans="1:104" s="10" customFormat="1" x14ac:dyDescent="0.2">
      <c r="A280" s="471"/>
      <c r="B280" s="53" t="s">
        <v>260</v>
      </c>
      <c r="C280" s="165">
        <f>+'[137]VENTAS TOTALES'!$D62</f>
        <v>1491</v>
      </c>
      <c r="D280" s="170">
        <f>+'[137]VENTAS TOTALES'!$E62</f>
        <v>518350</v>
      </c>
      <c r="E280" s="171">
        <f>+'[137]VENTAS TOTALES'!$F62</f>
        <v>3053050</v>
      </c>
      <c r="F280" s="165">
        <f>+'[138]VENTAS TOTALES'!$D62</f>
        <v>1126</v>
      </c>
      <c r="G280" s="170">
        <f>+'[138]VENTAS TOTALES'!$E62</f>
        <v>494800</v>
      </c>
      <c r="H280" s="171">
        <f>+'[138]VENTAS TOTALES'!$F62</f>
        <v>2409000</v>
      </c>
      <c r="I280" s="165">
        <f>+'[139]VENTAS TOTALES'!$D62</f>
        <v>1285</v>
      </c>
      <c r="J280" s="170">
        <f>+'[139]VENTAS TOTALES'!$E62</f>
        <v>187900</v>
      </c>
      <c r="K280" s="171">
        <f>+'[139]VENTAS TOTALES'!$F62</f>
        <v>2372400</v>
      </c>
      <c r="L280" s="165">
        <f>+'[140]VENTAS TOTALES'!$D62</f>
        <v>1042</v>
      </c>
      <c r="M280" s="170">
        <f>+'[140]VENTAS TOTALES'!$E62</f>
        <v>291400</v>
      </c>
      <c r="N280" s="171">
        <f>+'[140]VENTAS TOTALES'!$F62</f>
        <v>2062800</v>
      </c>
      <c r="O280" s="165">
        <f>+'[141]VENTAS TOTALES'!$D62</f>
        <v>958</v>
      </c>
      <c r="P280" s="170">
        <f>+'[141]VENTAS TOTALES'!$E62</f>
        <v>166700</v>
      </c>
      <c r="Q280" s="171">
        <f>+'[141]VENTAS TOTALES'!$F62</f>
        <v>1795300</v>
      </c>
      <c r="R280" s="165">
        <f>+'[142]VENTAS TOTALES'!$D62</f>
        <v>273</v>
      </c>
      <c r="S280" s="170">
        <f>+'[142]VENTAS TOTALES'!$E62</f>
        <v>125000</v>
      </c>
      <c r="T280" s="171">
        <f>+'[142]VENTAS TOTALES'!$F62</f>
        <v>589100</v>
      </c>
      <c r="U280" s="165">
        <f>+'[143]VENTAS TOTALES'!$D62</f>
        <v>1295</v>
      </c>
      <c r="V280" s="170">
        <f>+'[143]VENTAS TOTALES'!$E62</f>
        <v>471700</v>
      </c>
      <c r="W280" s="171">
        <f>+'[143]VENTAS TOTALES'!$F62</f>
        <v>2673200</v>
      </c>
      <c r="X280" s="165">
        <f>+'[144]VENTAS TOTALES'!$D62</f>
        <v>1195</v>
      </c>
      <c r="Y280" s="170">
        <f>+'[144]VENTAS TOTALES'!$E62</f>
        <v>234250</v>
      </c>
      <c r="Z280" s="171">
        <f>+'[144]VENTAS TOTALES'!$F62</f>
        <v>2265750</v>
      </c>
      <c r="AA280" s="165">
        <f>+'[145]VENTAS TOTALES'!$D62</f>
        <v>1337</v>
      </c>
      <c r="AB280" s="170">
        <f>+'[145]VENTAS TOTALES'!$E62</f>
        <v>403700</v>
      </c>
      <c r="AC280" s="171">
        <f>+'[145]VENTAS TOTALES'!$F62</f>
        <v>2676600</v>
      </c>
      <c r="AD280" s="165">
        <f>+'[146]VENTAS TOTALES'!$D62</f>
        <v>1095</v>
      </c>
      <c r="AE280" s="170">
        <f>+'[146]VENTAS TOTALES'!$E62</f>
        <v>267950</v>
      </c>
      <c r="AF280" s="171">
        <f>+'[146]VENTAS TOTALES'!$F62</f>
        <v>2129450</v>
      </c>
      <c r="AG280" s="165">
        <f>+'[147]VENTAS TOTALES'!$D62</f>
        <v>1116</v>
      </c>
      <c r="AH280" s="170">
        <f>+'[147]VENTAS TOTALES'!$E62</f>
        <v>262500</v>
      </c>
      <c r="AI280" s="171">
        <f>+'[147]VENTAS TOTALES'!$F62</f>
        <v>2159700</v>
      </c>
      <c r="AJ280" s="165">
        <f>+'[148]VENTAS TOTALES'!$D62</f>
        <v>835</v>
      </c>
      <c r="AK280" s="170">
        <f>+'[148]VENTAS TOTALES'!$E62</f>
        <v>160100</v>
      </c>
      <c r="AL280" s="171">
        <f>+'[148]VENTAS TOTALES'!$F62</f>
        <v>1579600</v>
      </c>
      <c r="AM280" s="165">
        <f>+'[149]VENTAS TOTALES'!$D62</f>
        <v>314</v>
      </c>
      <c r="AN280" s="170">
        <f>+'[149]VENTAS TOTALES'!$E62</f>
        <v>56100</v>
      </c>
      <c r="AO280" s="171">
        <f>+'[149]VENTAS TOTALES'!$F62</f>
        <v>589900</v>
      </c>
      <c r="AP280" s="165">
        <f>+'[150]VENTAS TOTALES'!$D62</f>
        <v>1476</v>
      </c>
      <c r="AQ280" s="170">
        <f>+'[150]VENTAS TOTALES'!$E62</f>
        <v>372900</v>
      </c>
      <c r="AR280" s="171">
        <f>+'[150]VENTAS TOTALES'!$F62</f>
        <v>2882100</v>
      </c>
      <c r="AS280" s="165">
        <f>+'[151]VENTAS TOTALES'!$D62</f>
        <v>1512</v>
      </c>
      <c r="AT280" s="170">
        <f>+'[151]VENTAS TOTALES'!$E62</f>
        <v>329000</v>
      </c>
      <c r="AU280" s="171">
        <f>+'[151]VENTAS TOTALES'!$F62</f>
        <v>2899400</v>
      </c>
      <c r="AV280" s="165">
        <f>+'[152]VENTAS TOTALES'!$D62</f>
        <v>1321</v>
      </c>
      <c r="AW280" s="170">
        <f>+'[152]VENTAS TOTALES'!$E62</f>
        <v>536800</v>
      </c>
      <c r="AX280" s="171">
        <f>+'[152]VENTAS TOTALES'!$F62</f>
        <v>2782500</v>
      </c>
      <c r="AY280" s="165">
        <f>+'[153]VENTAS TOTALES'!$D62</f>
        <v>1259</v>
      </c>
      <c r="AZ280" s="170">
        <f>+'[153]VENTAS TOTALES'!$E62</f>
        <v>392700</v>
      </c>
      <c r="BA280" s="171">
        <f>+'[153]VENTAS TOTALES'!$F62</f>
        <v>2533000</v>
      </c>
      <c r="BB280" s="165">
        <f>+'[154]VENTAS TOTALES'!$D62</f>
        <v>1082</v>
      </c>
      <c r="BC280" s="170">
        <f>+'[154]VENTAS TOTALES'!$E62</f>
        <v>191100</v>
      </c>
      <c r="BD280" s="171">
        <f>+'[154]VENTAS TOTALES'!$F62</f>
        <v>2030500</v>
      </c>
      <c r="BE280" s="165">
        <f>+'[155]VENTAS TOTALES'!$D62</f>
        <v>978</v>
      </c>
      <c r="BF280" s="170">
        <f>+'[155]VENTAS TOTALES'!$E62</f>
        <v>152100</v>
      </c>
      <c r="BG280" s="171">
        <f>+'[155]VENTAS TOTALES'!$F62</f>
        <v>1814700</v>
      </c>
      <c r="BH280" s="165">
        <f>+'[156]VENTAS TOTALES'!$D62</f>
        <v>293</v>
      </c>
      <c r="BI280" s="170">
        <f>+'[156]VENTAS TOTALES'!$E62</f>
        <v>88500</v>
      </c>
      <c r="BJ280" s="171">
        <f>+'[156]VENTAS TOTALES'!$F62</f>
        <v>586600</v>
      </c>
      <c r="BK280" s="165">
        <f>+'[157]VENTAS TOTALES'!$D62</f>
        <v>1235</v>
      </c>
      <c r="BL280" s="170">
        <f>+'[157]VENTAS TOTALES'!$E62</f>
        <v>382100</v>
      </c>
      <c r="BM280" s="171">
        <f>+'[157]VENTAS TOTALES'!$F62</f>
        <v>2481600</v>
      </c>
      <c r="BN280" s="165">
        <f>+'[158]VENTAS TOTALES'!$D62</f>
        <v>1197</v>
      </c>
      <c r="BO280" s="170">
        <f>+'[158]VENTAS TOTALES'!$E62</f>
        <v>339050</v>
      </c>
      <c r="BP280" s="171">
        <f>+'[158]VENTAS TOTALES'!$F62</f>
        <v>2373950</v>
      </c>
      <c r="BQ280" s="165">
        <f>+'[159]VENTAS TOTALES'!$D62</f>
        <v>1058</v>
      </c>
      <c r="BR280" s="170">
        <f>+'[159]VENTAS TOTALES'!$E62</f>
        <v>280400</v>
      </c>
      <c r="BS280" s="171">
        <f>+'[159]VENTAS TOTALES'!$F62</f>
        <v>2079000</v>
      </c>
      <c r="BT280" s="165">
        <f>+'[160]VENTAS TOTALES'!$D62</f>
        <v>1076</v>
      </c>
      <c r="BU280" s="170">
        <f>+'[160]VENTAS TOTALES'!$E62</f>
        <v>358200</v>
      </c>
      <c r="BV280" s="171">
        <f>+'[160]VENTAS TOTALES'!$F62</f>
        <v>2187400</v>
      </c>
      <c r="BW280" s="165">
        <f>+'[161]VENTAS TOTALES'!$D62</f>
        <v>1148</v>
      </c>
      <c r="BX280" s="170">
        <f>+'[161]VENTAS TOTALES'!$E62</f>
        <v>257100</v>
      </c>
      <c r="BY280" s="171">
        <f>+'[161]VENTAS TOTALES'!$F62</f>
        <v>2208700</v>
      </c>
      <c r="BZ280" s="165">
        <f>+'[162]VENTAS TOTALES'!$D62</f>
        <v>892</v>
      </c>
      <c r="CA280" s="170">
        <f>+'[162]VENTAS TOTALES'!$E62</f>
        <v>208100</v>
      </c>
      <c r="CB280" s="171">
        <f>+'[162]VENTAS TOTALES'!$F62</f>
        <v>1724500</v>
      </c>
      <c r="CC280" s="165">
        <f>+'[163]VENTAS TOTALES'!$D62</f>
        <v>374</v>
      </c>
      <c r="CD280" s="170">
        <f>+'[163]VENTAS TOTALES'!$E62</f>
        <v>115500</v>
      </c>
      <c r="CE280" s="171">
        <f>+'[163]VENTAS TOTALES'!$F62</f>
        <v>751300</v>
      </c>
      <c r="CF280" s="165">
        <f>+'[164]VENTAS TOTALES'!$D62</f>
        <v>1376</v>
      </c>
      <c r="CG280" s="170">
        <f>+'[164]VENTAS TOTALES'!$E62</f>
        <v>623200</v>
      </c>
      <c r="CH280" s="171">
        <f>+'[164]VENTAS TOTALES'!$F62</f>
        <v>2962400</v>
      </c>
      <c r="CI280" s="165">
        <f>+'[165]VENTAS TOTALES'!$D62</f>
        <v>1642</v>
      </c>
      <c r="CJ280" s="170">
        <f>+'[165]VENTAS TOTALES'!$E62</f>
        <v>628900</v>
      </c>
      <c r="CK280" s="171">
        <f>+'[165]VENTAS TOTALES'!$F62</f>
        <v>3420300</v>
      </c>
      <c r="CL280" s="165">
        <f>+'[166]VENTAS TOTALES'!$D62</f>
        <v>1454</v>
      </c>
      <c r="CM280" s="170">
        <f>+'[166]VENTAS TOTALES'!$E62</f>
        <v>310700</v>
      </c>
      <c r="CN280" s="171">
        <f>+'[166]VENTAS TOTALES'!$F62</f>
        <v>2782500</v>
      </c>
      <c r="CO280" s="165">
        <f>+'[167]VENTAS TOTALES'!$D62</f>
        <v>1303</v>
      </c>
      <c r="CP280" s="170">
        <f>+'[167]VENTAS TOTALES'!$E62</f>
        <v>503400</v>
      </c>
      <c r="CQ280" s="171">
        <f>+'[167]VENTAS TOTALES'!$F62</f>
        <v>2718500</v>
      </c>
      <c r="CR280" s="165">
        <f>+'[168]VENTAS TOTALES'!$D62</f>
        <v>1241</v>
      </c>
      <c r="CS280" s="170">
        <f>+'[168]VENTAS TOTALES'!$E62</f>
        <v>298700</v>
      </c>
      <c r="CT280" s="171">
        <f>+'[168]VENTAS TOTALES'!$F62</f>
        <v>2408400</v>
      </c>
      <c r="CU280" s="165">
        <f>+'[169]VENTAS TOTALES'!$D62</f>
        <v>836</v>
      </c>
      <c r="CV280" s="170">
        <f>+'[169]VENTAS TOTALES'!$E62</f>
        <v>327100</v>
      </c>
      <c r="CW280" s="171">
        <f>+'[169]VENTAS TOTALES'!$F62</f>
        <v>1748300</v>
      </c>
      <c r="CX280" s="165">
        <f>+'[170]VENTAS TOTALES'!$D62</f>
        <v>282</v>
      </c>
      <c r="CY280" s="170">
        <f>+'[170]VENTAS TOTALES'!$E62</f>
        <v>80400</v>
      </c>
      <c r="CZ280" s="171">
        <f>+'[170]VENTAS TOTALES'!$F62</f>
        <v>559800</v>
      </c>
    </row>
    <row r="281" spans="1:104" s="10" customFormat="1" x14ac:dyDescent="0.2">
      <c r="A281" s="471"/>
      <c r="B281" s="53" t="s">
        <v>261</v>
      </c>
      <c r="C281" s="165">
        <f>+'[137]VENTAS TOTALES'!$D63</f>
        <v>2479</v>
      </c>
      <c r="D281" s="170">
        <f>+'[137]VENTAS TOTALES'!$E63</f>
        <v>845800</v>
      </c>
      <c r="E281" s="171">
        <f>+'[137]VENTAS TOTALES'!$F63</f>
        <v>5060100</v>
      </c>
      <c r="F281" s="165">
        <f>+'[138]VENTAS TOTALES'!$D63</f>
        <v>2362</v>
      </c>
      <c r="G281" s="170">
        <f>+'[138]VENTAS TOTALES'!$E63</f>
        <v>722400</v>
      </c>
      <c r="H281" s="171">
        <f>+'[138]VENTAS TOTALES'!$F63</f>
        <v>4737800</v>
      </c>
      <c r="I281" s="165">
        <f>+'[139]VENTAS TOTALES'!$D63</f>
        <v>2200</v>
      </c>
      <c r="J281" s="170">
        <f>+'[139]VENTAS TOTALES'!$E63</f>
        <v>505500</v>
      </c>
      <c r="K281" s="171">
        <f>+'[139]VENTAS TOTALES'!$F63</f>
        <v>4245500</v>
      </c>
      <c r="L281" s="165">
        <f>+'[140]VENTAS TOTALES'!$D63</f>
        <v>1903</v>
      </c>
      <c r="M281" s="170">
        <f>+'[140]VENTAS TOTALES'!$E63</f>
        <v>411500</v>
      </c>
      <c r="N281" s="171">
        <f>+'[140]VENTAS TOTALES'!$F63</f>
        <v>3646600</v>
      </c>
      <c r="O281" s="165">
        <f>+'[141]VENTAS TOTALES'!$D63</f>
        <v>1307</v>
      </c>
      <c r="P281" s="170">
        <f>+'[141]VENTAS TOTALES'!$E63</f>
        <v>262750</v>
      </c>
      <c r="Q281" s="171">
        <f>+'[141]VENTAS TOTALES'!$F63</f>
        <v>2484650</v>
      </c>
      <c r="R281" s="165">
        <f>+'[142]VENTAS TOTALES'!$D63</f>
        <v>483</v>
      </c>
      <c r="S281" s="170">
        <f>+'[142]VENTAS TOTALES'!$E63</f>
        <v>70400</v>
      </c>
      <c r="T281" s="171">
        <f>+'[142]VENTAS TOTALES'!$F63</f>
        <v>891500</v>
      </c>
      <c r="U281" s="165">
        <f>+'[143]VENTAS TOTALES'!$D63</f>
        <v>2605</v>
      </c>
      <c r="V281" s="170">
        <f>+'[143]VENTAS TOTALES'!$E63</f>
        <v>910500</v>
      </c>
      <c r="W281" s="171">
        <f>+'[143]VENTAS TOTALES'!$F63</f>
        <v>5339000</v>
      </c>
      <c r="X281" s="165">
        <f>+'[144]VENTAS TOTALES'!$D63</f>
        <v>2253</v>
      </c>
      <c r="Y281" s="170">
        <f>+'[144]VENTAS TOTALES'!$E63</f>
        <v>613000</v>
      </c>
      <c r="Z281" s="171">
        <f>+'[144]VENTAS TOTALES'!$F63</f>
        <v>4443100</v>
      </c>
      <c r="AA281" s="165">
        <f>+'[145]VENTAS TOTALES'!$D63</f>
        <v>2199</v>
      </c>
      <c r="AB281" s="170">
        <f>+'[145]VENTAS TOTALES'!$E63</f>
        <v>513400</v>
      </c>
      <c r="AC281" s="171">
        <f>+'[145]VENTAS TOTALES'!$F63</f>
        <v>4251700</v>
      </c>
      <c r="AD281" s="165">
        <f>+'[146]VENTAS TOTALES'!$D63</f>
        <v>1923</v>
      </c>
      <c r="AE281" s="170">
        <f>+'[146]VENTAS TOTALES'!$E63</f>
        <v>487500</v>
      </c>
      <c r="AF281" s="171">
        <f>+'[146]VENTAS TOTALES'!$F63</f>
        <v>3756600</v>
      </c>
      <c r="AG281" s="165">
        <f>+'[147]VENTAS TOTALES'!$D63</f>
        <v>2031</v>
      </c>
      <c r="AH281" s="170">
        <f>+'[147]VENTAS TOTALES'!$E63</f>
        <v>550900</v>
      </c>
      <c r="AI281" s="171">
        <f>+'[147]VENTAS TOTALES'!$F63</f>
        <v>4003600</v>
      </c>
      <c r="AJ281" s="165">
        <f>+'[148]VENTAS TOTALES'!$D63</f>
        <v>1274</v>
      </c>
      <c r="AK281" s="170">
        <f>+'[148]VENTAS TOTALES'!$E63</f>
        <v>401000</v>
      </c>
      <c r="AL281" s="171">
        <f>+'[148]VENTAS TOTALES'!$F63</f>
        <v>2566800</v>
      </c>
      <c r="AM281" s="165">
        <f>+'[149]VENTAS TOTALES'!$D63</f>
        <v>508</v>
      </c>
      <c r="AN281" s="170">
        <f>+'[149]VENTAS TOTALES'!$E63</f>
        <v>99100</v>
      </c>
      <c r="AO281" s="171">
        <f>+'[149]VENTAS TOTALES'!$F63</f>
        <v>962700</v>
      </c>
      <c r="AP281" s="165">
        <f>+'[150]VENTAS TOTALES'!$D63</f>
        <v>2885</v>
      </c>
      <c r="AQ281" s="170">
        <f>+'[150]VENTAS TOTALES'!$E63</f>
        <v>993600</v>
      </c>
      <c r="AR281" s="171">
        <f>+'[150]VENTAS TOTALES'!$F63</f>
        <v>5898100</v>
      </c>
      <c r="AS281" s="165">
        <f>+'[151]VENTAS TOTALES'!$D63</f>
        <v>2564</v>
      </c>
      <c r="AT281" s="170">
        <f>+'[151]VENTAS TOTALES'!$E63</f>
        <v>786400</v>
      </c>
      <c r="AU281" s="171">
        <f>+'[151]VENTAS TOTALES'!$F63</f>
        <v>5145200</v>
      </c>
      <c r="AV281" s="165">
        <f>+'[152]VENTAS TOTALES'!$D63</f>
        <v>2418</v>
      </c>
      <c r="AW281" s="170">
        <f>+'[152]VENTAS TOTALES'!$E63</f>
        <v>673600</v>
      </c>
      <c r="AX281" s="171">
        <f>+'[152]VENTAS TOTALES'!$F63</f>
        <v>4784200</v>
      </c>
      <c r="AY281" s="165">
        <f>+'[153]VENTAS TOTALES'!$D63</f>
        <v>2144</v>
      </c>
      <c r="AZ281" s="170">
        <f>+'[153]VENTAS TOTALES'!$E63</f>
        <v>592000</v>
      </c>
      <c r="BA281" s="171">
        <f>+'[153]VENTAS TOTALES'!$F63</f>
        <v>4236800</v>
      </c>
      <c r="BB281" s="165">
        <f>+'[154]VENTAS TOTALES'!$D63</f>
        <v>2064</v>
      </c>
      <c r="BC281" s="170">
        <f>+'[154]VENTAS TOTALES'!$E63</f>
        <v>574900</v>
      </c>
      <c r="BD281" s="171">
        <f>+'[154]VENTAS TOTALES'!$F63</f>
        <v>4083700</v>
      </c>
      <c r="BE281" s="165">
        <f>+'[155]VENTAS TOTALES'!$D63</f>
        <v>1519</v>
      </c>
      <c r="BF281" s="170">
        <f>+'[155]VENTAS TOTALES'!$E63</f>
        <v>364400</v>
      </c>
      <c r="BG281" s="171">
        <f>+'[155]VENTAS TOTALES'!$F63</f>
        <v>2946700</v>
      </c>
      <c r="BH281" s="165">
        <f>+'[156]VENTAS TOTALES'!$D63</f>
        <v>421</v>
      </c>
      <c r="BI281" s="170">
        <f>+'[156]VENTAS TOTALES'!$E63</f>
        <v>71000</v>
      </c>
      <c r="BJ281" s="171">
        <f>+'[156]VENTAS TOTALES'!$F63</f>
        <v>786700</v>
      </c>
      <c r="BK281" s="165">
        <f>+'[157]VENTAS TOTALES'!$D63</f>
        <v>2634</v>
      </c>
      <c r="BL281" s="170">
        <f>+'[157]VENTAS TOTALES'!$E63</f>
        <v>868200</v>
      </c>
      <c r="BM281" s="171">
        <f>+'[157]VENTAS TOTALES'!$F63</f>
        <v>5346000</v>
      </c>
      <c r="BN281" s="165">
        <f>+'[158]VENTAS TOTALES'!$D63</f>
        <v>2331</v>
      </c>
      <c r="BO281" s="170">
        <f>+'[158]VENTAS TOTALES'!$E63</f>
        <v>621900</v>
      </c>
      <c r="BP281" s="171">
        <f>+'[158]VENTAS TOTALES'!$F63</f>
        <v>4584600</v>
      </c>
      <c r="BQ281" s="165">
        <f>+'[159]VENTAS TOTALES'!$D63</f>
        <v>2164</v>
      </c>
      <c r="BR281" s="170">
        <f>+'[159]VENTAS TOTALES'!$E63</f>
        <v>514650</v>
      </c>
      <c r="BS281" s="171">
        <f>+'[159]VENTAS TOTALES'!$F63</f>
        <v>4193450</v>
      </c>
      <c r="BT281" s="165">
        <f>+'[160]VENTAS TOTALES'!$D63</f>
        <v>2017</v>
      </c>
      <c r="BU281" s="170">
        <f>+'[160]VENTAS TOTALES'!$E63</f>
        <v>516800</v>
      </c>
      <c r="BV281" s="171">
        <f>+'[160]VENTAS TOTALES'!$F63</f>
        <v>3945700</v>
      </c>
      <c r="BW281" s="165">
        <f>+'[161]VENTAS TOTALES'!$D63</f>
        <v>2028</v>
      </c>
      <c r="BX281" s="170">
        <f>+'[161]VENTAS TOTALES'!$E63</f>
        <v>731900</v>
      </c>
      <c r="BY281" s="171">
        <f>+'[161]VENTAS TOTALES'!$F63</f>
        <v>4179500</v>
      </c>
      <c r="BZ281" s="165">
        <f>+'[162]VENTAS TOTALES'!$D63</f>
        <v>1353</v>
      </c>
      <c r="CA281" s="170">
        <f>+'[162]VENTAS TOTALES'!$E63</f>
        <v>337300</v>
      </c>
      <c r="CB281" s="171">
        <f>+'[162]VENTAS TOTALES'!$F63</f>
        <v>2637400</v>
      </c>
      <c r="CC281" s="165">
        <f>+'[163]VENTAS TOTALES'!$D63</f>
        <v>395</v>
      </c>
      <c r="CD281" s="170">
        <f>+'[163]VENTAS TOTALES'!$E63</f>
        <v>176800</v>
      </c>
      <c r="CE281" s="171">
        <f>+'[163]VENTAS TOTALES'!$F63</f>
        <v>848300</v>
      </c>
      <c r="CF281" s="165">
        <f>+'[164]VENTAS TOTALES'!$D63</f>
        <v>2791</v>
      </c>
      <c r="CG281" s="170">
        <f>+'[164]VENTAS TOTALES'!$E63</f>
        <v>1283950</v>
      </c>
      <c r="CH281" s="171">
        <f>+'[164]VENTAS TOTALES'!$F63</f>
        <v>6028650</v>
      </c>
      <c r="CI281" s="165">
        <f>+'[165]VENTAS TOTALES'!$D63</f>
        <v>2653</v>
      </c>
      <c r="CJ281" s="170">
        <f>+'[165]VENTAS TOTALES'!$E63</f>
        <v>1112700</v>
      </c>
      <c r="CK281" s="171">
        <f>+'[165]VENTAS TOTALES'!$F63</f>
        <v>5622800</v>
      </c>
      <c r="CL281" s="165">
        <f>+'[166]VENTAS TOTALES'!$D63</f>
        <v>2569</v>
      </c>
      <c r="CM281" s="170">
        <f>+'[166]VENTAS TOTALES'!$E63</f>
        <v>924000</v>
      </c>
      <c r="CN281" s="171">
        <f>+'[166]VENTAS TOTALES'!$F63</f>
        <v>5291300</v>
      </c>
      <c r="CO281" s="165">
        <f>+'[167]VENTAS TOTALES'!$D63</f>
        <v>2415</v>
      </c>
      <c r="CP281" s="170">
        <f>+'[167]VENTAS TOTALES'!$E63</f>
        <v>527800</v>
      </c>
      <c r="CQ281" s="171">
        <f>+'[167]VENTAS TOTALES'!$F63</f>
        <v>4633300</v>
      </c>
      <c r="CR281" s="165">
        <f>+'[168]VENTAS TOTALES'!$D63</f>
        <v>2247</v>
      </c>
      <c r="CS281" s="170">
        <f>+'[168]VENTAS TOTALES'!$E63</f>
        <v>364500</v>
      </c>
      <c r="CT281" s="171">
        <f>+'[168]VENTAS TOTALES'!$F63</f>
        <v>4184400</v>
      </c>
      <c r="CU281" s="165">
        <f>+'[169]VENTAS TOTALES'!$D63</f>
        <v>1333</v>
      </c>
      <c r="CV281" s="170">
        <f>+'[169]VENTAS TOTALES'!$E63</f>
        <v>589000</v>
      </c>
      <c r="CW281" s="171">
        <f>+'[169]VENTAS TOTALES'!$F63</f>
        <v>2855100</v>
      </c>
      <c r="CX281" s="165">
        <f>+'[170]VENTAS TOTALES'!$D63</f>
        <v>422</v>
      </c>
      <c r="CY281" s="170">
        <f>+'[170]VENTAS TOTALES'!$E63</f>
        <v>86500</v>
      </c>
      <c r="CZ281" s="171">
        <f>+'[170]VENTAS TOTALES'!$F63</f>
        <v>803900</v>
      </c>
    </row>
    <row r="282" spans="1:104" s="10" customFormat="1" x14ac:dyDescent="0.2">
      <c r="A282" s="471"/>
      <c r="B282" s="53" t="s">
        <v>262</v>
      </c>
      <c r="C282" s="165">
        <f>+'[137]VENTAS TOTALES'!$D64</f>
        <v>3271</v>
      </c>
      <c r="D282" s="170">
        <f>+'[137]VENTAS TOTALES'!$E64</f>
        <v>1011000</v>
      </c>
      <c r="E282" s="171">
        <f>+'[137]VENTAS TOTALES'!$F64</f>
        <v>6571700</v>
      </c>
      <c r="F282" s="165">
        <f>+'[138]VENTAS TOTALES'!$D64</f>
        <v>3246</v>
      </c>
      <c r="G282" s="170">
        <f>+'[138]VENTAS TOTALES'!$E64</f>
        <v>828200</v>
      </c>
      <c r="H282" s="171">
        <f>+'[138]VENTAS TOTALES'!$F64</f>
        <v>6346400</v>
      </c>
      <c r="I282" s="165">
        <f>+'[139]VENTAS TOTALES'!$D64</f>
        <v>2696</v>
      </c>
      <c r="J282" s="170">
        <f>+'[139]VENTAS TOTALES'!$E64</f>
        <v>718700</v>
      </c>
      <c r="K282" s="171">
        <f>+'[139]VENTAS TOTALES'!$F64</f>
        <v>5301900</v>
      </c>
      <c r="L282" s="165">
        <f>+'[140]VENTAS TOTALES'!$D64</f>
        <v>2751</v>
      </c>
      <c r="M282" s="170">
        <f>+'[140]VENTAS TOTALES'!$E64</f>
        <v>545200</v>
      </c>
      <c r="N282" s="171">
        <f>+'[140]VENTAS TOTALES'!$F64</f>
        <v>5221900</v>
      </c>
      <c r="O282" s="165">
        <f>+'[141]VENTAS TOTALES'!$D64</f>
        <v>2168</v>
      </c>
      <c r="P282" s="170">
        <f>+'[141]VENTAS TOTALES'!$E64</f>
        <v>531650</v>
      </c>
      <c r="Q282" s="171">
        <f>+'[141]VENTAS TOTALES'!$F64</f>
        <v>4217250</v>
      </c>
      <c r="R282" s="165">
        <f>+'[142]VENTAS TOTALES'!$D64</f>
        <v>894</v>
      </c>
      <c r="S282" s="170">
        <f>+'[142]VENTAS TOTALES'!$E64</f>
        <v>272500</v>
      </c>
      <c r="T282" s="171">
        <f>+'[142]VENTAS TOTALES'!$F64</f>
        <v>1792300</v>
      </c>
      <c r="U282" s="165">
        <f>+'[143]VENTAS TOTALES'!$D64</f>
        <v>3973</v>
      </c>
      <c r="V282" s="170">
        <f>+'[143]VENTAS TOTALES'!$E64</f>
        <v>1211950</v>
      </c>
      <c r="W282" s="171">
        <f>+'[143]VENTAS TOTALES'!$F64</f>
        <v>7966050</v>
      </c>
      <c r="X282" s="165">
        <f>+'[144]VENTAS TOTALES'!$D64</f>
        <v>3041</v>
      </c>
      <c r="Y282" s="170">
        <f>+'[144]VENTAS TOTALES'!$E64</f>
        <v>752400</v>
      </c>
      <c r="Z282" s="171">
        <f>+'[144]VENTAS TOTALES'!$F64</f>
        <v>5922100</v>
      </c>
      <c r="AA282" s="165">
        <f>+'[145]VENTAS TOTALES'!$D64</f>
        <v>2986</v>
      </c>
      <c r="AB282" s="170">
        <f>+'[145]VENTAS TOTALES'!$E64</f>
        <v>642200</v>
      </c>
      <c r="AC282" s="171">
        <f>+'[145]VENTAS TOTALES'!$F64</f>
        <v>5718400</v>
      </c>
      <c r="AD282" s="165">
        <f>+'[146]VENTAS TOTALES'!$D64</f>
        <v>3004</v>
      </c>
      <c r="AE282" s="170">
        <f>+'[146]VENTAS TOTALES'!$E64</f>
        <v>592350</v>
      </c>
      <c r="AF282" s="171">
        <f>+'[146]VENTAS TOTALES'!$F64</f>
        <v>5699150</v>
      </c>
      <c r="AG282" s="165">
        <f>+'[147]VENTAS TOTALES'!$D64</f>
        <v>2717</v>
      </c>
      <c r="AH282" s="170">
        <f>+'[147]VENTAS TOTALES'!$E64</f>
        <v>582050</v>
      </c>
      <c r="AI282" s="171">
        <f>+'[147]VENTAS TOTALES'!$F64</f>
        <v>5200950</v>
      </c>
      <c r="AJ282" s="165">
        <f>+'[148]VENTAS TOTALES'!$D64</f>
        <v>2075</v>
      </c>
      <c r="AK282" s="170">
        <f>+'[148]VENTAS TOTALES'!$E64</f>
        <v>367900</v>
      </c>
      <c r="AL282" s="171">
        <f>+'[148]VENTAS TOTALES'!$F64</f>
        <v>3895400</v>
      </c>
      <c r="AM282" s="165">
        <f>+'[149]VENTAS TOTALES'!$D64</f>
        <v>876</v>
      </c>
      <c r="AN282" s="170">
        <f>+'[149]VENTAS TOTALES'!$E64</f>
        <v>160000</v>
      </c>
      <c r="AO282" s="171">
        <f>+'[149]VENTAS TOTALES'!$F64</f>
        <v>1649200</v>
      </c>
      <c r="AP282" s="165">
        <f>+'[150]VENTAS TOTALES'!$D64</f>
        <v>3972</v>
      </c>
      <c r="AQ282" s="170">
        <f>+'[150]VENTAS TOTALES'!$E64</f>
        <v>994450</v>
      </c>
      <c r="AR282" s="171">
        <f>+'[150]VENTAS TOTALES'!$F64</f>
        <v>7746850</v>
      </c>
      <c r="AS282" s="165">
        <f>+'[151]VENTAS TOTALES'!$D64</f>
        <v>3328</v>
      </c>
      <c r="AT282" s="170">
        <f>+'[151]VENTAS TOTALES'!$E64</f>
        <v>940750</v>
      </c>
      <c r="AU282" s="171">
        <f>+'[151]VENTAS TOTALES'!$F64</f>
        <v>6598350</v>
      </c>
      <c r="AV282" s="165">
        <f>+'[152]VENTAS TOTALES'!$D64</f>
        <v>3245</v>
      </c>
      <c r="AW282" s="170">
        <f>+'[152]VENTAS TOTALES'!$E64</f>
        <v>928900</v>
      </c>
      <c r="AX282" s="171">
        <f>+'[152]VENTAS TOTALES'!$F64</f>
        <v>6445400</v>
      </c>
      <c r="AY282" s="165">
        <f>+'[153]VENTAS TOTALES'!$D64</f>
        <v>3238</v>
      </c>
      <c r="AZ282" s="170">
        <f>+'[153]VENTAS TOTALES'!$E64</f>
        <v>806550</v>
      </c>
      <c r="BA282" s="171">
        <f>+'[153]VENTAS TOTALES'!$F64</f>
        <v>6311150</v>
      </c>
      <c r="BB282" s="165">
        <f>+'[154]VENTAS TOTALES'!$D64</f>
        <v>2842</v>
      </c>
      <c r="BC282" s="170">
        <f>+'[154]VENTAS TOTALES'!$E64</f>
        <v>490000</v>
      </c>
      <c r="BD282" s="171">
        <f>+'[154]VENTAS TOTALES'!$F64</f>
        <v>5321400</v>
      </c>
      <c r="BE282" s="165">
        <f>+'[155]VENTAS TOTALES'!$D64</f>
        <v>2112</v>
      </c>
      <c r="BF282" s="170">
        <f>+'[155]VENTAS TOTALES'!$E64</f>
        <v>608050</v>
      </c>
      <c r="BG282" s="171">
        <f>+'[155]VENTAS TOTALES'!$F64</f>
        <v>4198450</v>
      </c>
      <c r="BH282" s="165">
        <f>+'[156]VENTAS TOTALES'!$D64</f>
        <v>887</v>
      </c>
      <c r="BI282" s="170">
        <f>+'[156]VENTAS TOTALES'!$E64</f>
        <v>163900</v>
      </c>
      <c r="BJ282" s="171">
        <f>+'[156]VENTAS TOTALES'!$F64</f>
        <v>1671800</v>
      </c>
      <c r="BK282" s="165">
        <f>+'[157]VENTAS TOTALES'!$D64</f>
        <v>4074</v>
      </c>
      <c r="BL282" s="170">
        <f>+'[157]VENTAS TOTALES'!$E64</f>
        <v>1055900</v>
      </c>
      <c r="BM282" s="171">
        <f>+'[157]VENTAS TOTALES'!$F64</f>
        <v>7981700</v>
      </c>
      <c r="BN282" s="165">
        <f>+'[158]VENTAS TOTALES'!$D64</f>
        <v>3178</v>
      </c>
      <c r="BO282" s="170">
        <f>+'[158]VENTAS TOTALES'!$E64</f>
        <v>688500</v>
      </c>
      <c r="BP282" s="171">
        <f>+'[158]VENTAS TOTALES'!$F64</f>
        <v>6091100</v>
      </c>
      <c r="BQ282" s="165">
        <f>+'[159]VENTAS TOTALES'!$D64</f>
        <v>2818</v>
      </c>
      <c r="BR282" s="170">
        <f>+'[159]VENTAS TOTALES'!$E64</f>
        <v>502800</v>
      </c>
      <c r="BS282" s="171">
        <f>+'[159]VENTAS TOTALES'!$F64</f>
        <v>5293400</v>
      </c>
      <c r="BT282" s="165">
        <f>+'[160]VENTAS TOTALES'!$D64</f>
        <v>2993</v>
      </c>
      <c r="BU282" s="170">
        <f>+'[160]VENTAS TOTALES'!$E64</f>
        <v>592300</v>
      </c>
      <c r="BV282" s="171">
        <f>+'[160]VENTAS TOTALES'!$F64</f>
        <v>5680400</v>
      </c>
      <c r="BW282" s="165">
        <f>+'[161]VENTAS TOTALES'!$D64</f>
        <v>2717</v>
      </c>
      <c r="BX282" s="170">
        <f>+'[161]VENTAS TOTALES'!$E64</f>
        <v>586950</v>
      </c>
      <c r="BY282" s="171">
        <f>+'[161]VENTAS TOTALES'!$F64</f>
        <v>5205850</v>
      </c>
      <c r="BZ282" s="165">
        <f>+'[162]VENTAS TOTALES'!$D64</f>
        <v>2299</v>
      </c>
      <c r="CA282" s="170">
        <f>+'[162]VENTAS TOTALES'!$E64</f>
        <v>502700</v>
      </c>
      <c r="CB282" s="171">
        <f>+'[162]VENTAS TOTALES'!$F64</f>
        <v>4411000</v>
      </c>
      <c r="CC282" s="165">
        <f>+'[163]VENTAS TOTALES'!$D64</f>
        <v>812</v>
      </c>
      <c r="CD282" s="170">
        <f>+'[163]VENTAS TOTALES'!$E64</f>
        <v>82300</v>
      </c>
      <c r="CE282" s="171">
        <f>+'[163]VENTAS TOTALES'!$F64</f>
        <v>1462700</v>
      </c>
      <c r="CF282" s="165">
        <f>+'[164]VENTAS TOTALES'!$D64</f>
        <v>4217</v>
      </c>
      <c r="CG282" s="170">
        <f>+'[164]VENTAS TOTALES'!$E64</f>
        <v>1345100</v>
      </c>
      <c r="CH282" s="171">
        <f>+'[164]VENTAS TOTALES'!$F64</f>
        <v>8514000</v>
      </c>
      <c r="CI282" s="165">
        <f>+'[165]VENTAS TOTALES'!$D64</f>
        <v>3552</v>
      </c>
      <c r="CJ282" s="170">
        <f>+'[165]VENTAS TOTALES'!$E64</f>
        <v>1311550</v>
      </c>
      <c r="CK282" s="171">
        <f>+'[165]VENTAS TOTALES'!$F64</f>
        <v>7349950</v>
      </c>
      <c r="CL282" s="165">
        <f>+'[166]VENTAS TOTALES'!$D64</f>
        <v>3498</v>
      </c>
      <c r="CM282" s="170">
        <f>+'[166]VENTAS TOTALES'!$E64</f>
        <v>1222600</v>
      </c>
      <c r="CN282" s="171">
        <f>+'[166]VENTAS TOTALES'!$F64</f>
        <v>7169200</v>
      </c>
      <c r="CO282" s="165">
        <f>+'[167]VENTAS TOTALES'!$D64</f>
        <v>3272</v>
      </c>
      <c r="CP282" s="170">
        <f>+'[167]VENTAS TOTALES'!$E64</f>
        <v>746700</v>
      </c>
      <c r="CQ282" s="171">
        <f>+'[167]VENTAS TOTALES'!$F64</f>
        <v>6309100</v>
      </c>
      <c r="CR282" s="165">
        <f>+'[168]VENTAS TOTALES'!$D64</f>
        <v>2967</v>
      </c>
      <c r="CS282" s="170">
        <f>+'[168]VENTAS TOTALES'!$E64</f>
        <v>584000</v>
      </c>
      <c r="CT282" s="171">
        <f>+'[168]VENTAS TOTALES'!$F64</f>
        <v>5627900</v>
      </c>
      <c r="CU282" s="165">
        <f>+'[169]VENTAS TOTALES'!$D64</f>
        <v>2230</v>
      </c>
      <c r="CV282" s="170">
        <f>+'[169]VENTAS TOTALES'!$E64</f>
        <v>294900</v>
      </c>
      <c r="CW282" s="171">
        <f>+'[169]VENTAS TOTALES'!$F64</f>
        <v>4085900</v>
      </c>
      <c r="CX282" s="165">
        <f>+'[170]VENTAS TOTALES'!$D64</f>
        <v>867</v>
      </c>
      <c r="CY282" s="170">
        <f>+'[170]VENTAS TOTALES'!$E64</f>
        <v>154300</v>
      </c>
      <c r="CZ282" s="171">
        <f>+'[170]VENTAS TOTALES'!$F64</f>
        <v>1628200</v>
      </c>
    </row>
    <row r="283" spans="1:104" s="10" customFormat="1" x14ac:dyDescent="0.2">
      <c r="A283" s="471"/>
      <c r="B283" s="53" t="s">
        <v>263</v>
      </c>
      <c r="C283" s="165">
        <f>+'[137]VENTAS TOTALES'!$D65</f>
        <v>4125</v>
      </c>
      <c r="D283" s="170">
        <f>+'[137]VENTAS TOTALES'!$E65</f>
        <v>2232500</v>
      </c>
      <c r="E283" s="171">
        <f>+'[137]VENTAS TOTALES'!$F65</f>
        <v>9245000</v>
      </c>
      <c r="F283" s="165">
        <f>+'[138]VENTAS TOTALES'!$D65</f>
        <v>3976</v>
      </c>
      <c r="G283" s="170">
        <f>+'[138]VENTAS TOTALES'!$E65</f>
        <v>1459800</v>
      </c>
      <c r="H283" s="171">
        <f>+'[138]VENTAS TOTALES'!$F65</f>
        <v>8219000</v>
      </c>
      <c r="I283" s="165">
        <f>+'[139]VENTAS TOTALES'!$D65</f>
        <v>3371</v>
      </c>
      <c r="J283" s="170">
        <f>+'[139]VENTAS TOTALES'!$E65</f>
        <v>845200</v>
      </c>
      <c r="K283" s="171">
        <f>+'[139]VENTAS TOTALES'!$F65</f>
        <v>6575900</v>
      </c>
      <c r="L283" s="165">
        <f>+'[140]VENTAS TOTALES'!$D65</f>
        <v>3116</v>
      </c>
      <c r="M283" s="170">
        <f>+'[140]VENTAS TOTALES'!$E65</f>
        <v>906150</v>
      </c>
      <c r="N283" s="171">
        <f>+'[140]VENTAS TOTALES'!$F65</f>
        <v>6203350</v>
      </c>
      <c r="O283" s="165">
        <f>+'[141]VENTAS TOTALES'!$D65</f>
        <v>2264</v>
      </c>
      <c r="P283" s="170">
        <f>+'[141]VENTAS TOTALES'!$E65</f>
        <v>938500</v>
      </c>
      <c r="Q283" s="171">
        <f>+'[141]VENTAS TOTALES'!$F65</f>
        <v>4787300</v>
      </c>
      <c r="R283" s="165">
        <f>+'[142]VENTAS TOTALES'!$D65</f>
        <v>807</v>
      </c>
      <c r="S283" s="170">
        <f>+'[142]VENTAS TOTALES'!$E65</f>
        <v>155400</v>
      </c>
      <c r="T283" s="171">
        <f>+'[142]VENTAS TOTALES'!$F65</f>
        <v>1527300</v>
      </c>
      <c r="U283" s="165">
        <f>+'[143]VENTAS TOTALES'!$D65</f>
        <v>3957</v>
      </c>
      <c r="V283" s="170">
        <f>+'[143]VENTAS TOTALES'!$E65</f>
        <v>1628000</v>
      </c>
      <c r="W283" s="171">
        <f>+'[143]VENTAS TOTALES'!$F65</f>
        <v>8354900</v>
      </c>
      <c r="X283" s="165">
        <f>+'[144]VENTAS TOTALES'!$D65</f>
        <v>3466</v>
      </c>
      <c r="Y283" s="170">
        <f>+'[144]VENTAS TOTALES'!$E65</f>
        <v>1326450</v>
      </c>
      <c r="Z283" s="171">
        <f>+'[144]VENTAS TOTALES'!$F65</f>
        <v>7218650</v>
      </c>
      <c r="AA283" s="165">
        <f>+'[145]VENTAS TOTALES'!$D65</f>
        <v>3273</v>
      </c>
      <c r="AB283" s="170">
        <f>+'[145]VENTAS TOTALES'!$E65</f>
        <v>869450</v>
      </c>
      <c r="AC283" s="171">
        <f>+'[145]VENTAS TOTALES'!$F65</f>
        <v>6433550</v>
      </c>
      <c r="AD283" s="165">
        <f>+'[146]VENTAS TOTALES'!$D65</f>
        <v>3276</v>
      </c>
      <c r="AE283" s="170">
        <f>+'[146]VENTAS TOTALES'!$E65</f>
        <v>1119050</v>
      </c>
      <c r="AF283" s="171">
        <f>+'[146]VENTAS TOTALES'!$F65</f>
        <v>6688250</v>
      </c>
      <c r="AG283" s="165">
        <f>+'[147]VENTAS TOTALES'!$D65</f>
        <v>3145</v>
      </c>
      <c r="AH283" s="170">
        <f>+'[147]VENTAS TOTALES'!$E65</f>
        <v>833000</v>
      </c>
      <c r="AI283" s="171">
        <f>+'[147]VENTAS TOTALES'!$F65</f>
        <v>6179500</v>
      </c>
      <c r="AJ283" s="165">
        <f>+'[148]VENTAS TOTALES'!$D65</f>
        <v>2250</v>
      </c>
      <c r="AK283" s="170">
        <f>+'[148]VENTAS TOTALES'!$E65</f>
        <v>539900</v>
      </c>
      <c r="AL283" s="171">
        <f>+'[148]VENTAS TOTALES'!$F65</f>
        <v>4364900</v>
      </c>
      <c r="AM283" s="165">
        <f>+'[149]VENTAS TOTALES'!$D65</f>
        <v>588</v>
      </c>
      <c r="AN283" s="170">
        <f>+'[149]VENTAS TOTALES'!$E65</f>
        <v>193100</v>
      </c>
      <c r="AO283" s="171">
        <f>+'[149]VENTAS TOTALES'!$F65</f>
        <v>1192700</v>
      </c>
      <c r="AP283" s="165">
        <f>+'[150]VENTAS TOTALES'!$D65</f>
        <v>4194</v>
      </c>
      <c r="AQ283" s="170">
        <f>+'[150]VENTAS TOTALES'!$E65</f>
        <v>1542900</v>
      </c>
      <c r="AR283" s="171">
        <f>+'[150]VENTAS TOTALES'!$F65</f>
        <v>8672700</v>
      </c>
      <c r="AS283" s="165">
        <f>+'[151]VENTAS TOTALES'!$D65</f>
        <v>3674</v>
      </c>
      <c r="AT283" s="170">
        <f>+'[151]VENTAS TOTALES'!$E65</f>
        <v>1571100</v>
      </c>
      <c r="AU283" s="171">
        <f>+'[151]VENTAS TOTALES'!$F65</f>
        <v>7816900</v>
      </c>
      <c r="AV283" s="165">
        <f>+'[152]VENTAS TOTALES'!$D65</f>
        <v>3509</v>
      </c>
      <c r="AW283" s="170">
        <f>+'[152]VENTAS TOTALES'!$E65</f>
        <v>1758950</v>
      </c>
      <c r="AX283" s="171">
        <f>+'[152]VENTAS TOTALES'!$F65</f>
        <v>7724250</v>
      </c>
      <c r="AY283" s="165">
        <f>+'[153]VENTAS TOTALES'!$D65</f>
        <v>3588</v>
      </c>
      <c r="AZ283" s="170">
        <f>+'[153]VENTAS TOTALES'!$E65</f>
        <v>1029200</v>
      </c>
      <c r="BA283" s="171">
        <f>+'[153]VENTAS TOTALES'!$F65</f>
        <v>7128800</v>
      </c>
      <c r="BB283" s="165">
        <f>+'[154]VENTAS TOTALES'!$D65</f>
        <v>3339</v>
      </c>
      <c r="BC283" s="170">
        <f>+'[154]VENTAS TOTALES'!$E65</f>
        <v>1170200</v>
      </c>
      <c r="BD283" s="171">
        <f>+'[154]VENTAS TOTALES'!$F65</f>
        <v>6846500</v>
      </c>
      <c r="BE283" s="165">
        <f>+'[155]VENTAS TOTALES'!$D65</f>
        <v>2351</v>
      </c>
      <c r="BF283" s="170">
        <f>+'[155]VENTAS TOTALES'!$E65</f>
        <v>512300</v>
      </c>
      <c r="BG283" s="171">
        <f>+'[155]VENTAS TOTALES'!$F65</f>
        <v>4509000</v>
      </c>
      <c r="BH283" s="165">
        <f>+'[156]VENTAS TOTALES'!$D65</f>
        <v>684</v>
      </c>
      <c r="BI283" s="170">
        <f>+'[156]VENTAS TOTALES'!$E65</f>
        <v>176800</v>
      </c>
      <c r="BJ283" s="171">
        <f>+'[156]VENTAS TOTALES'!$F65</f>
        <v>1339600</v>
      </c>
      <c r="BK283" s="165">
        <f>+'[157]VENTAS TOTALES'!$D65</f>
        <v>3965</v>
      </c>
      <c r="BL283" s="170">
        <f>+'[157]VENTAS TOTALES'!$E65</f>
        <v>1523550</v>
      </c>
      <c r="BM283" s="171">
        <f>+'[157]VENTAS TOTALES'!$F65</f>
        <v>8264050</v>
      </c>
      <c r="BN283" s="165">
        <f>+'[158]VENTAS TOTALES'!$D65</f>
        <v>3557</v>
      </c>
      <c r="BO283" s="170">
        <f>+'[158]VENTAS TOTALES'!$E65</f>
        <v>950100</v>
      </c>
      <c r="BP283" s="171">
        <f>+'[158]VENTAS TOTALES'!$F65</f>
        <v>6997000</v>
      </c>
      <c r="BQ283" s="165">
        <f>+'[159]VENTAS TOTALES'!$D65</f>
        <v>3283</v>
      </c>
      <c r="BR283" s="170">
        <f>+'[159]VENTAS TOTALES'!$E65</f>
        <v>908100</v>
      </c>
      <c r="BS283" s="171">
        <f>+'[159]VENTAS TOTALES'!$F65</f>
        <v>6489200</v>
      </c>
      <c r="BT283" s="165">
        <f>+'[160]VENTAS TOTALES'!$D65</f>
        <v>3175</v>
      </c>
      <c r="BU283" s="170">
        <f>+'[160]VENTAS TOTALES'!$E65</f>
        <v>810800</v>
      </c>
      <c r="BV283" s="171">
        <f>+'[160]VENTAS TOTALES'!$F65</f>
        <v>6208300</v>
      </c>
      <c r="BW283" s="165">
        <f>+'[161]VENTAS TOTALES'!$D65</f>
        <v>3210</v>
      </c>
      <c r="BX283" s="170">
        <f>+'[161]VENTAS TOTALES'!$E65</f>
        <v>1050900</v>
      </c>
      <c r="BY283" s="171">
        <f>+'[161]VENTAS TOTALES'!$F65</f>
        <v>6507900</v>
      </c>
      <c r="BZ283" s="165">
        <f>+'[162]VENTAS TOTALES'!$D65</f>
        <v>2261</v>
      </c>
      <c r="CA283" s="170">
        <f>+'[162]VENTAS TOTALES'!$E65</f>
        <v>741200</v>
      </c>
      <c r="CB283" s="171">
        <f>+'[162]VENTAS TOTALES'!$F65</f>
        <v>4584900</v>
      </c>
      <c r="CC283" s="165">
        <f>+'[163]VENTAS TOTALES'!$D65</f>
        <v>670</v>
      </c>
      <c r="CD283" s="170">
        <f>+'[163]VENTAS TOTALES'!$E65</f>
        <v>170900</v>
      </c>
      <c r="CE283" s="171">
        <f>+'[163]VENTAS TOTALES'!$F65</f>
        <v>1309900</v>
      </c>
      <c r="CF283" s="165">
        <f>+'[164]VENTAS TOTALES'!$D65</f>
        <v>4742</v>
      </c>
      <c r="CG283" s="170">
        <f>+'[164]VENTAS TOTALES'!$E65</f>
        <v>2451900</v>
      </c>
      <c r="CH283" s="171">
        <f>+'[164]VENTAS TOTALES'!$F65</f>
        <v>10513300</v>
      </c>
      <c r="CI283" s="165">
        <f>+'[165]VENTAS TOTALES'!$D65</f>
        <v>4074</v>
      </c>
      <c r="CJ283" s="170">
        <f>+'[165]VENTAS TOTALES'!$E65</f>
        <v>2046800</v>
      </c>
      <c r="CK283" s="171">
        <f>+'[165]VENTAS TOTALES'!$F65</f>
        <v>8972600</v>
      </c>
      <c r="CL283" s="165">
        <f>+'[166]VENTAS TOTALES'!$D65</f>
        <v>3667</v>
      </c>
      <c r="CM283" s="170">
        <f>+'[166]VENTAS TOTALES'!$E65</f>
        <v>1326000</v>
      </c>
      <c r="CN283" s="171">
        <f>+'[166]VENTAS TOTALES'!$F65</f>
        <v>7559900</v>
      </c>
      <c r="CO283" s="165">
        <f>+'[167]VENTAS TOTALES'!$D65</f>
        <v>3597</v>
      </c>
      <c r="CP283" s="170">
        <f>+'[167]VENTAS TOTALES'!$E65</f>
        <v>1140800</v>
      </c>
      <c r="CQ283" s="171">
        <f>+'[167]VENTAS TOTALES'!$F65</f>
        <v>7255700</v>
      </c>
      <c r="CR283" s="165">
        <f>+'[168]VENTAS TOTALES'!$D65</f>
        <v>3483</v>
      </c>
      <c r="CS283" s="170">
        <f>+'[168]VENTAS TOTALES'!$E65</f>
        <v>860600</v>
      </c>
      <c r="CT283" s="171">
        <f>+'[168]VENTAS TOTALES'!$F65</f>
        <v>6781700</v>
      </c>
      <c r="CU283" s="165">
        <f>+'[169]VENTAS TOTALES'!$D65</f>
        <v>2512</v>
      </c>
      <c r="CV283" s="170">
        <f>+'[169]VENTAS TOTALES'!$E65</f>
        <v>732200</v>
      </c>
      <c r="CW283" s="171">
        <f>+'[169]VENTAS TOTALES'!$F65</f>
        <v>5002600</v>
      </c>
      <c r="CX283" s="165">
        <f>+'[170]VENTAS TOTALES'!$D65</f>
        <v>647</v>
      </c>
      <c r="CY283" s="170">
        <f>+'[170]VENTAS TOTALES'!$E65</f>
        <v>159700</v>
      </c>
      <c r="CZ283" s="171">
        <f>+'[170]VENTAS TOTALES'!$F65</f>
        <v>1259600</v>
      </c>
    </row>
    <row r="284" spans="1:104" s="10" customFormat="1" x14ac:dyDescent="0.2">
      <c r="A284" s="471"/>
      <c r="B284" s="53" t="s">
        <v>264</v>
      </c>
      <c r="C284" s="165">
        <f>+'[137]VENTAS TOTALES'!$D66</f>
        <v>4385</v>
      </c>
      <c r="D284" s="170">
        <f>+'[137]VENTAS TOTALES'!$E66</f>
        <v>2074600</v>
      </c>
      <c r="E284" s="171">
        <f>+'[137]VENTAS TOTALES'!$F66</f>
        <v>9529100</v>
      </c>
      <c r="F284" s="165">
        <f>+'[138]VENTAS TOTALES'!$D66</f>
        <v>4119</v>
      </c>
      <c r="G284" s="170">
        <f>+'[138]VENTAS TOTALES'!$E66</f>
        <v>1490200</v>
      </c>
      <c r="H284" s="171">
        <f>+'[138]VENTAS TOTALES'!$F66</f>
        <v>8492500</v>
      </c>
      <c r="I284" s="165">
        <f>+'[139]VENTAS TOTALES'!$D66</f>
        <v>3714</v>
      </c>
      <c r="J284" s="170">
        <f>+'[139]VENTAS TOTALES'!$E66</f>
        <v>1131000</v>
      </c>
      <c r="K284" s="171">
        <f>+'[139]VENTAS TOTALES'!$F66</f>
        <v>7444800</v>
      </c>
      <c r="L284" s="165">
        <f>+'[140]VENTAS TOTALES'!$D66</f>
        <v>3672</v>
      </c>
      <c r="M284" s="170">
        <f>+'[140]VENTAS TOTALES'!$E66</f>
        <v>1117200</v>
      </c>
      <c r="N284" s="171">
        <f>+'[140]VENTAS TOTALES'!$F66</f>
        <v>7359600</v>
      </c>
      <c r="O284" s="165">
        <f>+'[141]VENTAS TOTALES'!$D66</f>
        <v>2621</v>
      </c>
      <c r="P284" s="170">
        <f>+'[141]VENTAS TOTALES'!$E66</f>
        <v>901400</v>
      </c>
      <c r="Q284" s="171">
        <f>+'[141]VENTAS TOTALES'!$F66</f>
        <v>5357100</v>
      </c>
      <c r="R284" s="165">
        <f>+'[142]VENTAS TOTALES'!$D66</f>
        <v>1206</v>
      </c>
      <c r="S284" s="170">
        <f>+'[142]VENTAS TOTALES'!$E66</f>
        <v>366700</v>
      </c>
      <c r="T284" s="171">
        <f>+'[142]VENTAS TOTALES'!$F66</f>
        <v>2416900</v>
      </c>
      <c r="U284" s="165">
        <f>+'[143]VENTAS TOTALES'!$D66</f>
        <v>4220</v>
      </c>
      <c r="V284" s="170">
        <f>+'[143]VENTAS TOTALES'!$E66</f>
        <v>1487000</v>
      </c>
      <c r="W284" s="171">
        <f>+'[143]VENTAS TOTALES'!$F66</f>
        <v>8661000</v>
      </c>
      <c r="X284" s="165">
        <f>+'[144]VENTAS TOTALES'!$D66</f>
        <v>3771</v>
      </c>
      <c r="Y284" s="170">
        <f>+'[144]VENTAS TOTALES'!$E66</f>
        <v>1277400</v>
      </c>
      <c r="Z284" s="171">
        <f>+'[144]VENTAS TOTALES'!$F66</f>
        <v>7688100</v>
      </c>
      <c r="AA284" s="165">
        <f>+'[145]VENTAS TOTALES'!$D66</f>
        <v>3554</v>
      </c>
      <c r="AB284" s="170">
        <f>+'[145]VENTAS TOTALES'!$E66</f>
        <v>832800</v>
      </c>
      <c r="AC284" s="171">
        <f>+'[145]VENTAS TOTALES'!$F66</f>
        <v>6874600</v>
      </c>
      <c r="AD284" s="165">
        <f>+'[146]VENTAS TOTALES'!$D66</f>
        <v>3381</v>
      </c>
      <c r="AE284" s="170">
        <f>+'[146]VENTAS TOTALES'!$E66</f>
        <v>1063350</v>
      </c>
      <c r="AF284" s="171">
        <f>+'[146]VENTAS TOTALES'!$F66</f>
        <v>6811050</v>
      </c>
      <c r="AG284" s="165">
        <f>+'[147]VENTAS TOTALES'!$D66</f>
        <v>3400</v>
      </c>
      <c r="AH284" s="170">
        <f>+'[147]VENTAS TOTALES'!$E66</f>
        <v>1019300</v>
      </c>
      <c r="AI284" s="171">
        <f>+'[147]VENTAS TOTALES'!$F66</f>
        <v>6799300</v>
      </c>
      <c r="AJ284" s="165">
        <f>+'[148]VENTAS TOTALES'!$D66</f>
        <v>2666</v>
      </c>
      <c r="AK284" s="170">
        <f>+'[148]VENTAS TOTALES'!$E66</f>
        <v>659200</v>
      </c>
      <c r="AL284" s="171">
        <f>+'[148]VENTAS TOTALES'!$F66</f>
        <v>5191400</v>
      </c>
      <c r="AM284" s="165">
        <f>+'[149]VENTAS TOTALES'!$D66</f>
        <v>1045</v>
      </c>
      <c r="AN284" s="170">
        <f>+'[149]VENTAS TOTALES'!$E66</f>
        <v>291600</v>
      </c>
      <c r="AO284" s="171">
        <f>+'[149]VENTAS TOTALES'!$F66</f>
        <v>2068100</v>
      </c>
      <c r="AP284" s="165">
        <f>+'[150]VENTAS TOTALES'!$D66</f>
        <v>4470</v>
      </c>
      <c r="AQ284" s="170">
        <f>+'[150]VENTAS TOTALES'!$E66</f>
        <v>1835100</v>
      </c>
      <c r="AR284" s="171">
        <f>+'[150]VENTAS TOTALES'!$F66</f>
        <v>9434100</v>
      </c>
      <c r="AS284" s="165">
        <f>+'[151]VENTAS TOTALES'!$D66</f>
        <v>4191</v>
      </c>
      <c r="AT284" s="170">
        <f>+'[151]VENTAS TOTALES'!$E66</f>
        <v>2011000</v>
      </c>
      <c r="AU284" s="171">
        <f>+'[151]VENTAS TOTALES'!$F66</f>
        <v>9135700</v>
      </c>
      <c r="AV284" s="165">
        <f>+'[152]VENTAS TOTALES'!$D66</f>
        <v>3937</v>
      </c>
      <c r="AW284" s="170">
        <f>+'[152]VENTAS TOTALES'!$E66</f>
        <v>1749700</v>
      </c>
      <c r="AX284" s="171">
        <f>+'[152]VENTAS TOTALES'!$F66</f>
        <v>8442600</v>
      </c>
      <c r="AY284" s="165">
        <f>+'[153]VENTAS TOTALES'!$D66</f>
        <v>3895</v>
      </c>
      <c r="AZ284" s="170">
        <f>+'[153]VENTAS TOTALES'!$E66</f>
        <v>1324900</v>
      </c>
      <c r="BA284" s="171">
        <f>+'[153]VENTAS TOTALES'!$F66</f>
        <v>7946400</v>
      </c>
      <c r="BB284" s="165">
        <f>+'[154]VENTAS TOTALES'!$D66</f>
        <v>3717</v>
      </c>
      <c r="BC284" s="170">
        <f>+'[154]VENTAS TOTALES'!$E66</f>
        <v>1103300</v>
      </c>
      <c r="BD284" s="171">
        <f>+'[154]VENTAS TOTALES'!$F66</f>
        <v>7422200</v>
      </c>
      <c r="BE284" s="165">
        <f>+'[155]VENTAS TOTALES'!$D66</f>
        <v>2849</v>
      </c>
      <c r="BF284" s="170">
        <f>+'[155]VENTAS TOTALES'!$E66</f>
        <v>840700</v>
      </c>
      <c r="BG284" s="171">
        <f>+'[155]VENTAS TOTALES'!$F66</f>
        <v>5684000</v>
      </c>
      <c r="BH284" s="165">
        <f>+'[156]VENTAS TOTALES'!$D66</f>
        <v>1048</v>
      </c>
      <c r="BI284" s="170">
        <f>+'[156]VENTAS TOTALES'!$E66</f>
        <v>332400</v>
      </c>
      <c r="BJ284" s="171">
        <f>+'[156]VENTAS TOTALES'!$F66</f>
        <v>2114000</v>
      </c>
      <c r="BK284" s="165">
        <f>+'[157]VENTAS TOTALES'!$D66</f>
        <v>4268</v>
      </c>
      <c r="BL284" s="170">
        <f>+'[157]VENTAS TOTALES'!$E66</f>
        <v>1662200</v>
      </c>
      <c r="BM284" s="171">
        <f>+'[157]VENTAS TOTALES'!$F66</f>
        <v>8917800</v>
      </c>
      <c r="BN284" s="165">
        <f>+'[158]VENTAS TOTALES'!$D66</f>
        <v>3559</v>
      </c>
      <c r="BO284" s="170">
        <f>+'[158]VENTAS TOTALES'!$E66</f>
        <v>1210700</v>
      </c>
      <c r="BP284" s="171">
        <f>+'[158]VENTAS TOTALES'!$F66</f>
        <v>7261000</v>
      </c>
      <c r="BQ284" s="165">
        <f>+'[159]VENTAS TOTALES'!$D66</f>
        <v>3601</v>
      </c>
      <c r="BR284" s="170">
        <f>+'[159]VENTAS TOTALES'!$E66</f>
        <v>1058500</v>
      </c>
      <c r="BS284" s="171">
        <f>+'[159]VENTAS TOTALES'!$F66</f>
        <v>7180200</v>
      </c>
      <c r="BT284" s="165">
        <f>+'[160]VENTAS TOTALES'!$D66</f>
        <v>3399</v>
      </c>
      <c r="BU284" s="170">
        <f>+'[160]VENTAS TOTALES'!$E66</f>
        <v>909800</v>
      </c>
      <c r="BV284" s="171">
        <f>+'[160]VENTAS TOTALES'!$F66</f>
        <v>6688100</v>
      </c>
      <c r="BW284" s="165">
        <f>+'[161]VENTAS TOTALES'!$D66</f>
        <v>3741</v>
      </c>
      <c r="BX284" s="170">
        <f>+'[161]VENTAS TOTALES'!$E66</f>
        <v>1201000</v>
      </c>
      <c r="BY284" s="171">
        <f>+'[161]VENTAS TOTALES'!$F66</f>
        <v>7560700</v>
      </c>
      <c r="BZ284" s="165">
        <f>+'[162]VENTAS TOTALES'!$D66</f>
        <v>2707</v>
      </c>
      <c r="CA284" s="170">
        <f>+'[162]VENTAS TOTALES'!$E66</f>
        <v>1022100</v>
      </c>
      <c r="CB284" s="171">
        <f>+'[162]VENTAS TOTALES'!$F66</f>
        <v>5624000</v>
      </c>
      <c r="CC284" s="165">
        <f>+'[163]VENTAS TOTALES'!$D66</f>
        <v>1143</v>
      </c>
      <c r="CD284" s="170">
        <f>+'[163]VENTAS TOTALES'!$E66</f>
        <v>325000</v>
      </c>
      <c r="CE284" s="171">
        <f>+'[163]VENTAS TOTALES'!$F66</f>
        <v>2268100</v>
      </c>
      <c r="CF284" s="165">
        <f>+'[164]VENTAS TOTALES'!$D66</f>
        <v>4917</v>
      </c>
      <c r="CG284" s="170">
        <f>+'[164]VENTAS TOTALES'!$E66</f>
        <v>2604000</v>
      </c>
      <c r="CH284" s="171">
        <f>+'[164]VENTAS TOTALES'!$F66</f>
        <v>10962900</v>
      </c>
      <c r="CI284" s="165">
        <f>+'[165]VENTAS TOTALES'!$D66</f>
        <v>4615</v>
      </c>
      <c r="CJ284" s="170">
        <f>+'[165]VENTAS TOTALES'!$E66</f>
        <v>1886800</v>
      </c>
      <c r="CK284" s="171">
        <f>+'[165]VENTAS TOTALES'!$F66</f>
        <v>9732300</v>
      </c>
      <c r="CL284" s="165">
        <f>+'[166]VENTAS TOTALES'!$D66</f>
        <v>4309</v>
      </c>
      <c r="CM284" s="170">
        <f>+'[166]VENTAS TOTALES'!$E66</f>
        <v>1797100</v>
      </c>
      <c r="CN284" s="171">
        <f>+'[166]VENTAS TOTALES'!$F66</f>
        <v>9122400</v>
      </c>
      <c r="CO284" s="165">
        <f>+'[167]VENTAS TOTALES'!$D66</f>
        <v>3781</v>
      </c>
      <c r="CP284" s="170">
        <f>+'[167]VENTAS TOTALES'!$E66</f>
        <v>1252800</v>
      </c>
      <c r="CQ284" s="171">
        <f>+'[167]VENTAS TOTALES'!$F66</f>
        <v>7680500</v>
      </c>
      <c r="CR284" s="165">
        <f>+'[168]VENTAS TOTALES'!$D66</f>
        <v>3771</v>
      </c>
      <c r="CS284" s="170">
        <f>+'[168]VENTAS TOTALES'!$E66</f>
        <v>1257600</v>
      </c>
      <c r="CT284" s="171">
        <f>+'[168]VENTAS TOTALES'!$F66</f>
        <v>7668300</v>
      </c>
      <c r="CU284" s="165">
        <f>+'[169]VENTAS TOTALES'!$D66</f>
        <v>2925</v>
      </c>
      <c r="CV284" s="170">
        <f>+'[169]VENTAS TOTALES'!$E66</f>
        <v>880400</v>
      </c>
      <c r="CW284" s="171">
        <f>+'[169]VENTAS TOTALES'!$F66</f>
        <v>5852900</v>
      </c>
      <c r="CX284" s="165">
        <f>+'[170]VENTAS TOTALES'!$D66</f>
        <v>1046</v>
      </c>
      <c r="CY284" s="170">
        <f>+'[170]VENTAS TOTALES'!$E66</f>
        <v>201200</v>
      </c>
      <c r="CZ284" s="171">
        <f>+'[170]VENTAS TOTALES'!$F66</f>
        <v>1979400</v>
      </c>
    </row>
    <row r="285" spans="1:104" s="10" customFormat="1" x14ac:dyDescent="0.2">
      <c r="A285" s="471"/>
      <c r="B285" s="53" t="s">
        <v>265</v>
      </c>
      <c r="C285" s="165">
        <f>+'[137]VENTAS TOTALES'!$D67</f>
        <v>2761</v>
      </c>
      <c r="D285" s="170">
        <f>+'[137]VENTAS TOTALES'!$E67</f>
        <v>1385600</v>
      </c>
      <c r="E285" s="171">
        <f>+'[137]VENTAS TOTALES'!$F67</f>
        <v>6079300</v>
      </c>
      <c r="F285" s="165">
        <f>+'[138]VENTAS TOTALES'!$D67</f>
        <v>2872</v>
      </c>
      <c r="G285" s="170">
        <f>+'[138]VENTAS TOTALES'!$E67</f>
        <v>945650</v>
      </c>
      <c r="H285" s="171">
        <f>+'[138]VENTAS TOTALES'!$F67</f>
        <v>5828050</v>
      </c>
      <c r="I285" s="165">
        <f>+'[139]VENTAS TOTALES'!$D67</f>
        <v>2604</v>
      </c>
      <c r="J285" s="170">
        <f>+'[139]VENTAS TOTALES'!$E67</f>
        <v>749300</v>
      </c>
      <c r="K285" s="171">
        <f>+'[139]VENTAS TOTALES'!$F67</f>
        <v>5176100</v>
      </c>
      <c r="L285" s="165">
        <f>+'[140]VENTAS TOTALES'!$D67</f>
        <v>2210</v>
      </c>
      <c r="M285" s="170">
        <f>+'[140]VENTAS TOTALES'!$E67</f>
        <v>626850</v>
      </c>
      <c r="N285" s="171">
        <f>+'[140]VENTAS TOTALES'!$F67</f>
        <v>4383850</v>
      </c>
      <c r="O285" s="165">
        <f>+'[141]VENTAS TOTALES'!$D67</f>
        <v>1441</v>
      </c>
      <c r="P285" s="170">
        <f>+'[141]VENTAS TOTALES'!$E67</f>
        <v>454900</v>
      </c>
      <c r="Q285" s="171">
        <f>+'[141]VENTAS TOTALES'!$F67</f>
        <v>2904600</v>
      </c>
      <c r="R285" s="165">
        <f>+'[142]VENTAS TOTALES'!$D67</f>
        <v>436</v>
      </c>
      <c r="S285" s="170">
        <f>+'[142]VENTAS TOTALES'!$E67</f>
        <v>158600</v>
      </c>
      <c r="T285" s="171">
        <f>+'[142]VENTAS TOTALES'!$F67</f>
        <v>899800</v>
      </c>
      <c r="U285" s="165">
        <f>+'[143]VENTAS TOTALES'!$D67</f>
        <v>3321</v>
      </c>
      <c r="V285" s="170">
        <f>+'[143]VENTAS TOTALES'!$E67</f>
        <v>1146650</v>
      </c>
      <c r="W285" s="171">
        <f>+'[143]VENTAS TOTALES'!$F67</f>
        <v>6792350</v>
      </c>
      <c r="X285" s="165">
        <f>+'[144]VENTAS TOTALES'!$D67</f>
        <v>2358</v>
      </c>
      <c r="Y285" s="170">
        <f>+'[144]VENTAS TOTALES'!$E67</f>
        <v>776800</v>
      </c>
      <c r="Z285" s="171">
        <f>+'[144]VENTAS TOTALES'!$F67</f>
        <v>4785400</v>
      </c>
      <c r="AA285" s="165">
        <f>+'[145]VENTAS TOTALES'!$D67</f>
        <v>2338</v>
      </c>
      <c r="AB285" s="170">
        <f>+'[145]VENTAS TOTALES'!$E67</f>
        <v>909200</v>
      </c>
      <c r="AC285" s="171">
        <f>+'[145]VENTAS TOTALES'!$F67</f>
        <v>4883800</v>
      </c>
      <c r="AD285" s="165">
        <f>+'[146]VENTAS TOTALES'!$D67</f>
        <v>2334</v>
      </c>
      <c r="AE285" s="170">
        <f>+'[146]VENTAS TOTALES'!$E67</f>
        <v>646100</v>
      </c>
      <c r="AF285" s="171">
        <f>+'[146]VENTAS TOTALES'!$F67</f>
        <v>4613900</v>
      </c>
      <c r="AG285" s="165">
        <f>+'[147]VENTAS TOTALES'!$D67</f>
        <v>2231</v>
      </c>
      <c r="AH285" s="170">
        <f>+'[147]VENTAS TOTALES'!$E67</f>
        <v>573200</v>
      </c>
      <c r="AI285" s="171">
        <f>+'[147]VENTAS TOTALES'!$F67</f>
        <v>4365900</v>
      </c>
      <c r="AJ285" s="165">
        <f>+'[148]VENTAS TOTALES'!$D67</f>
        <v>1339</v>
      </c>
      <c r="AK285" s="170">
        <f>+'[148]VENTAS TOTALES'!$E67</f>
        <v>503400</v>
      </c>
      <c r="AL285" s="171">
        <f>+'[148]VENTAS TOTALES'!$F67</f>
        <v>2779700</v>
      </c>
      <c r="AM285" s="165">
        <f>+'[149]VENTAS TOTALES'!$D67</f>
        <v>409</v>
      </c>
      <c r="AN285" s="170">
        <f>+'[149]VENTAS TOTALES'!$E67</f>
        <v>193900</v>
      </c>
      <c r="AO285" s="171">
        <f>+'[149]VENTAS TOTALES'!$F67</f>
        <v>889200</v>
      </c>
      <c r="AP285" s="165">
        <f>+'[150]VENTAS TOTALES'!$D67</f>
        <v>3062</v>
      </c>
      <c r="AQ285" s="170">
        <f>+'[150]VENTAS TOTALES'!$E67</f>
        <v>1182300</v>
      </c>
      <c r="AR285" s="171">
        <f>+'[150]VENTAS TOTALES'!$F67</f>
        <v>6387700</v>
      </c>
      <c r="AS285" s="165">
        <f>+'[151]VENTAS TOTALES'!$D67</f>
        <v>2787</v>
      </c>
      <c r="AT285" s="170">
        <f>+'[151]VENTAS TOTALES'!$E67</f>
        <v>1102000</v>
      </c>
      <c r="AU285" s="171">
        <f>+'[151]VENTAS TOTALES'!$F67</f>
        <v>5839900</v>
      </c>
      <c r="AV285" s="165">
        <f>+'[152]VENTAS TOTALES'!$D67</f>
        <v>2555</v>
      </c>
      <c r="AW285" s="170">
        <f>+'[152]VENTAS TOTALES'!$E67</f>
        <v>912200</v>
      </c>
      <c r="AX285" s="171">
        <f>+'[152]VENTAS TOTALES'!$F67</f>
        <v>5255700</v>
      </c>
      <c r="AY285" s="165">
        <f>+'[153]VENTAS TOTALES'!$D67</f>
        <v>2481</v>
      </c>
      <c r="AZ285" s="170">
        <f>+'[153]VENTAS TOTALES'!$E67</f>
        <v>639150</v>
      </c>
      <c r="BA285" s="171">
        <f>+'[153]VENTAS TOTALES'!$F67</f>
        <v>4856850</v>
      </c>
      <c r="BB285" s="165">
        <f>+'[154]VENTAS TOTALES'!$D67</f>
        <v>2171</v>
      </c>
      <c r="BC285" s="170">
        <f>+'[154]VENTAS TOTALES'!$E67</f>
        <v>676900</v>
      </c>
      <c r="BD285" s="171">
        <f>+'[154]VENTAS TOTALES'!$F67</f>
        <v>4367600</v>
      </c>
      <c r="BE285" s="165">
        <f>+'[155]VENTAS TOTALES'!$D67</f>
        <v>1483</v>
      </c>
      <c r="BF285" s="170">
        <f>+'[155]VENTAS TOTALES'!$E67</f>
        <v>429700</v>
      </c>
      <c r="BG285" s="171">
        <f>+'[155]VENTAS TOTALES'!$F67</f>
        <v>2950800</v>
      </c>
      <c r="BH285" s="165">
        <f>+'[156]VENTAS TOTALES'!$D67</f>
        <v>441</v>
      </c>
      <c r="BI285" s="170">
        <f>+'[156]VENTAS TOTALES'!$E67</f>
        <v>249500</v>
      </c>
      <c r="BJ285" s="171">
        <f>+'[156]VENTAS TOTALES'!$F67</f>
        <v>999200</v>
      </c>
      <c r="BK285" s="165">
        <f>+'[157]VENTAS TOTALES'!$D67</f>
        <v>3160</v>
      </c>
      <c r="BL285" s="170">
        <f>+'[157]VENTAS TOTALES'!$E67</f>
        <v>1247400</v>
      </c>
      <c r="BM285" s="171">
        <f>+'[157]VENTAS TOTALES'!$F67</f>
        <v>6619400</v>
      </c>
      <c r="BN285" s="165">
        <f>+'[158]VENTAS TOTALES'!$D67</f>
        <v>2446</v>
      </c>
      <c r="BO285" s="170">
        <f>+'[158]VENTAS TOTALES'!$E67</f>
        <v>787300</v>
      </c>
      <c r="BP285" s="171">
        <f>+'[158]VENTAS TOTALES'!$F67</f>
        <v>4945500</v>
      </c>
      <c r="BQ285" s="165">
        <f>+'[159]VENTAS TOTALES'!$D67</f>
        <v>2451</v>
      </c>
      <c r="BR285" s="170">
        <f>+'[159]VENTAS TOTALES'!$E67</f>
        <v>572400</v>
      </c>
      <c r="BS285" s="171">
        <f>+'[159]VENTAS TOTALES'!$F67</f>
        <v>4739100</v>
      </c>
      <c r="BT285" s="165">
        <f>+'[160]VENTAS TOTALES'!$D67</f>
        <v>2273</v>
      </c>
      <c r="BU285" s="170">
        <f>+'[160]VENTAS TOTALES'!$E67</f>
        <v>842200</v>
      </c>
      <c r="BV285" s="171">
        <f>+'[160]VENTAS TOTALES'!$F67</f>
        <v>4706300</v>
      </c>
      <c r="BW285" s="165">
        <f>+'[161]VENTAS TOTALES'!$D67</f>
        <v>2090</v>
      </c>
      <c r="BX285" s="170">
        <f>+'[161]VENTAS TOTALES'!$E67</f>
        <v>771900</v>
      </c>
      <c r="BY285" s="171">
        <f>+'[161]VENTAS TOTALES'!$F67</f>
        <v>4324900</v>
      </c>
      <c r="BZ285" s="165">
        <f>+'[162]VENTAS TOTALES'!$D67</f>
        <v>1449</v>
      </c>
      <c r="CA285" s="170">
        <f>+'[162]VENTAS TOTALES'!$E67</f>
        <v>459100</v>
      </c>
      <c r="CB285" s="171">
        <f>+'[162]VENTAS TOTALES'!$F67</f>
        <v>2922400</v>
      </c>
      <c r="CC285" s="165">
        <f>+'[163]VENTAS TOTALES'!$D67</f>
        <v>536</v>
      </c>
      <c r="CD285" s="170">
        <f>+'[163]VENTAS TOTALES'!$E67</f>
        <v>139200</v>
      </c>
      <c r="CE285" s="171">
        <f>+'[163]VENTAS TOTALES'!$F67</f>
        <v>1050400</v>
      </c>
      <c r="CF285" s="165">
        <f>+'[164]VENTAS TOTALES'!$D67</f>
        <v>3711</v>
      </c>
      <c r="CG285" s="170">
        <f>+'[164]VENTAS TOTALES'!$E67</f>
        <v>1747700</v>
      </c>
      <c r="CH285" s="171">
        <f>+'[164]VENTAS TOTALES'!$F67</f>
        <v>8056400</v>
      </c>
      <c r="CI285" s="165">
        <f>+'[165]VENTAS TOTALES'!$D67</f>
        <v>2872</v>
      </c>
      <c r="CJ285" s="170">
        <f>+'[165]VENTAS TOTALES'!$E67</f>
        <v>1166500</v>
      </c>
      <c r="CK285" s="171">
        <f>+'[165]VENTAS TOTALES'!$F67</f>
        <v>6048900</v>
      </c>
      <c r="CL285" s="165">
        <f>+'[166]VENTAS TOTALES'!$D67</f>
        <v>2765</v>
      </c>
      <c r="CM285" s="170">
        <f>+'[166]VENTAS TOTALES'!$E67</f>
        <v>975750</v>
      </c>
      <c r="CN285" s="171">
        <f>+'[166]VENTAS TOTALES'!$F67</f>
        <v>5676250</v>
      </c>
      <c r="CO285" s="165">
        <f>+'[167]VENTAS TOTALES'!$D67</f>
        <v>2431</v>
      </c>
      <c r="CP285" s="170">
        <f>+'[167]VENTAS TOTALES'!$E67</f>
        <v>852700</v>
      </c>
      <c r="CQ285" s="171">
        <f>+'[167]VENTAS TOTALES'!$F67</f>
        <v>4985400</v>
      </c>
      <c r="CR285" s="165">
        <f>+'[168]VENTAS TOTALES'!$D67</f>
        <v>2247</v>
      </c>
      <c r="CS285" s="170">
        <f>+'[168]VENTAS TOTALES'!$E67</f>
        <v>659200</v>
      </c>
      <c r="CT285" s="171">
        <f>+'[168]VENTAS TOTALES'!$F67</f>
        <v>4479100</v>
      </c>
      <c r="CU285" s="165">
        <f>+'[169]VENTAS TOTALES'!$D67</f>
        <v>1425</v>
      </c>
      <c r="CV285" s="170">
        <f>+'[169]VENTAS TOTALES'!$E67</f>
        <v>518700</v>
      </c>
      <c r="CW285" s="171">
        <f>+'[169]VENTAS TOTALES'!$F67</f>
        <v>2941200</v>
      </c>
      <c r="CX285" s="165">
        <f>+'[170]VENTAS TOTALES'!$D67</f>
        <v>485</v>
      </c>
      <c r="CY285" s="170">
        <f>+'[170]VENTAS TOTALES'!$E67</f>
        <v>177100</v>
      </c>
      <c r="CZ285" s="171">
        <f>+'[170]VENTAS TOTALES'!$F67</f>
        <v>1001600</v>
      </c>
    </row>
    <row r="286" spans="1:104" s="10" customFormat="1" x14ac:dyDescent="0.2">
      <c r="A286" s="471"/>
      <c r="B286" s="53" t="s">
        <v>266</v>
      </c>
      <c r="C286" s="165">
        <f>+'[137]VENTAS TOTALES'!$D68</f>
        <v>7044</v>
      </c>
      <c r="D286" s="170">
        <f>+'[137]VENTAS TOTALES'!$E68</f>
        <v>4209900</v>
      </c>
      <c r="E286" s="171">
        <f>+'[137]VENTAS TOTALES'!$F68</f>
        <v>16184700</v>
      </c>
      <c r="F286" s="165">
        <f>+'[138]VENTAS TOTALES'!$D68</f>
        <v>6686</v>
      </c>
      <c r="G286" s="170">
        <f>+'[138]VENTAS TOTALES'!$E68</f>
        <v>3315000</v>
      </c>
      <c r="H286" s="171">
        <f>+'[138]VENTAS TOTALES'!$F68</f>
        <v>14681200</v>
      </c>
      <c r="I286" s="165">
        <f>+'[139]VENTAS TOTALES'!$D68</f>
        <v>5873</v>
      </c>
      <c r="J286" s="170">
        <f>+'[139]VENTAS TOTALES'!$E68</f>
        <v>2333000</v>
      </c>
      <c r="K286" s="171">
        <f>+'[139]VENTAS TOTALES'!$F68</f>
        <v>12317100</v>
      </c>
      <c r="L286" s="165">
        <f>+'[140]VENTAS TOTALES'!$D68</f>
        <v>5634</v>
      </c>
      <c r="M286" s="170">
        <f>+'[140]VENTAS TOTALES'!$E68</f>
        <v>1622100</v>
      </c>
      <c r="N286" s="171">
        <f>+'[140]VENTAS TOTALES'!$F68</f>
        <v>11199900</v>
      </c>
      <c r="O286" s="165">
        <f>+'[141]VENTAS TOTALES'!$D68</f>
        <v>3380</v>
      </c>
      <c r="P286" s="170">
        <f>+'[141]VENTAS TOTALES'!$E68</f>
        <v>831800</v>
      </c>
      <c r="Q286" s="171">
        <f>+'[141]VENTAS TOTALES'!$F68</f>
        <v>6577800</v>
      </c>
      <c r="R286" s="165">
        <f>+'[142]VENTAS TOTALES'!$D68</f>
        <v>1501</v>
      </c>
      <c r="S286" s="170">
        <f>+'[142]VENTAS TOTALES'!$E68</f>
        <v>356800</v>
      </c>
      <c r="T286" s="171">
        <f>+'[142]VENTAS TOTALES'!$F68</f>
        <v>2908500</v>
      </c>
      <c r="U286" s="165">
        <f>+'[143]VENTAS TOTALES'!$D68</f>
        <v>7401</v>
      </c>
      <c r="V286" s="170">
        <f>+'[143]VENTAS TOTALES'!$E68</f>
        <v>3218000</v>
      </c>
      <c r="W286" s="171">
        <f>+'[143]VENTAS TOTALES'!$F68</f>
        <v>15799700</v>
      </c>
      <c r="X286" s="165">
        <f>+'[144]VENTAS TOTALES'!$D68</f>
        <v>6468</v>
      </c>
      <c r="Y286" s="170">
        <f>+'[144]VENTAS TOTALES'!$E68</f>
        <v>2365800</v>
      </c>
      <c r="Z286" s="171">
        <f>+'[144]VENTAS TOTALES'!$F68</f>
        <v>13361400</v>
      </c>
      <c r="AA286" s="165">
        <f>+'[145]VENTAS TOTALES'!$D68</f>
        <v>6097</v>
      </c>
      <c r="AB286" s="170">
        <f>+'[145]VENTAS TOTALES'!$E68</f>
        <v>1970250</v>
      </c>
      <c r="AC286" s="171">
        <f>+'[145]VENTAS TOTALES'!$F68</f>
        <v>12335150</v>
      </c>
      <c r="AD286" s="165">
        <f>+'[146]VENTAS TOTALES'!$D68</f>
        <v>5953</v>
      </c>
      <c r="AE286" s="170">
        <f>+'[146]VENTAS TOTALES'!$E68</f>
        <v>2066500</v>
      </c>
      <c r="AF286" s="171">
        <f>+'[146]VENTAS TOTALES'!$F68</f>
        <v>12186600</v>
      </c>
      <c r="AG286" s="165">
        <f>+'[147]VENTAS TOTALES'!$D68</f>
        <v>5889</v>
      </c>
      <c r="AH286" s="170">
        <f>+'[147]VENTAS TOTALES'!$E68</f>
        <v>1776000</v>
      </c>
      <c r="AI286" s="171">
        <f>+'[147]VENTAS TOTALES'!$F68</f>
        <v>11787300</v>
      </c>
      <c r="AJ286" s="165">
        <f>+'[148]VENTAS TOTALES'!$D68</f>
        <v>3480</v>
      </c>
      <c r="AK286" s="170">
        <f>+'[148]VENTAS TOTALES'!$E68</f>
        <v>1056200</v>
      </c>
      <c r="AL286" s="171">
        <f>+'[148]VENTAS TOTALES'!$F68</f>
        <v>6972200</v>
      </c>
      <c r="AM286" s="165">
        <f>+'[149]VENTAS TOTALES'!$D68</f>
        <v>1453</v>
      </c>
      <c r="AN286" s="170">
        <f>+'[149]VENTAS TOTALES'!$E68</f>
        <v>334600</v>
      </c>
      <c r="AO286" s="171">
        <f>+'[149]VENTAS TOTALES'!$F68</f>
        <v>2804700</v>
      </c>
      <c r="AP286" s="165">
        <f>+'[150]VENTAS TOTALES'!$D68</f>
        <v>7428</v>
      </c>
      <c r="AQ286" s="170">
        <f>+'[150]VENTAS TOTALES'!$E68</f>
        <v>3421200</v>
      </c>
      <c r="AR286" s="171">
        <f>+'[150]VENTAS TOTALES'!$F68</f>
        <v>16048800</v>
      </c>
      <c r="AS286" s="165">
        <f>+'[151]VENTAS TOTALES'!$D68</f>
        <v>6679</v>
      </c>
      <c r="AT286" s="170">
        <f>+'[151]VENTAS TOTALES'!$E68</f>
        <v>3402000</v>
      </c>
      <c r="AU286" s="171">
        <f>+'[151]VENTAS TOTALES'!$F68</f>
        <v>14756300</v>
      </c>
      <c r="AV286" s="165">
        <f>+'[152]VENTAS TOTALES'!$D68</f>
        <v>6812</v>
      </c>
      <c r="AW286" s="170">
        <f>+'[152]VENTAS TOTALES'!$E68</f>
        <v>2882900</v>
      </c>
      <c r="AX286" s="171">
        <f>+'[152]VENTAS TOTALES'!$F68</f>
        <v>14463300</v>
      </c>
      <c r="AY286" s="165">
        <f>+'[153]VENTAS TOTALES'!$D68</f>
        <v>6425</v>
      </c>
      <c r="AZ286" s="170">
        <f>+'[153]VENTAS TOTALES'!$E68</f>
        <v>2645600</v>
      </c>
      <c r="BA286" s="171">
        <f>+'[153]VENTAS TOTALES'!$F68</f>
        <v>13568100</v>
      </c>
      <c r="BB286" s="165">
        <f>+'[154]VENTAS TOTALES'!$D68</f>
        <v>6009</v>
      </c>
      <c r="BC286" s="170">
        <f>+'[154]VENTAS TOTALES'!$E68</f>
        <v>2724300</v>
      </c>
      <c r="BD286" s="171">
        <f>+'[154]VENTAS TOTALES'!$F68</f>
        <v>12939600</v>
      </c>
      <c r="BE286" s="165">
        <f>+'[155]VENTAS TOTALES'!$D68</f>
        <v>3404</v>
      </c>
      <c r="BF286" s="170">
        <f>+'[155]VENTAS TOTALES'!$E68</f>
        <v>1067400</v>
      </c>
      <c r="BG286" s="171">
        <f>+'[155]VENTAS TOTALES'!$F68</f>
        <v>6854200</v>
      </c>
      <c r="BH286" s="165">
        <f>+'[156]VENTAS TOTALES'!$D68</f>
        <v>1337</v>
      </c>
      <c r="BI286" s="170">
        <f>+'[156]VENTAS TOTALES'!$E68</f>
        <v>290900</v>
      </c>
      <c r="BJ286" s="171">
        <f>+'[156]VENTAS TOTALES'!$F68</f>
        <v>2563800</v>
      </c>
      <c r="BK286" s="165">
        <f>+'[157]VENTAS TOTALES'!$D68</f>
        <v>7709</v>
      </c>
      <c r="BL286" s="170">
        <f>+'[157]VENTAS TOTALES'!$E68</f>
        <v>3510000</v>
      </c>
      <c r="BM286" s="171">
        <f>+'[157]VENTAS TOTALES'!$F68</f>
        <v>16615300</v>
      </c>
      <c r="BN286" s="165">
        <f>+'[158]VENTAS TOTALES'!$D68</f>
        <v>6515</v>
      </c>
      <c r="BO286" s="170">
        <f>+'[158]VENTAS TOTALES'!$E68</f>
        <v>2401850</v>
      </c>
      <c r="BP286" s="171">
        <f>+'[158]VENTAS TOTALES'!$F68</f>
        <v>13477350</v>
      </c>
      <c r="BQ286" s="165">
        <f>+'[159]VENTAS TOTALES'!$D68</f>
        <v>6099</v>
      </c>
      <c r="BR286" s="170">
        <f>+'[159]VENTAS TOTALES'!$E68</f>
        <v>2128200</v>
      </c>
      <c r="BS286" s="171">
        <f>+'[159]VENTAS TOTALES'!$F68</f>
        <v>12496500</v>
      </c>
      <c r="BT286" s="165">
        <f>+'[160]VENTAS TOTALES'!$D68</f>
        <v>6023</v>
      </c>
      <c r="BU286" s="170">
        <f>+'[160]VENTAS TOTALES'!$E68</f>
        <v>2197150</v>
      </c>
      <c r="BV286" s="171">
        <f>+'[160]VENTAS TOTALES'!$F68</f>
        <v>12436250</v>
      </c>
      <c r="BW286" s="165">
        <f>+'[161]VENTAS TOTALES'!$D68</f>
        <v>5850</v>
      </c>
      <c r="BX286" s="170">
        <f>+'[161]VENTAS TOTALES'!$E68</f>
        <v>2367000</v>
      </c>
      <c r="BY286" s="171">
        <f>+'[161]VENTAS TOTALES'!$F68</f>
        <v>12312000</v>
      </c>
      <c r="BZ286" s="165">
        <f>+'[162]VENTAS TOTALES'!$D68</f>
        <v>4027</v>
      </c>
      <c r="CA286" s="170">
        <f>+'[162]VENTAS TOTALES'!$E68</f>
        <v>991400</v>
      </c>
      <c r="CB286" s="171">
        <f>+'[162]VENTAS TOTALES'!$F68</f>
        <v>7837300</v>
      </c>
      <c r="CC286" s="165">
        <f>+'[163]VENTAS TOTALES'!$D68</f>
        <v>1554</v>
      </c>
      <c r="CD286" s="170">
        <f>+'[163]VENTAS TOTALES'!$E68</f>
        <v>508900</v>
      </c>
      <c r="CE286" s="171">
        <f>+'[163]VENTAS TOTALES'!$F68</f>
        <v>3150700</v>
      </c>
      <c r="CF286" s="165">
        <f>+'[164]VENTAS TOTALES'!$D68</f>
        <v>8417</v>
      </c>
      <c r="CG286" s="170">
        <f>+'[164]VENTAS TOTALES'!$E68</f>
        <v>4753500</v>
      </c>
      <c r="CH286" s="171">
        <f>+'[164]VENTAS TOTALES'!$F68</f>
        <v>19062400</v>
      </c>
      <c r="CI286" s="165">
        <f>+'[165]VENTAS TOTALES'!$D68</f>
        <v>7307</v>
      </c>
      <c r="CJ286" s="170">
        <f>+'[165]VENTAS TOTALES'!$E68</f>
        <v>4195350</v>
      </c>
      <c r="CK286" s="171">
        <f>+'[165]VENTAS TOTALES'!$F68</f>
        <v>16617250</v>
      </c>
      <c r="CL286" s="165">
        <f>+'[166]VENTAS TOTALES'!$D68</f>
        <v>7014</v>
      </c>
      <c r="CM286" s="170">
        <f>+'[166]VENTAS TOTALES'!$E68</f>
        <v>3493000</v>
      </c>
      <c r="CN286" s="171">
        <f>+'[166]VENTAS TOTALES'!$F68</f>
        <v>15416800</v>
      </c>
      <c r="CO286" s="165">
        <f>+'[167]VENTAS TOTALES'!$D68</f>
        <v>6298</v>
      </c>
      <c r="CP286" s="170">
        <f>+'[167]VENTAS TOTALES'!$E68</f>
        <v>2367150</v>
      </c>
      <c r="CQ286" s="171">
        <f>+'[167]VENTAS TOTALES'!$F68</f>
        <v>13073750</v>
      </c>
      <c r="CR286" s="165">
        <f>+'[168]VENTAS TOTALES'!$D68</f>
        <v>5861</v>
      </c>
      <c r="CS286" s="170">
        <f>+'[168]VENTAS TOTALES'!$E68</f>
        <v>2098500</v>
      </c>
      <c r="CT286" s="171">
        <f>+'[168]VENTAS TOTALES'!$F68</f>
        <v>12062200</v>
      </c>
      <c r="CU286" s="165">
        <f>+'[169]VENTAS TOTALES'!$D68</f>
        <v>3664</v>
      </c>
      <c r="CV286" s="170">
        <f>+'[169]VENTAS TOTALES'!$E68</f>
        <v>1307200</v>
      </c>
      <c r="CW286" s="171">
        <f>+'[169]VENTAS TOTALES'!$F68</f>
        <v>7536000</v>
      </c>
      <c r="CX286" s="165">
        <f>+'[170]VENTAS TOTALES'!$D68</f>
        <v>1375</v>
      </c>
      <c r="CY286" s="170">
        <f>+'[170]VENTAS TOTALES'!$E68</f>
        <v>441200</v>
      </c>
      <c r="CZ286" s="171">
        <f>+'[170]VENTAS TOTALES'!$F68</f>
        <v>2778700</v>
      </c>
    </row>
    <row r="287" spans="1:104" s="10" customFormat="1" x14ac:dyDescent="0.2">
      <c r="A287" s="471"/>
      <c r="B287" s="53" t="s">
        <v>267</v>
      </c>
      <c r="C287" s="165">
        <f>+'[137]VENTAS TOTALES'!$D69</f>
        <v>6358</v>
      </c>
      <c r="D287" s="170">
        <f>+'[137]VENTAS TOTALES'!$E69</f>
        <v>2909550</v>
      </c>
      <c r="E287" s="171">
        <f>+'[137]VENTAS TOTALES'!$F69</f>
        <v>13718150</v>
      </c>
      <c r="F287" s="165">
        <f>+'[138]VENTAS TOTALES'!$D69</f>
        <v>5947</v>
      </c>
      <c r="G287" s="170">
        <f>+'[138]VENTAS TOTALES'!$E69</f>
        <v>1998700</v>
      </c>
      <c r="H287" s="171">
        <f>+'[138]VENTAS TOTALES'!$F69</f>
        <v>12108600</v>
      </c>
      <c r="I287" s="165">
        <f>+'[139]VENTAS TOTALES'!$D69</f>
        <v>5210</v>
      </c>
      <c r="J287" s="170">
        <f>+'[139]VENTAS TOTALES'!$E69</f>
        <v>1422000</v>
      </c>
      <c r="K287" s="171">
        <f>+'[139]VENTAS TOTALES'!$F69</f>
        <v>10279000</v>
      </c>
      <c r="L287" s="165">
        <f>+'[140]VENTAS TOTALES'!$D69</f>
        <v>5069</v>
      </c>
      <c r="M287" s="170">
        <f>+'[140]VENTAS TOTALES'!$E69</f>
        <v>1373100</v>
      </c>
      <c r="N287" s="171">
        <f>+'[140]VENTAS TOTALES'!$F69</f>
        <v>9990400</v>
      </c>
      <c r="O287" s="165">
        <f>+'[141]VENTAS TOTALES'!$D69</f>
        <v>2909</v>
      </c>
      <c r="P287" s="170">
        <f>+'[141]VENTAS TOTALES'!$E69</f>
        <v>784100</v>
      </c>
      <c r="Q287" s="171">
        <f>+'[141]VENTAS TOTALES'!$F69</f>
        <v>5729400</v>
      </c>
      <c r="R287" s="165">
        <f>+'[142]VENTAS TOTALES'!$D69</f>
        <v>973</v>
      </c>
      <c r="S287" s="170">
        <f>+'[142]VENTAS TOTALES'!$E69</f>
        <v>379250</v>
      </c>
      <c r="T287" s="171">
        <f>+'[142]VENTAS TOTALES'!$F69</f>
        <v>2033350</v>
      </c>
      <c r="U287" s="165">
        <f>+'[143]VENTAS TOTALES'!$D69</f>
        <v>6628</v>
      </c>
      <c r="V287" s="170">
        <f>+'[143]VENTAS TOTALES'!$E69</f>
        <v>2088050</v>
      </c>
      <c r="W287" s="171">
        <f>+'[143]VENTAS TOTALES'!$F69</f>
        <v>13355650</v>
      </c>
      <c r="X287" s="165">
        <f>+'[144]VENTAS TOTALES'!$D69</f>
        <v>5605</v>
      </c>
      <c r="Y287" s="170">
        <f>+'[144]VENTAS TOTALES'!$E69</f>
        <v>1844850</v>
      </c>
      <c r="Z287" s="171">
        <f>+'[144]VENTAS TOTALES'!$F69</f>
        <v>11373350</v>
      </c>
      <c r="AA287" s="165">
        <f>+'[145]VENTAS TOTALES'!$D69</f>
        <v>5151</v>
      </c>
      <c r="AB287" s="170">
        <f>+'[145]VENTAS TOTALES'!$E69</f>
        <v>1299100</v>
      </c>
      <c r="AC287" s="171">
        <f>+'[145]VENTAS TOTALES'!$F69</f>
        <v>10055800</v>
      </c>
      <c r="AD287" s="165">
        <f>+'[146]VENTAS TOTALES'!$D69</f>
        <v>5242</v>
      </c>
      <c r="AE287" s="170">
        <f>+'[146]VENTAS TOTALES'!$E69</f>
        <v>1517900</v>
      </c>
      <c r="AF287" s="171">
        <f>+'[146]VENTAS TOTALES'!$F69</f>
        <v>10429300</v>
      </c>
      <c r="AG287" s="165">
        <f>+'[147]VENTAS TOTALES'!$D69</f>
        <v>4976</v>
      </c>
      <c r="AH287" s="170">
        <f>+'[147]VENTAS TOTALES'!$E69</f>
        <v>795100</v>
      </c>
      <c r="AI287" s="171">
        <f>+'[147]VENTAS TOTALES'!$F69</f>
        <v>9254300</v>
      </c>
      <c r="AJ287" s="165">
        <f>+'[148]VENTAS TOTALES'!$D69</f>
        <v>2879</v>
      </c>
      <c r="AK287" s="170">
        <f>+'[148]VENTAS TOTALES'!$E69</f>
        <v>871650</v>
      </c>
      <c r="AL287" s="171">
        <f>+'[148]VENTAS TOTALES'!$F69</f>
        <v>5765950</v>
      </c>
      <c r="AM287" s="165">
        <f>+'[149]VENTAS TOTALES'!$D69</f>
        <v>1126</v>
      </c>
      <c r="AN287" s="170">
        <f>+'[149]VENTAS TOTALES'!$E69</f>
        <v>291700</v>
      </c>
      <c r="AO287" s="171">
        <f>+'[149]VENTAS TOTALES'!$F69</f>
        <v>2205900</v>
      </c>
      <c r="AP287" s="165">
        <f>+'[150]VENTAS TOTALES'!$D69</f>
        <v>6489</v>
      </c>
      <c r="AQ287" s="170">
        <f>+'[150]VENTAS TOTALES'!$E69</f>
        <v>1889300</v>
      </c>
      <c r="AR287" s="171">
        <f>+'[150]VENTAS TOTALES'!$F69</f>
        <v>12920600</v>
      </c>
      <c r="AS287" s="165">
        <f>+'[151]VENTAS TOTALES'!$D69</f>
        <v>6467</v>
      </c>
      <c r="AT287" s="170">
        <f>+'[151]VENTAS TOTALES'!$E69</f>
        <v>2115000</v>
      </c>
      <c r="AU287" s="171">
        <f>+'[151]VENTAS TOTALES'!$F69</f>
        <v>13108900</v>
      </c>
      <c r="AV287" s="165">
        <f>+'[152]VENTAS TOTALES'!$D69</f>
        <v>6077</v>
      </c>
      <c r="AW287" s="170">
        <f>+'[152]VENTAS TOTALES'!$E69</f>
        <v>1854100</v>
      </c>
      <c r="AX287" s="171">
        <f>+'[152]VENTAS TOTALES'!$F69</f>
        <v>12185000</v>
      </c>
      <c r="AY287" s="165">
        <f>+'[153]VENTAS TOTALES'!$D69</f>
        <v>5449</v>
      </c>
      <c r="AZ287" s="170">
        <f>+'[153]VENTAS TOTALES'!$E69</f>
        <v>1855000</v>
      </c>
      <c r="BA287" s="171">
        <f>+'[153]VENTAS TOTALES'!$F69</f>
        <v>11118300</v>
      </c>
      <c r="BB287" s="165">
        <f>+'[154]VENTAS TOTALES'!$D69</f>
        <v>5173</v>
      </c>
      <c r="BC287" s="170">
        <f>+'[154]VENTAS TOTALES'!$E69</f>
        <v>1478800</v>
      </c>
      <c r="BD287" s="171">
        <f>+'[154]VENTAS TOTALES'!$F69</f>
        <v>10272900</v>
      </c>
      <c r="BE287" s="165">
        <f>+'[155]VENTAS TOTALES'!$D69</f>
        <v>3314</v>
      </c>
      <c r="BF287" s="170">
        <f>+'[155]VENTAS TOTALES'!$E69</f>
        <v>869550</v>
      </c>
      <c r="BG287" s="171">
        <f>+'[155]VENTAS TOTALES'!$F69</f>
        <v>6503350</v>
      </c>
      <c r="BH287" s="165">
        <f>+'[156]VENTAS TOTALES'!$D69</f>
        <v>975</v>
      </c>
      <c r="BI287" s="170">
        <f>+'[156]VENTAS TOTALES'!$E69</f>
        <v>469300</v>
      </c>
      <c r="BJ287" s="171">
        <f>+'[156]VENTAS TOTALES'!$F69</f>
        <v>2126800</v>
      </c>
      <c r="BK287" s="165">
        <f>+'[157]VENTAS TOTALES'!$D69</f>
        <v>6361</v>
      </c>
      <c r="BL287" s="170">
        <f>+'[157]VENTAS TOTALES'!$E69</f>
        <v>2015800</v>
      </c>
      <c r="BM287" s="171">
        <f>+'[157]VENTAS TOTALES'!$F69</f>
        <v>12829500</v>
      </c>
      <c r="BN287" s="165">
        <f>+'[158]VENTAS TOTALES'!$D69</f>
        <v>5611</v>
      </c>
      <c r="BO287" s="170">
        <f>+'[158]VENTAS TOTALES'!$E69</f>
        <v>1519650</v>
      </c>
      <c r="BP287" s="171">
        <f>+'[158]VENTAS TOTALES'!$F69</f>
        <v>11058350</v>
      </c>
      <c r="BQ287" s="165">
        <f>+'[159]VENTAS TOTALES'!$D69</f>
        <v>5356</v>
      </c>
      <c r="BR287" s="170">
        <f>+'[159]VENTAS TOTALES'!$E69</f>
        <v>1163400</v>
      </c>
      <c r="BS287" s="171">
        <f>+'[159]VENTAS TOTALES'!$F69</f>
        <v>10268600</v>
      </c>
      <c r="BT287" s="165">
        <f>+'[160]VENTAS TOTALES'!$D69</f>
        <v>5107</v>
      </c>
      <c r="BU287" s="170">
        <f>+'[160]VENTAS TOTALES'!$E69</f>
        <v>1211050</v>
      </c>
      <c r="BV287" s="171">
        <f>+'[160]VENTAS TOTALES'!$F69</f>
        <v>9892950</v>
      </c>
      <c r="BW287" s="165">
        <f>+'[161]VENTAS TOTALES'!$D69</f>
        <v>5030</v>
      </c>
      <c r="BX287" s="170">
        <f>+'[161]VENTAS TOTALES'!$E69</f>
        <v>1101500</v>
      </c>
      <c r="BY287" s="171">
        <f>+'[161]VENTAS TOTALES'!$F69</f>
        <v>9652500</v>
      </c>
      <c r="BZ287" s="165">
        <f>+'[162]VENTAS TOTALES'!$D69</f>
        <v>3172</v>
      </c>
      <c r="CA287" s="170">
        <f>+'[162]VENTAS TOTALES'!$E69</f>
        <v>883200</v>
      </c>
      <c r="CB287" s="171">
        <f>+'[162]VENTAS TOTALES'!$F69</f>
        <v>6275600</v>
      </c>
      <c r="CC287" s="165">
        <f>+'[163]VENTAS TOTALES'!$D69</f>
        <v>998</v>
      </c>
      <c r="CD287" s="170">
        <f>+'[163]VENTAS TOTALES'!$E69</f>
        <v>288800</v>
      </c>
      <c r="CE287" s="171">
        <f>+'[163]VENTAS TOTALES'!$F69</f>
        <v>1985400</v>
      </c>
      <c r="CF287" s="165">
        <f>+'[164]VENTAS TOTALES'!$D69</f>
        <v>7446</v>
      </c>
      <c r="CG287" s="170">
        <f>+'[164]VENTAS TOTALES'!$E69</f>
        <v>3236800</v>
      </c>
      <c r="CH287" s="171">
        <f>+'[164]VENTAS TOTALES'!$F69</f>
        <v>15895000</v>
      </c>
      <c r="CI287" s="165">
        <f>+'[165]VENTAS TOTALES'!$D69</f>
        <v>6968</v>
      </c>
      <c r="CJ287" s="170">
        <f>+'[165]VENTAS TOTALES'!$E69</f>
        <v>2262400</v>
      </c>
      <c r="CK287" s="171">
        <f>+'[165]VENTAS TOTALES'!$F69</f>
        <v>14108000</v>
      </c>
      <c r="CL287" s="165">
        <f>+'[166]VENTAS TOTALES'!$D69</f>
        <v>6020</v>
      </c>
      <c r="CM287" s="170">
        <f>+'[166]VENTAS TOTALES'!$E69</f>
        <v>1937000</v>
      </c>
      <c r="CN287" s="171">
        <f>+'[166]VENTAS TOTALES'!$F69</f>
        <v>12171000</v>
      </c>
      <c r="CO287" s="165">
        <f>+'[167]VENTAS TOTALES'!$D69</f>
        <v>5697</v>
      </c>
      <c r="CP287" s="170">
        <f>+'[167]VENTAS TOTALES'!$E69</f>
        <v>1732300</v>
      </c>
      <c r="CQ287" s="171">
        <f>+'[167]VENTAS TOTALES'!$F69</f>
        <v>11417200</v>
      </c>
      <c r="CR287" s="165">
        <f>+'[168]VENTAS TOTALES'!$D69</f>
        <v>5399</v>
      </c>
      <c r="CS287" s="170">
        <f>+'[168]VENTAS TOTALES'!$E69</f>
        <v>1645000</v>
      </c>
      <c r="CT287" s="171">
        <f>+'[168]VENTAS TOTALES'!$F69</f>
        <v>10823300</v>
      </c>
      <c r="CU287" s="165">
        <f>+'[169]VENTAS TOTALES'!$D69</f>
        <v>3148</v>
      </c>
      <c r="CV287" s="170">
        <f>+'[169]VENTAS TOTALES'!$E69</f>
        <v>799200</v>
      </c>
      <c r="CW287" s="171">
        <f>+'[169]VENTAS TOTALES'!$F69</f>
        <v>6150800</v>
      </c>
      <c r="CX287" s="165">
        <f>+'[170]VENTAS TOTALES'!$D69</f>
        <v>1194</v>
      </c>
      <c r="CY287" s="170">
        <f>+'[170]VENTAS TOTALES'!$E69</f>
        <v>412050</v>
      </c>
      <c r="CZ287" s="171">
        <f>+'[170]VENTAS TOTALES'!$F69</f>
        <v>2441850</v>
      </c>
    </row>
    <row r="288" spans="1:104" s="10" customFormat="1" x14ac:dyDescent="0.2">
      <c r="A288" s="471"/>
      <c r="B288" s="53" t="s">
        <v>268</v>
      </c>
      <c r="C288" s="165">
        <f>+'[137]VENTAS TOTALES'!$D70</f>
        <v>4711</v>
      </c>
      <c r="D288" s="170">
        <f>+'[137]VENTAS TOTALES'!$E70</f>
        <v>2310000</v>
      </c>
      <c r="E288" s="171">
        <f>+'[137]VENTAS TOTALES'!$F70</f>
        <v>10318700</v>
      </c>
      <c r="F288" s="165">
        <f>+'[138]VENTAS TOTALES'!$D70</f>
        <v>4346</v>
      </c>
      <c r="G288" s="170">
        <f>+'[138]VENTAS TOTALES'!$E70</f>
        <v>2015200</v>
      </c>
      <c r="H288" s="171">
        <f>+'[138]VENTAS TOTALES'!$F70</f>
        <v>9403400</v>
      </c>
      <c r="I288" s="165">
        <f>+'[139]VENTAS TOTALES'!$D70</f>
        <v>3492</v>
      </c>
      <c r="J288" s="170">
        <f>+'[139]VENTAS TOTALES'!$E70</f>
        <v>1035350</v>
      </c>
      <c r="K288" s="171">
        <f>+'[139]VENTAS TOTALES'!$F70</f>
        <v>6971750</v>
      </c>
      <c r="L288" s="165">
        <f>+'[140]VENTAS TOTALES'!$D70</f>
        <v>3626</v>
      </c>
      <c r="M288" s="170">
        <f>+'[140]VENTAS TOTALES'!$E70</f>
        <v>1028900</v>
      </c>
      <c r="N288" s="171">
        <f>+'[140]VENTAS TOTALES'!$F70</f>
        <v>7193100</v>
      </c>
      <c r="O288" s="165">
        <f>+'[141]VENTAS TOTALES'!$D70</f>
        <v>2731</v>
      </c>
      <c r="P288" s="170">
        <f>+'[141]VENTAS TOTALES'!$E70</f>
        <v>819900</v>
      </c>
      <c r="Q288" s="171">
        <f>+'[141]VENTAS TOTALES'!$F70</f>
        <v>5462600</v>
      </c>
      <c r="R288" s="165">
        <f>+'[142]VENTAS TOTALES'!$D70</f>
        <v>974</v>
      </c>
      <c r="S288" s="170">
        <f>+'[142]VENTAS TOTALES'!$E70</f>
        <v>405600</v>
      </c>
      <c r="T288" s="171">
        <f>+'[142]VENTAS TOTALES'!$F70</f>
        <v>2061400</v>
      </c>
      <c r="U288" s="165">
        <f>+'[143]VENTAS TOTALES'!$D70</f>
        <v>4418</v>
      </c>
      <c r="V288" s="170">
        <f>+'[143]VENTAS TOTALES'!$E70</f>
        <v>1393600</v>
      </c>
      <c r="W288" s="171">
        <f>+'[143]VENTAS TOTALES'!$F70</f>
        <v>8904200</v>
      </c>
      <c r="X288" s="165">
        <f>+'[144]VENTAS TOTALES'!$D70</f>
        <v>4055</v>
      </c>
      <c r="Y288" s="170">
        <f>+'[144]VENTAS TOTALES'!$E70</f>
        <v>1269200</v>
      </c>
      <c r="Z288" s="171">
        <f>+'[144]VENTAS TOTALES'!$F70</f>
        <v>8162700</v>
      </c>
      <c r="AA288" s="165">
        <f>+'[145]VENTAS TOTALES'!$D70</f>
        <v>3805</v>
      </c>
      <c r="AB288" s="170">
        <f>+'[145]VENTAS TOTALES'!$E70</f>
        <v>1219100</v>
      </c>
      <c r="AC288" s="171">
        <f>+'[145]VENTAS TOTALES'!$F70</f>
        <v>7687600</v>
      </c>
      <c r="AD288" s="165">
        <f>+'[146]VENTAS TOTALES'!$D70</f>
        <v>3832</v>
      </c>
      <c r="AE288" s="170">
        <f>+'[146]VENTAS TOTALES'!$E70</f>
        <v>1317650</v>
      </c>
      <c r="AF288" s="171">
        <f>+'[146]VENTAS TOTALES'!$F70</f>
        <v>7832050</v>
      </c>
      <c r="AG288" s="165">
        <f>+'[147]VENTAS TOTALES'!$D70</f>
        <v>3491</v>
      </c>
      <c r="AH288" s="170">
        <f>+'[147]VENTAS TOTALES'!$E70</f>
        <v>1026250</v>
      </c>
      <c r="AI288" s="171">
        <f>+'[147]VENTAS TOTALES'!$F70</f>
        <v>6960950</v>
      </c>
      <c r="AJ288" s="165">
        <f>+'[148]VENTAS TOTALES'!$D70</f>
        <v>2583</v>
      </c>
      <c r="AK288" s="170">
        <f>+'[148]VENTAS TOTALES'!$E70</f>
        <v>824000</v>
      </c>
      <c r="AL288" s="171">
        <f>+'[148]VENTAS TOTALES'!$F70</f>
        <v>5215100</v>
      </c>
      <c r="AM288" s="165">
        <f>+'[149]VENTAS TOTALES'!$D70</f>
        <v>954</v>
      </c>
      <c r="AN288" s="170">
        <f>+'[149]VENTAS TOTALES'!$E70</f>
        <v>295550</v>
      </c>
      <c r="AO288" s="171">
        <f>+'[149]VENTAS TOTALES'!$F70</f>
        <v>1917350</v>
      </c>
      <c r="AP288" s="165">
        <f>+'[150]VENTAS TOTALES'!$D70</f>
        <v>4612</v>
      </c>
      <c r="AQ288" s="170">
        <f>+'[150]VENTAS TOTALES'!$E70</f>
        <v>1684100</v>
      </c>
      <c r="AR288" s="171">
        <f>+'[150]VENTAS TOTALES'!$F70</f>
        <v>9524500</v>
      </c>
      <c r="AS288" s="165">
        <f>+'[151]VENTAS TOTALES'!$D70</f>
        <v>4380</v>
      </c>
      <c r="AT288" s="170">
        <f>+'[151]VENTAS TOTALES'!$E70</f>
        <v>2019350</v>
      </c>
      <c r="AU288" s="171">
        <f>+'[151]VENTAS TOTALES'!$F70</f>
        <v>9465350</v>
      </c>
      <c r="AV288" s="165">
        <f>+'[152]VENTAS TOTALES'!$D70</f>
        <v>4375</v>
      </c>
      <c r="AW288" s="170">
        <f>+'[152]VENTAS TOTALES'!$E70</f>
        <v>2011000</v>
      </c>
      <c r="AX288" s="171">
        <f>+'[152]VENTAS TOTALES'!$F70</f>
        <v>9448500</v>
      </c>
      <c r="AY288" s="165">
        <f>+'[153]VENTAS TOTALES'!$D70</f>
        <v>4060</v>
      </c>
      <c r="AZ288" s="170">
        <f>+'[153]VENTAS TOTALES'!$E70</f>
        <v>1545100</v>
      </c>
      <c r="BA288" s="171">
        <f>+'[153]VENTAS TOTALES'!$F70</f>
        <v>8447100</v>
      </c>
      <c r="BB288" s="165">
        <f>+'[154]VENTAS TOTALES'!$D70</f>
        <v>4086</v>
      </c>
      <c r="BC288" s="170">
        <f>+'[154]VENTAS TOTALES'!$E70</f>
        <v>1067750</v>
      </c>
      <c r="BD288" s="171">
        <f>+'[154]VENTAS TOTALES'!$F70</f>
        <v>8013950</v>
      </c>
      <c r="BE288" s="165">
        <f>+'[155]VENTAS TOTALES'!$D70</f>
        <v>2810</v>
      </c>
      <c r="BF288" s="170">
        <f>+'[155]VENTAS TOTALES'!$E70</f>
        <v>832800</v>
      </c>
      <c r="BG288" s="171">
        <f>+'[155]VENTAS TOTALES'!$F70</f>
        <v>5609800</v>
      </c>
      <c r="BH288" s="165">
        <f>+'[156]VENTAS TOTALES'!$D70</f>
        <v>1038</v>
      </c>
      <c r="BI288" s="170">
        <f>+'[156]VENTAS TOTALES'!$E70</f>
        <v>372800</v>
      </c>
      <c r="BJ288" s="171">
        <f>+'[156]VENTAS TOTALES'!$F70</f>
        <v>2137400</v>
      </c>
      <c r="BK288" s="165">
        <f>+'[157]VENTAS TOTALES'!$D70</f>
        <v>4240</v>
      </c>
      <c r="BL288" s="170">
        <f>+'[157]VENTAS TOTALES'!$E70</f>
        <v>1766100</v>
      </c>
      <c r="BM288" s="171">
        <f>+'[157]VENTAS TOTALES'!$F70</f>
        <v>8974100</v>
      </c>
      <c r="BN288" s="165">
        <f>+'[158]VENTAS TOTALES'!$D70</f>
        <v>3924</v>
      </c>
      <c r="BO288" s="170">
        <f>+'[158]VENTAS TOTALES'!$E70</f>
        <v>1526500</v>
      </c>
      <c r="BP288" s="171">
        <f>+'[158]VENTAS TOTALES'!$F70</f>
        <v>8197300</v>
      </c>
      <c r="BQ288" s="165">
        <f>+'[159]VENTAS TOTALES'!$D70</f>
        <v>3829</v>
      </c>
      <c r="BR288" s="170">
        <f>+'[159]VENTAS TOTALES'!$E70</f>
        <v>1032100</v>
      </c>
      <c r="BS288" s="171">
        <f>+'[159]VENTAS TOTALES'!$F70</f>
        <v>7541400</v>
      </c>
      <c r="BT288" s="165">
        <f>+'[160]VENTAS TOTALES'!$D70</f>
        <v>3857</v>
      </c>
      <c r="BU288" s="170">
        <f>+'[160]VENTAS TOTALES'!$E70</f>
        <v>1255900</v>
      </c>
      <c r="BV288" s="171">
        <f>+'[160]VENTAS TOTALES'!$F70</f>
        <v>7812800</v>
      </c>
      <c r="BW288" s="165">
        <f>+'[161]VENTAS TOTALES'!$D70</f>
        <v>3916</v>
      </c>
      <c r="BX288" s="170">
        <f>+'[161]VENTAS TOTALES'!$E70</f>
        <v>1132100</v>
      </c>
      <c r="BY288" s="171">
        <f>+'[161]VENTAS TOTALES'!$F70</f>
        <v>7789300</v>
      </c>
      <c r="BZ288" s="165">
        <f>+'[162]VENTAS TOTALES'!$D70</f>
        <v>2584</v>
      </c>
      <c r="CA288" s="170">
        <f>+'[162]VENTAS TOTALES'!$E70</f>
        <v>1128700</v>
      </c>
      <c r="CB288" s="171">
        <f>+'[162]VENTAS TOTALES'!$F70</f>
        <v>5521500</v>
      </c>
      <c r="CC288" s="165">
        <f>+'[163]VENTAS TOTALES'!$D70</f>
        <v>1081</v>
      </c>
      <c r="CD288" s="170">
        <f>+'[163]VENTAS TOTALES'!$E70</f>
        <v>457750</v>
      </c>
      <c r="CE288" s="171">
        <f>+'[163]VENTAS TOTALES'!$F70</f>
        <v>2295450</v>
      </c>
      <c r="CF288" s="165">
        <f>+'[164]VENTAS TOTALES'!$D70</f>
        <v>5284</v>
      </c>
      <c r="CG288" s="170">
        <f>+'[164]VENTAS TOTALES'!$E70</f>
        <v>2786000</v>
      </c>
      <c r="CH288" s="171">
        <f>+'[164]VENTAS TOTALES'!$F70</f>
        <v>11768800</v>
      </c>
      <c r="CI288" s="165">
        <f>+'[165]VENTAS TOTALES'!$D70</f>
        <v>4907</v>
      </c>
      <c r="CJ288" s="170">
        <f>+'[165]VENTAS TOTALES'!$E70</f>
        <v>2143150</v>
      </c>
      <c r="CK288" s="171">
        <f>+'[165]VENTAS TOTALES'!$F70</f>
        <v>10485050</v>
      </c>
      <c r="CL288" s="165">
        <f>+'[166]VENTAS TOTALES'!$D70</f>
        <v>4513</v>
      </c>
      <c r="CM288" s="170">
        <f>+'[166]VENTAS TOTALES'!$E70</f>
        <v>1971100</v>
      </c>
      <c r="CN288" s="171">
        <f>+'[166]VENTAS TOTALES'!$F70</f>
        <v>9643200</v>
      </c>
      <c r="CO288" s="165">
        <f>+'[167]VENTAS TOTALES'!$D70</f>
        <v>4193</v>
      </c>
      <c r="CP288" s="170">
        <f>+'[167]VENTAS TOTALES'!$E70</f>
        <v>1526600</v>
      </c>
      <c r="CQ288" s="171">
        <f>+'[167]VENTAS TOTALES'!$F70</f>
        <v>8654700</v>
      </c>
      <c r="CR288" s="165">
        <f>+'[168]VENTAS TOTALES'!$D70</f>
        <v>3953</v>
      </c>
      <c r="CS288" s="170">
        <f>+'[168]VENTAS TOTALES'!$E70</f>
        <v>1128150</v>
      </c>
      <c r="CT288" s="171">
        <f>+'[168]VENTAS TOTALES'!$F70</f>
        <v>7848250</v>
      </c>
      <c r="CU288" s="165">
        <f>+'[169]VENTAS TOTALES'!$D70</f>
        <v>2636</v>
      </c>
      <c r="CV288" s="170">
        <f>+'[169]VENTAS TOTALES'!$E70</f>
        <v>667000</v>
      </c>
      <c r="CW288" s="171">
        <f>+'[169]VENTAS TOTALES'!$F70</f>
        <v>5148200</v>
      </c>
      <c r="CX288" s="165">
        <f>+'[170]VENTAS TOTALES'!$D70</f>
        <v>1091</v>
      </c>
      <c r="CY288" s="170">
        <f>+'[170]VENTAS TOTALES'!$E70</f>
        <v>222400</v>
      </c>
      <c r="CZ288" s="171">
        <f>+'[170]VENTAS TOTALES'!$F70</f>
        <v>2077100</v>
      </c>
    </row>
    <row r="289" spans="1:104" s="10" customFormat="1" x14ac:dyDescent="0.2">
      <c r="A289" s="471"/>
      <c r="B289" s="53" t="s">
        <v>269</v>
      </c>
      <c r="C289" s="165">
        <f>+'[137]VENTAS TOTALES'!$D71</f>
        <v>3881</v>
      </c>
      <c r="D289" s="170">
        <f>+'[137]VENTAS TOTALES'!$E71</f>
        <v>2820650</v>
      </c>
      <c r="E289" s="171">
        <f>+'[137]VENTAS TOTALES'!$F71</f>
        <v>9418350</v>
      </c>
      <c r="F289" s="165">
        <f>+'[138]VENTAS TOTALES'!$D71</f>
        <v>3971</v>
      </c>
      <c r="G289" s="170">
        <f>+'[138]VENTAS TOTALES'!$E71</f>
        <v>2099950</v>
      </c>
      <c r="H289" s="171">
        <f>+'[138]VENTAS TOTALES'!$F71</f>
        <v>8850650</v>
      </c>
      <c r="I289" s="165">
        <f>+'[139]VENTAS TOTALES'!$D71</f>
        <v>3205</v>
      </c>
      <c r="J289" s="170">
        <f>+'[139]VENTAS TOTALES'!$E71</f>
        <v>1870350</v>
      </c>
      <c r="K289" s="171">
        <f>+'[139]VENTAS TOTALES'!$F71</f>
        <v>7318850</v>
      </c>
      <c r="L289" s="165">
        <f>+'[140]VENTAS TOTALES'!$D71</f>
        <v>3175</v>
      </c>
      <c r="M289" s="170">
        <f>+'[140]VENTAS TOTALES'!$E71</f>
        <v>1417300</v>
      </c>
      <c r="N289" s="171">
        <f>+'[140]VENTAS TOTALES'!$F71</f>
        <v>6814800</v>
      </c>
      <c r="O289" s="165">
        <f>+'[141]VENTAS TOTALES'!$D71</f>
        <v>2471</v>
      </c>
      <c r="P289" s="170">
        <f>+'[141]VENTAS TOTALES'!$E71</f>
        <v>783800</v>
      </c>
      <c r="Q289" s="171">
        <f>+'[141]VENTAS TOTALES'!$F71</f>
        <v>4984500</v>
      </c>
      <c r="R289" s="165">
        <f>+'[142]VENTAS TOTALES'!$D71</f>
        <v>1335</v>
      </c>
      <c r="S289" s="170">
        <f>+'[142]VENTAS TOTALES'!$E71</f>
        <v>444800</v>
      </c>
      <c r="T289" s="171">
        <f>+'[142]VENTAS TOTALES'!$F71</f>
        <v>2714300</v>
      </c>
      <c r="U289" s="165">
        <f>+'[143]VENTAS TOTALES'!$D71</f>
        <v>3519</v>
      </c>
      <c r="V289" s="170">
        <f>+'[143]VENTAS TOTALES'!$E71</f>
        <v>1640850</v>
      </c>
      <c r="W289" s="171">
        <f>+'[143]VENTAS TOTALES'!$F71</f>
        <v>7623150</v>
      </c>
      <c r="X289" s="165">
        <f>+'[144]VENTAS TOTALES'!$D71</f>
        <v>3407</v>
      </c>
      <c r="Y289" s="170">
        <f>+'[144]VENTAS TOTALES'!$E71</f>
        <v>1310550</v>
      </c>
      <c r="Z289" s="171">
        <f>+'[144]VENTAS TOTALES'!$F71</f>
        <v>7102450</v>
      </c>
      <c r="AA289" s="165">
        <f>+'[145]VENTAS TOTALES'!$D71</f>
        <v>3539</v>
      </c>
      <c r="AB289" s="170">
        <f>+'[145]VENTAS TOTALES'!$E71</f>
        <v>1393300</v>
      </c>
      <c r="AC289" s="171">
        <f>+'[145]VENTAS TOTALES'!$F71</f>
        <v>7409600</v>
      </c>
      <c r="AD289" s="165">
        <f>+'[146]VENTAS TOTALES'!$D71</f>
        <v>3278</v>
      </c>
      <c r="AE289" s="170">
        <f>+'[146]VENTAS TOTALES'!$E71</f>
        <v>1314700</v>
      </c>
      <c r="AF289" s="171">
        <f>+'[146]VENTAS TOTALES'!$F71</f>
        <v>6887300</v>
      </c>
      <c r="AG289" s="165">
        <f>+'[147]VENTAS TOTALES'!$D71</f>
        <v>2992</v>
      </c>
      <c r="AH289" s="170">
        <f>+'[147]VENTAS TOTALES'!$E71</f>
        <v>1147450</v>
      </c>
      <c r="AI289" s="171">
        <f>+'[147]VENTAS TOTALES'!$F71</f>
        <v>6233850</v>
      </c>
      <c r="AJ289" s="165">
        <f>+'[148]VENTAS TOTALES'!$D71</f>
        <v>2354</v>
      </c>
      <c r="AK289" s="170">
        <f>+'[148]VENTAS TOTALES'!$E71</f>
        <v>692500</v>
      </c>
      <c r="AL289" s="171">
        <f>+'[148]VENTAS TOTALES'!$F71</f>
        <v>4694300</v>
      </c>
      <c r="AM289" s="165">
        <f>+'[149]VENTAS TOTALES'!$D71</f>
        <v>1407</v>
      </c>
      <c r="AN289" s="170">
        <f>+'[149]VENTAS TOTALES'!$E71</f>
        <v>476550</v>
      </c>
      <c r="AO289" s="171">
        <f>+'[149]VENTAS TOTALES'!$F71</f>
        <v>2868450</v>
      </c>
      <c r="AP289" s="165">
        <f>+'[150]VENTAS TOTALES'!$D71</f>
        <v>3700</v>
      </c>
      <c r="AQ289" s="170">
        <f>+'[150]VENTAS TOTALES'!$E71</f>
        <v>1879450</v>
      </c>
      <c r="AR289" s="171">
        <f>+'[150]VENTAS TOTALES'!$F71</f>
        <v>8169450</v>
      </c>
      <c r="AS289" s="165">
        <f>+'[151]VENTAS TOTALES'!$D71</f>
        <v>3772</v>
      </c>
      <c r="AT289" s="170">
        <f>+'[151]VENTAS TOTALES'!$E71</f>
        <v>2601200</v>
      </c>
      <c r="AU289" s="171">
        <f>+'[151]VENTAS TOTALES'!$F71</f>
        <v>9013600</v>
      </c>
      <c r="AV289" s="165">
        <f>+'[152]VENTAS TOTALES'!$D71</f>
        <v>3923</v>
      </c>
      <c r="AW289" s="170">
        <f>+'[152]VENTAS TOTALES'!$E71</f>
        <v>2591600</v>
      </c>
      <c r="AX289" s="171">
        <f>+'[152]VENTAS TOTALES'!$F71</f>
        <v>9260700</v>
      </c>
      <c r="AY289" s="165">
        <f>+'[153]VENTAS TOTALES'!$D71</f>
        <v>3536</v>
      </c>
      <c r="AZ289" s="170">
        <f>+'[153]VENTAS TOTALES'!$E71</f>
        <v>1748850</v>
      </c>
      <c r="BA289" s="171">
        <f>+'[153]VENTAS TOTALES'!$F71</f>
        <v>7760050</v>
      </c>
      <c r="BB289" s="165">
        <f>+'[154]VENTAS TOTALES'!$D71</f>
        <v>3214</v>
      </c>
      <c r="BC289" s="170">
        <f>+'[154]VENTAS TOTALES'!$E71</f>
        <v>1510801</v>
      </c>
      <c r="BD289" s="171">
        <f>+'[154]VENTAS TOTALES'!$F71</f>
        <v>6974601</v>
      </c>
      <c r="BE289" s="165">
        <f>+'[155]VENTAS TOTALES'!$D71</f>
        <v>2430</v>
      </c>
      <c r="BF289" s="170">
        <f>+'[155]VENTAS TOTALES'!$E71</f>
        <v>766100</v>
      </c>
      <c r="BG289" s="171">
        <f>+'[155]VENTAS TOTALES'!$F71</f>
        <v>4897100</v>
      </c>
      <c r="BH289" s="165">
        <f>+'[156]VENTAS TOTALES'!$D71</f>
        <v>1470</v>
      </c>
      <c r="BI289" s="170">
        <f>+'[156]VENTAS TOTALES'!$E71</f>
        <v>414000</v>
      </c>
      <c r="BJ289" s="171">
        <f>+'[156]VENTAS TOTALES'!$F71</f>
        <v>2913000</v>
      </c>
      <c r="BK289" s="165">
        <f>+'[157]VENTAS TOTALES'!$D71</f>
        <v>3617</v>
      </c>
      <c r="BL289" s="170">
        <f>+'[157]VENTAS TOTALES'!$E71</f>
        <v>1932850</v>
      </c>
      <c r="BM289" s="171">
        <f>+'[157]VENTAS TOTALES'!$F71</f>
        <v>8081750</v>
      </c>
      <c r="BN289" s="165">
        <f>+'[158]VENTAS TOTALES'!$D71</f>
        <v>3608</v>
      </c>
      <c r="BO289" s="170">
        <f>+'[158]VENTAS TOTALES'!$E71</f>
        <v>1152850</v>
      </c>
      <c r="BP289" s="171">
        <f>+'[158]VENTAS TOTALES'!$F71</f>
        <v>7286450</v>
      </c>
      <c r="BQ289" s="165">
        <f>+'[159]VENTAS TOTALES'!$D71</f>
        <v>3321</v>
      </c>
      <c r="BR289" s="170">
        <f>+'[159]VENTAS TOTALES'!$E71</f>
        <v>1352550</v>
      </c>
      <c r="BS289" s="171">
        <f>+'[159]VENTAS TOTALES'!$F71</f>
        <v>6998250</v>
      </c>
      <c r="BT289" s="165">
        <f>+'[160]VENTAS TOTALES'!$D71</f>
        <v>3217</v>
      </c>
      <c r="BU289" s="170">
        <f>+'[160]VENTAS TOTALES'!$E71</f>
        <v>1281800</v>
      </c>
      <c r="BV289" s="171">
        <f>+'[160]VENTAS TOTALES'!$F71</f>
        <v>6750700</v>
      </c>
      <c r="BW289" s="165">
        <f>+'[161]VENTAS TOTALES'!$D71</f>
        <v>3270</v>
      </c>
      <c r="BX289" s="170">
        <f>+'[161]VENTAS TOTALES'!$E71</f>
        <v>1295400</v>
      </c>
      <c r="BY289" s="171">
        <f>+'[161]VENTAS TOTALES'!$F71</f>
        <v>6854400</v>
      </c>
      <c r="BZ289" s="165">
        <f>+'[162]VENTAS TOTALES'!$D71</f>
        <v>2509</v>
      </c>
      <c r="CA289" s="170">
        <f>+'[162]VENTAS TOTALES'!$E71</f>
        <v>744500</v>
      </c>
      <c r="CB289" s="171">
        <f>+'[162]VENTAS TOTALES'!$F71</f>
        <v>5009800</v>
      </c>
      <c r="CC289" s="165">
        <f>+'[163]VENTAS TOTALES'!$D71</f>
        <v>1393</v>
      </c>
      <c r="CD289" s="170">
        <f>+'[163]VENTAS TOTALES'!$E71</f>
        <v>457200</v>
      </c>
      <c r="CE289" s="171">
        <f>+'[163]VENTAS TOTALES'!$F71</f>
        <v>2825300</v>
      </c>
      <c r="CF289" s="165">
        <f>+'[164]VENTAS TOTALES'!$D71</f>
        <v>4023</v>
      </c>
      <c r="CG289" s="170">
        <f>+'[164]VENTAS TOTALES'!$E71</f>
        <v>2464300</v>
      </c>
      <c r="CH289" s="171">
        <f>+'[164]VENTAS TOTALES'!$F71</f>
        <v>9303400</v>
      </c>
      <c r="CI289" s="165">
        <f>+'[165]VENTAS TOTALES'!$D71</f>
        <v>4098</v>
      </c>
      <c r="CJ289" s="170">
        <f>+'[165]VENTAS TOTALES'!$E71</f>
        <v>2814700</v>
      </c>
      <c r="CK289" s="171">
        <f>+'[165]VENTAS TOTALES'!$F71</f>
        <v>9781300</v>
      </c>
      <c r="CL289" s="165">
        <f>+'[166]VENTAS TOTALES'!$D71</f>
        <v>4126</v>
      </c>
      <c r="CM289" s="170">
        <f>+'[166]VENTAS TOTALES'!$E71</f>
        <v>2203100</v>
      </c>
      <c r="CN289" s="171">
        <f>+'[166]VENTAS TOTALES'!$F71</f>
        <v>9217300</v>
      </c>
      <c r="CO289" s="165">
        <f>+'[167]VENTAS TOTALES'!$D71</f>
        <v>3472</v>
      </c>
      <c r="CP289" s="170">
        <f>+'[167]VENTAS TOTALES'!$E71</f>
        <v>1891150</v>
      </c>
      <c r="CQ289" s="171">
        <f>+'[167]VENTAS TOTALES'!$F71</f>
        <v>7793550</v>
      </c>
      <c r="CR289" s="165">
        <f>+'[168]VENTAS TOTALES'!$D71</f>
        <v>3341</v>
      </c>
      <c r="CS289" s="170">
        <f>+'[168]VENTAS TOTALES'!$E71</f>
        <v>1190800</v>
      </c>
      <c r="CT289" s="171">
        <f>+'[168]VENTAS TOTALES'!$F71</f>
        <v>6870500</v>
      </c>
      <c r="CU289" s="165">
        <f>+'[169]VENTAS TOTALES'!$D71</f>
        <v>2375</v>
      </c>
      <c r="CV289" s="170">
        <f>+'[169]VENTAS TOTALES'!$E71</f>
        <v>955400</v>
      </c>
      <c r="CW289" s="171">
        <f>+'[169]VENTAS TOTALES'!$F71</f>
        <v>4992900</v>
      </c>
      <c r="CX289" s="165">
        <f>+'[170]VENTAS TOTALES'!$D71</f>
        <v>1515</v>
      </c>
      <c r="CY289" s="170">
        <f>+'[170]VENTAS TOTALES'!$E71</f>
        <v>570600</v>
      </c>
      <c r="CZ289" s="171">
        <f>+'[170]VENTAS TOTALES'!$F71</f>
        <v>3146100</v>
      </c>
    </row>
    <row r="290" spans="1:104" s="10" customFormat="1" x14ac:dyDescent="0.2">
      <c r="A290" s="471"/>
      <c r="B290" s="53" t="s">
        <v>270</v>
      </c>
      <c r="C290" s="165">
        <f>+'[137]VENTAS TOTALES'!$D72</f>
        <v>3754</v>
      </c>
      <c r="D290" s="170">
        <f>+'[137]VENTAS TOTALES'!$E72</f>
        <v>2740300</v>
      </c>
      <c r="E290" s="171">
        <f>+'[137]VENTAS TOTALES'!$F72</f>
        <v>9122100</v>
      </c>
      <c r="F290" s="165">
        <f>+'[138]VENTAS TOTALES'!$D72</f>
        <v>3836</v>
      </c>
      <c r="G290" s="170">
        <f>+'[138]VENTAS TOTALES'!$E72</f>
        <v>2193300</v>
      </c>
      <c r="H290" s="171">
        <f>+'[138]VENTAS TOTALES'!$F72</f>
        <v>8714500</v>
      </c>
      <c r="I290" s="165">
        <f>+'[139]VENTAS TOTALES'!$D72</f>
        <v>3255</v>
      </c>
      <c r="J290" s="170">
        <f>+'[139]VENTAS TOTALES'!$E72</f>
        <v>1169450</v>
      </c>
      <c r="K290" s="171">
        <f>+'[139]VENTAS TOTALES'!$F72</f>
        <v>6702950</v>
      </c>
      <c r="L290" s="165">
        <f>+'[140]VENTAS TOTALES'!$D72</f>
        <v>3236</v>
      </c>
      <c r="M290" s="170">
        <f>+'[140]VENTAS TOTALES'!$E72</f>
        <v>1399650</v>
      </c>
      <c r="N290" s="171">
        <f>+'[140]VENTAS TOTALES'!$F72</f>
        <v>6900850</v>
      </c>
      <c r="O290" s="165">
        <f>+'[141]VENTAS TOTALES'!$D72</f>
        <v>1969</v>
      </c>
      <c r="P290" s="170">
        <f>+'[141]VENTAS TOTALES'!$E72</f>
        <v>498100</v>
      </c>
      <c r="Q290" s="171">
        <f>+'[141]VENTAS TOTALES'!$F72</f>
        <v>3845400</v>
      </c>
      <c r="R290" s="165">
        <f>+'[142]VENTAS TOTALES'!$D72</f>
        <v>752</v>
      </c>
      <c r="S290" s="170">
        <f>+'[142]VENTAS TOTALES'!$E72</f>
        <v>112300</v>
      </c>
      <c r="T290" s="171">
        <f>+'[142]VENTAS TOTALES'!$F72</f>
        <v>1390700</v>
      </c>
      <c r="U290" s="165">
        <f>+'[143]VENTAS TOTALES'!$D72</f>
        <v>3915</v>
      </c>
      <c r="V290" s="170">
        <f>+'[143]VENTAS TOTALES'!$E72</f>
        <v>2057550</v>
      </c>
      <c r="W290" s="171">
        <f>+'[143]VENTAS TOTALES'!$F72</f>
        <v>8713050</v>
      </c>
      <c r="X290" s="165">
        <f>+'[144]VENTAS TOTALES'!$D72</f>
        <v>3393</v>
      </c>
      <c r="Y290" s="170">
        <f>+'[144]VENTAS TOTALES'!$E72</f>
        <v>1178200</v>
      </c>
      <c r="Z290" s="171">
        <f>+'[144]VENTAS TOTALES'!$F72</f>
        <v>6946300</v>
      </c>
      <c r="AA290" s="165">
        <f>+'[145]VENTAS TOTALES'!$D72</f>
        <v>3206</v>
      </c>
      <c r="AB290" s="170">
        <f>+'[145]VENTAS TOTALES'!$E72</f>
        <v>1145250</v>
      </c>
      <c r="AC290" s="171">
        <f>+'[145]VENTAS TOTALES'!$F72</f>
        <v>6595450</v>
      </c>
      <c r="AD290" s="165">
        <f>+'[146]VENTAS TOTALES'!$D72</f>
        <v>3423</v>
      </c>
      <c r="AE290" s="170">
        <f>+'[146]VENTAS TOTALES'!$E72</f>
        <v>950000</v>
      </c>
      <c r="AF290" s="171">
        <f>+'[146]VENTAS TOTALES'!$F72</f>
        <v>6769100</v>
      </c>
      <c r="AG290" s="165">
        <f>+'[147]VENTAS TOTALES'!$D72</f>
        <v>3211</v>
      </c>
      <c r="AH290" s="170">
        <f>+'[147]VENTAS TOTALES'!$E72</f>
        <v>1124000</v>
      </c>
      <c r="AI290" s="171">
        <f>+'[147]VENTAS TOTALES'!$F72</f>
        <v>6582700</v>
      </c>
      <c r="AJ290" s="165">
        <f>+'[148]VENTAS TOTALES'!$D72</f>
        <v>2076</v>
      </c>
      <c r="AK290" s="170">
        <f>+'[148]VENTAS TOTALES'!$E72</f>
        <v>483300</v>
      </c>
      <c r="AL290" s="171">
        <f>+'[148]VENTAS TOTALES'!$F72</f>
        <v>4012500</v>
      </c>
      <c r="AM290" s="165">
        <f>+'[149]VENTAS TOTALES'!$D72</f>
        <v>844</v>
      </c>
      <c r="AN290" s="170">
        <f>+'[149]VENTAS TOTALES'!$E72</f>
        <v>140800</v>
      </c>
      <c r="AO290" s="171">
        <f>+'[149]VENTAS TOTALES'!$F72</f>
        <v>1575600</v>
      </c>
      <c r="AP290" s="165">
        <f>+'[150]VENTAS TOTALES'!$D72</f>
        <v>4137</v>
      </c>
      <c r="AQ290" s="170">
        <f>+'[150]VENTAS TOTALES'!$E72</f>
        <v>1742400</v>
      </c>
      <c r="AR290" s="171">
        <f>+'[150]VENTAS TOTALES'!$F72</f>
        <v>8775300</v>
      </c>
      <c r="AS290" s="165">
        <f>+'[151]VENTAS TOTALES'!$D72</f>
        <v>3730</v>
      </c>
      <c r="AT290" s="170">
        <f>+'[151]VENTAS TOTALES'!$E72</f>
        <v>1948100</v>
      </c>
      <c r="AU290" s="171">
        <f>+'[151]VENTAS TOTALES'!$F72</f>
        <v>8289100</v>
      </c>
      <c r="AV290" s="165">
        <f>+'[152]VENTAS TOTALES'!$D72</f>
        <v>3879</v>
      </c>
      <c r="AW290" s="170">
        <f>+'[152]VENTAS TOTALES'!$E72</f>
        <v>1534950</v>
      </c>
      <c r="AX290" s="171">
        <f>+'[152]VENTAS TOTALES'!$F72</f>
        <v>8129250</v>
      </c>
      <c r="AY290" s="165">
        <f>+'[153]VENTAS TOTALES'!$D72</f>
        <v>3542</v>
      </c>
      <c r="AZ290" s="170">
        <f>+'[153]VENTAS TOTALES'!$E72</f>
        <v>1493600</v>
      </c>
      <c r="BA290" s="171">
        <f>+'[153]VENTAS TOTALES'!$F72</f>
        <v>7515000</v>
      </c>
      <c r="BB290" s="165">
        <f>+'[154]VENTAS TOTALES'!$D72</f>
        <v>3426</v>
      </c>
      <c r="BC290" s="170">
        <f>+'[154]VENTAS TOTALES'!$E72</f>
        <v>1131600</v>
      </c>
      <c r="BD290" s="171">
        <f>+'[154]VENTAS TOTALES'!$F72</f>
        <v>6955800</v>
      </c>
      <c r="BE290" s="165">
        <f>+'[155]VENTAS TOTALES'!$D72</f>
        <v>2151</v>
      </c>
      <c r="BF290" s="170">
        <f>+'[155]VENTAS TOTALES'!$E72</f>
        <v>506600</v>
      </c>
      <c r="BG290" s="171">
        <f>+'[155]VENTAS TOTALES'!$F72</f>
        <v>4163300</v>
      </c>
      <c r="BH290" s="165">
        <f>+'[156]VENTAS TOTALES'!$D72</f>
        <v>800</v>
      </c>
      <c r="BI290" s="170">
        <f>+'[156]VENTAS TOTALES'!$E72</f>
        <v>146800</v>
      </c>
      <c r="BJ290" s="171">
        <f>+'[156]VENTAS TOTALES'!$F72</f>
        <v>1506800</v>
      </c>
      <c r="BK290" s="165">
        <f>+'[157]VENTAS TOTALES'!$D72</f>
        <v>4179</v>
      </c>
      <c r="BL290" s="170">
        <f>+'[157]VENTAS TOTALES'!$E72</f>
        <v>1553800</v>
      </c>
      <c r="BM290" s="171">
        <f>+'[157]VENTAS TOTALES'!$F72</f>
        <v>8658100</v>
      </c>
      <c r="BN290" s="165">
        <f>+'[158]VENTAS TOTALES'!$D72</f>
        <v>3427</v>
      </c>
      <c r="BO290" s="170">
        <f>+'[158]VENTAS TOTALES'!$E72</f>
        <v>1286000</v>
      </c>
      <c r="BP290" s="171">
        <f>+'[158]VENTAS TOTALES'!$F72</f>
        <v>7111900</v>
      </c>
      <c r="BQ290" s="165">
        <f>+'[159]VENTAS TOTALES'!$D72</f>
        <v>3135</v>
      </c>
      <c r="BR290" s="170">
        <f>+'[159]VENTAS TOTALES'!$E72</f>
        <v>1302450</v>
      </c>
      <c r="BS290" s="171">
        <f>+'[159]VENTAS TOTALES'!$F72</f>
        <v>6631950</v>
      </c>
      <c r="BT290" s="165">
        <f>+'[160]VENTAS TOTALES'!$D72</f>
        <v>3214</v>
      </c>
      <c r="BU290" s="170">
        <f>+'[160]VENTAS TOTALES'!$E72</f>
        <v>1124100</v>
      </c>
      <c r="BV290" s="171">
        <f>+'[160]VENTAS TOTALES'!$F72</f>
        <v>6587900</v>
      </c>
      <c r="BW290" s="165">
        <f>+'[161]VENTAS TOTALES'!$D72</f>
        <v>3116</v>
      </c>
      <c r="BX290" s="170">
        <f>+'[161]VENTAS TOTALES'!$E72</f>
        <v>1267300</v>
      </c>
      <c r="BY290" s="171">
        <f>+'[161]VENTAS TOTALES'!$F72</f>
        <v>6564500</v>
      </c>
      <c r="BZ290" s="165">
        <f>+'[162]VENTAS TOTALES'!$D72</f>
        <v>1924</v>
      </c>
      <c r="CA290" s="170">
        <f>+'[162]VENTAS TOTALES'!$E72</f>
        <v>518200</v>
      </c>
      <c r="CB290" s="171">
        <f>+'[162]VENTAS TOTALES'!$F72</f>
        <v>3789000</v>
      </c>
      <c r="CC290" s="165">
        <f>+'[163]VENTAS TOTALES'!$D72</f>
        <v>722</v>
      </c>
      <c r="CD290" s="170">
        <f>+'[163]VENTAS TOTALES'!$E72</f>
        <v>146900</v>
      </c>
      <c r="CE290" s="171">
        <f>+'[163]VENTAS TOTALES'!$F72</f>
        <v>1374300</v>
      </c>
      <c r="CF290" s="165">
        <f>+'[164]VENTAS TOTALES'!$D72</f>
        <v>4280</v>
      </c>
      <c r="CG290" s="170">
        <f>+'[164]VENTAS TOTALES'!$E72</f>
        <v>2128250</v>
      </c>
      <c r="CH290" s="171">
        <f>+'[164]VENTAS TOTALES'!$F72</f>
        <v>9404250</v>
      </c>
      <c r="CI290" s="165">
        <f>+'[165]VENTAS TOTALES'!$D72</f>
        <v>4267</v>
      </c>
      <c r="CJ290" s="170">
        <f>+'[165]VENTAS TOTALES'!$E72</f>
        <v>2632100</v>
      </c>
      <c r="CK290" s="171">
        <f>+'[165]VENTAS TOTALES'!$F72</f>
        <v>9886000</v>
      </c>
      <c r="CL290" s="165">
        <f>+'[166]VENTAS TOTALES'!$D72</f>
        <v>4089</v>
      </c>
      <c r="CM290" s="170">
        <f>+'[166]VENTAS TOTALES'!$E72</f>
        <v>1906100</v>
      </c>
      <c r="CN290" s="171">
        <f>+'[166]VENTAS TOTALES'!$F72</f>
        <v>8857400</v>
      </c>
      <c r="CO290" s="165">
        <f>+'[167]VENTAS TOTALES'!$D72</f>
        <v>3609</v>
      </c>
      <c r="CP290" s="170">
        <f>+'[167]VENTAS TOTALES'!$E72</f>
        <v>1733500</v>
      </c>
      <c r="CQ290" s="171">
        <f>+'[167]VENTAS TOTALES'!$F72</f>
        <v>7868800</v>
      </c>
      <c r="CR290" s="165">
        <f>+'[168]VENTAS TOTALES'!$D72</f>
        <v>3430</v>
      </c>
      <c r="CS290" s="170">
        <f>+'[168]VENTAS TOTALES'!$E72</f>
        <v>1177700</v>
      </c>
      <c r="CT290" s="171">
        <f>+'[168]VENTAS TOTALES'!$F72</f>
        <v>7008700</v>
      </c>
      <c r="CU290" s="165">
        <f>+'[169]VENTAS TOTALES'!$D72</f>
        <v>2244</v>
      </c>
      <c r="CV290" s="170">
        <f>+'[169]VENTAS TOTALES'!$E72</f>
        <v>557700</v>
      </c>
      <c r="CW290" s="171">
        <f>+'[169]VENTAS TOTALES'!$F72</f>
        <v>4372500</v>
      </c>
      <c r="CX290" s="165">
        <f>+'[170]VENTAS TOTALES'!$D72</f>
        <v>811</v>
      </c>
      <c r="CY290" s="170">
        <f>+'[170]VENTAS TOTALES'!$E72</f>
        <v>157100</v>
      </c>
      <c r="CZ290" s="171">
        <f>+'[170]VENTAS TOTALES'!$F72</f>
        <v>1535800</v>
      </c>
    </row>
    <row r="291" spans="1:104" s="8" customFormat="1" x14ac:dyDescent="0.2">
      <c r="A291" s="471"/>
      <c r="B291" s="53" t="s">
        <v>271</v>
      </c>
      <c r="C291" s="165">
        <f>+'[137]VENTAS TOTALES'!$D73</f>
        <v>1842</v>
      </c>
      <c r="D291" s="170">
        <f>+'[137]VENTAS TOTALES'!$E73</f>
        <v>874400</v>
      </c>
      <c r="E291" s="171">
        <f>+'[137]VENTAS TOTALES'!$F73</f>
        <v>4005800</v>
      </c>
      <c r="F291" s="165">
        <f>+'[138]VENTAS TOTALES'!$D73</f>
        <v>1281</v>
      </c>
      <c r="G291" s="170">
        <f>+'[138]VENTAS TOTALES'!$E73</f>
        <v>422550</v>
      </c>
      <c r="H291" s="171">
        <f>+'[138]VENTAS TOTALES'!$F73</f>
        <v>2600250</v>
      </c>
      <c r="I291" s="165">
        <f>+'[139]VENTAS TOTALES'!$D73</f>
        <v>1131</v>
      </c>
      <c r="J291" s="170">
        <f>+'[139]VENTAS TOTALES'!$E73</f>
        <v>346600</v>
      </c>
      <c r="K291" s="171">
        <f>+'[139]VENTAS TOTALES'!$F73</f>
        <v>2269300</v>
      </c>
      <c r="L291" s="165">
        <f>+'[140]VENTAS TOTALES'!$D73</f>
        <v>1067</v>
      </c>
      <c r="M291" s="170">
        <f>+'[140]VENTAS TOTALES'!$E73</f>
        <v>414000</v>
      </c>
      <c r="N291" s="171">
        <f>+'[140]VENTAS TOTALES'!$F73</f>
        <v>2227900</v>
      </c>
      <c r="O291" s="165">
        <f>+'[141]VENTAS TOTALES'!$D73</f>
        <v>705</v>
      </c>
      <c r="P291" s="170">
        <f>+'[141]VENTAS TOTALES'!$E73</f>
        <v>247600</v>
      </c>
      <c r="Q291" s="171">
        <f>+'[141]VENTAS TOTALES'!$F73</f>
        <v>1446100</v>
      </c>
      <c r="R291" s="165">
        <f>+'[142]VENTAS TOTALES'!$D73</f>
        <v>289</v>
      </c>
      <c r="S291" s="170">
        <f>+'[142]VENTAS TOTALES'!$E73</f>
        <v>72500</v>
      </c>
      <c r="T291" s="171">
        <f>+'[142]VENTAS TOTALES'!$F73</f>
        <v>563800</v>
      </c>
      <c r="U291" s="165">
        <f>+'[143]VENTAS TOTALES'!$D73</f>
        <v>1431</v>
      </c>
      <c r="V291" s="170">
        <f>+'[143]VENTAS TOTALES'!$E73</f>
        <v>732400</v>
      </c>
      <c r="W291" s="171">
        <f>+'[143]VENTAS TOTALES'!$F73</f>
        <v>3165100</v>
      </c>
      <c r="X291" s="165">
        <f>+'[144]VENTAS TOTALES'!$D73</f>
        <v>1089</v>
      </c>
      <c r="Y291" s="170">
        <f>+'[144]VENTAS TOTALES'!$E73</f>
        <v>442500</v>
      </c>
      <c r="Z291" s="171">
        <f>+'[144]VENTAS TOTALES'!$F73</f>
        <v>2293800</v>
      </c>
      <c r="AA291" s="165">
        <f>+'[145]VENTAS TOTALES'!$D73</f>
        <v>1178</v>
      </c>
      <c r="AB291" s="170">
        <f>+'[145]VENTAS TOTALES'!$E73</f>
        <v>338400</v>
      </c>
      <c r="AC291" s="171">
        <f>+'[145]VENTAS TOTALES'!$F73</f>
        <v>2341000</v>
      </c>
      <c r="AD291" s="165">
        <f>+'[146]VENTAS TOTALES'!$D73</f>
        <v>1146</v>
      </c>
      <c r="AE291" s="170">
        <f>+'[146]VENTAS TOTALES'!$E73</f>
        <v>458900</v>
      </c>
      <c r="AF291" s="171">
        <f>+'[146]VENTAS TOTALES'!$F73</f>
        <v>2407100</v>
      </c>
      <c r="AG291" s="165">
        <f>+'[147]VENTAS TOTALES'!$D73</f>
        <v>1044</v>
      </c>
      <c r="AH291" s="170">
        <f>+'[147]VENTAS TOTALES'!$E73</f>
        <v>322000</v>
      </c>
      <c r="AI291" s="171">
        <f>+'[147]VENTAS TOTALES'!$F73</f>
        <v>2096800</v>
      </c>
      <c r="AJ291" s="165">
        <f>+'[148]VENTAS TOTALES'!$D73</f>
        <v>682</v>
      </c>
      <c r="AK291" s="170">
        <f>+'[148]VENTAS TOTALES'!$E73</f>
        <v>234300</v>
      </c>
      <c r="AL291" s="171">
        <f>+'[148]VENTAS TOTALES'!$F73</f>
        <v>1393700</v>
      </c>
      <c r="AM291" s="165">
        <f>+'[149]VENTAS TOTALES'!$D73</f>
        <v>238</v>
      </c>
      <c r="AN291" s="170">
        <f>+'[149]VENTAS TOTALES'!$E73</f>
        <v>78300</v>
      </c>
      <c r="AO291" s="171">
        <f>+'[149]VENTAS TOTALES'!$F73</f>
        <v>482900</v>
      </c>
      <c r="AP291" s="165">
        <f>+'[150]VENTAS TOTALES'!$D73</f>
        <v>1349</v>
      </c>
      <c r="AQ291" s="170">
        <f>+'[150]VENTAS TOTALES'!$E73</f>
        <v>717100</v>
      </c>
      <c r="AR291" s="171">
        <f>+'[150]VENTAS TOTALES'!$F73</f>
        <v>3010400</v>
      </c>
      <c r="AS291" s="165">
        <f>+'[151]VENTAS TOTALES'!$D73</f>
        <v>1469</v>
      </c>
      <c r="AT291" s="170">
        <f>+'[151]VENTAS TOTALES'!$E73</f>
        <v>776900</v>
      </c>
      <c r="AU291" s="171">
        <f>+'[151]VENTAS TOTALES'!$F73</f>
        <v>3274200</v>
      </c>
      <c r="AV291" s="165">
        <f>+'[152]VENTAS TOTALES'!$D73</f>
        <v>1437</v>
      </c>
      <c r="AW291" s="170">
        <f>+'[152]VENTAS TOTALES'!$E73</f>
        <v>621800</v>
      </c>
      <c r="AX291" s="171">
        <f>+'[152]VENTAS TOTALES'!$F73</f>
        <v>3064700</v>
      </c>
      <c r="AY291" s="165">
        <f>+'[153]VENTAS TOTALES'!$D73</f>
        <v>1341</v>
      </c>
      <c r="AZ291" s="170">
        <f>+'[153]VENTAS TOTALES'!$E73</f>
        <v>697600</v>
      </c>
      <c r="BA291" s="171">
        <f>+'[153]VENTAS TOTALES'!$F73</f>
        <v>2977300</v>
      </c>
      <c r="BB291" s="165">
        <f>+'[154]VENTAS TOTALES'!$D73</f>
        <v>1102</v>
      </c>
      <c r="BC291" s="170">
        <f>+'[154]VENTAS TOTALES'!$E73</f>
        <v>529900</v>
      </c>
      <c r="BD291" s="171">
        <f>+'[154]VENTAS TOTALES'!$F73</f>
        <v>2403300</v>
      </c>
      <c r="BE291" s="165">
        <f>+'[155]VENTAS TOTALES'!$D73</f>
        <v>710</v>
      </c>
      <c r="BF291" s="170">
        <f>+'[155]VENTAS TOTALES'!$E73</f>
        <v>178450</v>
      </c>
      <c r="BG291" s="171">
        <f>+'[155]VENTAS TOTALES'!$F73</f>
        <v>1385450</v>
      </c>
      <c r="BH291" s="165">
        <f>+'[156]VENTAS TOTALES'!$D73</f>
        <v>268</v>
      </c>
      <c r="BI291" s="170">
        <f>+'[156]VENTAS TOTALES'!$E73</f>
        <v>64550</v>
      </c>
      <c r="BJ291" s="171">
        <f>+'[156]VENTAS TOTALES'!$F73</f>
        <v>520150</v>
      </c>
      <c r="BK291" s="165">
        <f>+'[157]VENTAS TOTALES'!$D73</f>
        <v>1255</v>
      </c>
      <c r="BL291" s="170">
        <f>+'[157]VENTAS TOTALES'!$E73</f>
        <v>765450</v>
      </c>
      <c r="BM291" s="171">
        <f>+'[157]VENTAS TOTALES'!$F73</f>
        <v>2898950</v>
      </c>
      <c r="BN291" s="165">
        <f>+'[158]VENTAS TOTALES'!$D73</f>
        <v>1311</v>
      </c>
      <c r="BO291" s="170">
        <f>+'[158]VENTAS TOTALES'!$E73</f>
        <v>449000</v>
      </c>
      <c r="BP291" s="171">
        <f>+'[158]VENTAS TOTALES'!$F73</f>
        <v>2677700</v>
      </c>
      <c r="BQ291" s="165">
        <f>+'[159]VENTAS TOTALES'!$D73</f>
        <v>1187</v>
      </c>
      <c r="BR291" s="170">
        <f>+'[159]VENTAS TOTALES'!$E73</f>
        <v>388500</v>
      </c>
      <c r="BS291" s="171">
        <f>+'[159]VENTAS TOTALES'!$F73</f>
        <v>2406400</v>
      </c>
      <c r="BT291" s="165">
        <f>+'[160]VENTAS TOTALES'!$D73</f>
        <v>1238</v>
      </c>
      <c r="BU291" s="170">
        <f>+'[160]VENTAS TOTALES'!$E73</f>
        <v>429200</v>
      </c>
      <c r="BV291" s="171">
        <f>+'[160]VENTAS TOTALES'!$F73</f>
        <v>2533800</v>
      </c>
      <c r="BW291" s="165">
        <f>+'[161]VENTAS TOTALES'!$D73</f>
        <v>1076</v>
      </c>
      <c r="BX291" s="170">
        <f>+'[161]VENTAS TOTALES'!$E73</f>
        <v>444400</v>
      </c>
      <c r="BY291" s="171">
        <f>+'[161]VENTAS TOTALES'!$F73</f>
        <v>2273600</v>
      </c>
      <c r="BZ291" s="165">
        <f>+'[162]VENTAS TOTALES'!$D73</f>
        <v>689</v>
      </c>
      <c r="CA291" s="170">
        <f>+'[162]VENTAS TOTALES'!$E73</f>
        <v>183400</v>
      </c>
      <c r="CB291" s="171">
        <f>+'[162]VENTAS TOTALES'!$F73</f>
        <v>1354700</v>
      </c>
      <c r="CC291" s="165">
        <f>+'[163]VENTAS TOTALES'!$D73</f>
        <v>224</v>
      </c>
      <c r="CD291" s="170">
        <f>+'[163]VENTAS TOTALES'!$E73</f>
        <v>39100</v>
      </c>
      <c r="CE291" s="171">
        <f>+'[163]VENTAS TOTALES'!$F73</f>
        <v>419900</v>
      </c>
      <c r="CF291" s="165">
        <f>+'[164]VENTAS TOTALES'!$D73</f>
        <v>1529</v>
      </c>
      <c r="CG291" s="170">
        <f>+'[164]VENTAS TOTALES'!$E73</f>
        <v>971700</v>
      </c>
      <c r="CH291" s="171">
        <f>+'[164]VENTAS TOTALES'!$F73</f>
        <v>3571000</v>
      </c>
      <c r="CI291" s="165">
        <f>+'[165]VENTAS TOTALES'!$D73</f>
        <v>1452</v>
      </c>
      <c r="CJ291" s="170">
        <f>+'[165]VENTAS TOTALES'!$E73</f>
        <v>1016500</v>
      </c>
      <c r="CK291" s="171">
        <f>+'[165]VENTAS TOTALES'!$F73</f>
        <v>3484900</v>
      </c>
      <c r="CL291" s="165">
        <f>+'[166]VENTAS TOTALES'!$D73</f>
        <v>1510</v>
      </c>
      <c r="CM291" s="170">
        <f>+'[166]VENTAS TOTALES'!$E73</f>
        <v>482500</v>
      </c>
      <c r="CN291" s="171">
        <f>+'[166]VENTAS TOTALES'!$F73</f>
        <v>3049500</v>
      </c>
      <c r="CO291" s="165">
        <f>+'[167]VENTAS TOTALES'!$D73</f>
        <v>1175</v>
      </c>
      <c r="CP291" s="170">
        <f>+'[167]VENTAS TOTALES'!$E73</f>
        <v>717500</v>
      </c>
      <c r="CQ291" s="171">
        <f>+'[167]VENTAS TOTALES'!$F73</f>
        <v>2715000</v>
      </c>
      <c r="CR291" s="165">
        <f>+'[168]VENTAS TOTALES'!$D73</f>
        <v>1108</v>
      </c>
      <c r="CS291" s="170">
        <f>+'[168]VENTAS TOTALES'!$E73</f>
        <v>388250</v>
      </c>
      <c r="CT291" s="171">
        <f>+'[168]VENTAS TOTALES'!$F73</f>
        <v>2271850</v>
      </c>
      <c r="CU291" s="165">
        <f>+'[169]VENTAS TOTALES'!$D73</f>
        <v>744</v>
      </c>
      <c r="CV291" s="170">
        <f>+'[169]VENTAS TOTALES'!$E73</f>
        <v>144400</v>
      </c>
      <c r="CW291" s="171">
        <f>+'[169]VENTAS TOTALES'!$F73</f>
        <v>1409200</v>
      </c>
      <c r="CX291" s="165">
        <f>+'[170]VENTAS TOTALES'!$D73</f>
        <v>292</v>
      </c>
      <c r="CY291" s="170">
        <f>+'[170]VENTAS TOTALES'!$E73</f>
        <v>120100</v>
      </c>
      <c r="CZ291" s="171">
        <f>+'[170]VENTAS TOTALES'!$F73</f>
        <v>616500</v>
      </c>
    </row>
    <row r="292" spans="1:104" s="8" customFormat="1" ht="13.5" thickBot="1" x14ac:dyDescent="0.25">
      <c r="A292" s="472"/>
      <c r="B292" s="134" t="s">
        <v>292</v>
      </c>
      <c r="C292" s="306"/>
      <c r="D292" s="307">
        <f>'[137]VENTAS TOTALES'!$E$99</f>
        <v>103000</v>
      </c>
      <c r="E292" s="307">
        <f>'[137]VENTAS TOTALES'!$F$99</f>
        <v>103000</v>
      </c>
      <c r="F292" s="306"/>
      <c r="G292" s="307">
        <f>'[138]VENTAS TOTALES'!$E$99</f>
        <v>56000</v>
      </c>
      <c r="H292" s="307">
        <f>'[138]VENTAS TOTALES'!$F$99</f>
        <v>56000</v>
      </c>
      <c r="I292" s="306"/>
      <c r="J292" s="307">
        <f>'[139]VENTAS TOTALES'!$E$100</f>
        <v>48000</v>
      </c>
      <c r="K292" s="307">
        <f>'[139]VENTAS TOTALES'!$F$100</f>
        <v>48000</v>
      </c>
      <c r="L292" s="306"/>
      <c r="M292" s="307">
        <f>'[140]VENTAS TOTALES'!$E$100</f>
        <v>40000</v>
      </c>
      <c r="N292" s="307">
        <f>'[140]VENTAS TOTALES'!$F$100</f>
        <v>40000</v>
      </c>
      <c r="O292" s="306"/>
      <c r="P292" s="307">
        <f>'[141]VENTAS TOTALES'!$E$100</f>
        <v>21000</v>
      </c>
      <c r="Q292" s="307">
        <f>'[141]VENTAS TOTALES'!$F$100</f>
        <v>21000</v>
      </c>
      <c r="R292" s="306"/>
      <c r="S292" s="307">
        <f>'[142]VENTAS TOTALES'!$E$100</f>
        <v>1000</v>
      </c>
      <c r="T292" s="307">
        <f>'[142]VENTAS TOTALES'!$F$100</f>
        <v>1000</v>
      </c>
      <c r="U292" s="306"/>
      <c r="V292" s="307">
        <f>'[143]VENTAS TOTALES'!$E$100</f>
        <v>131000</v>
      </c>
      <c r="W292" s="307">
        <f>'[143]VENTAS TOTALES'!$F$100</f>
        <v>131000</v>
      </c>
      <c r="X292" s="306"/>
      <c r="Y292" s="307">
        <f>'[144]VENTAS TOTALES'!$E$100</f>
        <v>68000</v>
      </c>
      <c r="Z292" s="307">
        <f>'[144]VENTAS TOTALES'!$F$100</f>
        <v>68000</v>
      </c>
      <c r="AA292" s="306"/>
      <c r="AB292" s="307">
        <f>'[145]VENTAS TOTALES'!$E$100</f>
        <v>21000</v>
      </c>
      <c r="AC292" s="307">
        <f>'[145]VENTAS TOTALES'!$F$100</f>
        <v>21000</v>
      </c>
      <c r="AD292" s="306"/>
      <c r="AE292" s="307">
        <f>'[146]VENTAS TOTALES'!$E$100</f>
        <v>69000</v>
      </c>
      <c r="AF292" s="307">
        <f>'[146]VENTAS TOTALES'!$F$100</f>
        <v>69000</v>
      </c>
      <c r="AG292" s="306"/>
      <c r="AH292" s="307">
        <f>'[147]VENTAS TOTALES'!$E$100</f>
        <v>29000</v>
      </c>
      <c r="AI292" s="307">
        <f>'[147]VENTAS TOTALES'!$F$100</f>
        <v>29000</v>
      </c>
      <c r="AJ292" s="306"/>
      <c r="AK292" s="307">
        <f>'[148]VENTAS TOTALES'!$E$100</f>
        <v>24000</v>
      </c>
      <c r="AL292" s="307">
        <f>'[148]VENTAS TOTALES'!$F$100</f>
        <v>24000</v>
      </c>
      <c r="AM292" s="306"/>
      <c r="AN292" s="307">
        <f>'[149]VENTAS TOTALES'!$E$100</f>
        <v>2000</v>
      </c>
      <c r="AO292" s="307">
        <f>'[149]VENTAS TOTALES'!$F$100</f>
        <v>2000</v>
      </c>
      <c r="AP292" s="306"/>
      <c r="AQ292" s="307">
        <f>'[150]VENTAS TOTALES'!$E$100</f>
        <v>137000</v>
      </c>
      <c r="AR292" s="307">
        <f>'[150]VENTAS TOTALES'!$F$100</f>
        <v>137000</v>
      </c>
      <c r="AS292" s="306"/>
      <c r="AT292" s="307">
        <f>'[151]VENTAS TOTALES'!$E$100</f>
        <v>36000</v>
      </c>
      <c r="AU292" s="307">
        <f>'[151]VENTAS TOTALES'!$F$100</f>
        <v>36000</v>
      </c>
      <c r="AV292" s="306"/>
      <c r="AW292" s="307">
        <f>'[152]VENTAS TOTALES'!$E$100</f>
        <v>136000</v>
      </c>
      <c r="AX292" s="307">
        <f>'[152]VENTAS TOTALES'!$F$100</f>
        <v>136000</v>
      </c>
      <c r="AY292" s="306"/>
      <c r="AZ292" s="307">
        <f>'[153]VENTAS TOTALES'!$E$100</f>
        <v>43000</v>
      </c>
      <c r="BA292" s="307">
        <f>'[153]VENTAS TOTALES'!$F$100</f>
        <v>43000</v>
      </c>
      <c r="BB292" s="306"/>
      <c r="BC292" s="307">
        <f>'[154]VENTAS TOTALES'!$E$100</f>
        <v>62000</v>
      </c>
      <c r="BD292" s="307">
        <f>'[154]VENTAS TOTALES'!$F$100</f>
        <v>62000</v>
      </c>
      <c r="BE292" s="306"/>
      <c r="BF292" s="307">
        <f>'[155]VENTAS TOTALES'!$E$100</f>
        <v>34000</v>
      </c>
      <c r="BG292" s="307">
        <f>'[155]VENTAS TOTALES'!$F$100</f>
        <v>34000</v>
      </c>
      <c r="BH292" s="306"/>
      <c r="BI292" s="307">
        <f>'[156]VENTAS TOTALES'!$E$100</f>
        <v>2000</v>
      </c>
      <c r="BJ292" s="307">
        <f>'[156]VENTAS TOTALES'!$F$100</f>
        <v>2000</v>
      </c>
      <c r="BK292" s="306"/>
      <c r="BL292" s="307">
        <f>'[157]VENTAS TOTALES'!$E$100</f>
        <v>81000</v>
      </c>
      <c r="BM292" s="307">
        <f>'[157]VENTAS TOTALES'!$F$100</f>
        <v>81000</v>
      </c>
      <c r="BN292" s="306"/>
      <c r="BO292" s="307">
        <f>'[158]VENTAS TOTALES'!$E$100</f>
        <v>43000</v>
      </c>
      <c r="BP292" s="307">
        <f>'[158]VENTAS TOTALES'!$F$100</f>
        <v>43000</v>
      </c>
      <c r="BQ292" s="306"/>
      <c r="BR292" s="307">
        <f>'[159]VENTAS TOTALES'!$E$100</f>
        <v>30000</v>
      </c>
      <c r="BS292" s="307">
        <f>'[159]VENTAS TOTALES'!$F$100</f>
        <v>30000</v>
      </c>
      <c r="BT292" s="306"/>
      <c r="BU292" s="307">
        <f>'[160]VENTAS TOTALES'!$E$100</f>
        <v>37000</v>
      </c>
      <c r="BV292" s="307">
        <f>'[160]VENTAS TOTALES'!$F$100</f>
        <v>37000</v>
      </c>
      <c r="BW292" s="306"/>
      <c r="BX292" s="307">
        <f>'[161]VENTAS TOTALES'!$E$100</f>
        <v>41000</v>
      </c>
      <c r="BY292" s="307">
        <f>'[161]VENTAS TOTALES'!$F$100</f>
        <v>41000</v>
      </c>
      <c r="BZ292" s="306"/>
      <c r="CA292" s="307">
        <f>'[162]VENTAS TOTALES'!$E$100</f>
        <v>26000</v>
      </c>
      <c r="CB292" s="307">
        <f>'[162]VENTAS TOTALES'!$F$100</f>
        <v>26000</v>
      </c>
      <c r="CC292" s="306"/>
      <c r="CD292" s="307">
        <f>'[163]VENTAS TOTALES'!$E$100</f>
        <v>25000</v>
      </c>
      <c r="CE292" s="307">
        <f>'[163]VENTAS TOTALES'!$F$100</f>
        <v>25000</v>
      </c>
      <c r="CF292" s="306"/>
      <c r="CG292" s="307">
        <f>'[164]VENTAS TOTALES'!$E$100</f>
        <v>252000</v>
      </c>
      <c r="CH292" s="307">
        <f>'[164]VENTAS TOTALES'!$F$100</f>
        <v>252000</v>
      </c>
      <c r="CI292" s="306"/>
      <c r="CJ292" s="307">
        <f>'[165]VENTAS TOTALES'!$E$100</f>
        <v>76000</v>
      </c>
      <c r="CK292" s="307">
        <f>'[165]VENTAS TOTALES'!$F$100</f>
        <v>76000</v>
      </c>
      <c r="CL292" s="306"/>
      <c r="CM292" s="307">
        <f>'[166]VENTAS TOTALES'!$E$100</f>
        <v>111000</v>
      </c>
      <c r="CN292" s="307">
        <f>'[166]VENTAS TOTALES'!$F$100</f>
        <v>111000</v>
      </c>
      <c r="CO292" s="306"/>
      <c r="CP292" s="307">
        <f>'[167]VENTAS TOTALES'!$E$100</f>
        <v>65000</v>
      </c>
      <c r="CQ292" s="307">
        <f>'[167]VENTAS TOTALES'!$F$100</f>
        <v>65000</v>
      </c>
      <c r="CR292" s="306"/>
      <c r="CS292" s="307">
        <f>'[168]VENTAS TOTALES'!$E$100</f>
        <v>50000</v>
      </c>
      <c r="CT292" s="307">
        <f>'[168]VENTAS TOTALES'!$F$100</f>
        <v>50000</v>
      </c>
      <c r="CU292" s="306"/>
      <c r="CV292" s="307">
        <f>'[169]VENTAS TOTALES'!$E$100</f>
        <v>33000</v>
      </c>
      <c r="CW292" s="307">
        <f>'[169]VENTAS TOTALES'!$F$100</f>
        <v>33000</v>
      </c>
      <c r="CX292" s="306"/>
      <c r="CY292" s="307">
        <f>'[170]VENTAS TOTALES'!$E$100</f>
        <v>0</v>
      </c>
      <c r="CZ292" s="307">
        <f>'[170]VENTAS TOTALES'!$F$100</f>
        <v>0</v>
      </c>
    </row>
    <row r="293" spans="1:104" s="8" customFormat="1" x14ac:dyDescent="0.2">
      <c r="A293" s="474" t="s">
        <v>354</v>
      </c>
      <c r="B293" s="369" t="s">
        <v>359</v>
      </c>
      <c r="C293" s="343">
        <f>+'[137]VENTAS TOTALES'!$D82</f>
        <v>0</v>
      </c>
      <c r="D293" s="344">
        <f>+'[137]VENTAS TOTALES'!$E82</f>
        <v>1993000</v>
      </c>
      <c r="E293" s="344">
        <f>+'[137]VENTAS TOTALES'!$F82</f>
        <v>1993000</v>
      </c>
      <c r="F293" s="343">
        <f>+'[138]VENTAS TOTALES'!$D82</f>
        <v>0</v>
      </c>
      <c r="G293" s="344">
        <f>+'[138]VENTAS TOTALES'!$E82</f>
        <v>1559000</v>
      </c>
      <c r="H293" s="344">
        <f>+'[138]VENTAS TOTALES'!$F82</f>
        <v>1559000</v>
      </c>
      <c r="I293" s="343">
        <f>+'[139]VENTAS TOTALES'!$D82</f>
        <v>0</v>
      </c>
      <c r="J293" s="344">
        <f>+'[139]VENTAS TOTALES'!$E82</f>
        <v>1193000</v>
      </c>
      <c r="K293" s="344">
        <f>+'[139]VENTAS TOTALES'!$F82</f>
        <v>1193000</v>
      </c>
      <c r="L293" s="343">
        <f>+'[140]VENTAS TOTALES'!$D82</f>
        <v>0</v>
      </c>
      <c r="M293" s="344">
        <f>+'[140]VENTAS TOTALES'!$E82</f>
        <v>1184000</v>
      </c>
      <c r="N293" s="344">
        <f>+'[140]VENTAS TOTALES'!$F82</f>
        <v>1184000</v>
      </c>
      <c r="O293" s="343">
        <f>+'[141]VENTAS TOTALES'!$D82</f>
        <v>0</v>
      </c>
      <c r="P293" s="344">
        <f>+'[141]VENTAS TOTALES'!$E82</f>
        <v>599000</v>
      </c>
      <c r="Q293" s="344">
        <f>+'[141]VENTAS TOTALES'!$F82</f>
        <v>599000</v>
      </c>
      <c r="R293" s="343">
        <f>+'[142]VENTAS TOTALES'!$D82</f>
        <v>0</v>
      </c>
      <c r="S293" s="344">
        <f>+'[142]VENTAS TOTALES'!$E82</f>
        <v>245000</v>
      </c>
      <c r="T293" s="344">
        <f>+'[142]VENTAS TOTALES'!$F82</f>
        <v>245000</v>
      </c>
      <c r="U293" s="343">
        <f>+'[143]VENTAS TOTALES'!$D82</f>
        <v>0</v>
      </c>
      <c r="V293" s="344">
        <f>+'[143]VENTAS TOTALES'!$E82</f>
        <v>1823000</v>
      </c>
      <c r="W293" s="344">
        <f>+'[143]VENTAS TOTALES'!$F82</f>
        <v>1823000</v>
      </c>
      <c r="X293" s="343">
        <f>+'[144]VENTAS TOTALES'!$D82</f>
        <v>0</v>
      </c>
      <c r="Y293" s="344">
        <f>+'[144]VENTAS TOTALES'!$E82</f>
        <v>1512000</v>
      </c>
      <c r="Z293" s="344">
        <f>+'[144]VENTAS TOTALES'!$F82</f>
        <v>1512000</v>
      </c>
      <c r="AA293" s="343">
        <f>+'[145]VENTAS TOTALES'!$D82</f>
        <v>0</v>
      </c>
      <c r="AB293" s="344">
        <f>+'[145]VENTAS TOTALES'!$E82</f>
        <v>1167000</v>
      </c>
      <c r="AC293" s="344">
        <f>+'[145]VENTAS TOTALES'!$F82</f>
        <v>1167000</v>
      </c>
      <c r="AD293" s="343">
        <f>+'[146]VENTAS TOTALES'!$D82</f>
        <v>0</v>
      </c>
      <c r="AE293" s="344">
        <f>+'[146]VENTAS TOTALES'!$E82</f>
        <v>1047000</v>
      </c>
      <c r="AF293" s="344">
        <f>+'[146]VENTAS TOTALES'!$F82</f>
        <v>1047000</v>
      </c>
      <c r="AG293" s="343">
        <f>+'[147]VENTAS TOTALES'!$D82</f>
        <v>0</v>
      </c>
      <c r="AH293" s="344">
        <f>+'[147]VENTAS TOTALES'!$E82</f>
        <v>632000</v>
      </c>
      <c r="AI293" s="344">
        <f>+'[147]VENTAS TOTALES'!$F82</f>
        <v>632000</v>
      </c>
      <c r="AJ293" s="343">
        <f>+'[148]VENTAS TOTALES'!$D82</f>
        <v>0</v>
      </c>
      <c r="AK293" s="344">
        <f>+'[148]VENTAS TOTALES'!$E82</f>
        <v>547000</v>
      </c>
      <c r="AL293" s="344">
        <f>+'[148]VENTAS TOTALES'!$F82</f>
        <v>547000</v>
      </c>
      <c r="AM293" s="343">
        <f>+'[149]VENTAS TOTALES'!$D82</f>
        <v>0</v>
      </c>
      <c r="AN293" s="344">
        <f>+'[149]VENTAS TOTALES'!$E82</f>
        <v>169000</v>
      </c>
      <c r="AO293" s="344">
        <f>+'[149]VENTAS TOTALES'!$F82</f>
        <v>169000</v>
      </c>
      <c r="AP293" s="343">
        <f>+'[150]VENTAS TOTALES'!$D82</f>
        <v>0</v>
      </c>
      <c r="AQ293" s="344">
        <f>+'[150]VENTAS TOTALES'!$E82</f>
        <v>2201000</v>
      </c>
      <c r="AR293" s="344">
        <f>+'[150]VENTAS TOTALES'!$F82</f>
        <v>2201000</v>
      </c>
      <c r="AS293" s="343">
        <f>+'[151]VENTAS TOTALES'!$D82</f>
        <v>0</v>
      </c>
      <c r="AT293" s="344">
        <f>+'[151]VENTAS TOTALES'!$E82</f>
        <v>1573000</v>
      </c>
      <c r="AU293" s="344">
        <f>+'[151]VENTAS TOTALES'!$F82</f>
        <v>1573000</v>
      </c>
      <c r="AV293" s="343">
        <f>+'[152]VENTAS TOTALES'!$D82</f>
        <v>0</v>
      </c>
      <c r="AW293" s="344">
        <f>+'[152]VENTAS TOTALES'!$E82</f>
        <v>1822000</v>
      </c>
      <c r="AX293" s="344">
        <f>+'[152]VENTAS TOTALES'!$F82</f>
        <v>1822000</v>
      </c>
      <c r="AY293" s="343">
        <f>+'[153]VENTAS TOTALES'!$D82</f>
        <v>0</v>
      </c>
      <c r="AZ293" s="344">
        <f>+'[153]VENTAS TOTALES'!$E82</f>
        <v>1629000</v>
      </c>
      <c r="BA293" s="344">
        <f>+'[153]VENTAS TOTALES'!$F82</f>
        <v>1629000</v>
      </c>
      <c r="BB293" s="343">
        <f>+'[154]VENTAS TOTALES'!$D82</f>
        <v>0</v>
      </c>
      <c r="BC293" s="344">
        <f>+'[154]VENTAS TOTALES'!$E82</f>
        <v>1178000</v>
      </c>
      <c r="BD293" s="344">
        <f>+'[154]VENTAS TOTALES'!$F82</f>
        <v>1178000</v>
      </c>
      <c r="BE293" s="343">
        <f>+'[155]VENTAS TOTALES'!$D82</f>
        <v>0</v>
      </c>
      <c r="BF293" s="344">
        <f>+'[155]VENTAS TOTALES'!$E82</f>
        <v>642000</v>
      </c>
      <c r="BG293" s="344">
        <f>+'[155]VENTAS TOTALES'!$F82</f>
        <v>642000</v>
      </c>
      <c r="BH293" s="343">
        <f>+'[156]VENTAS TOTALES'!$D82</f>
        <v>0</v>
      </c>
      <c r="BI293" s="344">
        <f>+'[156]VENTAS TOTALES'!$E82</f>
        <v>153000</v>
      </c>
      <c r="BJ293" s="344">
        <f>+'[156]VENTAS TOTALES'!$F82</f>
        <v>153000</v>
      </c>
      <c r="BK293" s="343">
        <f>+'[157]VENTAS TOTALES'!$D82</f>
        <v>0</v>
      </c>
      <c r="BL293" s="344">
        <f>+'[157]VENTAS TOTALES'!$E82</f>
        <v>1958000</v>
      </c>
      <c r="BM293" s="344">
        <f>+'[157]VENTAS TOTALES'!$F82</f>
        <v>1958000</v>
      </c>
      <c r="BN293" s="343">
        <f>+'[158]VENTAS TOTALES'!$D82</f>
        <v>0</v>
      </c>
      <c r="BO293" s="344">
        <f>+'[158]VENTAS TOTALES'!$E82</f>
        <v>1235000</v>
      </c>
      <c r="BP293" s="344">
        <f>+'[158]VENTAS TOTALES'!$F82</f>
        <v>1235000</v>
      </c>
      <c r="BQ293" s="343">
        <f>+'[159]VENTAS TOTALES'!$D82</f>
        <v>0</v>
      </c>
      <c r="BR293" s="344">
        <f>+'[159]VENTAS TOTALES'!$E82</f>
        <v>1250000</v>
      </c>
      <c r="BS293" s="344">
        <f>+'[159]VENTAS TOTALES'!$F82</f>
        <v>1250000</v>
      </c>
      <c r="BT293" s="343">
        <f>+'[160]VENTAS TOTALES'!$D82</f>
        <v>0</v>
      </c>
      <c r="BU293" s="344">
        <f>+'[160]VENTAS TOTALES'!$E82</f>
        <v>1195000</v>
      </c>
      <c r="BV293" s="344">
        <f>+'[160]VENTAS TOTALES'!$F82</f>
        <v>1195000</v>
      </c>
      <c r="BW293" s="343">
        <f>+'[161]VENTAS TOTALES'!$D82</f>
        <v>0</v>
      </c>
      <c r="BX293" s="344">
        <f>+'[161]VENTAS TOTALES'!$E82</f>
        <v>1120000</v>
      </c>
      <c r="BY293" s="344">
        <f>+'[161]VENTAS TOTALES'!$F82</f>
        <v>1120000</v>
      </c>
      <c r="BZ293" s="343">
        <f>+'[162]VENTAS TOTALES'!$D82</f>
        <v>0</v>
      </c>
      <c r="CA293" s="344">
        <f>+'[162]VENTAS TOTALES'!$E82</f>
        <v>217000</v>
      </c>
      <c r="CB293" s="344">
        <f>+'[162]VENTAS TOTALES'!$F82</f>
        <v>217000</v>
      </c>
      <c r="CC293" s="343">
        <f>+'[163]VENTAS TOTALES'!$D82</f>
        <v>0</v>
      </c>
      <c r="CD293" s="344">
        <f>+'[163]VENTAS TOTALES'!$E82</f>
        <v>100000</v>
      </c>
      <c r="CE293" s="344">
        <f>+'[163]VENTAS TOTALES'!$F82</f>
        <v>100000</v>
      </c>
      <c r="CF293" s="343">
        <f>+'[164]VENTAS TOTALES'!$D82</f>
        <v>0</v>
      </c>
      <c r="CG293" s="344">
        <f>+'[164]VENTAS TOTALES'!$E82</f>
        <v>1806000</v>
      </c>
      <c r="CH293" s="344">
        <f>+'[164]VENTAS TOTALES'!$F82</f>
        <v>1806000</v>
      </c>
      <c r="CI293" s="343">
        <f>+'[165]VENTAS TOTALES'!$D82</f>
        <v>0</v>
      </c>
      <c r="CJ293" s="344">
        <f>+'[165]VENTAS TOTALES'!$E82</f>
        <v>1847000</v>
      </c>
      <c r="CK293" s="344">
        <f>+'[165]VENTAS TOTALES'!$F82</f>
        <v>1847000</v>
      </c>
      <c r="CL293" s="343">
        <f>+'[166]VENTAS TOTALES'!$D82</f>
        <v>0</v>
      </c>
      <c r="CM293" s="344">
        <f>+'[166]VENTAS TOTALES'!$E82</f>
        <v>1786000</v>
      </c>
      <c r="CN293" s="344">
        <f>+'[166]VENTAS TOTALES'!$F82</f>
        <v>1786000</v>
      </c>
      <c r="CO293" s="343">
        <f>+'[167]VENTAS TOTALES'!$D82</f>
        <v>0</v>
      </c>
      <c r="CP293" s="344">
        <f>+'[167]VENTAS TOTALES'!$E82</f>
        <v>1422000</v>
      </c>
      <c r="CQ293" s="344">
        <f>+'[167]VENTAS TOTALES'!$F82</f>
        <v>1422000</v>
      </c>
      <c r="CR293" s="343">
        <f>+'[168]VENTAS TOTALES'!$D82</f>
        <v>0</v>
      </c>
      <c r="CS293" s="344">
        <f>+'[168]VENTAS TOTALES'!$E82</f>
        <v>1333000</v>
      </c>
      <c r="CT293" s="344">
        <f>+'[168]VENTAS TOTALES'!$F82</f>
        <v>1333000</v>
      </c>
      <c r="CU293" s="343">
        <f>+'[169]VENTAS TOTALES'!$D82</f>
        <v>0</v>
      </c>
      <c r="CV293" s="344">
        <f>+'[169]VENTAS TOTALES'!$E82</f>
        <v>559000</v>
      </c>
      <c r="CW293" s="344">
        <f>+'[169]VENTAS TOTALES'!$F82</f>
        <v>559000</v>
      </c>
      <c r="CX293" s="343">
        <f>+'[170]VENTAS TOTALES'!$D82</f>
        <v>0</v>
      </c>
      <c r="CY293" s="344">
        <f>+'[170]VENTAS TOTALES'!$E82</f>
        <v>74000</v>
      </c>
      <c r="CZ293" s="344">
        <f>+'[170]VENTAS TOTALES'!$F82</f>
        <v>74000</v>
      </c>
    </row>
    <row r="294" spans="1:104" s="8" customFormat="1" x14ac:dyDescent="0.2">
      <c r="A294" s="475"/>
      <c r="B294" s="370" t="s">
        <v>385</v>
      </c>
      <c r="C294" s="346">
        <f>+'[137]VENTAS TOTALES'!$D83</f>
        <v>0</v>
      </c>
      <c r="D294" s="347">
        <f>+'[137]VENTAS TOTALES'!$E83</f>
        <v>1211000</v>
      </c>
      <c r="E294" s="347">
        <f>+'[137]VENTAS TOTALES'!$F83</f>
        <v>1211000</v>
      </c>
      <c r="F294" s="346">
        <f>+'[138]VENTAS TOTALES'!$D83</f>
        <v>0</v>
      </c>
      <c r="G294" s="347">
        <f>+'[138]VENTAS TOTALES'!$E83</f>
        <v>766000</v>
      </c>
      <c r="H294" s="347">
        <f>+'[138]VENTAS TOTALES'!$F83</f>
        <v>766000</v>
      </c>
      <c r="I294" s="346">
        <f>+'[139]VENTAS TOTALES'!$D83</f>
        <v>0</v>
      </c>
      <c r="J294" s="347">
        <f>+'[139]VENTAS TOTALES'!$E83</f>
        <v>716000</v>
      </c>
      <c r="K294" s="347">
        <f>+'[139]VENTAS TOTALES'!$F83</f>
        <v>716000</v>
      </c>
      <c r="L294" s="346">
        <f>+'[140]VENTAS TOTALES'!$D83</f>
        <v>0</v>
      </c>
      <c r="M294" s="347">
        <f>+'[140]VENTAS TOTALES'!$E83</f>
        <v>781000</v>
      </c>
      <c r="N294" s="347">
        <f>+'[140]VENTAS TOTALES'!$F83</f>
        <v>781000</v>
      </c>
      <c r="O294" s="346">
        <f>+'[141]VENTAS TOTALES'!$D83</f>
        <v>0</v>
      </c>
      <c r="P294" s="347">
        <f>+'[141]VENTAS TOTALES'!$E83</f>
        <v>529000</v>
      </c>
      <c r="Q294" s="347">
        <f>+'[141]VENTAS TOTALES'!$F83</f>
        <v>529000</v>
      </c>
      <c r="R294" s="346">
        <f>+'[142]VENTAS TOTALES'!$D83</f>
        <v>0</v>
      </c>
      <c r="S294" s="347">
        <f>+'[142]VENTAS TOTALES'!$E83</f>
        <v>241000</v>
      </c>
      <c r="T294" s="347">
        <f>+'[142]VENTAS TOTALES'!$F83</f>
        <v>241000</v>
      </c>
      <c r="U294" s="346">
        <f>+'[143]VENTAS TOTALES'!$D83</f>
        <v>0</v>
      </c>
      <c r="V294" s="347">
        <f>+'[143]VENTAS TOTALES'!$E83</f>
        <v>1091000</v>
      </c>
      <c r="W294" s="347">
        <f>+'[143]VENTAS TOTALES'!$F83</f>
        <v>1091000</v>
      </c>
      <c r="X294" s="346">
        <f>+'[144]VENTAS TOTALES'!$D83</f>
        <v>0</v>
      </c>
      <c r="Y294" s="347">
        <f>+'[144]VENTAS TOTALES'!$E83</f>
        <v>898000</v>
      </c>
      <c r="Z294" s="347">
        <f>+'[144]VENTAS TOTALES'!$F83</f>
        <v>898000</v>
      </c>
      <c r="AA294" s="346">
        <f>+'[145]VENTAS TOTALES'!$D83</f>
        <v>0</v>
      </c>
      <c r="AB294" s="347">
        <f>+'[145]VENTAS TOTALES'!$E83</f>
        <v>541000</v>
      </c>
      <c r="AC294" s="347">
        <f>+'[145]VENTAS TOTALES'!$F83</f>
        <v>541000</v>
      </c>
      <c r="AD294" s="346">
        <f>+'[146]VENTAS TOTALES'!$D83</f>
        <v>0</v>
      </c>
      <c r="AE294" s="347">
        <f>+'[146]VENTAS TOTALES'!$E83</f>
        <v>770000</v>
      </c>
      <c r="AF294" s="347">
        <f>+'[146]VENTAS TOTALES'!$F83</f>
        <v>770000</v>
      </c>
      <c r="AG294" s="346">
        <f>+'[147]VENTAS TOTALES'!$D83</f>
        <v>0</v>
      </c>
      <c r="AH294" s="347">
        <f>+'[147]VENTAS TOTALES'!$E83</f>
        <v>325000</v>
      </c>
      <c r="AI294" s="347">
        <f>+'[147]VENTAS TOTALES'!$F83</f>
        <v>325000</v>
      </c>
      <c r="AJ294" s="346">
        <f>+'[148]VENTAS TOTALES'!$D83</f>
        <v>0</v>
      </c>
      <c r="AK294" s="347">
        <f>+'[148]VENTAS TOTALES'!$E83</f>
        <v>547000</v>
      </c>
      <c r="AL294" s="347">
        <f>+'[148]VENTAS TOTALES'!$F83</f>
        <v>547000</v>
      </c>
      <c r="AM294" s="346">
        <f>+'[149]VENTAS TOTALES'!$D83</f>
        <v>0</v>
      </c>
      <c r="AN294" s="347">
        <f>+'[149]VENTAS TOTALES'!$E83</f>
        <v>149000</v>
      </c>
      <c r="AO294" s="347">
        <f>+'[149]VENTAS TOTALES'!$F83</f>
        <v>149000</v>
      </c>
      <c r="AP294" s="346">
        <f>+'[150]VENTAS TOTALES'!$D83</f>
        <v>0</v>
      </c>
      <c r="AQ294" s="347">
        <f>+'[150]VENTAS TOTALES'!$E83</f>
        <v>1283000</v>
      </c>
      <c r="AR294" s="347">
        <f>+'[150]VENTAS TOTALES'!$F83</f>
        <v>1283000</v>
      </c>
      <c r="AS294" s="346">
        <f>+'[151]VENTAS TOTALES'!$D83</f>
        <v>0</v>
      </c>
      <c r="AT294" s="347">
        <f>+'[151]VENTAS TOTALES'!$E83</f>
        <v>550000</v>
      </c>
      <c r="AU294" s="347">
        <f>+'[151]VENTAS TOTALES'!$F83</f>
        <v>550000</v>
      </c>
      <c r="AV294" s="346">
        <f>+'[152]VENTAS TOTALES'!$D83</f>
        <v>0</v>
      </c>
      <c r="AW294" s="347">
        <f>+'[152]VENTAS TOTALES'!$E83</f>
        <v>387000</v>
      </c>
      <c r="AX294" s="347">
        <f>+'[152]VENTAS TOTALES'!$F83</f>
        <v>387000</v>
      </c>
      <c r="AY294" s="346">
        <f>+'[153]VENTAS TOTALES'!$D83</f>
        <v>0</v>
      </c>
      <c r="AZ294" s="347">
        <f>+'[153]VENTAS TOTALES'!$E83</f>
        <v>792000</v>
      </c>
      <c r="BA294" s="347">
        <f>+'[153]VENTAS TOTALES'!$F83</f>
        <v>792000</v>
      </c>
      <c r="BB294" s="346">
        <f>+'[154]VENTAS TOTALES'!$D83</f>
        <v>0</v>
      </c>
      <c r="BC294" s="347">
        <f>+'[154]VENTAS TOTALES'!$E83</f>
        <v>737000</v>
      </c>
      <c r="BD294" s="347">
        <f>+'[154]VENTAS TOTALES'!$F83</f>
        <v>737000</v>
      </c>
      <c r="BE294" s="346">
        <f>+'[155]VENTAS TOTALES'!$D83</f>
        <v>0</v>
      </c>
      <c r="BF294" s="347">
        <f>+'[155]VENTAS TOTALES'!$E83</f>
        <v>486000</v>
      </c>
      <c r="BG294" s="347">
        <f>+'[155]VENTAS TOTALES'!$F83</f>
        <v>486000</v>
      </c>
      <c r="BH294" s="346">
        <f>+'[156]VENTAS TOTALES'!$D83</f>
        <v>0</v>
      </c>
      <c r="BI294" s="347">
        <f>+'[156]VENTAS TOTALES'!$E83</f>
        <v>169000</v>
      </c>
      <c r="BJ294" s="347">
        <f>+'[156]VENTAS TOTALES'!$F83</f>
        <v>169000</v>
      </c>
      <c r="BK294" s="346">
        <f>+'[157]VENTAS TOTALES'!$D83</f>
        <v>0</v>
      </c>
      <c r="BL294" s="347">
        <f>+'[157]VENTAS TOTALES'!$E83</f>
        <v>1260000</v>
      </c>
      <c r="BM294" s="347">
        <f>+'[157]VENTAS TOTALES'!$F83</f>
        <v>1260000</v>
      </c>
      <c r="BN294" s="346">
        <f>+'[158]VENTAS TOTALES'!$D83</f>
        <v>0</v>
      </c>
      <c r="BO294" s="347">
        <f>+'[158]VENTAS TOTALES'!$E83</f>
        <v>771000</v>
      </c>
      <c r="BP294" s="347">
        <f>+'[158]VENTAS TOTALES'!$F83</f>
        <v>771000</v>
      </c>
      <c r="BQ294" s="346">
        <f>+'[159]VENTAS TOTALES'!$D83</f>
        <v>0</v>
      </c>
      <c r="BR294" s="347">
        <f>+'[159]VENTAS TOTALES'!$E83</f>
        <v>791000</v>
      </c>
      <c r="BS294" s="347">
        <f>+'[159]VENTAS TOTALES'!$F83</f>
        <v>791000</v>
      </c>
      <c r="BT294" s="346">
        <f>+'[160]VENTAS TOTALES'!$D83</f>
        <v>0</v>
      </c>
      <c r="BU294" s="347">
        <f>+'[160]VENTAS TOTALES'!$E83</f>
        <v>700000</v>
      </c>
      <c r="BV294" s="347">
        <f>+'[160]VENTAS TOTALES'!$F83</f>
        <v>700000</v>
      </c>
      <c r="BW294" s="346">
        <f>+'[161]VENTAS TOTALES'!$D83</f>
        <v>0</v>
      </c>
      <c r="BX294" s="347">
        <f>+'[161]VENTAS TOTALES'!$E83</f>
        <v>564000</v>
      </c>
      <c r="BY294" s="347">
        <f>+'[161]VENTAS TOTALES'!$F83</f>
        <v>564000</v>
      </c>
      <c r="BZ294" s="346">
        <f>+'[162]VENTAS TOTALES'!$D83</f>
        <v>0</v>
      </c>
      <c r="CA294" s="347">
        <f>+'[162]VENTAS TOTALES'!$E83</f>
        <v>594000</v>
      </c>
      <c r="CB294" s="347">
        <f>+'[162]VENTAS TOTALES'!$F83</f>
        <v>594000</v>
      </c>
      <c r="CC294" s="346">
        <f>+'[163]VENTAS TOTALES'!$D83</f>
        <v>0</v>
      </c>
      <c r="CD294" s="347">
        <f>+'[163]VENTAS TOTALES'!$E83</f>
        <v>65000</v>
      </c>
      <c r="CE294" s="347">
        <f>+'[163]VENTAS TOTALES'!$F83</f>
        <v>65000</v>
      </c>
      <c r="CF294" s="346">
        <f>+'[164]VENTAS TOTALES'!$D83</f>
        <v>0</v>
      </c>
      <c r="CG294" s="347">
        <f>+'[164]VENTAS TOTALES'!$E83</f>
        <v>1360000</v>
      </c>
      <c r="CH294" s="347">
        <f>+'[164]VENTAS TOTALES'!$F83</f>
        <v>1360000</v>
      </c>
      <c r="CI294" s="346">
        <f>+'[165]VENTAS TOTALES'!$D83</f>
        <v>0</v>
      </c>
      <c r="CJ294" s="347">
        <f>+'[165]VENTAS TOTALES'!$E83</f>
        <v>1424000</v>
      </c>
      <c r="CK294" s="347">
        <f>+'[165]VENTAS TOTALES'!$F83</f>
        <v>1424000</v>
      </c>
      <c r="CL294" s="346">
        <f>+'[166]VENTAS TOTALES'!$D83</f>
        <v>0</v>
      </c>
      <c r="CM294" s="347">
        <f>+'[166]VENTAS TOTALES'!$E83</f>
        <v>827000</v>
      </c>
      <c r="CN294" s="347">
        <f>+'[166]VENTAS TOTALES'!$F83</f>
        <v>827000</v>
      </c>
      <c r="CO294" s="346">
        <f>+'[167]VENTAS TOTALES'!$D83</f>
        <v>0</v>
      </c>
      <c r="CP294" s="347">
        <f>+'[167]VENTAS TOTALES'!$E83</f>
        <v>683000</v>
      </c>
      <c r="CQ294" s="347">
        <f>+'[167]VENTAS TOTALES'!$F83</f>
        <v>683000</v>
      </c>
      <c r="CR294" s="346">
        <f>+'[168]VENTAS TOTALES'!$D83</f>
        <v>0</v>
      </c>
      <c r="CS294" s="347">
        <f>+'[168]VENTAS TOTALES'!$E83</f>
        <v>761000</v>
      </c>
      <c r="CT294" s="347">
        <f>+'[168]VENTAS TOTALES'!$F83</f>
        <v>761000</v>
      </c>
      <c r="CU294" s="346">
        <f>+'[169]VENTAS TOTALES'!$D83</f>
        <v>0</v>
      </c>
      <c r="CV294" s="347">
        <f>+'[169]VENTAS TOTALES'!$E83</f>
        <v>575000</v>
      </c>
      <c r="CW294" s="347">
        <f>+'[169]VENTAS TOTALES'!$F83</f>
        <v>575000</v>
      </c>
      <c r="CX294" s="346">
        <f>+'[170]VENTAS TOTALES'!$D83</f>
        <v>0</v>
      </c>
      <c r="CY294" s="347">
        <f>+'[170]VENTAS TOTALES'!$E83</f>
        <v>153000</v>
      </c>
      <c r="CZ294" s="347">
        <f>+'[170]VENTAS TOTALES'!$F83</f>
        <v>153000</v>
      </c>
    </row>
    <row r="295" spans="1:104" s="8" customFormat="1" x14ac:dyDescent="0.2">
      <c r="A295" s="475"/>
      <c r="B295" s="370" t="s">
        <v>386</v>
      </c>
      <c r="C295" s="346">
        <f>+'[137]VENTAS TOTALES'!$D84</f>
        <v>0</v>
      </c>
      <c r="D295" s="347">
        <f>+'[137]VENTAS TOTALES'!$E84</f>
        <v>285000</v>
      </c>
      <c r="E295" s="347">
        <f>+'[137]VENTAS TOTALES'!$F84</f>
        <v>285000</v>
      </c>
      <c r="F295" s="346">
        <f>+'[138]VENTAS TOTALES'!$D84</f>
        <v>0</v>
      </c>
      <c r="G295" s="347">
        <f>+'[138]VENTAS TOTALES'!$E84</f>
        <v>965000</v>
      </c>
      <c r="H295" s="347">
        <f>+'[138]VENTAS TOTALES'!$F84</f>
        <v>965000</v>
      </c>
      <c r="I295" s="346">
        <f>+'[139]VENTAS TOTALES'!$D84</f>
        <v>0</v>
      </c>
      <c r="J295" s="347">
        <f>+'[139]VENTAS TOTALES'!$E84</f>
        <v>667000</v>
      </c>
      <c r="K295" s="347">
        <f>+'[139]VENTAS TOTALES'!$F84</f>
        <v>667000</v>
      </c>
      <c r="L295" s="346">
        <f>+'[140]VENTAS TOTALES'!$D84</f>
        <v>0</v>
      </c>
      <c r="M295" s="347">
        <f>+'[140]VENTAS TOTALES'!$E84</f>
        <v>551000</v>
      </c>
      <c r="N295" s="347">
        <f>+'[140]VENTAS TOTALES'!$F84</f>
        <v>551000</v>
      </c>
      <c r="O295" s="346">
        <f>+'[141]VENTAS TOTALES'!$D84</f>
        <v>0</v>
      </c>
      <c r="P295" s="347">
        <f>+'[141]VENTAS TOTALES'!$E84</f>
        <v>425000</v>
      </c>
      <c r="Q295" s="347">
        <f>+'[141]VENTAS TOTALES'!$F84</f>
        <v>425000</v>
      </c>
      <c r="R295" s="346">
        <f>+'[142]VENTAS TOTALES'!$D84</f>
        <v>0</v>
      </c>
      <c r="S295" s="347">
        <f>+'[142]VENTAS TOTALES'!$E84</f>
        <v>330000</v>
      </c>
      <c r="T295" s="347">
        <f>+'[142]VENTAS TOTALES'!$F84</f>
        <v>330000</v>
      </c>
      <c r="U295" s="346">
        <f>+'[143]VENTAS TOTALES'!$D84</f>
        <v>0</v>
      </c>
      <c r="V295" s="347">
        <f>+'[143]VENTAS TOTALES'!$E84</f>
        <v>553000</v>
      </c>
      <c r="W295" s="347">
        <f>+'[143]VENTAS TOTALES'!$F84</f>
        <v>553000</v>
      </c>
      <c r="X295" s="346">
        <f>+'[144]VENTAS TOTALES'!$D84</f>
        <v>0</v>
      </c>
      <c r="Y295" s="347">
        <f>+'[144]VENTAS TOTALES'!$E84</f>
        <v>789000</v>
      </c>
      <c r="Z295" s="347">
        <f>+'[144]VENTAS TOTALES'!$F84</f>
        <v>789000</v>
      </c>
      <c r="AA295" s="346">
        <f>+'[145]VENTAS TOTALES'!$D84</f>
        <v>0</v>
      </c>
      <c r="AB295" s="347">
        <f>+'[145]VENTAS TOTALES'!$E84</f>
        <v>151000</v>
      </c>
      <c r="AC295" s="347">
        <f>+'[145]VENTAS TOTALES'!$F84</f>
        <v>151000</v>
      </c>
      <c r="AD295" s="346">
        <f>+'[146]VENTAS TOTALES'!$D84</f>
        <v>0</v>
      </c>
      <c r="AE295" s="347">
        <f>+'[146]VENTAS TOTALES'!$E84</f>
        <v>726000</v>
      </c>
      <c r="AF295" s="347">
        <f>+'[146]VENTAS TOTALES'!$F84</f>
        <v>726000</v>
      </c>
      <c r="AG295" s="346">
        <f>+'[147]VENTAS TOTALES'!$D84</f>
        <v>0</v>
      </c>
      <c r="AH295" s="347">
        <f>+'[147]VENTAS TOTALES'!$E84</f>
        <v>165000</v>
      </c>
      <c r="AI295" s="347">
        <f>+'[147]VENTAS TOTALES'!$F84</f>
        <v>165000</v>
      </c>
      <c r="AJ295" s="346">
        <f>+'[148]VENTAS TOTALES'!$D84</f>
        <v>0</v>
      </c>
      <c r="AK295" s="347">
        <f>+'[148]VENTAS TOTALES'!$E84</f>
        <v>397000</v>
      </c>
      <c r="AL295" s="347">
        <f>+'[148]VENTAS TOTALES'!$F84</f>
        <v>397000</v>
      </c>
      <c r="AM295" s="346">
        <f>+'[149]VENTAS TOTALES'!$D84</f>
        <v>0</v>
      </c>
      <c r="AN295" s="347">
        <f>+'[149]VENTAS TOTALES'!$E84</f>
        <v>234000</v>
      </c>
      <c r="AO295" s="347">
        <f>+'[149]VENTAS TOTALES'!$F84</f>
        <v>234000</v>
      </c>
      <c r="AP295" s="346">
        <f>+'[150]VENTAS TOTALES'!$D84</f>
        <v>0</v>
      </c>
      <c r="AQ295" s="347">
        <f>+'[150]VENTAS TOTALES'!$E84</f>
        <v>1301000</v>
      </c>
      <c r="AR295" s="347">
        <f>+'[150]VENTAS TOTALES'!$F84</f>
        <v>1301000</v>
      </c>
      <c r="AS295" s="346">
        <f>+'[151]VENTAS TOTALES'!$D84</f>
        <v>0</v>
      </c>
      <c r="AT295" s="347">
        <f>+'[151]VENTAS TOTALES'!$E84</f>
        <v>871000</v>
      </c>
      <c r="AU295" s="347">
        <f>+'[151]VENTAS TOTALES'!$F84</f>
        <v>871000</v>
      </c>
      <c r="AV295" s="346">
        <f>+'[152]VENTAS TOTALES'!$D84</f>
        <v>0</v>
      </c>
      <c r="AW295" s="347">
        <f>+'[152]VENTAS TOTALES'!$E84</f>
        <v>827000</v>
      </c>
      <c r="AX295" s="347">
        <f>+'[152]VENTAS TOTALES'!$F84</f>
        <v>827000</v>
      </c>
      <c r="AY295" s="346">
        <f>+'[153]VENTAS TOTALES'!$D84</f>
        <v>0</v>
      </c>
      <c r="AZ295" s="347">
        <f>+'[153]VENTAS TOTALES'!$E84</f>
        <v>746000</v>
      </c>
      <c r="BA295" s="347">
        <f>+'[153]VENTAS TOTALES'!$F84</f>
        <v>746000</v>
      </c>
      <c r="BB295" s="346">
        <f>+'[154]VENTAS TOTALES'!$D84</f>
        <v>0</v>
      </c>
      <c r="BC295" s="347">
        <f>+'[154]VENTAS TOTALES'!$E84</f>
        <v>757000</v>
      </c>
      <c r="BD295" s="347">
        <f>+'[154]VENTAS TOTALES'!$F84</f>
        <v>757000</v>
      </c>
      <c r="BE295" s="346">
        <f>+'[155]VENTAS TOTALES'!$D84</f>
        <v>0</v>
      </c>
      <c r="BF295" s="347">
        <f>+'[155]VENTAS TOTALES'!$E84</f>
        <v>465000</v>
      </c>
      <c r="BG295" s="347">
        <f>+'[155]VENTAS TOTALES'!$F84</f>
        <v>465000</v>
      </c>
      <c r="BH295" s="346">
        <f>+'[156]VENTAS TOTALES'!$D84</f>
        <v>0</v>
      </c>
      <c r="BI295" s="347">
        <f>+'[156]VENTAS TOTALES'!$E84</f>
        <v>337000</v>
      </c>
      <c r="BJ295" s="347">
        <f>+'[156]VENTAS TOTALES'!$F84</f>
        <v>337000</v>
      </c>
      <c r="BK295" s="346">
        <f>+'[157]VENTAS TOTALES'!$D84</f>
        <v>0</v>
      </c>
      <c r="BL295" s="347">
        <f>+'[157]VENTAS TOTALES'!$E84</f>
        <v>864000</v>
      </c>
      <c r="BM295" s="347">
        <f>+'[157]VENTAS TOTALES'!$F84</f>
        <v>864000</v>
      </c>
      <c r="BN295" s="346">
        <f>+'[158]VENTAS TOTALES'!$D84</f>
        <v>0</v>
      </c>
      <c r="BO295" s="347">
        <f>+'[158]VENTAS TOTALES'!$E84</f>
        <v>693000</v>
      </c>
      <c r="BP295" s="347">
        <f>+'[158]VENTAS TOTALES'!$F84</f>
        <v>693000</v>
      </c>
      <c r="BQ295" s="346">
        <f>+'[159]VENTAS TOTALES'!$D84</f>
        <v>0</v>
      </c>
      <c r="BR295" s="347">
        <f>+'[159]VENTAS TOTALES'!$E84</f>
        <v>412000</v>
      </c>
      <c r="BS295" s="347">
        <f>+'[159]VENTAS TOTALES'!$F84</f>
        <v>412000</v>
      </c>
      <c r="BT295" s="346">
        <f>+'[160]VENTAS TOTALES'!$D84</f>
        <v>0</v>
      </c>
      <c r="BU295" s="347">
        <f>+'[160]VENTAS TOTALES'!$E84</f>
        <v>545000</v>
      </c>
      <c r="BV295" s="347">
        <f>+'[160]VENTAS TOTALES'!$F84</f>
        <v>545000</v>
      </c>
      <c r="BW295" s="346">
        <f>+'[161]VENTAS TOTALES'!$D84</f>
        <v>0</v>
      </c>
      <c r="BX295" s="347">
        <f>+'[161]VENTAS TOTALES'!$E84</f>
        <v>292000</v>
      </c>
      <c r="BY295" s="347">
        <f>+'[161]VENTAS TOTALES'!$F84</f>
        <v>292000</v>
      </c>
      <c r="BZ295" s="346">
        <f>+'[162]VENTAS TOTALES'!$D84</f>
        <v>0</v>
      </c>
      <c r="CA295" s="347">
        <f>+'[162]VENTAS TOTALES'!$E84</f>
        <v>471000</v>
      </c>
      <c r="CB295" s="347">
        <f>+'[162]VENTAS TOTALES'!$F84</f>
        <v>471000</v>
      </c>
      <c r="CC295" s="346">
        <f>+'[163]VENTAS TOTALES'!$D84</f>
        <v>0</v>
      </c>
      <c r="CD295" s="347">
        <f>+'[163]VENTAS TOTALES'!$E84</f>
        <v>255000</v>
      </c>
      <c r="CE295" s="347">
        <f>+'[163]VENTAS TOTALES'!$F84</f>
        <v>255000</v>
      </c>
      <c r="CF295" s="346">
        <f>+'[164]VENTAS TOTALES'!$D84</f>
        <v>0</v>
      </c>
      <c r="CG295" s="347">
        <f>+'[164]VENTAS TOTALES'!$E84</f>
        <v>1219000</v>
      </c>
      <c r="CH295" s="347">
        <f>+'[164]VENTAS TOTALES'!$F84</f>
        <v>1219000</v>
      </c>
      <c r="CI295" s="346">
        <f>+'[165]VENTAS TOTALES'!$D84</f>
        <v>0</v>
      </c>
      <c r="CJ295" s="347">
        <f>+'[165]VENTAS TOTALES'!$E84</f>
        <v>858000</v>
      </c>
      <c r="CK295" s="347">
        <f>+'[165]VENTAS TOTALES'!$F84</f>
        <v>858000</v>
      </c>
      <c r="CL295" s="346">
        <f>+'[166]VENTAS TOTALES'!$D84</f>
        <v>0</v>
      </c>
      <c r="CM295" s="347">
        <f>+'[166]VENTAS TOTALES'!$E84</f>
        <v>981000</v>
      </c>
      <c r="CN295" s="347">
        <f>+'[166]VENTAS TOTALES'!$F84</f>
        <v>981000</v>
      </c>
      <c r="CO295" s="346">
        <f>+'[167]VENTAS TOTALES'!$D84</f>
        <v>0</v>
      </c>
      <c r="CP295" s="347">
        <f>+'[167]VENTAS TOTALES'!$E84</f>
        <v>700000</v>
      </c>
      <c r="CQ295" s="347">
        <f>+'[167]VENTAS TOTALES'!$F84</f>
        <v>700000</v>
      </c>
      <c r="CR295" s="346">
        <f>+'[168]VENTAS TOTALES'!$D84</f>
        <v>0</v>
      </c>
      <c r="CS295" s="347">
        <f>+'[168]VENTAS TOTALES'!$E84</f>
        <v>633000</v>
      </c>
      <c r="CT295" s="347">
        <f>+'[168]VENTAS TOTALES'!$F84</f>
        <v>633000</v>
      </c>
      <c r="CU295" s="346">
        <f>+'[169]VENTAS TOTALES'!$D84</f>
        <v>0</v>
      </c>
      <c r="CV295" s="347">
        <f>+'[169]VENTAS TOTALES'!$E84</f>
        <v>598000</v>
      </c>
      <c r="CW295" s="347">
        <f>+'[169]VENTAS TOTALES'!$F84</f>
        <v>598000</v>
      </c>
      <c r="CX295" s="346">
        <f>+'[170]VENTAS TOTALES'!$D84</f>
        <v>0</v>
      </c>
      <c r="CY295" s="347">
        <f>+'[170]VENTAS TOTALES'!$E84</f>
        <v>323000</v>
      </c>
      <c r="CZ295" s="347">
        <f>+'[170]VENTAS TOTALES'!$F84</f>
        <v>323000</v>
      </c>
    </row>
    <row r="296" spans="1:104" s="8" customFormat="1" x14ac:dyDescent="0.2">
      <c r="A296" s="475"/>
      <c r="B296" s="370" t="s">
        <v>387</v>
      </c>
      <c r="C296" s="346">
        <f>+'[137]VENTAS TOTALES'!$D85</f>
        <v>0</v>
      </c>
      <c r="D296" s="347">
        <f>+'[137]VENTAS TOTALES'!$E85</f>
        <v>1829000</v>
      </c>
      <c r="E296" s="347">
        <f>+'[137]VENTAS TOTALES'!$F85</f>
        <v>1829000</v>
      </c>
      <c r="F296" s="346">
        <f>+'[138]VENTAS TOTALES'!$D85</f>
        <v>0</v>
      </c>
      <c r="G296" s="347">
        <f>+'[138]VENTAS TOTALES'!$E85</f>
        <v>1522000</v>
      </c>
      <c r="H296" s="347">
        <f>+'[138]VENTAS TOTALES'!$F85</f>
        <v>1522000</v>
      </c>
      <c r="I296" s="346">
        <f>+'[139]VENTAS TOTALES'!$D85</f>
        <v>0</v>
      </c>
      <c r="J296" s="347">
        <f>+'[139]VENTAS TOTALES'!$E85</f>
        <v>1040000</v>
      </c>
      <c r="K296" s="347">
        <f>+'[139]VENTAS TOTALES'!$F85</f>
        <v>1040000</v>
      </c>
      <c r="L296" s="346">
        <f>+'[140]VENTAS TOTALES'!$D85</f>
        <v>0</v>
      </c>
      <c r="M296" s="347">
        <f>+'[140]VENTAS TOTALES'!$E85</f>
        <v>1042000</v>
      </c>
      <c r="N296" s="347">
        <f>+'[140]VENTAS TOTALES'!$F85</f>
        <v>1042000</v>
      </c>
      <c r="O296" s="346">
        <f>+'[141]VENTAS TOTALES'!$D85</f>
        <v>0</v>
      </c>
      <c r="P296" s="347">
        <f>+'[141]VENTAS TOTALES'!$E85</f>
        <v>562000</v>
      </c>
      <c r="Q296" s="347">
        <f>+'[141]VENTAS TOTALES'!$F85</f>
        <v>562000</v>
      </c>
      <c r="R296" s="346">
        <f>+'[142]VENTAS TOTALES'!$D85</f>
        <v>0</v>
      </c>
      <c r="S296" s="347">
        <f>+'[142]VENTAS TOTALES'!$E85</f>
        <v>262000</v>
      </c>
      <c r="T296" s="347">
        <f>+'[142]VENTAS TOTALES'!$F85</f>
        <v>262000</v>
      </c>
      <c r="U296" s="346">
        <f>+'[143]VENTAS TOTALES'!$D85</f>
        <v>0</v>
      </c>
      <c r="V296" s="347">
        <f>+'[143]VENTAS TOTALES'!$E85</f>
        <v>1753000</v>
      </c>
      <c r="W296" s="347">
        <f>+'[143]VENTAS TOTALES'!$F85</f>
        <v>1753000</v>
      </c>
      <c r="X296" s="346">
        <f>+'[144]VENTAS TOTALES'!$D85</f>
        <v>0</v>
      </c>
      <c r="Y296" s="347">
        <f>+'[144]VENTAS TOTALES'!$E85</f>
        <v>1351000</v>
      </c>
      <c r="Z296" s="347">
        <f>+'[144]VENTAS TOTALES'!$F85</f>
        <v>1351000</v>
      </c>
      <c r="AA296" s="346">
        <f>+'[145]VENTAS TOTALES'!$D85</f>
        <v>0</v>
      </c>
      <c r="AB296" s="347">
        <f>+'[145]VENTAS TOTALES'!$E85</f>
        <v>1220000</v>
      </c>
      <c r="AC296" s="347">
        <f>+'[145]VENTAS TOTALES'!$F85</f>
        <v>1220000</v>
      </c>
      <c r="AD296" s="346">
        <f>+'[146]VENTAS TOTALES'!$D85</f>
        <v>0</v>
      </c>
      <c r="AE296" s="347">
        <f>+'[146]VENTAS TOTALES'!$E85</f>
        <v>1170000</v>
      </c>
      <c r="AF296" s="347">
        <f>+'[146]VENTAS TOTALES'!$F85</f>
        <v>1170000</v>
      </c>
      <c r="AG296" s="346">
        <f>+'[147]VENTAS TOTALES'!$D85</f>
        <v>0</v>
      </c>
      <c r="AH296" s="347">
        <f>+'[147]VENTAS TOTALES'!$E85</f>
        <v>522000</v>
      </c>
      <c r="AI296" s="347">
        <f>+'[147]VENTAS TOTALES'!$F85</f>
        <v>522000</v>
      </c>
      <c r="AJ296" s="346">
        <f>+'[148]VENTAS TOTALES'!$D85</f>
        <v>0</v>
      </c>
      <c r="AK296" s="347">
        <f>+'[148]VENTAS TOTALES'!$E85</f>
        <v>495000</v>
      </c>
      <c r="AL296" s="347">
        <f>+'[148]VENTAS TOTALES'!$F85</f>
        <v>495000</v>
      </c>
      <c r="AM296" s="346">
        <f>+'[149]VENTAS TOTALES'!$D85</f>
        <v>0</v>
      </c>
      <c r="AN296" s="347">
        <f>+'[149]VENTAS TOTALES'!$E85</f>
        <v>141000</v>
      </c>
      <c r="AO296" s="347">
        <f>+'[149]VENTAS TOTALES'!$F85</f>
        <v>141000</v>
      </c>
      <c r="AP296" s="346">
        <f>+'[150]VENTAS TOTALES'!$D85</f>
        <v>0</v>
      </c>
      <c r="AQ296" s="347">
        <f>+'[150]VENTAS TOTALES'!$E85</f>
        <v>1579000</v>
      </c>
      <c r="AR296" s="347">
        <f>+'[150]VENTAS TOTALES'!$F85</f>
        <v>1579000</v>
      </c>
      <c r="AS296" s="346">
        <f>+'[151]VENTAS TOTALES'!$D85</f>
        <v>0</v>
      </c>
      <c r="AT296" s="347">
        <f>+'[151]VENTAS TOTALES'!$E85</f>
        <v>1475000</v>
      </c>
      <c r="AU296" s="347">
        <f>+'[151]VENTAS TOTALES'!$F85</f>
        <v>1475000</v>
      </c>
      <c r="AV296" s="346">
        <f>+'[152]VENTAS TOTALES'!$D85</f>
        <v>0</v>
      </c>
      <c r="AW296" s="347">
        <f>+'[152]VENTAS TOTALES'!$E85</f>
        <v>1833000</v>
      </c>
      <c r="AX296" s="347">
        <f>+'[152]VENTAS TOTALES'!$F85</f>
        <v>1833000</v>
      </c>
      <c r="AY296" s="346">
        <f>+'[153]VENTAS TOTALES'!$D85</f>
        <v>0</v>
      </c>
      <c r="AZ296" s="347">
        <f>+'[153]VENTAS TOTALES'!$E85</f>
        <v>1564000</v>
      </c>
      <c r="BA296" s="347">
        <f>+'[153]VENTAS TOTALES'!$F85</f>
        <v>1564000</v>
      </c>
      <c r="BB296" s="346">
        <f>+'[154]VENTAS TOTALES'!$D85</f>
        <v>0</v>
      </c>
      <c r="BC296" s="347">
        <f>+'[154]VENTAS TOTALES'!$E85</f>
        <v>1255000</v>
      </c>
      <c r="BD296" s="347">
        <f>+'[154]VENTAS TOTALES'!$F85</f>
        <v>1255000</v>
      </c>
      <c r="BE296" s="346">
        <f>+'[155]VENTAS TOTALES'!$D85</f>
        <v>0</v>
      </c>
      <c r="BF296" s="347">
        <f>+'[155]VENTAS TOTALES'!$E85</f>
        <v>491000</v>
      </c>
      <c r="BG296" s="347">
        <f>+'[155]VENTAS TOTALES'!$F85</f>
        <v>491000</v>
      </c>
      <c r="BH296" s="346">
        <f>+'[156]VENTAS TOTALES'!$D85</f>
        <v>0</v>
      </c>
      <c r="BI296" s="347">
        <f>+'[156]VENTAS TOTALES'!$E85</f>
        <v>135000</v>
      </c>
      <c r="BJ296" s="347">
        <f>+'[156]VENTAS TOTALES'!$F85</f>
        <v>135000</v>
      </c>
      <c r="BK296" s="346">
        <f>+'[157]VENTAS TOTALES'!$D85</f>
        <v>0</v>
      </c>
      <c r="BL296" s="347">
        <f>+'[157]VENTAS TOTALES'!$E85</f>
        <v>1693000</v>
      </c>
      <c r="BM296" s="347">
        <f>+'[157]VENTAS TOTALES'!$F85</f>
        <v>1693000</v>
      </c>
      <c r="BN296" s="346">
        <f>+'[158]VENTAS TOTALES'!$D85</f>
        <v>0</v>
      </c>
      <c r="BO296" s="347">
        <f>+'[158]VENTAS TOTALES'!$E85</f>
        <v>1347000</v>
      </c>
      <c r="BP296" s="347">
        <f>+'[158]VENTAS TOTALES'!$F85</f>
        <v>1347000</v>
      </c>
      <c r="BQ296" s="346">
        <f>+'[159]VENTAS TOTALES'!$D85</f>
        <v>0</v>
      </c>
      <c r="BR296" s="347">
        <f>+'[159]VENTAS TOTALES'!$E85</f>
        <v>1316000</v>
      </c>
      <c r="BS296" s="347">
        <f>+'[159]VENTAS TOTALES'!$F85</f>
        <v>1316000</v>
      </c>
      <c r="BT296" s="346">
        <f>+'[160]VENTAS TOTALES'!$D85</f>
        <v>0</v>
      </c>
      <c r="BU296" s="347">
        <f>+'[160]VENTAS TOTALES'!$E85</f>
        <v>1071000</v>
      </c>
      <c r="BV296" s="347">
        <f>+'[160]VENTAS TOTALES'!$F85</f>
        <v>1071000</v>
      </c>
      <c r="BW296" s="346">
        <f>+'[161]VENTAS TOTALES'!$D85</f>
        <v>0</v>
      </c>
      <c r="BX296" s="347">
        <f>+'[161]VENTAS TOTALES'!$E85</f>
        <v>1192000</v>
      </c>
      <c r="BY296" s="347">
        <f>+'[161]VENTAS TOTALES'!$F85</f>
        <v>1192000</v>
      </c>
      <c r="BZ296" s="346">
        <f>+'[162]VENTAS TOTALES'!$D85</f>
        <v>0</v>
      </c>
      <c r="CA296" s="347">
        <f>+'[162]VENTAS TOTALES'!$E85</f>
        <v>1159000</v>
      </c>
      <c r="CB296" s="347">
        <f>+'[162]VENTAS TOTALES'!$F85</f>
        <v>1159000</v>
      </c>
      <c r="CC296" s="346">
        <f>+'[163]VENTAS TOTALES'!$D85</f>
        <v>0</v>
      </c>
      <c r="CD296" s="347">
        <f>+'[163]VENTAS TOTALES'!$E85</f>
        <v>145000</v>
      </c>
      <c r="CE296" s="347">
        <f>+'[163]VENTAS TOTALES'!$F85</f>
        <v>145000</v>
      </c>
      <c r="CF296" s="346">
        <f>+'[164]VENTAS TOTALES'!$D85</f>
        <v>0</v>
      </c>
      <c r="CG296" s="347">
        <f>+'[164]VENTAS TOTALES'!$E85</f>
        <v>2110000</v>
      </c>
      <c r="CH296" s="347">
        <f>+'[164]VENTAS TOTALES'!$F85</f>
        <v>2110000</v>
      </c>
      <c r="CI296" s="346">
        <f>+'[165]VENTAS TOTALES'!$D85</f>
        <v>0</v>
      </c>
      <c r="CJ296" s="347">
        <f>+'[165]VENTAS TOTALES'!$E85</f>
        <v>2086000</v>
      </c>
      <c r="CK296" s="347">
        <f>+'[165]VENTAS TOTALES'!$F85</f>
        <v>2086000</v>
      </c>
      <c r="CL296" s="346">
        <f>+'[166]VENTAS TOTALES'!$D85</f>
        <v>0</v>
      </c>
      <c r="CM296" s="347">
        <f>+'[166]VENTAS TOTALES'!$E85</f>
        <v>1707000</v>
      </c>
      <c r="CN296" s="347">
        <f>+'[166]VENTAS TOTALES'!$F85</f>
        <v>1707000</v>
      </c>
      <c r="CO296" s="346">
        <f>+'[167]VENTAS TOTALES'!$D85</f>
        <v>0</v>
      </c>
      <c r="CP296" s="347">
        <f>+'[167]VENTAS TOTALES'!$E85</f>
        <v>1227000</v>
      </c>
      <c r="CQ296" s="347">
        <f>+'[167]VENTAS TOTALES'!$F85</f>
        <v>1227000</v>
      </c>
      <c r="CR296" s="346">
        <f>+'[168]VENTAS TOTALES'!$D85</f>
        <v>0</v>
      </c>
      <c r="CS296" s="347">
        <f>+'[168]VENTAS TOTALES'!$E85</f>
        <v>1243000</v>
      </c>
      <c r="CT296" s="347">
        <f>+'[168]VENTAS TOTALES'!$F85</f>
        <v>1243000</v>
      </c>
      <c r="CU296" s="346">
        <f>+'[169]VENTAS TOTALES'!$D85</f>
        <v>0</v>
      </c>
      <c r="CV296" s="347">
        <f>+'[169]VENTAS TOTALES'!$E85</f>
        <v>481000</v>
      </c>
      <c r="CW296" s="347">
        <f>+'[169]VENTAS TOTALES'!$F85</f>
        <v>481000</v>
      </c>
      <c r="CX296" s="346">
        <f>+'[170]VENTAS TOTALES'!$D85</f>
        <v>0</v>
      </c>
      <c r="CY296" s="347">
        <f>+'[170]VENTAS TOTALES'!$E85</f>
        <v>301000</v>
      </c>
      <c r="CZ296" s="347">
        <f>+'[170]VENTAS TOTALES'!$F85</f>
        <v>301000</v>
      </c>
    </row>
    <row r="297" spans="1:104" s="8" customFormat="1" x14ac:dyDescent="0.2">
      <c r="A297" s="475"/>
      <c r="B297" s="370" t="s">
        <v>360</v>
      </c>
      <c r="C297" s="346">
        <f>+'[137]VENTAS TOTALES'!$D74</f>
        <v>0</v>
      </c>
      <c r="D297" s="347">
        <f>+'[137]VENTAS TOTALES'!$E74</f>
        <v>1946000</v>
      </c>
      <c r="E297" s="347">
        <f>+'[137]VENTAS TOTALES'!$F74</f>
        <v>1946000</v>
      </c>
      <c r="F297" s="346">
        <f>+'[138]VENTAS TOTALES'!$D74</f>
        <v>0</v>
      </c>
      <c r="G297" s="347">
        <f>+'[138]VENTAS TOTALES'!$E74</f>
        <v>1416000</v>
      </c>
      <c r="H297" s="347">
        <f>+'[138]VENTAS TOTALES'!$F74</f>
        <v>1416000</v>
      </c>
      <c r="I297" s="346">
        <f>+'[139]VENTAS TOTALES'!$D74</f>
        <v>0</v>
      </c>
      <c r="J297" s="347">
        <f>+'[139]VENTAS TOTALES'!$E74</f>
        <v>973000</v>
      </c>
      <c r="K297" s="347">
        <f>+'[139]VENTAS TOTALES'!$F74</f>
        <v>973000</v>
      </c>
      <c r="L297" s="346">
        <f>+'[140]VENTAS TOTALES'!$D74</f>
        <v>0</v>
      </c>
      <c r="M297" s="347">
        <f>+'[140]VENTAS TOTALES'!$E74</f>
        <v>953000</v>
      </c>
      <c r="N297" s="347">
        <f>+'[140]VENTAS TOTALES'!$F74</f>
        <v>953000</v>
      </c>
      <c r="O297" s="346">
        <f>+'[141]VENTAS TOTALES'!$D74</f>
        <v>0</v>
      </c>
      <c r="P297" s="347">
        <f>+'[141]VENTAS TOTALES'!$E74</f>
        <v>653000</v>
      </c>
      <c r="Q297" s="347">
        <f>+'[141]VENTAS TOTALES'!$F74</f>
        <v>653000</v>
      </c>
      <c r="R297" s="346">
        <f>+'[142]VENTAS TOTALES'!$D74</f>
        <v>0</v>
      </c>
      <c r="S297" s="347">
        <f>+'[142]VENTAS TOTALES'!$E74</f>
        <v>339000</v>
      </c>
      <c r="T297" s="347">
        <f>+'[142]VENTAS TOTALES'!$F74</f>
        <v>339000</v>
      </c>
      <c r="U297" s="346">
        <f>+'[143]VENTAS TOTALES'!$D74</f>
        <v>0</v>
      </c>
      <c r="V297" s="347">
        <f>+'[143]VENTAS TOTALES'!$E74</f>
        <v>1591000</v>
      </c>
      <c r="W297" s="347">
        <f>+'[143]VENTAS TOTALES'!$F74</f>
        <v>1591000</v>
      </c>
      <c r="X297" s="346">
        <f>+'[144]VENTAS TOTALES'!$D74</f>
        <v>0</v>
      </c>
      <c r="Y297" s="347">
        <f>+'[144]VENTAS TOTALES'!$E74</f>
        <v>1307000</v>
      </c>
      <c r="Z297" s="347">
        <f>+'[144]VENTAS TOTALES'!$F74</f>
        <v>1307000</v>
      </c>
      <c r="AA297" s="346">
        <f>+'[145]VENTAS TOTALES'!$D74</f>
        <v>0</v>
      </c>
      <c r="AB297" s="347">
        <f>+'[145]VENTAS TOTALES'!$E74</f>
        <v>987000</v>
      </c>
      <c r="AC297" s="347">
        <f>+'[145]VENTAS TOTALES'!$F74</f>
        <v>987000</v>
      </c>
      <c r="AD297" s="346">
        <f>+'[146]VENTAS TOTALES'!$D74</f>
        <v>0</v>
      </c>
      <c r="AE297" s="347">
        <f>+'[146]VENTAS TOTALES'!$E74</f>
        <v>1216000</v>
      </c>
      <c r="AF297" s="347">
        <f>+'[146]VENTAS TOTALES'!$F74</f>
        <v>1216000</v>
      </c>
      <c r="AG297" s="346">
        <f>+'[147]VENTAS TOTALES'!$D74</f>
        <v>0</v>
      </c>
      <c r="AH297" s="347">
        <f>+'[147]VENTAS TOTALES'!$E74</f>
        <v>1065000</v>
      </c>
      <c r="AI297" s="347">
        <f>+'[147]VENTAS TOTALES'!$F74</f>
        <v>1065000</v>
      </c>
      <c r="AJ297" s="346">
        <f>+'[148]VENTAS TOTALES'!$D74</f>
        <v>0</v>
      </c>
      <c r="AK297" s="347">
        <f>+'[148]VENTAS TOTALES'!$E74</f>
        <v>820000</v>
      </c>
      <c r="AL297" s="347">
        <f>+'[148]VENTAS TOTALES'!$F74</f>
        <v>820000</v>
      </c>
      <c r="AM297" s="346">
        <f>+'[149]VENTAS TOTALES'!$D74</f>
        <v>0</v>
      </c>
      <c r="AN297" s="347">
        <f>+'[149]VENTAS TOTALES'!$E74</f>
        <v>263000</v>
      </c>
      <c r="AO297" s="347">
        <f>+'[149]VENTAS TOTALES'!$F74</f>
        <v>263000</v>
      </c>
      <c r="AP297" s="346">
        <f>+'[150]VENTAS TOTALES'!$D74</f>
        <v>0</v>
      </c>
      <c r="AQ297" s="347">
        <f>+'[150]VENTAS TOTALES'!$E74</f>
        <v>1457000</v>
      </c>
      <c r="AR297" s="347">
        <f>+'[150]VENTAS TOTALES'!$F74</f>
        <v>1457000</v>
      </c>
      <c r="AS297" s="346">
        <f>+'[151]VENTAS TOTALES'!$D74</f>
        <v>0</v>
      </c>
      <c r="AT297" s="347">
        <f>+'[151]VENTAS TOTALES'!$E74</f>
        <v>534000</v>
      </c>
      <c r="AU297" s="347">
        <f>+'[151]VENTAS TOTALES'!$F74</f>
        <v>534000</v>
      </c>
      <c r="AV297" s="346">
        <f>+'[152]VENTAS TOTALES'!$D74</f>
        <v>0</v>
      </c>
      <c r="AW297" s="347">
        <f>+'[152]VENTAS TOTALES'!$E74</f>
        <v>956000</v>
      </c>
      <c r="AX297" s="347">
        <f>+'[152]VENTAS TOTALES'!$F74</f>
        <v>956000</v>
      </c>
      <c r="AY297" s="346">
        <f>+'[153]VENTAS TOTALES'!$D74</f>
        <v>0</v>
      </c>
      <c r="AZ297" s="347">
        <f>+'[153]VENTAS TOTALES'!$E74</f>
        <v>820000</v>
      </c>
      <c r="BA297" s="347">
        <f>+'[153]VENTAS TOTALES'!$F74</f>
        <v>820000</v>
      </c>
      <c r="BB297" s="346">
        <f>+'[154]VENTAS TOTALES'!$D74</f>
        <v>0</v>
      </c>
      <c r="BC297" s="347">
        <f>+'[154]VENTAS TOTALES'!$E74</f>
        <v>1016000</v>
      </c>
      <c r="BD297" s="347">
        <f>+'[154]VENTAS TOTALES'!$F74</f>
        <v>1016000</v>
      </c>
      <c r="BE297" s="346">
        <f>+'[155]VENTAS TOTALES'!$D74</f>
        <v>0</v>
      </c>
      <c r="BF297" s="347">
        <f>+'[155]VENTAS TOTALES'!$E74</f>
        <v>757000</v>
      </c>
      <c r="BG297" s="347">
        <f>+'[155]VENTAS TOTALES'!$F74</f>
        <v>757000</v>
      </c>
      <c r="BH297" s="346">
        <f>+'[156]VENTAS TOTALES'!$D74</f>
        <v>0</v>
      </c>
      <c r="BI297" s="347">
        <f>+'[156]VENTAS TOTALES'!$E74</f>
        <v>302000</v>
      </c>
      <c r="BJ297" s="347">
        <f>+'[156]VENTAS TOTALES'!$F74</f>
        <v>302000</v>
      </c>
      <c r="BK297" s="346">
        <f>+'[157]VENTAS TOTALES'!$D74</f>
        <v>0</v>
      </c>
      <c r="BL297" s="347">
        <f>+'[157]VENTAS TOTALES'!$E74</f>
        <v>2090000</v>
      </c>
      <c r="BM297" s="347">
        <f>+'[157]VENTAS TOTALES'!$F74</f>
        <v>2090000</v>
      </c>
      <c r="BN297" s="346">
        <f>+'[158]VENTAS TOTALES'!$D74</f>
        <v>0</v>
      </c>
      <c r="BO297" s="347">
        <f>+'[158]VENTAS TOTALES'!$E74</f>
        <v>1364000</v>
      </c>
      <c r="BP297" s="347">
        <f>+'[158]VENTAS TOTALES'!$F74</f>
        <v>1364000</v>
      </c>
      <c r="BQ297" s="346">
        <f>+'[159]VENTAS TOTALES'!$D74</f>
        <v>0</v>
      </c>
      <c r="BR297" s="347">
        <f>+'[159]VENTAS TOTALES'!$E74</f>
        <v>1158000</v>
      </c>
      <c r="BS297" s="347">
        <f>+'[159]VENTAS TOTALES'!$F74</f>
        <v>1158000</v>
      </c>
      <c r="BT297" s="346">
        <f>+'[160]VENTAS TOTALES'!$D74</f>
        <v>0</v>
      </c>
      <c r="BU297" s="347">
        <f>+'[160]VENTAS TOTALES'!$E74</f>
        <v>1219000</v>
      </c>
      <c r="BV297" s="347">
        <f>+'[160]VENTAS TOTALES'!$F74</f>
        <v>1219000</v>
      </c>
      <c r="BW297" s="346">
        <f>+'[161]VENTAS TOTALES'!$D74</f>
        <v>0</v>
      </c>
      <c r="BX297" s="347">
        <f>+'[161]VENTAS TOTALES'!$E74</f>
        <v>1128000</v>
      </c>
      <c r="BY297" s="347">
        <f>+'[161]VENTAS TOTALES'!$F74</f>
        <v>1128000</v>
      </c>
      <c r="BZ297" s="346">
        <f>+'[162]VENTAS TOTALES'!$D74</f>
        <v>0</v>
      </c>
      <c r="CA297" s="347">
        <f>+'[162]VENTAS TOTALES'!$E74</f>
        <v>1154000</v>
      </c>
      <c r="CB297" s="347">
        <f>+'[162]VENTAS TOTALES'!$F74</f>
        <v>1154000</v>
      </c>
      <c r="CC297" s="346">
        <f>+'[163]VENTAS TOTALES'!$D74</f>
        <v>0</v>
      </c>
      <c r="CD297" s="347">
        <f>+'[163]VENTAS TOTALES'!$E74</f>
        <v>305000</v>
      </c>
      <c r="CE297" s="347">
        <f>+'[163]VENTAS TOTALES'!$F74</f>
        <v>305000</v>
      </c>
      <c r="CF297" s="346">
        <f>+'[164]VENTAS TOTALES'!$D74</f>
        <v>0</v>
      </c>
      <c r="CG297" s="347">
        <f>+'[164]VENTAS TOTALES'!$E74</f>
        <v>2218000</v>
      </c>
      <c r="CH297" s="347">
        <f>+'[164]VENTAS TOTALES'!$F74</f>
        <v>2218000</v>
      </c>
      <c r="CI297" s="346">
        <f>+'[165]VENTAS TOTALES'!$D74</f>
        <v>0</v>
      </c>
      <c r="CJ297" s="347">
        <f>+'[165]VENTAS TOTALES'!$E74</f>
        <v>1530000</v>
      </c>
      <c r="CK297" s="347">
        <f>+'[165]VENTAS TOTALES'!$F74</f>
        <v>1530000</v>
      </c>
      <c r="CL297" s="346">
        <f>+'[166]VENTAS TOTALES'!$D74</f>
        <v>0</v>
      </c>
      <c r="CM297" s="347">
        <f>+'[166]VENTAS TOTALES'!$E74</f>
        <v>1442000</v>
      </c>
      <c r="CN297" s="347">
        <f>+'[166]VENTAS TOTALES'!$F74</f>
        <v>1442000</v>
      </c>
      <c r="CO297" s="346">
        <f>+'[167]VENTAS TOTALES'!$D74</f>
        <v>0</v>
      </c>
      <c r="CP297" s="347">
        <f>+'[167]VENTAS TOTALES'!$E74</f>
        <v>1286000</v>
      </c>
      <c r="CQ297" s="347">
        <f>+'[167]VENTAS TOTALES'!$F74</f>
        <v>1286000</v>
      </c>
      <c r="CR297" s="346">
        <f>+'[168]VENTAS TOTALES'!$D74</f>
        <v>0</v>
      </c>
      <c r="CS297" s="347">
        <f>+'[168]VENTAS TOTALES'!$E74</f>
        <v>344000</v>
      </c>
      <c r="CT297" s="347">
        <f>+'[168]VENTAS TOTALES'!$F74</f>
        <v>344000</v>
      </c>
      <c r="CU297" s="346">
        <f>+'[169]VENTAS TOTALES'!$D74</f>
        <v>0</v>
      </c>
      <c r="CV297" s="347">
        <f>+'[169]VENTAS TOTALES'!$E74</f>
        <v>1325000</v>
      </c>
      <c r="CW297" s="347">
        <f>+'[169]VENTAS TOTALES'!$F74</f>
        <v>1325000</v>
      </c>
      <c r="CX297" s="346">
        <f>+'[170]VENTAS TOTALES'!$D74</f>
        <v>0</v>
      </c>
      <c r="CY297" s="347">
        <f>+'[170]VENTAS TOTALES'!$E74</f>
        <v>43000</v>
      </c>
      <c r="CZ297" s="347">
        <f>+'[170]VENTAS TOTALES'!$F74</f>
        <v>43000</v>
      </c>
    </row>
    <row r="298" spans="1:104" s="8" customFormat="1" x14ac:dyDescent="0.2">
      <c r="A298" s="475"/>
      <c r="B298" s="370" t="s">
        <v>382</v>
      </c>
      <c r="C298" s="346">
        <f>+'[137]VENTAS TOTALES'!$D75</f>
        <v>0</v>
      </c>
      <c r="D298" s="347">
        <f>+'[137]VENTAS TOTALES'!$E75</f>
        <v>1508000</v>
      </c>
      <c r="E298" s="347">
        <f>+'[137]VENTAS TOTALES'!$F75</f>
        <v>1508000</v>
      </c>
      <c r="F298" s="346">
        <f>+'[138]VENTAS TOTALES'!$D75</f>
        <v>0</v>
      </c>
      <c r="G298" s="347">
        <f>+'[138]VENTAS TOTALES'!$E75</f>
        <v>1120000</v>
      </c>
      <c r="H298" s="347">
        <f>+'[138]VENTAS TOTALES'!$F75</f>
        <v>1120000</v>
      </c>
      <c r="I298" s="346">
        <f>+'[139]VENTAS TOTALES'!$D75</f>
        <v>0</v>
      </c>
      <c r="J298" s="347">
        <f>+'[139]VENTAS TOTALES'!$E75</f>
        <v>437000</v>
      </c>
      <c r="K298" s="347">
        <f>+'[139]VENTAS TOTALES'!$F75</f>
        <v>437000</v>
      </c>
      <c r="L298" s="346">
        <f>+'[140]VENTAS TOTALES'!$D75</f>
        <v>0</v>
      </c>
      <c r="M298" s="347">
        <f>+'[140]VENTAS TOTALES'!$E75</f>
        <v>679000</v>
      </c>
      <c r="N298" s="347">
        <f>+'[140]VENTAS TOTALES'!$F75</f>
        <v>679000</v>
      </c>
      <c r="O298" s="346">
        <f>+'[141]VENTAS TOTALES'!$D75</f>
        <v>0</v>
      </c>
      <c r="P298" s="347">
        <f>+'[141]VENTAS TOTALES'!$E75</f>
        <v>95000</v>
      </c>
      <c r="Q298" s="347">
        <f>+'[141]VENTAS TOTALES'!$F75</f>
        <v>95000</v>
      </c>
      <c r="R298" s="346">
        <f>+'[142]VENTAS TOTALES'!$D75</f>
        <v>0</v>
      </c>
      <c r="S298" s="347">
        <f>+'[142]VENTAS TOTALES'!$E75</f>
        <v>30000</v>
      </c>
      <c r="T298" s="347">
        <f>+'[142]VENTAS TOTALES'!$F75</f>
        <v>30000</v>
      </c>
      <c r="U298" s="346">
        <f>+'[143]VENTAS TOTALES'!$D75</f>
        <v>0</v>
      </c>
      <c r="V298" s="347">
        <f>+'[143]VENTAS TOTALES'!$E75</f>
        <v>1693000</v>
      </c>
      <c r="W298" s="347">
        <f>+'[143]VENTAS TOTALES'!$F75</f>
        <v>1693000</v>
      </c>
      <c r="X298" s="346">
        <f>+'[144]VENTAS TOTALES'!$D75</f>
        <v>0</v>
      </c>
      <c r="Y298" s="347">
        <f>+'[144]VENTAS TOTALES'!$E75</f>
        <v>1089000</v>
      </c>
      <c r="Z298" s="347">
        <f>+'[144]VENTAS TOTALES'!$F75</f>
        <v>1089000</v>
      </c>
      <c r="AA298" s="346">
        <f>+'[145]VENTAS TOTALES'!$D75</f>
        <v>0</v>
      </c>
      <c r="AB298" s="347">
        <f>+'[145]VENTAS TOTALES'!$E75</f>
        <v>426000</v>
      </c>
      <c r="AC298" s="347">
        <f>+'[145]VENTAS TOTALES'!$F75</f>
        <v>426000</v>
      </c>
      <c r="AD298" s="346">
        <f>+'[146]VENTAS TOTALES'!$D75</f>
        <v>0</v>
      </c>
      <c r="AE298" s="347">
        <f>+'[146]VENTAS TOTALES'!$E75</f>
        <v>848000</v>
      </c>
      <c r="AF298" s="347">
        <f>+'[146]VENTAS TOTALES'!$F75</f>
        <v>848000</v>
      </c>
      <c r="AG298" s="346">
        <f>+'[147]VENTAS TOTALES'!$D75</f>
        <v>0</v>
      </c>
      <c r="AH298" s="347">
        <f>+'[147]VENTAS TOTALES'!$E75</f>
        <v>803000</v>
      </c>
      <c r="AI298" s="347">
        <f>+'[147]VENTAS TOTALES'!$F75</f>
        <v>803000</v>
      </c>
      <c r="AJ298" s="346">
        <f>+'[148]VENTAS TOTALES'!$D75</f>
        <v>0</v>
      </c>
      <c r="AK298" s="347">
        <f>+'[148]VENTAS TOTALES'!$E75</f>
        <v>390000</v>
      </c>
      <c r="AL298" s="347">
        <f>+'[148]VENTAS TOTALES'!$F75</f>
        <v>390000</v>
      </c>
      <c r="AM298" s="346">
        <f>+'[149]VENTAS TOTALES'!$D75</f>
        <v>0</v>
      </c>
      <c r="AN298" s="347">
        <f>+'[149]VENTAS TOTALES'!$E75</f>
        <v>57000</v>
      </c>
      <c r="AO298" s="347">
        <f>+'[149]VENTAS TOTALES'!$F75</f>
        <v>57000</v>
      </c>
      <c r="AP298" s="346">
        <f>+'[150]VENTAS TOTALES'!$D75</f>
        <v>0</v>
      </c>
      <c r="AQ298" s="347">
        <f>+'[150]VENTAS TOTALES'!$E75</f>
        <v>1648000</v>
      </c>
      <c r="AR298" s="347">
        <f>+'[150]VENTAS TOTALES'!$F75</f>
        <v>1648000</v>
      </c>
      <c r="AS298" s="346">
        <f>+'[151]VENTAS TOTALES'!$D75</f>
        <v>0</v>
      </c>
      <c r="AT298" s="347">
        <f>+'[151]VENTAS TOTALES'!$E75</f>
        <v>1516000</v>
      </c>
      <c r="AU298" s="347">
        <f>+'[151]VENTAS TOTALES'!$F75</f>
        <v>1516000</v>
      </c>
      <c r="AV298" s="346">
        <f>+'[152]VENTAS TOTALES'!$D75</f>
        <v>0</v>
      </c>
      <c r="AW298" s="347">
        <f>+'[152]VENTAS TOTALES'!$E75</f>
        <v>1425000</v>
      </c>
      <c r="AX298" s="347">
        <f>+'[152]VENTAS TOTALES'!$F75</f>
        <v>1425000</v>
      </c>
      <c r="AY298" s="346">
        <f>+'[153]VENTAS TOTALES'!$D75</f>
        <v>0</v>
      </c>
      <c r="AZ298" s="347">
        <f>+'[153]VENTAS TOTALES'!$E75</f>
        <v>827000</v>
      </c>
      <c r="BA298" s="347">
        <f>+'[153]VENTAS TOTALES'!$F75</f>
        <v>827000</v>
      </c>
      <c r="BB298" s="346">
        <f>+'[154]VENTAS TOTALES'!$D75</f>
        <v>0</v>
      </c>
      <c r="BC298" s="347">
        <f>+'[154]VENTAS TOTALES'!$E75</f>
        <v>325000</v>
      </c>
      <c r="BD298" s="347">
        <f>+'[154]VENTAS TOTALES'!$F75</f>
        <v>325000</v>
      </c>
      <c r="BE298" s="346">
        <f>+'[155]VENTAS TOTALES'!$D75</f>
        <v>0</v>
      </c>
      <c r="BF298" s="347">
        <f>+'[155]VENTAS TOTALES'!$E75</f>
        <v>406000</v>
      </c>
      <c r="BG298" s="347">
        <f>+'[155]VENTAS TOTALES'!$F75</f>
        <v>406000</v>
      </c>
      <c r="BH298" s="346">
        <f>+'[156]VENTAS TOTALES'!$D75</f>
        <v>0</v>
      </c>
      <c r="BI298" s="347">
        <f>+'[156]VENTAS TOTALES'!$E75</f>
        <v>54000</v>
      </c>
      <c r="BJ298" s="347">
        <f>+'[156]VENTAS TOTALES'!$F75</f>
        <v>54000</v>
      </c>
      <c r="BK298" s="346">
        <f>+'[157]VENTAS TOTALES'!$D75</f>
        <v>0</v>
      </c>
      <c r="BL298" s="347">
        <f>+'[157]VENTAS TOTALES'!$E75</f>
        <v>1710000</v>
      </c>
      <c r="BM298" s="347">
        <f>+'[157]VENTAS TOTALES'!$F75</f>
        <v>1710000</v>
      </c>
      <c r="BN298" s="346">
        <f>+'[158]VENTAS TOTALES'!$D75</f>
        <v>0</v>
      </c>
      <c r="BO298" s="347">
        <f>+'[158]VENTAS TOTALES'!$E75</f>
        <v>902000</v>
      </c>
      <c r="BP298" s="347">
        <f>+'[158]VENTAS TOTALES'!$F75</f>
        <v>902000</v>
      </c>
      <c r="BQ298" s="346">
        <f>+'[159]VENTAS TOTALES'!$D75</f>
        <v>0</v>
      </c>
      <c r="BR298" s="347">
        <f>+'[159]VENTAS TOTALES'!$E75</f>
        <v>815000</v>
      </c>
      <c r="BS298" s="347">
        <f>+'[159]VENTAS TOTALES'!$F75</f>
        <v>815000</v>
      </c>
      <c r="BT298" s="346">
        <f>+'[160]VENTAS TOTALES'!$D75</f>
        <v>0</v>
      </c>
      <c r="BU298" s="347">
        <f>+'[160]VENTAS TOTALES'!$E75</f>
        <v>729000</v>
      </c>
      <c r="BV298" s="347">
        <f>+'[160]VENTAS TOTALES'!$F75</f>
        <v>729000</v>
      </c>
      <c r="BW298" s="346">
        <f>+'[161]VENTAS TOTALES'!$D75</f>
        <v>0</v>
      </c>
      <c r="BX298" s="347">
        <f>+'[161]VENTAS TOTALES'!$E75</f>
        <v>841000</v>
      </c>
      <c r="BY298" s="347">
        <f>+'[161]VENTAS TOTALES'!$F75</f>
        <v>841000</v>
      </c>
      <c r="BZ298" s="346">
        <f>+'[162]VENTAS TOTALES'!$D75</f>
        <v>0</v>
      </c>
      <c r="CA298" s="347">
        <f>+'[162]VENTAS TOTALES'!$E75</f>
        <v>382000</v>
      </c>
      <c r="CB298" s="347">
        <f>+'[162]VENTAS TOTALES'!$F75</f>
        <v>382000</v>
      </c>
      <c r="CC298" s="346">
        <f>+'[163]VENTAS TOTALES'!$D75</f>
        <v>0</v>
      </c>
      <c r="CD298" s="347">
        <f>+'[163]VENTAS TOTALES'!$E75</f>
        <v>75000</v>
      </c>
      <c r="CE298" s="347">
        <f>+'[163]VENTAS TOTALES'!$F75</f>
        <v>75000</v>
      </c>
      <c r="CF298" s="346">
        <f>+'[164]VENTAS TOTALES'!$D75</f>
        <v>0</v>
      </c>
      <c r="CG298" s="347">
        <f>+'[164]VENTAS TOTALES'!$E75</f>
        <v>1544000</v>
      </c>
      <c r="CH298" s="347">
        <f>+'[164]VENTAS TOTALES'!$F75</f>
        <v>1544000</v>
      </c>
      <c r="CI298" s="346">
        <f>+'[165]VENTAS TOTALES'!$D75</f>
        <v>0</v>
      </c>
      <c r="CJ298" s="347">
        <f>+'[165]VENTAS TOTALES'!$E75</f>
        <v>1194000</v>
      </c>
      <c r="CK298" s="347">
        <f>+'[165]VENTAS TOTALES'!$F75</f>
        <v>1194000</v>
      </c>
      <c r="CL298" s="346">
        <f>+'[166]VENTAS TOTALES'!$D75</f>
        <v>0</v>
      </c>
      <c r="CM298" s="347">
        <f>+'[166]VENTAS TOTALES'!$E75</f>
        <v>1298000</v>
      </c>
      <c r="CN298" s="347">
        <f>+'[166]VENTAS TOTALES'!$F75</f>
        <v>1298000</v>
      </c>
      <c r="CO298" s="346">
        <f>+'[167]VENTAS TOTALES'!$D75</f>
        <v>0</v>
      </c>
      <c r="CP298" s="347">
        <f>+'[167]VENTAS TOTALES'!$E75</f>
        <v>876000</v>
      </c>
      <c r="CQ298" s="347">
        <f>+'[167]VENTAS TOTALES'!$F75</f>
        <v>876000</v>
      </c>
      <c r="CR298" s="346">
        <f>+'[168]VENTAS TOTALES'!$D75</f>
        <v>0</v>
      </c>
      <c r="CS298" s="347">
        <f>+'[168]VENTAS TOTALES'!$E75</f>
        <v>732000</v>
      </c>
      <c r="CT298" s="347">
        <f>+'[168]VENTAS TOTALES'!$F75</f>
        <v>732000</v>
      </c>
      <c r="CU298" s="346">
        <f>+'[169]VENTAS TOTALES'!$D75</f>
        <v>0</v>
      </c>
      <c r="CV298" s="347">
        <f>+'[169]VENTAS TOTALES'!$E75</f>
        <v>455000</v>
      </c>
      <c r="CW298" s="347">
        <f>+'[169]VENTAS TOTALES'!$F75</f>
        <v>455000</v>
      </c>
      <c r="CX298" s="346">
        <f>+'[170]VENTAS TOTALES'!$D75</f>
        <v>0</v>
      </c>
      <c r="CY298" s="347">
        <f>+'[170]VENTAS TOTALES'!$E75</f>
        <v>77000</v>
      </c>
      <c r="CZ298" s="347">
        <f>+'[170]VENTAS TOTALES'!$F75</f>
        <v>77000</v>
      </c>
    </row>
    <row r="299" spans="1:104" s="8" customFormat="1" x14ac:dyDescent="0.2">
      <c r="A299" s="475"/>
      <c r="B299" s="370" t="s">
        <v>368</v>
      </c>
      <c r="C299" s="346">
        <f>+'[137]VENTAS TOTALES'!$D76</f>
        <v>0</v>
      </c>
      <c r="D299" s="347">
        <f>+'[137]VENTAS TOTALES'!$E76</f>
        <v>1588000</v>
      </c>
      <c r="E299" s="347">
        <f>+'[137]VENTAS TOTALES'!$F76</f>
        <v>1588000</v>
      </c>
      <c r="F299" s="346">
        <f>+'[138]VENTAS TOTALES'!$D76</f>
        <v>0</v>
      </c>
      <c r="G299" s="347">
        <f>+'[138]VENTAS TOTALES'!$E76</f>
        <v>1231000</v>
      </c>
      <c r="H299" s="347">
        <f>+'[138]VENTAS TOTALES'!$F76</f>
        <v>1231000</v>
      </c>
      <c r="I299" s="346">
        <f>+'[139]VENTAS TOTALES'!$D76</f>
        <v>0</v>
      </c>
      <c r="J299" s="347">
        <f>+'[139]VENTAS TOTALES'!$E76</f>
        <v>829000</v>
      </c>
      <c r="K299" s="347">
        <f>+'[139]VENTAS TOTALES'!$F76</f>
        <v>829000</v>
      </c>
      <c r="L299" s="346">
        <f>+'[140]VENTAS TOTALES'!$D76</f>
        <v>0</v>
      </c>
      <c r="M299" s="347">
        <f>+'[140]VENTAS TOTALES'!$E76</f>
        <v>865000</v>
      </c>
      <c r="N299" s="347">
        <f>+'[140]VENTAS TOTALES'!$F76</f>
        <v>865000</v>
      </c>
      <c r="O299" s="346">
        <f>+'[141]VENTAS TOTALES'!$D76</f>
        <v>0</v>
      </c>
      <c r="P299" s="347">
        <f>+'[141]VENTAS TOTALES'!$E76</f>
        <v>232000</v>
      </c>
      <c r="Q299" s="347">
        <f>+'[141]VENTAS TOTALES'!$F76</f>
        <v>232000</v>
      </c>
      <c r="R299" s="346">
        <f>+'[142]VENTAS TOTALES'!$D76</f>
        <v>0</v>
      </c>
      <c r="S299" s="347">
        <f>+'[142]VENTAS TOTALES'!$E76</f>
        <v>245000</v>
      </c>
      <c r="T299" s="347">
        <f>+'[142]VENTAS TOTALES'!$F76</f>
        <v>245000</v>
      </c>
      <c r="U299" s="346">
        <f>+'[143]VENTAS TOTALES'!$D76</f>
        <v>0</v>
      </c>
      <c r="V299" s="347">
        <f>+'[143]VENTAS TOTALES'!$E76</f>
        <v>1718000</v>
      </c>
      <c r="W299" s="347">
        <f>+'[143]VENTAS TOTALES'!$F76</f>
        <v>1718000</v>
      </c>
      <c r="X299" s="346">
        <f>+'[144]VENTAS TOTALES'!$D76</f>
        <v>0</v>
      </c>
      <c r="Y299" s="347">
        <f>+'[144]VENTAS TOTALES'!$E76</f>
        <v>672000</v>
      </c>
      <c r="Z299" s="347">
        <f>+'[144]VENTAS TOTALES'!$F76</f>
        <v>672000</v>
      </c>
      <c r="AA299" s="346">
        <f>+'[145]VENTAS TOTALES'!$D76</f>
        <v>0</v>
      </c>
      <c r="AB299" s="347">
        <f>+'[145]VENTAS TOTALES'!$E76</f>
        <v>977000</v>
      </c>
      <c r="AC299" s="347">
        <f>+'[145]VENTAS TOTALES'!$F76</f>
        <v>977000</v>
      </c>
      <c r="AD299" s="346">
        <f>+'[146]VENTAS TOTALES'!$D76</f>
        <v>0</v>
      </c>
      <c r="AE299" s="347">
        <f>+'[146]VENTAS TOTALES'!$E76</f>
        <v>952000</v>
      </c>
      <c r="AF299" s="347">
        <f>+'[146]VENTAS TOTALES'!$F76</f>
        <v>952000</v>
      </c>
      <c r="AG299" s="346">
        <f>+'[147]VENTAS TOTALES'!$D76</f>
        <v>0</v>
      </c>
      <c r="AH299" s="347">
        <f>+'[147]VENTAS TOTALES'!$E76</f>
        <v>687000</v>
      </c>
      <c r="AI299" s="347">
        <f>+'[147]VENTAS TOTALES'!$F76</f>
        <v>687000</v>
      </c>
      <c r="AJ299" s="346">
        <f>+'[148]VENTAS TOTALES'!$D76</f>
        <v>0</v>
      </c>
      <c r="AK299" s="347">
        <f>+'[148]VENTAS TOTALES'!$E76</f>
        <v>754000</v>
      </c>
      <c r="AL299" s="347">
        <f>+'[148]VENTAS TOTALES'!$F76</f>
        <v>754000</v>
      </c>
      <c r="AM299" s="346">
        <f>+'[149]VENTAS TOTALES'!$D76</f>
        <v>0</v>
      </c>
      <c r="AN299" s="347">
        <f>+'[149]VENTAS TOTALES'!$E76</f>
        <v>200000</v>
      </c>
      <c r="AO299" s="347">
        <f>+'[149]VENTAS TOTALES'!$F76</f>
        <v>200000</v>
      </c>
      <c r="AP299" s="346">
        <f>+'[150]VENTAS TOTALES'!$D76</f>
        <v>0</v>
      </c>
      <c r="AQ299" s="347">
        <f>+'[150]VENTAS TOTALES'!$E76</f>
        <v>507000</v>
      </c>
      <c r="AR299" s="347">
        <f>+'[150]VENTAS TOTALES'!$F76</f>
        <v>507000</v>
      </c>
      <c r="AS299" s="346">
        <f>+'[151]VENTAS TOTALES'!$D76</f>
        <v>0</v>
      </c>
      <c r="AT299" s="347">
        <f>+'[151]VENTAS TOTALES'!$E76</f>
        <v>229000</v>
      </c>
      <c r="AU299" s="347">
        <f>+'[151]VENTAS TOTALES'!$F76</f>
        <v>229000</v>
      </c>
      <c r="AV299" s="346">
        <f>+'[152]VENTAS TOTALES'!$D76</f>
        <v>0</v>
      </c>
      <c r="AW299" s="347">
        <f>+'[152]VENTAS TOTALES'!$E76</f>
        <v>698000</v>
      </c>
      <c r="AX299" s="347">
        <f>+'[152]VENTAS TOTALES'!$F76</f>
        <v>698000</v>
      </c>
      <c r="AY299" s="346">
        <f>+'[153]VENTAS TOTALES'!$D76</f>
        <v>0</v>
      </c>
      <c r="AZ299" s="347">
        <f>+'[153]VENTAS TOTALES'!$E76</f>
        <v>1000</v>
      </c>
      <c r="BA299" s="347">
        <f>+'[153]VENTAS TOTALES'!$F76</f>
        <v>1000</v>
      </c>
      <c r="BB299" s="346">
        <f>+'[154]VENTAS TOTALES'!$D76</f>
        <v>0</v>
      </c>
      <c r="BC299" s="347">
        <f>+'[154]VENTAS TOTALES'!$E76</f>
        <v>871000</v>
      </c>
      <c r="BD299" s="347">
        <f>+'[154]VENTAS TOTALES'!$F76</f>
        <v>871000</v>
      </c>
      <c r="BE299" s="346">
        <f>+'[155]VENTAS TOTALES'!$D76</f>
        <v>0</v>
      </c>
      <c r="BF299" s="347">
        <f>+'[155]VENTAS TOTALES'!$E76</f>
        <v>0</v>
      </c>
      <c r="BG299" s="347">
        <f>+'[155]VENTAS TOTALES'!$F76</f>
        <v>0</v>
      </c>
      <c r="BH299" s="346">
        <f>+'[156]VENTAS TOTALES'!$D76</f>
        <v>0</v>
      </c>
      <c r="BI299" s="347">
        <f>+'[156]VENTAS TOTALES'!$E76</f>
        <v>158000</v>
      </c>
      <c r="BJ299" s="347">
        <f>+'[156]VENTAS TOTALES'!$F76</f>
        <v>158000</v>
      </c>
      <c r="BK299" s="346">
        <f>+'[157]VENTAS TOTALES'!$D76</f>
        <v>0</v>
      </c>
      <c r="BL299" s="347">
        <f>+'[157]VENTAS TOTALES'!$E76</f>
        <v>447000</v>
      </c>
      <c r="BM299" s="347">
        <f>+'[157]VENTAS TOTALES'!$F76</f>
        <v>447000</v>
      </c>
      <c r="BN299" s="346">
        <f>+'[158]VENTAS TOTALES'!$D76</f>
        <v>0</v>
      </c>
      <c r="BO299" s="347">
        <f>+'[158]VENTAS TOTALES'!$E76</f>
        <v>1004000</v>
      </c>
      <c r="BP299" s="347">
        <f>+'[158]VENTAS TOTALES'!$F76</f>
        <v>1004000</v>
      </c>
      <c r="BQ299" s="346">
        <f>+'[159]VENTAS TOTALES'!$D76</f>
        <v>0</v>
      </c>
      <c r="BR299" s="347">
        <f>+'[159]VENTAS TOTALES'!$E76</f>
        <v>908000</v>
      </c>
      <c r="BS299" s="347">
        <f>+'[159]VENTAS TOTALES'!$F76</f>
        <v>908000</v>
      </c>
      <c r="BT299" s="346">
        <f>+'[160]VENTAS TOTALES'!$D76</f>
        <v>0</v>
      </c>
      <c r="BU299" s="347">
        <f>+'[160]VENTAS TOTALES'!$E76</f>
        <v>926000</v>
      </c>
      <c r="BV299" s="347">
        <f>+'[160]VENTAS TOTALES'!$F76</f>
        <v>926000</v>
      </c>
      <c r="BW299" s="346">
        <f>+'[161]VENTAS TOTALES'!$D76</f>
        <v>0</v>
      </c>
      <c r="BX299" s="347">
        <f>+'[161]VENTAS TOTALES'!$E76</f>
        <v>671000</v>
      </c>
      <c r="BY299" s="347">
        <f>+'[161]VENTAS TOTALES'!$F76</f>
        <v>671000</v>
      </c>
      <c r="BZ299" s="346">
        <f>+'[162]VENTAS TOTALES'!$D76</f>
        <v>0</v>
      </c>
      <c r="CA299" s="347">
        <f>+'[162]VENTAS TOTALES'!$E76</f>
        <v>654000</v>
      </c>
      <c r="CB299" s="347">
        <f>+'[162]VENTAS TOTALES'!$F76</f>
        <v>654000</v>
      </c>
      <c r="CC299" s="346">
        <f>+'[163]VENTAS TOTALES'!$D76</f>
        <v>0</v>
      </c>
      <c r="CD299" s="347">
        <f>+'[163]VENTAS TOTALES'!$E76</f>
        <v>270000</v>
      </c>
      <c r="CE299" s="347">
        <f>+'[163]VENTAS TOTALES'!$F76</f>
        <v>270000</v>
      </c>
      <c r="CF299" s="346">
        <f>+'[164]VENTAS TOTALES'!$D76</f>
        <v>0</v>
      </c>
      <c r="CG299" s="347">
        <f>+'[164]VENTAS TOTALES'!$E76</f>
        <v>1777000</v>
      </c>
      <c r="CH299" s="347">
        <f>+'[164]VENTAS TOTALES'!$F76</f>
        <v>1777000</v>
      </c>
      <c r="CI299" s="346">
        <f>+'[165]VENTAS TOTALES'!$D76</f>
        <v>0</v>
      </c>
      <c r="CJ299" s="347">
        <f>+'[165]VENTAS TOTALES'!$E76</f>
        <v>1431000</v>
      </c>
      <c r="CK299" s="347">
        <f>+'[165]VENTAS TOTALES'!$F76</f>
        <v>1431000</v>
      </c>
      <c r="CL299" s="346">
        <f>+'[166]VENTAS TOTALES'!$D76</f>
        <v>0</v>
      </c>
      <c r="CM299" s="347">
        <f>+'[166]VENTAS TOTALES'!$E76</f>
        <v>1480000</v>
      </c>
      <c r="CN299" s="347">
        <f>+'[166]VENTAS TOTALES'!$F76</f>
        <v>1480000</v>
      </c>
      <c r="CO299" s="346">
        <f>+'[167]VENTAS TOTALES'!$D76</f>
        <v>0</v>
      </c>
      <c r="CP299" s="347">
        <f>+'[167]VENTAS TOTALES'!$E76</f>
        <v>1012000</v>
      </c>
      <c r="CQ299" s="347">
        <f>+'[167]VENTAS TOTALES'!$F76</f>
        <v>1012000</v>
      </c>
      <c r="CR299" s="346">
        <f>+'[168]VENTAS TOTALES'!$D76</f>
        <v>0</v>
      </c>
      <c r="CS299" s="347">
        <f>+'[168]VENTAS TOTALES'!$E76</f>
        <v>875000</v>
      </c>
      <c r="CT299" s="347">
        <f>+'[168]VENTAS TOTALES'!$F76</f>
        <v>875000</v>
      </c>
      <c r="CU299" s="346">
        <f>+'[169]VENTAS TOTALES'!$D76</f>
        <v>0</v>
      </c>
      <c r="CV299" s="347">
        <f>+'[169]VENTAS TOTALES'!$E76</f>
        <v>585000</v>
      </c>
      <c r="CW299" s="347">
        <f>+'[169]VENTAS TOTALES'!$F76</f>
        <v>585000</v>
      </c>
      <c r="CX299" s="346">
        <f>+'[170]VENTAS TOTALES'!$D76</f>
        <v>0</v>
      </c>
      <c r="CY299" s="347">
        <f>+'[170]VENTAS TOTALES'!$E76</f>
        <v>298000</v>
      </c>
      <c r="CZ299" s="347">
        <f>+'[170]VENTAS TOTALES'!$F76</f>
        <v>298000</v>
      </c>
    </row>
    <row r="300" spans="1:104" s="8" customFormat="1" x14ac:dyDescent="0.2">
      <c r="A300" s="475"/>
      <c r="B300" s="370" t="s">
        <v>388</v>
      </c>
      <c r="C300" s="346">
        <f>+'[137]VENTAS TOTALES'!$D77</f>
        <v>0</v>
      </c>
      <c r="D300" s="347">
        <f>+'[137]VENTAS TOTALES'!$E77</f>
        <v>1251000</v>
      </c>
      <c r="E300" s="347">
        <f>+'[137]VENTAS TOTALES'!$F77</f>
        <v>1251000</v>
      </c>
      <c r="F300" s="346">
        <f>+'[138]VENTAS TOTALES'!$D77</f>
        <v>0</v>
      </c>
      <c r="G300" s="347">
        <f>+'[138]VENTAS TOTALES'!$E77</f>
        <v>1208000</v>
      </c>
      <c r="H300" s="347">
        <f>+'[138]VENTAS TOTALES'!$F77</f>
        <v>1208000</v>
      </c>
      <c r="I300" s="346">
        <f>+'[139]VENTAS TOTALES'!$D77</f>
        <v>0</v>
      </c>
      <c r="J300" s="347">
        <f>+'[139]VENTAS TOTALES'!$E77</f>
        <v>853000</v>
      </c>
      <c r="K300" s="347">
        <f>+'[139]VENTAS TOTALES'!$F77</f>
        <v>853000</v>
      </c>
      <c r="L300" s="346">
        <f>+'[140]VENTAS TOTALES'!$D77</f>
        <v>0</v>
      </c>
      <c r="M300" s="347">
        <f>+'[140]VENTAS TOTALES'!$E77</f>
        <v>887000</v>
      </c>
      <c r="N300" s="347">
        <f>+'[140]VENTAS TOTALES'!$F77</f>
        <v>887000</v>
      </c>
      <c r="O300" s="346">
        <f>+'[141]VENTAS TOTALES'!$D77</f>
        <v>0</v>
      </c>
      <c r="P300" s="347">
        <f>+'[141]VENTAS TOTALES'!$E77</f>
        <v>491000</v>
      </c>
      <c r="Q300" s="347">
        <f>+'[141]VENTAS TOTALES'!$F77</f>
        <v>491000</v>
      </c>
      <c r="R300" s="346">
        <f>+'[142]VENTAS TOTALES'!$D77</f>
        <v>0</v>
      </c>
      <c r="S300" s="347">
        <f>+'[142]VENTAS TOTALES'!$E77</f>
        <v>324000</v>
      </c>
      <c r="T300" s="347">
        <f>+'[142]VENTAS TOTALES'!$F77</f>
        <v>324000</v>
      </c>
      <c r="U300" s="346">
        <f>+'[143]VENTAS TOTALES'!$D77</f>
        <v>0</v>
      </c>
      <c r="V300" s="347">
        <f>+'[143]VENTAS TOTALES'!$E77</f>
        <v>2110000</v>
      </c>
      <c r="W300" s="347">
        <f>+'[143]VENTAS TOTALES'!$F77</f>
        <v>2110000</v>
      </c>
      <c r="X300" s="346">
        <f>+'[144]VENTAS TOTALES'!$D77</f>
        <v>0</v>
      </c>
      <c r="Y300" s="347">
        <f>+'[144]VENTAS TOTALES'!$E77</f>
        <v>907000</v>
      </c>
      <c r="Z300" s="347">
        <f>+'[144]VENTAS TOTALES'!$F77</f>
        <v>907000</v>
      </c>
      <c r="AA300" s="346">
        <f>+'[145]VENTAS TOTALES'!$D77</f>
        <v>0</v>
      </c>
      <c r="AB300" s="347">
        <f>+'[145]VENTAS TOTALES'!$E77</f>
        <v>954000</v>
      </c>
      <c r="AC300" s="347">
        <f>+'[145]VENTAS TOTALES'!$F77</f>
        <v>954000</v>
      </c>
      <c r="AD300" s="346">
        <f>+'[146]VENTAS TOTALES'!$D77</f>
        <v>0</v>
      </c>
      <c r="AE300" s="347">
        <f>+'[146]VENTAS TOTALES'!$E77</f>
        <v>906000</v>
      </c>
      <c r="AF300" s="347">
        <f>+'[146]VENTAS TOTALES'!$F77</f>
        <v>906000</v>
      </c>
      <c r="AG300" s="346">
        <f>+'[147]VENTAS TOTALES'!$D77</f>
        <v>0</v>
      </c>
      <c r="AH300" s="347">
        <f>+'[147]VENTAS TOTALES'!$E77</f>
        <v>404000</v>
      </c>
      <c r="AI300" s="347">
        <f>+'[147]VENTAS TOTALES'!$F77</f>
        <v>404000</v>
      </c>
      <c r="AJ300" s="346">
        <f>+'[148]VENTAS TOTALES'!$D77</f>
        <v>0</v>
      </c>
      <c r="AK300" s="347">
        <f>+'[148]VENTAS TOTALES'!$E77</f>
        <v>579000</v>
      </c>
      <c r="AL300" s="347">
        <f>+'[148]VENTAS TOTALES'!$F77</f>
        <v>579000</v>
      </c>
      <c r="AM300" s="346">
        <f>+'[149]VENTAS TOTALES'!$D77</f>
        <v>0</v>
      </c>
      <c r="AN300" s="347">
        <f>+'[149]VENTAS TOTALES'!$E77</f>
        <v>226000</v>
      </c>
      <c r="AO300" s="347">
        <f>+'[149]VENTAS TOTALES'!$F77</f>
        <v>226000</v>
      </c>
      <c r="AP300" s="346">
        <f>+'[150]VENTAS TOTALES'!$D77</f>
        <v>0</v>
      </c>
      <c r="AQ300" s="347">
        <f>+'[150]VENTAS TOTALES'!$E77</f>
        <v>1276000</v>
      </c>
      <c r="AR300" s="347">
        <f>+'[150]VENTAS TOTALES'!$F77</f>
        <v>1276000</v>
      </c>
      <c r="AS300" s="346">
        <f>+'[151]VENTAS TOTALES'!$D77</f>
        <v>0</v>
      </c>
      <c r="AT300" s="347">
        <f>+'[151]VENTAS TOTALES'!$E77</f>
        <v>176000</v>
      </c>
      <c r="AU300" s="347">
        <f>+'[151]VENTAS TOTALES'!$F77</f>
        <v>176000</v>
      </c>
      <c r="AV300" s="346">
        <f>+'[152]VENTAS TOTALES'!$D77</f>
        <v>0</v>
      </c>
      <c r="AW300" s="347">
        <f>+'[152]VENTAS TOTALES'!$E77</f>
        <v>917000</v>
      </c>
      <c r="AX300" s="347">
        <f>+'[152]VENTAS TOTALES'!$F77</f>
        <v>917000</v>
      </c>
      <c r="AY300" s="346">
        <f>+'[153]VENTAS TOTALES'!$D77</f>
        <v>0</v>
      </c>
      <c r="AZ300" s="347">
        <f>+'[153]VENTAS TOTALES'!$E77</f>
        <v>563000</v>
      </c>
      <c r="BA300" s="347">
        <f>+'[153]VENTAS TOTALES'!$F77</f>
        <v>563000</v>
      </c>
      <c r="BB300" s="346">
        <f>+'[154]VENTAS TOTALES'!$D77</f>
        <v>0</v>
      </c>
      <c r="BC300" s="347">
        <f>+'[154]VENTAS TOTALES'!$E77</f>
        <v>836000</v>
      </c>
      <c r="BD300" s="347">
        <f>+'[154]VENTAS TOTALES'!$F77</f>
        <v>836000</v>
      </c>
      <c r="BE300" s="346">
        <f>+'[155]VENTAS TOTALES'!$D77</f>
        <v>0</v>
      </c>
      <c r="BF300" s="347">
        <f>+'[155]VENTAS TOTALES'!$E77</f>
        <v>631000</v>
      </c>
      <c r="BG300" s="347">
        <f>+'[155]VENTAS TOTALES'!$F77</f>
        <v>631000</v>
      </c>
      <c r="BH300" s="346">
        <f>+'[156]VENTAS TOTALES'!$D77</f>
        <v>0</v>
      </c>
      <c r="BI300" s="347">
        <f>+'[156]VENTAS TOTALES'!$E77</f>
        <v>260000</v>
      </c>
      <c r="BJ300" s="347">
        <f>+'[156]VENTAS TOTALES'!$F77</f>
        <v>260000</v>
      </c>
      <c r="BK300" s="346">
        <f>+'[157]VENTAS TOTALES'!$D77</f>
        <v>0</v>
      </c>
      <c r="BL300" s="347">
        <f>+'[157]VENTAS TOTALES'!$E77</f>
        <v>1828000</v>
      </c>
      <c r="BM300" s="347">
        <f>+'[157]VENTAS TOTALES'!$F77</f>
        <v>1828000</v>
      </c>
      <c r="BN300" s="346">
        <f>+'[158]VENTAS TOTALES'!$D77</f>
        <v>0</v>
      </c>
      <c r="BO300" s="347">
        <f>+'[158]VENTAS TOTALES'!$E77</f>
        <v>959000</v>
      </c>
      <c r="BP300" s="347">
        <f>+'[158]VENTAS TOTALES'!$F77</f>
        <v>959000</v>
      </c>
      <c r="BQ300" s="346">
        <f>+'[159]VENTAS TOTALES'!$D77</f>
        <v>0</v>
      </c>
      <c r="BR300" s="347">
        <f>+'[159]VENTAS TOTALES'!$E77</f>
        <v>947000</v>
      </c>
      <c r="BS300" s="347">
        <f>+'[159]VENTAS TOTALES'!$F77</f>
        <v>947000</v>
      </c>
      <c r="BT300" s="346">
        <f>+'[160]VENTAS TOTALES'!$D77</f>
        <v>0</v>
      </c>
      <c r="BU300" s="347">
        <f>+'[160]VENTAS TOTALES'!$E77</f>
        <v>763000</v>
      </c>
      <c r="BV300" s="347">
        <f>+'[160]VENTAS TOTALES'!$F77</f>
        <v>763000</v>
      </c>
      <c r="BW300" s="346">
        <f>+'[161]VENTAS TOTALES'!$D77</f>
        <v>0</v>
      </c>
      <c r="BX300" s="347">
        <f>+'[161]VENTAS TOTALES'!$E77</f>
        <v>491000</v>
      </c>
      <c r="BY300" s="347">
        <f>+'[161]VENTAS TOTALES'!$F77</f>
        <v>491000</v>
      </c>
      <c r="BZ300" s="346">
        <f>+'[162]VENTAS TOTALES'!$D77</f>
        <v>0</v>
      </c>
      <c r="CA300" s="347">
        <f>+'[162]VENTAS TOTALES'!$E77</f>
        <v>694000</v>
      </c>
      <c r="CB300" s="347">
        <f>+'[162]VENTAS TOTALES'!$F77</f>
        <v>694000</v>
      </c>
      <c r="CC300" s="346">
        <f>+'[163]VENTAS TOTALES'!$D77</f>
        <v>0</v>
      </c>
      <c r="CD300" s="347">
        <f>+'[163]VENTAS TOTALES'!$E77</f>
        <v>214000</v>
      </c>
      <c r="CE300" s="347">
        <f>+'[163]VENTAS TOTALES'!$F77</f>
        <v>214000</v>
      </c>
      <c r="CF300" s="346">
        <f>+'[164]VENTAS TOTALES'!$D77</f>
        <v>0</v>
      </c>
      <c r="CG300" s="347">
        <f>+'[164]VENTAS TOTALES'!$E77</f>
        <v>1639000</v>
      </c>
      <c r="CH300" s="347">
        <f>+'[164]VENTAS TOTALES'!$F77</f>
        <v>1639000</v>
      </c>
      <c r="CI300" s="346">
        <f>+'[165]VENTAS TOTALES'!$D77</f>
        <v>0</v>
      </c>
      <c r="CJ300" s="347">
        <f>+'[165]VENTAS TOTALES'!$E77</f>
        <v>1318000</v>
      </c>
      <c r="CK300" s="347">
        <f>+'[165]VENTAS TOTALES'!$F77</f>
        <v>1318000</v>
      </c>
      <c r="CL300" s="346">
        <f>+'[166]VENTAS TOTALES'!$D77</f>
        <v>0</v>
      </c>
      <c r="CM300" s="347">
        <f>+'[166]VENTAS TOTALES'!$E77</f>
        <v>1305000</v>
      </c>
      <c r="CN300" s="347">
        <f>+'[166]VENTAS TOTALES'!$F77</f>
        <v>1305000</v>
      </c>
      <c r="CO300" s="346">
        <f>+'[167]VENTAS TOTALES'!$D77</f>
        <v>0</v>
      </c>
      <c r="CP300" s="347">
        <f>+'[167]VENTAS TOTALES'!$E77</f>
        <v>1000000</v>
      </c>
      <c r="CQ300" s="347">
        <f>+'[167]VENTAS TOTALES'!$F77</f>
        <v>1000000</v>
      </c>
      <c r="CR300" s="346">
        <f>+'[168]VENTAS TOTALES'!$D77</f>
        <v>0</v>
      </c>
      <c r="CS300" s="347">
        <f>+'[168]VENTAS TOTALES'!$E77</f>
        <v>976000</v>
      </c>
      <c r="CT300" s="347">
        <f>+'[168]VENTAS TOTALES'!$F77</f>
        <v>976000</v>
      </c>
      <c r="CU300" s="346">
        <f>+'[169]VENTAS TOTALES'!$D77</f>
        <v>0</v>
      </c>
      <c r="CV300" s="347">
        <f>+'[169]VENTAS TOTALES'!$E77</f>
        <v>687000</v>
      </c>
      <c r="CW300" s="347">
        <f>+'[169]VENTAS TOTALES'!$F77</f>
        <v>687000</v>
      </c>
      <c r="CX300" s="346">
        <f>+'[170]VENTAS TOTALES'!$D77</f>
        <v>0</v>
      </c>
      <c r="CY300" s="347">
        <f>+'[170]VENTAS TOTALES'!$E77</f>
        <v>283000</v>
      </c>
      <c r="CZ300" s="347">
        <f>+'[170]VENTAS TOTALES'!$F77</f>
        <v>283000</v>
      </c>
    </row>
    <row r="301" spans="1:104" s="8" customFormat="1" x14ac:dyDescent="0.2">
      <c r="A301" s="475"/>
      <c r="B301" s="381" t="s">
        <v>484</v>
      </c>
      <c r="C301" s="346">
        <f>+'[137]VENTAS TOTALES'!$D78</f>
        <v>0</v>
      </c>
      <c r="D301" s="347">
        <f>+'[137]VENTAS TOTALES'!$E78</f>
        <v>725000</v>
      </c>
      <c r="E301" s="347">
        <f>+'[137]VENTAS TOTALES'!$F78</f>
        <v>725000</v>
      </c>
      <c r="F301" s="346">
        <f>+'[138]VENTAS TOTALES'!$D78</f>
        <v>0</v>
      </c>
      <c r="G301" s="347">
        <f>+'[138]VENTAS TOTALES'!$E78</f>
        <v>700000</v>
      </c>
      <c r="H301" s="347">
        <f>+'[138]VENTAS TOTALES'!$F78</f>
        <v>700000</v>
      </c>
      <c r="I301" s="346">
        <f>+'[139]VENTAS TOTALES'!$D78</f>
        <v>0</v>
      </c>
      <c r="J301" s="347">
        <f>+'[139]VENTAS TOTALES'!$E78</f>
        <v>416000</v>
      </c>
      <c r="K301" s="347">
        <f>+'[139]VENTAS TOTALES'!$F78</f>
        <v>416000</v>
      </c>
      <c r="L301" s="346">
        <f>+'[140]VENTAS TOTALES'!$D78</f>
        <v>0</v>
      </c>
      <c r="M301" s="347">
        <f>+'[140]VENTAS TOTALES'!$E78</f>
        <v>213000</v>
      </c>
      <c r="N301" s="347">
        <f>+'[140]VENTAS TOTALES'!$F78</f>
        <v>213000</v>
      </c>
      <c r="O301" s="346">
        <f>+'[141]VENTAS TOTALES'!$D78</f>
        <v>0</v>
      </c>
      <c r="P301" s="347">
        <f>+'[141]VENTAS TOTALES'!$E78</f>
        <v>265000</v>
      </c>
      <c r="Q301" s="347">
        <f>+'[141]VENTAS TOTALES'!$F78</f>
        <v>265000</v>
      </c>
      <c r="R301" s="346">
        <f>+'[142]VENTAS TOTALES'!$D78</f>
        <v>0</v>
      </c>
      <c r="S301" s="347">
        <f>+'[142]VENTAS TOTALES'!$E78</f>
        <v>88000</v>
      </c>
      <c r="T301" s="347">
        <f>+'[142]VENTAS TOTALES'!$F78</f>
        <v>88000</v>
      </c>
      <c r="U301" s="346">
        <f>+'[143]VENTAS TOTALES'!$D78</f>
        <v>0</v>
      </c>
      <c r="V301" s="347">
        <f>+'[143]VENTAS TOTALES'!$E78</f>
        <v>867000</v>
      </c>
      <c r="W301" s="347">
        <f>+'[143]VENTAS TOTALES'!$F78</f>
        <v>867000</v>
      </c>
      <c r="X301" s="346">
        <f>+'[144]VENTAS TOTALES'!$D78</f>
        <v>0</v>
      </c>
      <c r="Y301" s="347">
        <f>+'[144]VENTAS TOTALES'!$E78</f>
        <v>530000</v>
      </c>
      <c r="Z301" s="347">
        <f>+'[144]VENTAS TOTALES'!$F78</f>
        <v>530000</v>
      </c>
      <c r="AA301" s="346">
        <f>+'[145]VENTAS TOTALES'!$D78</f>
        <v>0</v>
      </c>
      <c r="AB301" s="347">
        <f>+'[145]VENTAS TOTALES'!$E78</f>
        <v>474000</v>
      </c>
      <c r="AC301" s="347">
        <f>+'[145]VENTAS TOTALES'!$F78</f>
        <v>474000</v>
      </c>
      <c r="AD301" s="346">
        <f>+'[146]VENTAS TOTALES'!$D78</f>
        <v>0</v>
      </c>
      <c r="AE301" s="347">
        <f>+'[146]VENTAS TOTALES'!$E78</f>
        <v>519000</v>
      </c>
      <c r="AF301" s="347">
        <f>+'[146]VENTAS TOTALES'!$F78</f>
        <v>519000</v>
      </c>
      <c r="AG301" s="346">
        <f>+'[147]VENTAS TOTALES'!$D78</f>
        <v>0</v>
      </c>
      <c r="AH301" s="347">
        <f>+'[147]VENTAS TOTALES'!$E78</f>
        <v>135000</v>
      </c>
      <c r="AI301" s="347">
        <f>+'[147]VENTAS TOTALES'!$F78</f>
        <v>135000</v>
      </c>
      <c r="AJ301" s="346">
        <f>+'[148]VENTAS TOTALES'!$D78</f>
        <v>0</v>
      </c>
      <c r="AK301" s="347">
        <f>+'[148]VENTAS TOTALES'!$E78</f>
        <v>225000</v>
      </c>
      <c r="AL301" s="347">
        <f>+'[148]VENTAS TOTALES'!$F78</f>
        <v>225000</v>
      </c>
      <c r="AM301" s="346">
        <f>+'[149]VENTAS TOTALES'!$D78</f>
        <v>0</v>
      </c>
      <c r="AN301" s="347">
        <f>+'[149]VENTAS TOTALES'!$E78</f>
        <v>52000</v>
      </c>
      <c r="AO301" s="347">
        <f>+'[149]VENTAS TOTALES'!$F78</f>
        <v>52000</v>
      </c>
      <c r="AP301" s="346">
        <f>+'[150]VENTAS TOTALES'!$D78</f>
        <v>0</v>
      </c>
      <c r="AQ301" s="347">
        <f>+'[150]VENTAS TOTALES'!$E78</f>
        <v>541000</v>
      </c>
      <c r="AR301" s="347">
        <f>+'[150]VENTAS TOTALES'!$F78</f>
        <v>541000</v>
      </c>
      <c r="AS301" s="346">
        <f>+'[151]VENTAS TOTALES'!$D78</f>
        <v>0</v>
      </c>
      <c r="AT301" s="347">
        <f>+'[151]VENTAS TOTALES'!$E78</f>
        <v>321000</v>
      </c>
      <c r="AU301" s="347">
        <f>+'[151]VENTAS TOTALES'!$F78</f>
        <v>321000</v>
      </c>
      <c r="AV301" s="346">
        <f>+'[152]VENTAS TOTALES'!$D78</f>
        <v>0</v>
      </c>
      <c r="AW301" s="347">
        <f>+'[152]VENTAS TOTALES'!$E78</f>
        <v>589000</v>
      </c>
      <c r="AX301" s="347">
        <f>+'[152]VENTAS TOTALES'!$F78</f>
        <v>589000</v>
      </c>
      <c r="AY301" s="346">
        <f>+'[153]VENTAS TOTALES'!$D78</f>
        <v>0</v>
      </c>
      <c r="AZ301" s="347">
        <f>+'[153]VENTAS TOTALES'!$E78</f>
        <v>472000</v>
      </c>
      <c r="BA301" s="347">
        <f>+'[153]VENTAS TOTALES'!$F78</f>
        <v>472000</v>
      </c>
      <c r="BB301" s="346">
        <f>+'[154]VENTAS TOTALES'!$D78</f>
        <v>0</v>
      </c>
      <c r="BC301" s="347">
        <f>+'[154]VENTAS TOTALES'!$E78</f>
        <v>506000</v>
      </c>
      <c r="BD301" s="347">
        <f>+'[154]VENTAS TOTALES'!$F78</f>
        <v>506000</v>
      </c>
      <c r="BE301" s="346">
        <f>+'[155]VENTAS TOTALES'!$D78</f>
        <v>0</v>
      </c>
      <c r="BF301" s="347">
        <f>+'[155]VENTAS TOTALES'!$E78</f>
        <v>201000</v>
      </c>
      <c r="BG301" s="347">
        <f>+'[155]VENTAS TOTALES'!$F78</f>
        <v>201000</v>
      </c>
      <c r="BH301" s="346">
        <f>+'[156]VENTAS TOTALES'!$D78</f>
        <v>0</v>
      </c>
      <c r="BI301" s="347">
        <f>+'[156]VENTAS TOTALES'!$E78</f>
        <v>55000</v>
      </c>
      <c r="BJ301" s="347">
        <f>+'[156]VENTAS TOTALES'!$F78</f>
        <v>55000</v>
      </c>
      <c r="BK301" s="346">
        <f>+'[157]VENTAS TOTALES'!$D78</f>
        <v>0</v>
      </c>
      <c r="BL301" s="347">
        <f>+'[157]VENTAS TOTALES'!$E78</f>
        <v>900000</v>
      </c>
      <c r="BM301" s="347">
        <f>+'[157]VENTAS TOTALES'!$F78</f>
        <v>900000</v>
      </c>
      <c r="BN301" s="346">
        <f>+'[158]VENTAS TOTALES'!$D78</f>
        <v>0</v>
      </c>
      <c r="BO301" s="347">
        <f>+'[158]VENTAS TOTALES'!$E78</f>
        <v>393000</v>
      </c>
      <c r="BP301" s="347">
        <f>+'[158]VENTAS TOTALES'!$F78</f>
        <v>393000</v>
      </c>
      <c r="BQ301" s="346">
        <f>+'[159]VENTAS TOTALES'!$D78</f>
        <v>0</v>
      </c>
      <c r="BR301" s="347">
        <f>+'[159]VENTAS TOTALES'!$E78</f>
        <v>379000</v>
      </c>
      <c r="BS301" s="347">
        <f>+'[159]VENTAS TOTALES'!$F78</f>
        <v>379000</v>
      </c>
      <c r="BT301" s="346">
        <f>+'[160]VENTAS TOTALES'!$D78</f>
        <v>0</v>
      </c>
      <c r="BU301" s="347">
        <f>+'[160]VENTAS TOTALES'!$E78</f>
        <v>453000</v>
      </c>
      <c r="BV301" s="347">
        <f>+'[160]VENTAS TOTALES'!$F78</f>
        <v>453000</v>
      </c>
      <c r="BW301" s="346">
        <f>+'[161]VENTAS TOTALES'!$D78</f>
        <v>0</v>
      </c>
      <c r="BX301" s="347">
        <f>+'[161]VENTAS TOTALES'!$E78</f>
        <v>476000</v>
      </c>
      <c r="BY301" s="347">
        <f>+'[161]VENTAS TOTALES'!$F78</f>
        <v>476000</v>
      </c>
      <c r="BZ301" s="346">
        <f>+'[162]VENTAS TOTALES'!$D78</f>
        <v>0</v>
      </c>
      <c r="CA301" s="347">
        <f>+'[162]VENTAS TOTALES'!$E78</f>
        <v>36000</v>
      </c>
      <c r="CB301" s="347">
        <f>+'[162]VENTAS TOTALES'!$F78</f>
        <v>36000</v>
      </c>
      <c r="CC301" s="346">
        <f>+'[163]VENTAS TOTALES'!$D78</f>
        <v>0</v>
      </c>
      <c r="CD301" s="347">
        <f>+'[163]VENTAS TOTALES'!$E78</f>
        <v>65000</v>
      </c>
      <c r="CE301" s="347">
        <f>+'[163]VENTAS TOTALES'!$F78</f>
        <v>65000</v>
      </c>
      <c r="CF301" s="346">
        <f>+'[164]VENTAS TOTALES'!$D78</f>
        <v>0</v>
      </c>
      <c r="CG301" s="347">
        <f>+'[164]VENTAS TOTALES'!$E78</f>
        <v>1329000</v>
      </c>
      <c r="CH301" s="347">
        <f>+'[164]VENTAS TOTALES'!$F78</f>
        <v>1329000</v>
      </c>
      <c r="CI301" s="346">
        <f>+'[165]VENTAS TOTALES'!$D78</f>
        <v>0</v>
      </c>
      <c r="CJ301" s="347">
        <f>+'[165]VENTAS TOTALES'!$E78</f>
        <v>803000</v>
      </c>
      <c r="CK301" s="347">
        <f>+'[165]VENTAS TOTALES'!$F78</f>
        <v>803000</v>
      </c>
      <c r="CL301" s="346">
        <f>+'[166]VENTAS TOTALES'!$D78</f>
        <v>0</v>
      </c>
      <c r="CM301" s="347">
        <f>+'[166]VENTAS TOTALES'!$E78</f>
        <v>1027000</v>
      </c>
      <c r="CN301" s="347">
        <f>+'[166]VENTAS TOTALES'!$F78</f>
        <v>1027000</v>
      </c>
      <c r="CO301" s="346">
        <f>+'[167]VENTAS TOTALES'!$D78</f>
        <v>0</v>
      </c>
      <c r="CP301" s="347">
        <f>+'[167]VENTAS TOTALES'!$E78</f>
        <v>671000</v>
      </c>
      <c r="CQ301" s="347">
        <f>+'[167]VENTAS TOTALES'!$F78</f>
        <v>671000</v>
      </c>
      <c r="CR301" s="346">
        <f>+'[168]VENTAS TOTALES'!$D78</f>
        <v>0</v>
      </c>
      <c r="CS301" s="347">
        <f>+'[168]VENTAS TOTALES'!$E78</f>
        <v>491000</v>
      </c>
      <c r="CT301" s="347">
        <f>+'[168]VENTAS TOTALES'!$F78</f>
        <v>491000</v>
      </c>
      <c r="CU301" s="346">
        <f>+'[169]VENTAS TOTALES'!$D78</f>
        <v>0</v>
      </c>
      <c r="CV301" s="347">
        <f>+'[169]VENTAS TOTALES'!$E78</f>
        <v>344000</v>
      </c>
      <c r="CW301" s="347">
        <f>+'[169]VENTAS TOTALES'!$F78</f>
        <v>344000</v>
      </c>
      <c r="CX301" s="346">
        <f>+'[170]VENTAS TOTALES'!$D78</f>
        <v>0</v>
      </c>
      <c r="CY301" s="347">
        <f>+'[170]VENTAS TOTALES'!$E78</f>
        <v>105000</v>
      </c>
      <c r="CZ301" s="347">
        <f>+'[170]VENTAS TOTALES'!$F78</f>
        <v>105000</v>
      </c>
    </row>
    <row r="302" spans="1:104" s="8" customFormat="1" x14ac:dyDescent="0.2">
      <c r="A302" s="475"/>
      <c r="B302" s="370" t="s">
        <v>379</v>
      </c>
      <c r="C302" s="346">
        <f>+'[137]VENTAS TOTALES'!$D79</f>
        <v>0</v>
      </c>
      <c r="D302" s="347">
        <f>+'[137]VENTAS TOTALES'!$E79</f>
        <v>1462000</v>
      </c>
      <c r="E302" s="347">
        <f>+'[137]VENTAS TOTALES'!$F79</f>
        <v>1462000</v>
      </c>
      <c r="F302" s="346">
        <f>+'[138]VENTAS TOTALES'!$D79</f>
        <v>0</v>
      </c>
      <c r="G302" s="347">
        <f>+'[138]VENTAS TOTALES'!$E79</f>
        <v>1515000</v>
      </c>
      <c r="H302" s="347">
        <f>+'[138]VENTAS TOTALES'!$F79</f>
        <v>1515000</v>
      </c>
      <c r="I302" s="346">
        <f>+'[139]VENTAS TOTALES'!$D79</f>
        <v>0</v>
      </c>
      <c r="J302" s="347">
        <f>+'[139]VENTAS TOTALES'!$E79</f>
        <v>1194000</v>
      </c>
      <c r="K302" s="347">
        <f>+'[139]VENTAS TOTALES'!$F79</f>
        <v>1194000</v>
      </c>
      <c r="L302" s="346">
        <f>+'[140]VENTAS TOTALES'!$D79</f>
        <v>0</v>
      </c>
      <c r="M302" s="347">
        <f>+'[140]VENTAS TOTALES'!$E79</f>
        <v>1095000</v>
      </c>
      <c r="N302" s="347">
        <f>+'[140]VENTAS TOTALES'!$F79</f>
        <v>1095000</v>
      </c>
      <c r="O302" s="346">
        <f>+'[141]VENTAS TOTALES'!$D79</f>
        <v>0</v>
      </c>
      <c r="P302" s="347">
        <f>+'[141]VENTAS TOTALES'!$E79</f>
        <v>886000</v>
      </c>
      <c r="Q302" s="347">
        <f>+'[141]VENTAS TOTALES'!$F79</f>
        <v>886000</v>
      </c>
      <c r="R302" s="346">
        <f>+'[142]VENTAS TOTALES'!$D79</f>
        <v>0</v>
      </c>
      <c r="S302" s="347">
        <f>+'[142]VENTAS TOTALES'!$E79</f>
        <v>296000</v>
      </c>
      <c r="T302" s="347">
        <f>+'[142]VENTAS TOTALES'!$F79</f>
        <v>296000</v>
      </c>
      <c r="U302" s="346">
        <f>+'[143]VENTAS TOTALES'!$D79</f>
        <v>0</v>
      </c>
      <c r="V302" s="347">
        <f>+'[143]VENTAS TOTALES'!$E79</f>
        <v>2103000</v>
      </c>
      <c r="W302" s="347">
        <f>+'[143]VENTAS TOTALES'!$F79</f>
        <v>2103000</v>
      </c>
      <c r="X302" s="346">
        <f>+'[144]VENTAS TOTALES'!$D79</f>
        <v>0</v>
      </c>
      <c r="Y302" s="347">
        <f>+'[144]VENTAS TOTALES'!$E79</f>
        <v>1424000</v>
      </c>
      <c r="Z302" s="347">
        <f>+'[144]VENTAS TOTALES'!$F79</f>
        <v>1424000</v>
      </c>
      <c r="AA302" s="346">
        <f>+'[145]VENTAS TOTALES'!$D79</f>
        <v>0</v>
      </c>
      <c r="AB302" s="347">
        <f>+'[145]VENTAS TOTALES'!$E79</f>
        <v>1019000</v>
      </c>
      <c r="AC302" s="347">
        <f>+'[145]VENTAS TOTALES'!$F79</f>
        <v>1019000</v>
      </c>
      <c r="AD302" s="346">
        <f>+'[146]VENTAS TOTALES'!$D79</f>
        <v>0</v>
      </c>
      <c r="AE302" s="347">
        <f>+'[146]VENTAS TOTALES'!$E79</f>
        <v>1265000</v>
      </c>
      <c r="AF302" s="347">
        <f>+'[146]VENTAS TOTALES'!$F79</f>
        <v>1265000</v>
      </c>
      <c r="AG302" s="346">
        <f>+'[147]VENTAS TOTALES'!$D79</f>
        <v>0</v>
      </c>
      <c r="AH302" s="347">
        <f>+'[147]VENTAS TOTALES'!$E79</f>
        <v>964000</v>
      </c>
      <c r="AI302" s="347">
        <f>+'[147]VENTAS TOTALES'!$F79</f>
        <v>964000</v>
      </c>
      <c r="AJ302" s="346">
        <f>+'[148]VENTAS TOTALES'!$D79</f>
        <v>0</v>
      </c>
      <c r="AK302" s="347">
        <f>+'[148]VENTAS TOTALES'!$E79</f>
        <v>736000</v>
      </c>
      <c r="AL302" s="347">
        <f>+'[148]VENTAS TOTALES'!$F79</f>
        <v>736000</v>
      </c>
      <c r="AM302" s="346">
        <f>+'[149]VENTAS TOTALES'!$D79</f>
        <v>0</v>
      </c>
      <c r="AN302" s="347">
        <f>+'[149]VENTAS TOTALES'!$E79</f>
        <v>356000</v>
      </c>
      <c r="AO302" s="347">
        <f>+'[149]VENTAS TOTALES'!$F79</f>
        <v>356000</v>
      </c>
      <c r="AP302" s="346">
        <f>+'[150]VENTAS TOTALES'!$D79</f>
        <v>0</v>
      </c>
      <c r="AQ302" s="347">
        <f>+'[150]VENTAS TOTALES'!$E79</f>
        <v>2453000</v>
      </c>
      <c r="AR302" s="347">
        <f>+'[150]VENTAS TOTALES'!$F79</f>
        <v>2453000</v>
      </c>
      <c r="AS302" s="346">
        <f>+'[151]VENTAS TOTALES'!$D79</f>
        <v>0</v>
      </c>
      <c r="AT302" s="347">
        <f>+'[151]VENTAS TOTALES'!$E79</f>
        <v>1356000</v>
      </c>
      <c r="AU302" s="347">
        <f>+'[151]VENTAS TOTALES'!$F79</f>
        <v>1356000</v>
      </c>
      <c r="AV302" s="346">
        <f>+'[152]VENTAS TOTALES'!$D79</f>
        <v>0</v>
      </c>
      <c r="AW302" s="347">
        <f>+'[152]VENTAS TOTALES'!$E79</f>
        <v>1523000</v>
      </c>
      <c r="AX302" s="347">
        <f>+'[152]VENTAS TOTALES'!$F79</f>
        <v>1523000</v>
      </c>
      <c r="AY302" s="346">
        <f>+'[153]VENTAS TOTALES'!$D79</f>
        <v>0</v>
      </c>
      <c r="AZ302" s="347">
        <f>+'[153]VENTAS TOTALES'!$E79</f>
        <v>1054000</v>
      </c>
      <c r="BA302" s="347">
        <f>+'[153]VENTAS TOTALES'!$F79</f>
        <v>1054000</v>
      </c>
      <c r="BB302" s="346">
        <f>+'[154]VENTAS TOTALES'!$D79</f>
        <v>0</v>
      </c>
      <c r="BC302" s="347">
        <f>+'[154]VENTAS TOTALES'!$E79</f>
        <v>1050000</v>
      </c>
      <c r="BD302" s="347">
        <f>+'[154]VENTAS TOTALES'!$F79</f>
        <v>1050000</v>
      </c>
      <c r="BE302" s="346">
        <f>+'[155]VENTAS TOTALES'!$D79</f>
        <v>0</v>
      </c>
      <c r="BF302" s="347">
        <f>+'[155]VENTAS TOTALES'!$E79</f>
        <v>823000</v>
      </c>
      <c r="BG302" s="347">
        <f>+'[155]VENTAS TOTALES'!$F79</f>
        <v>823000</v>
      </c>
      <c r="BH302" s="346">
        <f>+'[156]VENTAS TOTALES'!$D79</f>
        <v>0</v>
      </c>
      <c r="BI302" s="347">
        <f>+'[156]VENTAS TOTALES'!$E79</f>
        <v>403000</v>
      </c>
      <c r="BJ302" s="347">
        <f>+'[156]VENTAS TOTALES'!$F79</f>
        <v>403000</v>
      </c>
      <c r="BK302" s="346">
        <f>+'[157]VENTAS TOTALES'!$D79</f>
        <v>0</v>
      </c>
      <c r="BL302" s="347">
        <f>+'[157]VENTAS TOTALES'!$E79</f>
        <v>2239000</v>
      </c>
      <c r="BM302" s="347">
        <f>+'[157]VENTAS TOTALES'!$F79</f>
        <v>2239000</v>
      </c>
      <c r="BN302" s="346">
        <f>+'[158]VENTAS TOTALES'!$D79</f>
        <v>0</v>
      </c>
      <c r="BO302" s="347">
        <f>+'[158]VENTAS TOTALES'!$E79</f>
        <v>1111000</v>
      </c>
      <c r="BP302" s="347">
        <f>+'[158]VENTAS TOTALES'!$F79</f>
        <v>1111000</v>
      </c>
      <c r="BQ302" s="346">
        <f>+'[159]VENTAS TOTALES'!$D79</f>
        <v>0</v>
      </c>
      <c r="BR302" s="347">
        <f>+'[159]VENTAS TOTALES'!$E79</f>
        <v>1113000</v>
      </c>
      <c r="BS302" s="347">
        <f>+'[159]VENTAS TOTALES'!$F79</f>
        <v>1113000</v>
      </c>
      <c r="BT302" s="346">
        <f>+'[160]VENTAS TOTALES'!$D79</f>
        <v>0</v>
      </c>
      <c r="BU302" s="347">
        <f>+'[160]VENTAS TOTALES'!$E79</f>
        <v>1210000</v>
      </c>
      <c r="BV302" s="347">
        <f>+'[160]VENTAS TOTALES'!$F79</f>
        <v>1210000</v>
      </c>
      <c r="BW302" s="346">
        <f>+'[161]VENTAS TOTALES'!$D79</f>
        <v>0</v>
      </c>
      <c r="BX302" s="347">
        <f>+'[161]VENTAS TOTALES'!$E79</f>
        <v>1083000</v>
      </c>
      <c r="BY302" s="347">
        <f>+'[161]VENTAS TOTALES'!$F79</f>
        <v>1083000</v>
      </c>
      <c r="BZ302" s="346">
        <f>+'[162]VENTAS TOTALES'!$D79</f>
        <v>0</v>
      </c>
      <c r="CA302" s="347">
        <f>+'[162]VENTAS TOTALES'!$E79</f>
        <v>876000</v>
      </c>
      <c r="CB302" s="347">
        <f>+'[162]VENTAS TOTALES'!$F79</f>
        <v>876000</v>
      </c>
      <c r="CC302" s="346">
        <f>+'[163]VENTAS TOTALES'!$D79</f>
        <v>0</v>
      </c>
      <c r="CD302" s="347">
        <f>+'[163]VENTAS TOTALES'!$E79</f>
        <v>557000</v>
      </c>
      <c r="CE302" s="347">
        <f>+'[163]VENTAS TOTALES'!$F79</f>
        <v>557000</v>
      </c>
      <c r="CF302" s="346">
        <f>+'[164]VENTAS TOTALES'!$D79</f>
        <v>0</v>
      </c>
      <c r="CG302" s="347">
        <f>+'[164]VENTAS TOTALES'!$E79</f>
        <v>2127000</v>
      </c>
      <c r="CH302" s="347">
        <f>+'[164]VENTAS TOTALES'!$F79</f>
        <v>2127000</v>
      </c>
      <c r="CI302" s="346">
        <f>+'[165]VENTAS TOTALES'!$D79</f>
        <v>0</v>
      </c>
      <c r="CJ302" s="347">
        <f>+'[165]VENTAS TOTALES'!$E79</f>
        <v>1619000</v>
      </c>
      <c r="CK302" s="347">
        <f>+'[165]VENTAS TOTALES'!$F79</f>
        <v>1619000</v>
      </c>
      <c r="CL302" s="346">
        <f>+'[166]VENTAS TOTALES'!$D79</f>
        <v>0</v>
      </c>
      <c r="CM302" s="347">
        <f>+'[166]VENTAS TOTALES'!$E79</f>
        <v>1560000</v>
      </c>
      <c r="CN302" s="347">
        <f>+'[166]VENTAS TOTALES'!$F79</f>
        <v>1560000</v>
      </c>
      <c r="CO302" s="346">
        <f>+'[167]VENTAS TOTALES'!$D79</f>
        <v>0</v>
      </c>
      <c r="CP302" s="347">
        <f>+'[167]VENTAS TOTALES'!$E79</f>
        <v>388000</v>
      </c>
      <c r="CQ302" s="347">
        <f>+'[167]VENTAS TOTALES'!$F79</f>
        <v>388000</v>
      </c>
      <c r="CR302" s="346">
        <f>+'[168]VENTAS TOTALES'!$D79</f>
        <v>0</v>
      </c>
      <c r="CS302" s="347">
        <f>+'[168]VENTAS TOTALES'!$E79</f>
        <v>1152000</v>
      </c>
      <c r="CT302" s="347">
        <f>+'[168]VENTAS TOTALES'!$F79</f>
        <v>1152000</v>
      </c>
      <c r="CU302" s="346">
        <f>+'[169]VENTAS TOTALES'!$D79</f>
        <v>0</v>
      </c>
      <c r="CV302" s="347">
        <f>+'[169]VENTAS TOTALES'!$E79</f>
        <v>798000</v>
      </c>
      <c r="CW302" s="347">
        <f>+'[169]VENTAS TOTALES'!$F79</f>
        <v>798000</v>
      </c>
      <c r="CX302" s="346">
        <f>+'[170]VENTAS TOTALES'!$D79</f>
        <v>0</v>
      </c>
      <c r="CY302" s="347">
        <f>+'[170]VENTAS TOTALES'!$E79</f>
        <v>386000</v>
      </c>
      <c r="CZ302" s="347">
        <f>+'[170]VENTAS TOTALES'!$F79</f>
        <v>386000</v>
      </c>
    </row>
    <row r="303" spans="1:104" s="8" customFormat="1" x14ac:dyDescent="0.2">
      <c r="A303" s="475"/>
      <c r="B303" s="370" t="s">
        <v>380</v>
      </c>
      <c r="C303" s="346">
        <f>+'[137]VENTAS TOTALES'!$D80</f>
        <v>0</v>
      </c>
      <c r="D303" s="347">
        <f>+'[137]VENTAS TOTALES'!$E80</f>
        <v>1468000</v>
      </c>
      <c r="E303" s="347">
        <f>+'[137]VENTAS TOTALES'!$F80</f>
        <v>1468000</v>
      </c>
      <c r="F303" s="346">
        <f>+'[138]VENTAS TOTALES'!$D80</f>
        <v>0</v>
      </c>
      <c r="G303" s="347">
        <f>+'[138]VENTAS TOTALES'!$E80</f>
        <v>1693000</v>
      </c>
      <c r="H303" s="347">
        <f>+'[138]VENTAS TOTALES'!$F80</f>
        <v>1693000</v>
      </c>
      <c r="I303" s="346">
        <f>+'[139]VENTAS TOTALES'!$D80</f>
        <v>0</v>
      </c>
      <c r="J303" s="347">
        <f>+'[139]VENTAS TOTALES'!$E80</f>
        <v>830000</v>
      </c>
      <c r="K303" s="347">
        <f>+'[139]VENTAS TOTALES'!$F80</f>
        <v>830000</v>
      </c>
      <c r="L303" s="346">
        <f>+'[140]VENTAS TOTALES'!$D80</f>
        <v>0</v>
      </c>
      <c r="M303" s="347">
        <f>+'[140]VENTAS TOTALES'!$E80</f>
        <v>188000</v>
      </c>
      <c r="N303" s="347">
        <f>+'[140]VENTAS TOTALES'!$F80</f>
        <v>188000</v>
      </c>
      <c r="O303" s="346">
        <f>+'[141]VENTAS TOTALES'!$D80</f>
        <v>0</v>
      </c>
      <c r="P303" s="347">
        <f>+'[141]VENTAS TOTALES'!$E80</f>
        <v>629000</v>
      </c>
      <c r="Q303" s="347">
        <f>+'[141]VENTAS TOTALES'!$F80</f>
        <v>629000</v>
      </c>
      <c r="R303" s="346">
        <f>+'[142]VENTAS TOTALES'!$D80</f>
        <v>0</v>
      </c>
      <c r="S303" s="347">
        <f>+'[142]VENTAS TOTALES'!$E80</f>
        <v>236000</v>
      </c>
      <c r="T303" s="347">
        <f>+'[142]VENTAS TOTALES'!$F80</f>
        <v>236000</v>
      </c>
      <c r="U303" s="346">
        <f>+'[143]VENTAS TOTALES'!$D80</f>
        <v>0</v>
      </c>
      <c r="V303" s="347">
        <f>+'[143]VENTAS TOTALES'!$E80</f>
        <v>2472000</v>
      </c>
      <c r="W303" s="347">
        <f>+'[143]VENTAS TOTALES'!$F80</f>
        <v>2472000</v>
      </c>
      <c r="X303" s="346">
        <f>+'[144]VENTAS TOTALES'!$D80</f>
        <v>0</v>
      </c>
      <c r="Y303" s="347">
        <f>+'[144]VENTAS TOTALES'!$E80</f>
        <v>1330000</v>
      </c>
      <c r="Z303" s="347">
        <f>+'[144]VENTAS TOTALES'!$F80</f>
        <v>1330000</v>
      </c>
      <c r="AA303" s="346">
        <f>+'[145]VENTAS TOTALES'!$D80</f>
        <v>0</v>
      </c>
      <c r="AB303" s="347">
        <f>+'[145]VENTAS TOTALES'!$E80</f>
        <v>1070000</v>
      </c>
      <c r="AC303" s="347">
        <f>+'[145]VENTAS TOTALES'!$F80</f>
        <v>1070000</v>
      </c>
      <c r="AD303" s="346">
        <f>+'[146]VENTAS TOTALES'!$D80</f>
        <v>0</v>
      </c>
      <c r="AE303" s="347">
        <f>+'[146]VENTAS TOTALES'!$E80</f>
        <v>277000</v>
      </c>
      <c r="AF303" s="347">
        <f>+'[146]VENTAS TOTALES'!$F80</f>
        <v>277000</v>
      </c>
      <c r="AG303" s="346">
        <f>+'[147]VENTAS TOTALES'!$D80</f>
        <v>0</v>
      </c>
      <c r="AH303" s="347">
        <f>+'[147]VENTAS TOTALES'!$E80</f>
        <v>1159000</v>
      </c>
      <c r="AI303" s="347">
        <f>+'[147]VENTAS TOTALES'!$F80</f>
        <v>1159000</v>
      </c>
      <c r="AJ303" s="346">
        <f>+'[148]VENTAS TOTALES'!$D80</f>
        <v>0</v>
      </c>
      <c r="AK303" s="347">
        <f>+'[148]VENTAS TOTALES'!$E80</f>
        <v>598000</v>
      </c>
      <c r="AL303" s="347">
        <f>+'[148]VENTAS TOTALES'!$F80</f>
        <v>598000</v>
      </c>
      <c r="AM303" s="346">
        <f>+'[149]VENTAS TOTALES'!$D80</f>
        <v>0</v>
      </c>
      <c r="AN303" s="347">
        <f>+'[149]VENTAS TOTALES'!$E80</f>
        <v>321000</v>
      </c>
      <c r="AO303" s="347">
        <f>+'[149]VENTAS TOTALES'!$F80</f>
        <v>321000</v>
      </c>
      <c r="AP303" s="346">
        <f>+'[150]VENTAS TOTALES'!$D80</f>
        <v>0</v>
      </c>
      <c r="AQ303" s="347">
        <f>+'[150]VENTAS TOTALES'!$E80</f>
        <v>2513000</v>
      </c>
      <c r="AR303" s="347">
        <f>+'[150]VENTAS TOTALES'!$F80</f>
        <v>2513000</v>
      </c>
      <c r="AS303" s="346">
        <f>+'[151]VENTAS TOTALES'!$D80</f>
        <v>0</v>
      </c>
      <c r="AT303" s="347">
        <f>+'[151]VENTAS TOTALES'!$E80</f>
        <v>1545000</v>
      </c>
      <c r="AU303" s="347">
        <f>+'[151]VENTAS TOTALES'!$F80</f>
        <v>1545000</v>
      </c>
      <c r="AV303" s="346">
        <f>+'[152]VENTAS TOTALES'!$D80</f>
        <v>0</v>
      </c>
      <c r="AW303" s="347">
        <f>+'[152]VENTAS TOTALES'!$E80</f>
        <v>2029000</v>
      </c>
      <c r="AX303" s="347">
        <f>+'[152]VENTAS TOTALES'!$F80</f>
        <v>2029000</v>
      </c>
      <c r="AY303" s="346">
        <f>+'[153]VENTAS TOTALES'!$D80</f>
        <v>0</v>
      </c>
      <c r="AZ303" s="347">
        <f>+'[153]VENTAS TOTALES'!$E80</f>
        <v>1577000</v>
      </c>
      <c r="BA303" s="347">
        <f>+'[153]VENTAS TOTALES'!$F80</f>
        <v>1577000</v>
      </c>
      <c r="BB303" s="346">
        <f>+'[154]VENTAS TOTALES'!$D80</f>
        <v>0</v>
      </c>
      <c r="BC303" s="347">
        <f>+'[154]VENTAS TOTALES'!$E80</f>
        <v>1000000</v>
      </c>
      <c r="BD303" s="347">
        <f>+'[154]VENTAS TOTALES'!$F80</f>
        <v>1000000</v>
      </c>
      <c r="BE303" s="346">
        <f>+'[155]VENTAS TOTALES'!$D80</f>
        <v>0</v>
      </c>
      <c r="BF303" s="347">
        <f>+'[155]VENTAS TOTALES'!$E80</f>
        <v>605000</v>
      </c>
      <c r="BG303" s="347">
        <f>+'[155]VENTAS TOTALES'!$F80</f>
        <v>605000</v>
      </c>
      <c r="BH303" s="346">
        <f>+'[156]VENTAS TOTALES'!$D80</f>
        <v>0</v>
      </c>
      <c r="BI303" s="347">
        <f>+'[156]VENTAS TOTALES'!$E80</f>
        <v>327000</v>
      </c>
      <c r="BJ303" s="347">
        <f>+'[156]VENTAS TOTALES'!$F80</f>
        <v>327000</v>
      </c>
      <c r="BK303" s="346">
        <f>+'[157]VENTAS TOTALES'!$D80</f>
        <v>0</v>
      </c>
      <c r="BL303" s="347">
        <f>+'[157]VENTAS TOTALES'!$E80</f>
        <v>2444000</v>
      </c>
      <c r="BM303" s="347">
        <f>+'[157]VENTAS TOTALES'!$F80</f>
        <v>2444000</v>
      </c>
      <c r="BN303" s="346">
        <f>+'[158]VENTAS TOTALES'!$D80</f>
        <v>0</v>
      </c>
      <c r="BO303" s="347">
        <f>+'[158]VENTAS TOTALES'!$E80</f>
        <v>1418000</v>
      </c>
      <c r="BP303" s="347">
        <f>+'[158]VENTAS TOTALES'!$F80</f>
        <v>1418000</v>
      </c>
      <c r="BQ303" s="346">
        <f>+'[159]VENTAS TOTALES'!$D80</f>
        <v>0</v>
      </c>
      <c r="BR303" s="347">
        <f>+'[159]VENTAS TOTALES'!$E80</f>
        <v>1303000</v>
      </c>
      <c r="BS303" s="347">
        <f>+'[159]VENTAS TOTALES'!$F80</f>
        <v>1303000</v>
      </c>
      <c r="BT303" s="346">
        <f>+'[160]VENTAS TOTALES'!$D80</f>
        <v>0</v>
      </c>
      <c r="BU303" s="347">
        <f>+'[160]VENTAS TOTALES'!$E80</f>
        <v>990000</v>
      </c>
      <c r="BV303" s="347">
        <f>+'[160]VENTAS TOTALES'!$F80</f>
        <v>990000</v>
      </c>
      <c r="BW303" s="346">
        <f>+'[161]VENTAS TOTALES'!$D80</f>
        <v>0</v>
      </c>
      <c r="BX303" s="347">
        <f>+'[161]VENTAS TOTALES'!$E80</f>
        <v>1223000</v>
      </c>
      <c r="BY303" s="347">
        <f>+'[161]VENTAS TOTALES'!$F80</f>
        <v>1223000</v>
      </c>
      <c r="BZ303" s="346">
        <f>+'[162]VENTAS TOTALES'!$D80</f>
        <v>0</v>
      </c>
      <c r="CA303" s="347">
        <f>+'[162]VENTAS TOTALES'!$E80</f>
        <v>752000</v>
      </c>
      <c r="CB303" s="347">
        <f>+'[162]VENTAS TOTALES'!$F80</f>
        <v>752000</v>
      </c>
      <c r="CC303" s="346">
        <f>+'[163]VENTAS TOTALES'!$D80</f>
        <v>0</v>
      </c>
      <c r="CD303" s="347">
        <f>+'[163]VENTAS TOTALES'!$E80</f>
        <v>323000</v>
      </c>
      <c r="CE303" s="347">
        <f>+'[163]VENTAS TOTALES'!$F80</f>
        <v>323000</v>
      </c>
      <c r="CF303" s="346">
        <f>+'[164]VENTAS TOTALES'!$D80</f>
        <v>0</v>
      </c>
      <c r="CG303" s="347">
        <f>+'[164]VENTAS TOTALES'!$E80</f>
        <v>2108000</v>
      </c>
      <c r="CH303" s="347">
        <f>+'[164]VENTAS TOTALES'!$F80</f>
        <v>2108000</v>
      </c>
      <c r="CI303" s="346">
        <f>+'[165]VENTAS TOTALES'!$D80</f>
        <v>0</v>
      </c>
      <c r="CJ303" s="347">
        <f>+'[165]VENTAS TOTALES'!$E80</f>
        <v>1962000</v>
      </c>
      <c r="CK303" s="347">
        <f>+'[165]VENTAS TOTALES'!$F80</f>
        <v>1962000</v>
      </c>
      <c r="CL303" s="346">
        <f>+'[166]VENTAS TOTALES'!$D80</f>
        <v>0</v>
      </c>
      <c r="CM303" s="347">
        <f>+'[166]VENTAS TOTALES'!$E80</f>
        <v>1768000</v>
      </c>
      <c r="CN303" s="347">
        <f>+'[166]VENTAS TOTALES'!$F80</f>
        <v>1768000</v>
      </c>
      <c r="CO303" s="346">
        <f>+'[167]VENTAS TOTALES'!$D80</f>
        <v>0</v>
      </c>
      <c r="CP303" s="347">
        <f>+'[167]VENTAS TOTALES'!$E80</f>
        <v>1337000</v>
      </c>
      <c r="CQ303" s="347">
        <f>+'[167]VENTAS TOTALES'!$F80</f>
        <v>1337000</v>
      </c>
      <c r="CR303" s="346">
        <f>+'[168]VENTAS TOTALES'!$D80</f>
        <v>0</v>
      </c>
      <c r="CS303" s="347">
        <f>+'[168]VENTAS TOTALES'!$E80</f>
        <v>1129000</v>
      </c>
      <c r="CT303" s="347">
        <f>+'[168]VENTAS TOTALES'!$F80</f>
        <v>1129000</v>
      </c>
      <c r="CU303" s="346">
        <f>+'[169]VENTAS TOTALES'!$D80</f>
        <v>0</v>
      </c>
      <c r="CV303" s="347">
        <f>+'[169]VENTAS TOTALES'!$E80</f>
        <v>725000</v>
      </c>
      <c r="CW303" s="347">
        <f>+'[169]VENTAS TOTALES'!$F80</f>
        <v>725000</v>
      </c>
      <c r="CX303" s="346">
        <f>+'[170]VENTAS TOTALES'!$D80</f>
        <v>0</v>
      </c>
      <c r="CY303" s="347">
        <f>+'[170]VENTAS TOTALES'!$E80</f>
        <v>240000</v>
      </c>
      <c r="CZ303" s="347">
        <f>+'[170]VENTAS TOTALES'!$F80</f>
        <v>240000</v>
      </c>
    </row>
    <row r="304" spans="1:104" s="8" customFormat="1" x14ac:dyDescent="0.2">
      <c r="A304" s="475"/>
      <c r="B304" s="370" t="s">
        <v>381</v>
      </c>
      <c r="C304" s="346">
        <f>+'[137]VENTAS TOTALES'!$D81</f>
        <v>0</v>
      </c>
      <c r="D304" s="347">
        <f>+'[137]VENTAS TOTALES'!$E81</f>
        <v>1707000</v>
      </c>
      <c r="E304" s="347">
        <f>+'[137]VENTAS TOTALES'!$F81</f>
        <v>1707000</v>
      </c>
      <c r="F304" s="346">
        <f>+'[138]VENTAS TOTALES'!$D81</f>
        <v>0</v>
      </c>
      <c r="G304" s="347">
        <f>+'[138]VENTAS TOTALES'!$E81</f>
        <v>1445000</v>
      </c>
      <c r="H304" s="347">
        <f>+'[138]VENTAS TOTALES'!$F81</f>
        <v>1445000</v>
      </c>
      <c r="I304" s="346">
        <f>+'[139]VENTAS TOTALES'!$D81</f>
        <v>0</v>
      </c>
      <c r="J304" s="347">
        <f>+'[139]VENTAS TOTALES'!$E81</f>
        <v>875000</v>
      </c>
      <c r="K304" s="347">
        <f>+'[139]VENTAS TOTALES'!$F81</f>
        <v>875000</v>
      </c>
      <c r="L304" s="346">
        <f>+'[140]VENTAS TOTALES'!$D81</f>
        <v>0</v>
      </c>
      <c r="M304" s="347">
        <f>+'[140]VENTAS TOTALES'!$E81</f>
        <v>384000</v>
      </c>
      <c r="N304" s="347">
        <f>+'[140]VENTAS TOTALES'!$F81</f>
        <v>384000</v>
      </c>
      <c r="O304" s="346">
        <f>+'[141]VENTAS TOTALES'!$D81</f>
        <v>0</v>
      </c>
      <c r="P304" s="347">
        <f>+'[141]VENTAS TOTALES'!$E81</f>
        <v>615000</v>
      </c>
      <c r="Q304" s="347">
        <f>+'[141]VENTAS TOTALES'!$F81</f>
        <v>615000</v>
      </c>
      <c r="R304" s="346">
        <f>+'[142]VENTAS TOTALES'!$D81</f>
        <v>0</v>
      </c>
      <c r="S304" s="347">
        <f>+'[142]VENTAS TOTALES'!$E81</f>
        <v>359000</v>
      </c>
      <c r="T304" s="347">
        <f>+'[142]VENTAS TOTALES'!$F81</f>
        <v>359000</v>
      </c>
      <c r="U304" s="346">
        <f>+'[143]VENTAS TOTALES'!$D81</f>
        <v>0</v>
      </c>
      <c r="V304" s="347">
        <f>+'[143]VENTAS TOTALES'!$E81</f>
        <v>1813000</v>
      </c>
      <c r="W304" s="347">
        <f>+'[143]VENTAS TOTALES'!$F81</f>
        <v>1813000</v>
      </c>
      <c r="X304" s="346">
        <f>+'[144]VENTAS TOTALES'!$D81</f>
        <v>0</v>
      </c>
      <c r="Y304" s="347">
        <f>+'[144]VENTAS TOTALES'!$E81</f>
        <v>958000</v>
      </c>
      <c r="Z304" s="347">
        <f>+'[144]VENTAS TOTALES'!$F81</f>
        <v>958000</v>
      </c>
      <c r="AA304" s="346">
        <f>+'[145]VENTAS TOTALES'!$D81</f>
        <v>0</v>
      </c>
      <c r="AB304" s="347">
        <f>+'[145]VENTAS TOTALES'!$E81</f>
        <v>1105000</v>
      </c>
      <c r="AC304" s="347">
        <f>+'[145]VENTAS TOTALES'!$F81</f>
        <v>1105000</v>
      </c>
      <c r="AD304" s="346">
        <f>+'[146]VENTAS TOTALES'!$D81</f>
        <v>0</v>
      </c>
      <c r="AE304" s="347">
        <f>+'[146]VENTAS TOTALES'!$E81</f>
        <v>993000</v>
      </c>
      <c r="AF304" s="347">
        <f>+'[146]VENTAS TOTALES'!$F81</f>
        <v>993000</v>
      </c>
      <c r="AG304" s="346">
        <f>+'[147]VENTAS TOTALES'!$D81</f>
        <v>0</v>
      </c>
      <c r="AH304" s="347">
        <f>+'[147]VENTAS TOTALES'!$E81</f>
        <v>797000</v>
      </c>
      <c r="AI304" s="347">
        <f>+'[147]VENTAS TOTALES'!$F81</f>
        <v>797000</v>
      </c>
      <c r="AJ304" s="346">
        <f>+'[148]VENTAS TOTALES'!$D81</f>
        <v>0</v>
      </c>
      <c r="AK304" s="347">
        <f>+'[148]VENTAS TOTALES'!$E81</f>
        <v>557000</v>
      </c>
      <c r="AL304" s="347">
        <f>+'[148]VENTAS TOTALES'!$F81</f>
        <v>557000</v>
      </c>
      <c r="AM304" s="346">
        <f>+'[149]VENTAS TOTALES'!$D81</f>
        <v>0</v>
      </c>
      <c r="AN304" s="347">
        <f>+'[149]VENTAS TOTALES'!$E81</f>
        <v>270000</v>
      </c>
      <c r="AO304" s="347">
        <f>+'[149]VENTAS TOTALES'!$F81</f>
        <v>270000</v>
      </c>
      <c r="AP304" s="346">
        <f>+'[150]VENTAS TOTALES'!$D81</f>
        <v>0</v>
      </c>
      <c r="AQ304" s="347">
        <f>+'[150]VENTAS TOTALES'!$E81</f>
        <v>2656000</v>
      </c>
      <c r="AR304" s="347">
        <f>+'[150]VENTAS TOTALES'!$F81</f>
        <v>2656000</v>
      </c>
      <c r="AS304" s="346">
        <f>+'[151]VENTAS TOTALES'!$D81</f>
        <v>0</v>
      </c>
      <c r="AT304" s="347">
        <f>+'[151]VENTAS TOTALES'!$E81</f>
        <v>1554000</v>
      </c>
      <c r="AU304" s="347">
        <f>+'[151]VENTAS TOTALES'!$F81</f>
        <v>1554000</v>
      </c>
      <c r="AV304" s="346">
        <f>+'[152]VENTAS TOTALES'!$D81</f>
        <v>0</v>
      </c>
      <c r="AW304" s="347">
        <f>+'[152]VENTAS TOTALES'!$E81</f>
        <v>1770000</v>
      </c>
      <c r="AX304" s="347">
        <f>+'[152]VENTAS TOTALES'!$F81</f>
        <v>1770000</v>
      </c>
      <c r="AY304" s="346">
        <f>+'[153]VENTAS TOTALES'!$D81</f>
        <v>0</v>
      </c>
      <c r="AZ304" s="347">
        <f>+'[153]VENTAS TOTALES'!$E81</f>
        <v>1334000</v>
      </c>
      <c r="BA304" s="347">
        <f>+'[153]VENTAS TOTALES'!$F81</f>
        <v>1334000</v>
      </c>
      <c r="BB304" s="346">
        <f>+'[154]VENTAS TOTALES'!$D81</f>
        <v>0</v>
      </c>
      <c r="BC304" s="347">
        <f>+'[154]VENTAS TOTALES'!$E81</f>
        <v>390000</v>
      </c>
      <c r="BD304" s="347">
        <f>+'[154]VENTAS TOTALES'!$F81</f>
        <v>390000</v>
      </c>
      <c r="BE304" s="346">
        <f>+'[155]VENTAS TOTALES'!$D81</f>
        <v>0</v>
      </c>
      <c r="BF304" s="347">
        <f>+'[155]VENTAS TOTALES'!$E81</f>
        <v>751000</v>
      </c>
      <c r="BG304" s="347">
        <f>+'[155]VENTAS TOTALES'!$F81</f>
        <v>751000</v>
      </c>
      <c r="BH304" s="346">
        <f>+'[156]VENTAS TOTALES'!$D81</f>
        <v>0</v>
      </c>
      <c r="BI304" s="347">
        <f>+'[156]VENTAS TOTALES'!$E81</f>
        <v>416000</v>
      </c>
      <c r="BJ304" s="347">
        <f>+'[156]VENTAS TOTALES'!$F81</f>
        <v>416000</v>
      </c>
      <c r="BK304" s="346">
        <f>+'[157]VENTAS TOTALES'!$D81</f>
        <v>0</v>
      </c>
      <c r="BL304" s="347">
        <f>+'[157]VENTAS TOTALES'!$E81</f>
        <v>2009000</v>
      </c>
      <c r="BM304" s="347">
        <f>+'[157]VENTAS TOTALES'!$F81</f>
        <v>2009000</v>
      </c>
      <c r="BN304" s="346">
        <f>+'[158]VENTAS TOTALES'!$D81</f>
        <v>0</v>
      </c>
      <c r="BO304" s="347">
        <f>+'[158]VENTAS TOTALES'!$E81</f>
        <v>490000</v>
      </c>
      <c r="BP304" s="347">
        <f>+'[158]VENTAS TOTALES'!$F81</f>
        <v>490000</v>
      </c>
      <c r="BQ304" s="346">
        <f>+'[159]VENTAS TOTALES'!$D81</f>
        <v>0</v>
      </c>
      <c r="BR304" s="347">
        <f>+'[159]VENTAS TOTALES'!$E81</f>
        <v>1018000</v>
      </c>
      <c r="BS304" s="347">
        <f>+'[159]VENTAS TOTALES'!$F81</f>
        <v>1018000</v>
      </c>
      <c r="BT304" s="346">
        <f>+'[160]VENTAS TOTALES'!$D81</f>
        <v>0</v>
      </c>
      <c r="BU304" s="347">
        <f>+'[160]VENTAS TOTALES'!$E81</f>
        <v>824000</v>
      </c>
      <c r="BV304" s="347">
        <f>+'[160]VENTAS TOTALES'!$F81</f>
        <v>824000</v>
      </c>
      <c r="BW304" s="346">
        <f>+'[161]VENTAS TOTALES'!$D81</f>
        <v>0</v>
      </c>
      <c r="BX304" s="347">
        <f>+'[161]VENTAS TOTALES'!$E81</f>
        <v>994000</v>
      </c>
      <c r="BY304" s="347">
        <f>+'[161]VENTAS TOTALES'!$F81</f>
        <v>994000</v>
      </c>
      <c r="BZ304" s="346">
        <f>+'[162]VENTAS TOTALES'!$D81</f>
        <v>0</v>
      </c>
      <c r="CA304" s="347">
        <f>+'[162]VENTAS TOTALES'!$E81</f>
        <v>434000</v>
      </c>
      <c r="CB304" s="347">
        <f>+'[162]VENTAS TOTALES'!$F81</f>
        <v>434000</v>
      </c>
      <c r="CC304" s="346">
        <f>+'[163]VENTAS TOTALES'!$D81</f>
        <v>0</v>
      </c>
      <c r="CD304" s="347">
        <f>+'[163]VENTAS TOTALES'!$E81</f>
        <v>493000</v>
      </c>
      <c r="CE304" s="347">
        <f>+'[163]VENTAS TOTALES'!$F81</f>
        <v>493000</v>
      </c>
      <c r="CF304" s="346">
        <f>+'[164]VENTAS TOTALES'!$D81</f>
        <v>0</v>
      </c>
      <c r="CG304" s="347">
        <f>+'[164]VENTAS TOTALES'!$E81</f>
        <v>1935000</v>
      </c>
      <c r="CH304" s="347">
        <f>+'[164]VENTAS TOTALES'!$F81</f>
        <v>1935000</v>
      </c>
      <c r="CI304" s="346">
        <f>+'[165]VENTAS TOTALES'!$D81</f>
        <v>0</v>
      </c>
      <c r="CJ304" s="347">
        <f>+'[165]VENTAS TOTALES'!$E81</f>
        <v>1633000</v>
      </c>
      <c r="CK304" s="347">
        <f>+'[165]VENTAS TOTALES'!$F81</f>
        <v>1633000</v>
      </c>
      <c r="CL304" s="346">
        <f>+'[166]VENTAS TOTALES'!$D81</f>
        <v>0</v>
      </c>
      <c r="CM304" s="347">
        <f>+'[166]VENTAS TOTALES'!$E81</f>
        <v>1395000</v>
      </c>
      <c r="CN304" s="347">
        <f>+'[166]VENTAS TOTALES'!$F81</f>
        <v>1395000</v>
      </c>
      <c r="CO304" s="346">
        <f>+'[167]VENTAS TOTALES'!$D81</f>
        <v>0</v>
      </c>
      <c r="CP304" s="347">
        <f>+'[167]VENTAS TOTALES'!$E81</f>
        <v>1285000</v>
      </c>
      <c r="CQ304" s="347">
        <f>+'[167]VENTAS TOTALES'!$F81</f>
        <v>1285000</v>
      </c>
      <c r="CR304" s="346">
        <f>+'[168]VENTAS TOTALES'!$D81</f>
        <v>0</v>
      </c>
      <c r="CS304" s="347">
        <f>+'[168]VENTAS TOTALES'!$E81</f>
        <v>1005000</v>
      </c>
      <c r="CT304" s="347">
        <f>+'[168]VENTAS TOTALES'!$F81</f>
        <v>1005000</v>
      </c>
      <c r="CU304" s="346">
        <f>+'[169]VENTAS TOTALES'!$D81</f>
        <v>0</v>
      </c>
      <c r="CV304" s="347">
        <f>+'[169]VENTAS TOTALES'!$E81</f>
        <v>915000</v>
      </c>
      <c r="CW304" s="347">
        <f>+'[169]VENTAS TOTALES'!$F81</f>
        <v>915000</v>
      </c>
      <c r="CX304" s="346">
        <f>+'[170]VENTAS TOTALES'!$D81</f>
        <v>0</v>
      </c>
      <c r="CY304" s="347">
        <f>+'[170]VENTAS TOTALES'!$E81</f>
        <v>476000</v>
      </c>
      <c r="CZ304" s="347">
        <f>+'[170]VENTAS TOTALES'!$F81</f>
        <v>476000</v>
      </c>
    </row>
    <row r="305" spans="1:104" s="8" customFormat="1" x14ac:dyDescent="0.2">
      <c r="A305" s="475"/>
      <c r="B305" s="370" t="s">
        <v>458</v>
      </c>
      <c r="C305" s="346">
        <f>+'[137]VENTAS TOTALES'!$D86</f>
        <v>0</v>
      </c>
      <c r="D305" s="347">
        <f>+'[137]VENTAS TOTALES'!$E86</f>
        <v>2000</v>
      </c>
      <c r="E305" s="347">
        <f>+'[137]VENTAS TOTALES'!$F86</f>
        <v>2000</v>
      </c>
      <c r="F305" s="346">
        <f>+'[138]VENTAS TOTALES'!$D86</f>
        <v>0</v>
      </c>
      <c r="G305" s="347">
        <f>+'[138]VENTAS TOTALES'!$E86</f>
        <v>0</v>
      </c>
      <c r="H305" s="347">
        <f>+'[138]VENTAS TOTALES'!$F86</f>
        <v>0</v>
      </c>
      <c r="I305" s="346">
        <f>+'[139]VENTAS TOTALES'!$D86</f>
        <v>0</v>
      </c>
      <c r="J305" s="347">
        <f>+'[139]VENTAS TOTALES'!$E86</f>
        <v>5000</v>
      </c>
      <c r="K305" s="347">
        <f>+'[139]VENTAS TOTALES'!$F86</f>
        <v>5000</v>
      </c>
      <c r="L305" s="346">
        <f>+'[140]VENTAS TOTALES'!$D86</f>
        <v>0</v>
      </c>
      <c r="M305" s="347">
        <f>+'[140]VENTAS TOTALES'!$E86</f>
        <v>0</v>
      </c>
      <c r="N305" s="347">
        <f>+'[140]VENTAS TOTALES'!$F86</f>
        <v>0</v>
      </c>
      <c r="O305" s="346">
        <f>+'[141]VENTAS TOTALES'!$D86</f>
        <v>0</v>
      </c>
      <c r="P305" s="347">
        <f>+'[141]VENTAS TOTALES'!$E86</f>
        <v>0</v>
      </c>
      <c r="Q305" s="347">
        <f>+'[141]VENTAS TOTALES'!$F86</f>
        <v>0</v>
      </c>
      <c r="R305" s="346">
        <f>+'[142]VENTAS TOTALES'!$D86</f>
        <v>0</v>
      </c>
      <c r="S305" s="347">
        <f>+'[142]VENTAS TOTALES'!$E86</f>
        <v>0</v>
      </c>
      <c r="T305" s="347">
        <f>+'[142]VENTAS TOTALES'!$F86</f>
        <v>0</v>
      </c>
      <c r="U305" s="346">
        <f>+'[143]VENTAS TOTALES'!$D86</f>
        <v>0</v>
      </c>
      <c r="V305" s="347">
        <f>+'[143]VENTAS TOTALES'!$E86</f>
        <v>14000</v>
      </c>
      <c r="W305" s="347">
        <f>+'[143]VENTAS TOTALES'!$F86</f>
        <v>14000</v>
      </c>
      <c r="X305" s="346">
        <f>+'[144]VENTAS TOTALES'!$D86</f>
        <v>0</v>
      </c>
      <c r="Y305" s="347">
        <f>+'[144]VENTAS TOTALES'!$E86</f>
        <v>0</v>
      </c>
      <c r="Z305" s="347">
        <f>+'[144]VENTAS TOTALES'!$F86</f>
        <v>0</v>
      </c>
      <c r="AA305" s="346">
        <f>+'[145]VENTAS TOTALES'!$D86</f>
        <v>0</v>
      </c>
      <c r="AB305" s="347">
        <f>+'[145]VENTAS TOTALES'!$E86</f>
        <v>0</v>
      </c>
      <c r="AC305" s="347">
        <f>+'[145]VENTAS TOTALES'!$F86</f>
        <v>0</v>
      </c>
      <c r="AD305" s="346">
        <f>+'[146]VENTAS TOTALES'!$D86</f>
        <v>0</v>
      </c>
      <c r="AE305" s="347">
        <f>+'[146]VENTAS TOTALES'!$E86</f>
        <v>0</v>
      </c>
      <c r="AF305" s="347">
        <f>+'[146]VENTAS TOTALES'!$F86</f>
        <v>0</v>
      </c>
      <c r="AG305" s="346">
        <f>+'[147]VENTAS TOTALES'!$D86</f>
        <v>0</v>
      </c>
      <c r="AH305" s="347">
        <f>+'[147]VENTAS TOTALES'!$E86</f>
        <v>0</v>
      </c>
      <c r="AI305" s="347">
        <f>+'[147]VENTAS TOTALES'!$F86</f>
        <v>0</v>
      </c>
      <c r="AJ305" s="346">
        <f>+'[148]VENTAS TOTALES'!$D86</f>
        <v>0</v>
      </c>
      <c r="AK305" s="347">
        <f>+'[148]VENTAS TOTALES'!$E86</f>
        <v>0</v>
      </c>
      <c r="AL305" s="347">
        <f>+'[148]VENTAS TOTALES'!$F86</f>
        <v>0</v>
      </c>
      <c r="AM305" s="346">
        <f>+'[149]VENTAS TOTALES'!$D86</f>
        <v>0</v>
      </c>
      <c r="AN305" s="347">
        <f>+'[149]VENTAS TOTALES'!$E86</f>
        <v>0</v>
      </c>
      <c r="AO305" s="347">
        <f>+'[149]VENTAS TOTALES'!$F86</f>
        <v>0</v>
      </c>
      <c r="AP305" s="346">
        <f>+'[150]VENTAS TOTALES'!$D86</f>
        <v>0</v>
      </c>
      <c r="AQ305" s="347">
        <f>+'[150]VENTAS TOTALES'!$E86</f>
        <v>17000</v>
      </c>
      <c r="AR305" s="347">
        <f>+'[150]VENTAS TOTALES'!$F86</f>
        <v>17000</v>
      </c>
      <c r="AS305" s="346">
        <f>+'[151]VENTAS TOTALES'!$D86</f>
        <v>0</v>
      </c>
      <c r="AT305" s="347">
        <f>+'[151]VENTAS TOTALES'!$E86</f>
        <v>0</v>
      </c>
      <c r="AU305" s="347">
        <f>+'[151]VENTAS TOTALES'!$F86</f>
        <v>0</v>
      </c>
      <c r="AV305" s="346">
        <f>+'[152]VENTAS TOTALES'!$D86</f>
        <v>0</v>
      </c>
      <c r="AW305" s="347">
        <f>+'[152]VENTAS TOTALES'!$E86</f>
        <v>2000</v>
      </c>
      <c r="AX305" s="347">
        <f>+'[152]VENTAS TOTALES'!$F86</f>
        <v>2000</v>
      </c>
      <c r="AY305" s="346">
        <f>+'[153]VENTAS TOTALES'!$D86</f>
        <v>0</v>
      </c>
      <c r="AZ305" s="347">
        <f>+'[153]VENTAS TOTALES'!$E86</f>
        <v>0</v>
      </c>
      <c r="BA305" s="347">
        <f>+'[153]VENTAS TOTALES'!$F86</f>
        <v>0</v>
      </c>
      <c r="BB305" s="346">
        <f>+'[154]VENTAS TOTALES'!$D86</f>
        <v>0</v>
      </c>
      <c r="BC305" s="347">
        <f>+'[154]VENTAS TOTALES'!$E86</f>
        <v>3000</v>
      </c>
      <c r="BD305" s="347">
        <f>+'[154]VENTAS TOTALES'!$F86</f>
        <v>3000</v>
      </c>
      <c r="BE305" s="346">
        <f>+'[155]VENTAS TOTALES'!$D86</f>
        <v>0</v>
      </c>
      <c r="BF305" s="347">
        <f>+'[155]VENTAS TOTALES'!$E86</f>
        <v>0</v>
      </c>
      <c r="BG305" s="347">
        <f>+'[155]VENTAS TOTALES'!$F86</f>
        <v>0</v>
      </c>
      <c r="BH305" s="346">
        <f>+'[156]VENTAS TOTALES'!$D86</f>
        <v>0</v>
      </c>
      <c r="BI305" s="347">
        <f>+'[156]VENTAS TOTALES'!$E86</f>
        <v>0</v>
      </c>
      <c r="BJ305" s="347">
        <f>+'[156]VENTAS TOTALES'!$F86</f>
        <v>0</v>
      </c>
      <c r="BK305" s="346">
        <f>+'[157]VENTAS TOTALES'!$D86</f>
        <v>0</v>
      </c>
      <c r="BL305" s="347">
        <f>+'[157]VENTAS TOTALES'!$E86</f>
        <v>0</v>
      </c>
      <c r="BM305" s="347">
        <f>+'[157]VENTAS TOTALES'!$F86</f>
        <v>0</v>
      </c>
      <c r="BN305" s="346">
        <f>+'[158]VENTAS TOTALES'!$D86</f>
        <v>0</v>
      </c>
      <c r="BO305" s="347">
        <f>+'[158]VENTAS TOTALES'!$E86</f>
        <v>10000</v>
      </c>
      <c r="BP305" s="347">
        <f>+'[158]VENTAS TOTALES'!$F86</f>
        <v>10000</v>
      </c>
      <c r="BQ305" s="346">
        <f>+'[159]VENTAS TOTALES'!$D86</f>
        <v>0</v>
      </c>
      <c r="BR305" s="347">
        <f>+'[159]VENTAS TOTALES'!$E86</f>
        <v>0</v>
      </c>
      <c r="BS305" s="347">
        <f>+'[159]VENTAS TOTALES'!$F86</f>
        <v>0</v>
      </c>
      <c r="BT305" s="346">
        <f>+'[160]VENTAS TOTALES'!$D86</f>
        <v>0</v>
      </c>
      <c r="BU305" s="347">
        <f>+'[160]VENTAS TOTALES'!$E86</f>
        <v>0</v>
      </c>
      <c r="BV305" s="347">
        <f>+'[160]VENTAS TOTALES'!$F86</f>
        <v>0</v>
      </c>
      <c r="BW305" s="346">
        <f>+'[161]VENTAS TOTALES'!$D86</f>
        <v>0</v>
      </c>
      <c r="BX305" s="347">
        <f>+'[161]VENTAS TOTALES'!$E86</f>
        <v>0</v>
      </c>
      <c r="BY305" s="347">
        <f>+'[161]VENTAS TOTALES'!$F86</f>
        <v>0</v>
      </c>
      <c r="BZ305" s="346">
        <f>+'[162]VENTAS TOTALES'!$D86</f>
        <v>0</v>
      </c>
      <c r="CA305" s="347">
        <f>+'[162]VENTAS TOTALES'!$E86</f>
        <v>0</v>
      </c>
      <c r="CB305" s="347">
        <f>+'[162]VENTAS TOTALES'!$F86</f>
        <v>0</v>
      </c>
      <c r="CC305" s="346">
        <f>+'[163]VENTAS TOTALES'!$D86</f>
        <v>0</v>
      </c>
      <c r="CD305" s="347">
        <f>+'[163]VENTAS TOTALES'!$E86</f>
        <v>0</v>
      </c>
      <c r="CE305" s="347">
        <f>+'[163]VENTAS TOTALES'!$F86</f>
        <v>0</v>
      </c>
      <c r="CF305" s="346">
        <f>+'[164]VENTAS TOTALES'!$D86</f>
        <v>0</v>
      </c>
      <c r="CG305" s="347">
        <f>+'[164]VENTAS TOTALES'!$E86</f>
        <v>0</v>
      </c>
      <c r="CH305" s="347">
        <f>+'[164]VENTAS TOTALES'!$F86</f>
        <v>0</v>
      </c>
      <c r="CI305" s="346">
        <f>+'[165]VENTAS TOTALES'!$D86</f>
        <v>0</v>
      </c>
      <c r="CJ305" s="347">
        <f>+'[165]VENTAS TOTALES'!$E86</f>
        <v>3000</v>
      </c>
      <c r="CK305" s="347">
        <f>+'[165]VENTAS TOTALES'!$F86</f>
        <v>3000</v>
      </c>
      <c r="CL305" s="346">
        <f>+'[166]VENTAS TOTALES'!$D86</f>
        <v>0</v>
      </c>
      <c r="CM305" s="347">
        <f>+'[166]VENTAS TOTALES'!$E86</f>
        <v>0</v>
      </c>
      <c r="CN305" s="347">
        <f>+'[166]VENTAS TOTALES'!$F86</f>
        <v>0</v>
      </c>
      <c r="CO305" s="346">
        <f>+'[167]VENTAS TOTALES'!$D86</f>
        <v>0</v>
      </c>
      <c r="CP305" s="347">
        <f>+'[167]VENTAS TOTALES'!$E86</f>
        <v>4000</v>
      </c>
      <c r="CQ305" s="347">
        <f>+'[167]VENTAS TOTALES'!$F86</f>
        <v>4000</v>
      </c>
      <c r="CR305" s="346">
        <f>+'[168]VENTAS TOTALES'!$D86</f>
        <v>0</v>
      </c>
      <c r="CS305" s="347">
        <f>+'[168]VENTAS TOTALES'!$E86</f>
        <v>0</v>
      </c>
      <c r="CT305" s="347">
        <f>+'[168]VENTAS TOTALES'!$F86</f>
        <v>0</v>
      </c>
      <c r="CU305" s="346">
        <f>+'[169]VENTAS TOTALES'!$D86</f>
        <v>0</v>
      </c>
      <c r="CV305" s="347">
        <f>+'[169]VENTAS TOTALES'!$E86</f>
        <v>0</v>
      </c>
      <c r="CW305" s="347">
        <f>+'[169]VENTAS TOTALES'!$F86</f>
        <v>0</v>
      </c>
      <c r="CX305" s="346">
        <f>+'[170]VENTAS TOTALES'!$D86</f>
        <v>0</v>
      </c>
      <c r="CY305" s="347">
        <f>+'[170]VENTAS TOTALES'!$E86</f>
        <v>0</v>
      </c>
      <c r="CZ305" s="347">
        <f>+'[170]VENTAS TOTALES'!$F86</f>
        <v>0</v>
      </c>
    </row>
    <row r="306" spans="1:104" s="8" customFormat="1" x14ac:dyDescent="0.2">
      <c r="A306" s="475"/>
      <c r="B306" s="370" t="s">
        <v>459</v>
      </c>
      <c r="C306" s="346">
        <f>+'[137]VENTAS TOTALES'!$D87</f>
        <v>0</v>
      </c>
      <c r="D306" s="347">
        <f>+'[137]VENTAS TOTALES'!$E87</f>
        <v>0</v>
      </c>
      <c r="E306" s="347">
        <f>+'[137]VENTAS TOTALES'!$F87</f>
        <v>0</v>
      </c>
      <c r="F306" s="346">
        <f>+'[138]VENTAS TOTALES'!$D87</f>
        <v>0</v>
      </c>
      <c r="G306" s="347">
        <f>+'[138]VENTAS TOTALES'!$E87</f>
        <v>33000</v>
      </c>
      <c r="H306" s="347">
        <f>+'[138]VENTAS TOTALES'!$F87</f>
        <v>33000</v>
      </c>
      <c r="I306" s="346">
        <f>+'[139]VENTAS TOTALES'!$D87</f>
        <v>0</v>
      </c>
      <c r="J306" s="347">
        <f>+'[139]VENTAS TOTALES'!$E87</f>
        <v>18000</v>
      </c>
      <c r="K306" s="347">
        <f>+'[139]VENTAS TOTALES'!$F87</f>
        <v>18000</v>
      </c>
      <c r="L306" s="346">
        <f>+'[140]VENTAS TOTALES'!$D87</f>
        <v>0</v>
      </c>
      <c r="M306" s="347">
        <f>+'[140]VENTAS TOTALES'!$E87</f>
        <v>0</v>
      </c>
      <c r="N306" s="347">
        <f>+'[140]VENTAS TOTALES'!$F87</f>
        <v>0</v>
      </c>
      <c r="O306" s="346">
        <f>+'[141]VENTAS TOTALES'!$D87</f>
        <v>0</v>
      </c>
      <c r="P306" s="347">
        <f>+'[141]VENTAS TOTALES'!$E87</f>
        <v>0</v>
      </c>
      <c r="Q306" s="347">
        <f>+'[141]VENTAS TOTALES'!$F87</f>
        <v>0</v>
      </c>
      <c r="R306" s="346">
        <f>+'[142]VENTAS TOTALES'!$D87</f>
        <v>0</v>
      </c>
      <c r="S306" s="347">
        <f>+'[142]VENTAS TOTALES'!$E87</f>
        <v>0</v>
      </c>
      <c r="T306" s="347">
        <f>+'[142]VENTAS TOTALES'!$F87</f>
        <v>0</v>
      </c>
      <c r="U306" s="346">
        <f>+'[143]VENTAS TOTALES'!$D87</f>
        <v>0</v>
      </c>
      <c r="V306" s="347">
        <f>+'[143]VENTAS TOTALES'!$E87</f>
        <v>0</v>
      </c>
      <c r="W306" s="347">
        <f>+'[143]VENTAS TOTALES'!$F87</f>
        <v>0</v>
      </c>
      <c r="X306" s="346">
        <f>+'[144]VENTAS TOTALES'!$D87</f>
        <v>0</v>
      </c>
      <c r="Y306" s="347">
        <f>+'[144]VENTAS TOTALES'!$E87</f>
        <v>31000</v>
      </c>
      <c r="Z306" s="347">
        <f>+'[144]VENTAS TOTALES'!$F87</f>
        <v>31000</v>
      </c>
      <c r="AA306" s="346">
        <f>+'[145]VENTAS TOTALES'!$D87</f>
        <v>0</v>
      </c>
      <c r="AB306" s="347">
        <f>+'[145]VENTAS TOTALES'!$E87</f>
        <v>21000</v>
      </c>
      <c r="AC306" s="347">
        <f>+'[145]VENTAS TOTALES'!$F87</f>
        <v>21000</v>
      </c>
      <c r="AD306" s="346">
        <f>+'[146]VENTAS TOTALES'!$D87</f>
        <v>0</v>
      </c>
      <c r="AE306" s="347">
        <f>+'[146]VENTAS TOTALES'!$E87</f>
        <v>28000</v>
      </c>
      <c r="AF306" s="347">
        <f>+'[146]VENTAS TOTALES'!$F87</f>
        <v>28000</v>
      </c>
      <c r="AG306" s="346">
        <f>+'[147]VENTAS TOTALES'!$D87</f>
        <v>0</v>
      </c>
      <c r="AH306" s="347">
        <f>+'[147]VENTAS TOTALES'!$E87</f>
        <v>11000</v>
      </c>
      <c r="AI306" s="347">
        <f>+'[147]VENTAS TOTALES'!$F87</f>
        <v>11000</v>
      </c>
      <c r="AJ306" s="346">
        <f>+'[148]VENTAS TOTALES'!$D87</f>
        <v>0</v>
      </c>
      <c r="AK306" s="347">
        <f>+'[148]VENTAS TOTALES'!$E87</f>
        <v>1000</v>
      </c>
      <c r="AL306" s="347">
        <f>+'[148]VENTAS TOTALES'!$F87</f>
        <v>1000</v>
      </c>
      <c r="AM306" s="346">
        <f>+'[149]VENTAS TOTALES'!$D87</f>
        <v>0</v>
      </c>
      <c r="AN306" s="347">
        <f>+'[149]VENTAS TOTALES'!$E87</f>
        <v>0</v>
      </c>
      <c r="AO306" s="347">
        <f>+'[149]VENTAS TOTALES'!$F87</f>
        <v>0</v>
      </c>
      <c r="AP306" s="346">
        <f>+'[150]VENTAS TOTALES'!$D87</f>
        <v>0</v>
      </c>
      <c r="AQ306" s="347">
        <f>+'[150]VENTAS TOTALES'!$E87</f>
        <v>5000</v>
      </c>
      <c r="AR306" s="347">
        <f>+'[150]VENTAS TOTALES'!$F87</f>
        <v>5000</v>
      </c>
      <c r="AS306" s="346">
        <f>+'[151]VENTAS TOTALES'!$D87</f>
        <v>0</v>
      </c>
      <c r="AT306" s="347">
        <f>+'[151]VENTAS TOTALES'!$E87</f>
        <v>23000</v>
      </c>
      <c r="AU306" s="347">
        <f>+'[151]VENTAS TOTALES'!$F87</f>
        <v>23000</v>
      </c>
      <c r="AV306" s="346">
        <f>+'[152]VENTAS TOTALES'!$D87</f>
        <v>0</v>
      </c>
      <c r="AW306" s="347">
        <f>+'[152]VENTAS TOTALES'!$E87</f>
        <v>22000</v>
      </c>
      <c r="AX306" s="347">
        <f>+'[152]VENTAS TOTALES'!$F87</f>
        <v>22000</v>
      </c>
      <c r="AY306" s="346">
        <f>+'[153]VENTAS TOTALES'!$D87</f>
        <v>0</v>
      </c>
      <c r="AZ306" s="347">
        <f>+'[153]VENTAS TOTALES'!$E87</f>
        <v>17000</v>
      </c>
      <c r="BA306" s="347">
        <f>+'[153]VENTAS TOTALES'!$F87</f>
        <v>17000</v>
      </c>
      <c r="BB306" s="346">
        <f>+'[154]VENTAS TOTALES'!$D87</f>
        <v>0</v>
      </c>
      <c r="BC306" s="347">
        <f>+'[154]VENTAS TOTALES'!$E87</f>
        <v>17000</v>
      </c>
      <c r="BD306" s="347">
        <f>+'[154]VENTAS TOTALES'!$F87</f>
        <v>17000</v>
      </c>
      <c r="BE306" s="346">
        <f>+'[155]VENTAS TOTALES'!$D87</f>
        <v>0</v>
      </c>
      <c r="BF306" s="347">
        <f>+'[155]VENTAS TOTALES'!$E87</f>
        <v>20000</v>
      </c>
      <c r="BG306" s="347">
        <f>+'[155]VENTAS TOTALES'!$F87</f>
        <v>20000</v>
      </c>
      <c r="BH306" s="346">
        <f>+'[156]VENTAS TOTALES'!$D87</f>
        <v>0</v>
      </c>
      <c r="BI306" s="347">
        <f>+'[156]VENTAS TOTALES'!$E87</f>
        <v>0</v>
      </c>
      <c r="BJ306" s="347">
        <f>+'[156]VENTAS TOTALES'!$F87</f>
        <v>0</v>
      </c>
      <c r="BK306" s="346">
        <f>+'[157]VENTAS TOTALES'!$D87</f>
        <v>0</v>
      </c>
      <c r="BL306" s="347">
        <f>+'[157]VENTAS TOTALES'!$E87</f>
        <v>27000</v>
      </c>
      <c r="BM306" s="347">
        <f>+'[157]VENTAS TOTALES'!$F87</f>
        <v>27000</v>
      </c>
      <c r="BN306" s="346">
        <f>+'[158]VENTAS TOTALES'!$D87</f>
        <v>0</v>
      </c>
      <c r="BO306" s="347">
        <f>+'[158]VENTAS TOTALES'!$E87</f>
        <v>34000</v>
      </c>
      <c r="BP306" s="347">
        <f>+'[158]VENTAS TOTALES'!$F87</f>
        <v>34000</v>
      </c>
      <c r="BQ306" s="346">
        <f>+'[159]VENTAS TOTALES'!$D87</f>
        <v>0</v>
      </c>
      <c r="BR306" s="347">
        <f>+'[159]VENTAS TOTALES'!$E87</f>
        <v>15000</v>
      </c>
      <c r="BS306" s="347">
        <f>+'[159]VENTAS TOTALES'!$F87</f>
        <v>15000</v>
      </c>
      <c r="BT306" s="346">
        <f>+'[160]VENTAS TOTALES'!$D87</f>
        <v>0</v>
      </c>
      <c r="BU306" s="347">
        <f>+'[160]VENTAS TOTALES'!$E87</f>
        <v>0</v>
      </c>
      <c r="BV306" s="347">
        <f>+'[160]VENTAS TOTALES'!$F87</f>
        <v>0</v>
      </c>
      <c r="BW306" s="346">
        <f>+'[161]VENTAS TOTALES'!$D87</f>
        <v>0</v>
      </c>
      <c r="BX306" s="347">
        <f>+'[161]VENTAS TOTALES'!$E87</f>
        <v>10000</v>
      </c>
      <c r="BY306" s="347">
        <f>+'[161]VENTAS TOTALES'!$F87</f>
        <v>10000</v>
      </c>
      <c r="BZ306" s="346">
        <f>+'[162]VENTAS TOTALES'!$D87</f>
        <v>0</v>
      </c>
      <c r="CA306" s="347">
        <f>+'[162]VENTAS TOTALES'!$E87</f>
        <v>0</v>
      </c>
      <c r="CB306" s="347">
        <f>+'[162]VENTAS TOTALES'!$F87</f>
        <v>0</v>
      </c>
      <c r="CC306" s="346">
        <f>+'[163]VENTAS TOTALES'!$D87</f>
        <v>0</v>
      </c>
      <c r="CD306" s="347">
        <f>+'[163]VENTAS TOTALES'!$E87</f>
        <v>0</v>
      </c>
      <c r="CE306" s="347">
        <f>+'[163]VENTAS TOTALES'!$F87</f>
        <v>0</v>
      </c>
      <c r="CF306" s="346">
        <f>+'[164]VENTAS TOTALES'!$D87</f>
        <v>0</v>
      </c>
      <c r="CG306" s="347">
        <f>+'[164]VENTAS TOTALES'!$E87</f>
        <v>46000</v>
      </c>
      <c r="CH306" s="347">
        <f>+'[164]VENTAS TOTALES'!$F87</f>
        <v>46000</v>
      </c>
      <c r="CI306" s="346">
        <f>+'[165]VENTAS TOTALES'!$D87</f>
        <v>0</v>
      </c>
      <c r="CJ306" s="347">
        <f>+'[165]VENTAS TOTALES'!$E87</f>
        <v>9000</v>
      </c>
      <c r="CK306" s="347">
        <f>+'[165]VENTAS TOTALES'!$F87</f>
        <v>9000</v>
      </c>
      <c r="CL306" s="346">
        <f>+'[166]VENTAS TOTALES'!$D87</f>
        <v>0</v>
      </c>
      <c r="CM306" s="347">
        <f>+'[166]VENTAS TOTALES'!$E87</f>
        <v>7000</v>
      </c>
      <c r="CN306" s="347">
        <f>+'[166]VENTAS TOTALES'!$F87</f>
        <v>7000</v>
      </c>
      <c r="CO306" s="346">
        <f>+'[167]VENTAS TOTALES'!$D87</f>
        <v>0</v>
      </c>
      <c r="CP306" s="347">
        <f>+'[167]VENTAS TOTALES'!$E87</f>
        <v>9000</v>
      </c>
      <c r="CQ306" s="347">
        <f>+'[167]VENTAS TOTALES'!$F87</f>
        <v>9000</v>
      </c>
      <c r="CR306" s="346">
        <f>+'[168]VENTAS TOTALES'!$D87</f>
        <v>0</v>
      </c>
      <c r="CS306" s="347">
        <f>+'[168]VENTAS TOTALES'!$E87</f>
        <v>12000</v>
      </c>
      <c r="CT306" s="347">
        <f>+'[168]VENTAS TOTALES'!$F87</f>
        <v>12000</v>
      </c>
      <c r="CU306" s="346">
        <f>+'[169]VENTAS TOTALES'!$D87</f>
        <v>0</v>
      </c>
      <c r="CV306" s="347">
        <f>+'[169]VENTAS TOTALES'!$E87</f>
        <v>0</v>
      </c>
      <c r="CW306" s="347">
        <f>+'[169]VENTAS TOTALES'!$F87</f>
        <v>0</v>
      </c>
      <c r="CX306" s="346">
        <f>+'[170]VENTAS TOTALES'!$D87</f>
        <v>0</v>
      </c>
      <c r="CY306" s="347">
        <f>+'[170]VENTAS TOTALES'!$E87</f>
        <v>0</v>
      </c>
      <c r="CZ306" s="347">
        <f>+'[170]VENTAS TOTALES'!$F87</f>
        <v>0</v>
      </c>
    </row>
    <row r="307" spans="1:104" s="8" customFormat="1" x14ac:dyDescent="0.2">
      <c r="A307" s="475"/>
      <c r="B307" s="370" t="s">
        <v>460</v>
      </c>
      <c r="C307" s="346">
        <f>+'[137]VENTAS TOTALES'!$D88</f>
        <v>0</v>
      </c>
      <c r="D307" s="347">
        <f>+'[137]VENTAS TOTALES'!$E88</f>
        <v>166000</v>
      </c>
      <c r="E307" s="347">
        <f>+'[137]VENTAS TOTALES'!$F88</f>
        <v>166000</v>
      </c>
      <c r="F307" s="346">
        <f>+'[138]VENTAS TOTALES'!$D88</f>
        <v>0</v>
      </c>
      <c r="G307" s="347">
        <f>+'[138]VENTAS TOTALES'!$E88</f>
        <v>52000</v>
      </c>
      <c r="H307" s="347">
        <f>+'[138]VENTAS TOTALES'!$F88</f>
        <v>52000</v>
      </c>
      <c r="I307" s="346">
        <f>+'[139]VENTAS TOTALES'!$D88</f>
        <v>0</v>
      </c>
      <c r="J307" s="347">
        <f>+'[139]VENTAS TOTALES'!$E88</f>
        <v>74000</v>
      </c>
      <c r="K307" s="347">
        <f>+'[139]VENTAS TOTALES'!$F88</f>
        <v>74000</v>
      </c>
      <c r="L307" s="346">
        <f>+'[140]VENTAS TOTALES'!$D88</f>
        <v>0</v>
      </c>
      <c r="M307" s="347">
        <f>+'[140]VENTAS TOTALES'!$E88</f>
        <v>73000</v>
      </c>
      <c r="N307" s="347">
        <f>+'[140]VENTAS TOTALES'!$F88</f>
        <v>73000</v>
      </c>
      <c r="O307" s="346">
        <f>+'[141]VENTAS TOTALES'!$D88</f>
        <v>0</v>
      </c>
      <c r="P307" s="347">
        <f>+'[141]VENTAS TOTALES'!$E88</f>
        <v>34000</v>
      </c>
      <c r="Q307" s="347">
        <f>+'[141]VENTAS TOTALES'!$F88</f>
        <v>34000</v>
      </c>
      <c r="R307" s="346">
        <f>+'[142]VENTAS TOTALES'!$D88</f>
        <v>0</v>
      </c>
      <c r="S307" s="347">
        <f>+'[142]VENTAS TOTALES'!$E88</f>
        <v>0</v>
      </c>
      <c r="T307" s="347">
        <f>+'[142]VENTAS TOTALES'!$F88</f>
        <v>0</v>
      </c>
      <c r="U307" s="346">
        <f>+'[143]VENTAS TOTALES'!$D88</f>
        <v>0</v>
      </c>
      <c r="V307" s="347">
        <f>+'[143]VENTAS TOTALES'!$E88</f>
        <v>128000</v>
      </c>
      <c r="W307" s="347">
        <f>+'[143]VENTAS TOTALES'!$F88</f>
        <v>128000</v>
      </c>
      <c r="X307" s="346">
        <f>+'[144]VENTAS TOTALES'!$D88</f>
        <v>0</v>
      </c>
      <c r="Y307" s="347">
        <f>+'[144]VENTAS TOTALES'!$E88</f>
        <v>93000</v>
      </c>
      <c r="Z307" s="347">
        <f>+'[144]VENTAS TOTALES'!$F88</f>
        <v>93000</v>
      </c>
      <c r="AA307" s="346">
        <f>+'[145]VENTAS TOTALES'!$D88</f>
        <v>0</v>
      </c>
      <c r="AB307" s="347">
        <f>+'[145]VENTAS TOTALES'!$E88</f>
        <v>21000</v>
      </c>
      <c r="AC307" s="347">
        <f>+'[145]VENTAS TOTALES'!$F88</f>
        <v>21000</v>
      </c>
      <c r="AD307" s="346">
        <f>+'[146]VENTAS TOTALES'!$D88</f>
        <v>0</v>
      </c>
      <c r="AE307" s="347">
        <f>+'[146]VENTAS TOTALES'!$E88</f>
        <v>83000</v>
      </c>
      <c r="AF307" s="347">
        <f>+'[146]VENTAS TOTALES'!$F88</f>
        <v>83000</v>
      </c>
      <c r="AG307" s="346">
        <f>+'[147]VENTAS TOTALES'!$D88</f>
        <v>0</v>
      </c>
      <c r="AH307" s="347">
        <f>+'[147]VENTAS TOTALES'!$E88</f>
        <v>31000</v>
      </c>
      <c r="AI307" s="347">
        <f>+'[147]VENTAS TOTALES'!$F88</f>
        <v>31000</v>
      </c>
      <c r="AJ307" s="346">
        <f>+'[148]VENTAS TOTALES'!$D88</f>
        <v>0</v>
      </c>
      <c r="AK307" s="347">
        <f>+'[148]VENTAS TOTALES'!$E88</f>
        <v>0</v>
      </c>
      <c r="AL307" s="347">
        <f>+'[148]VENTAS TOTALES'!$F88</f>
        <v>0</v>
      </c>
      <c r="AM307" s="346">
        <f>+'[149]VENTAS TOTALES'!$D88</f>
        <v>0</v>
      </c>
      <c r="AN307" s="347">
        <f>+'[149]VENTAS TOTALES'!$E88</f>
        <v>2000</v>
      </c>
      <c r="AO307" s="347">
        <f>+'[149]VENTAS TOTALES'!$F88</f>
        <v>2000</v>
      </c>
      <c r="AP307" s="346">
        <f>+'[150]VENTAS TOTALES'!$D88</f>
        <v>0</v>
      </c>
      <c r="AQ307" s="347">
        <f>+'[150]VENTAS TOTALES'!$E88</f>
        <v>80000</v>
      </c>
      <c r="AR307" s="347">
        <f>+'[150]VENTAS TOTALES'!$F88</f>
        <v>80000</v>
      </c>
      <c r="AS307" s="346">
        <f>+'[151]VENTAS TOTALES'!$D88</f>
        <v>0</v>
      </c>
      <c r="AT307" s="347">
        <f>+'[151]VENTAS TOTALES'!$E88</f>
        <v>66000</v>
      </c>
      <c r="AU307" s="347">
        <f>+'[151]VENTAS TOTALES'!$F88</f>
        <v>66000</v>
      </c>
      <c r="AV307" s="346">
        <f>+'[152]VENTAS TOTALES'!$D88</f>
        <v>0</v>
      </c>
      <c r="AW307" s="347">
        <f>+'[152]VENTAS TOTALES'!$E88</f>
        <v>59000</v>
      </c>
      <c r="AX307" s="347">
        <f>+'[152]VENTAS TOTALES'!$F88</f>
        <v>59000</v>
      </c>
      <c r="AY307" s="346">
        <f>+'[153]VENTAS TOTALES'!$D88</f>
        <v>0</v>
      </c>
      <c r="AZ307" s="347">
        <f>+'[153]VENTAS TOTALES'!$E88</f>
        <v>62000</v>
      </c>
      <c r="BA307" s="347">
        <f>+'[153]VENTAS TOTALES'!$F88</f>
        <v>62000</v>
      </c>
      <c r="BB307" s="346">
        <f>+'[154]VENTAS TOTALES'!$D88</f>
        <v>0</v>
      </c>
      <c r="BC307" s="347">
        <f>+'[154]VENTAS TOTALES'!$E88</f>
        <v>0</v>
      </c>
      <c r="BD307" s="347">
        <f>+'[154]VENTAS TOTALES'!$F88</f>
        <v>0</v>
      </c>
      <c r="BE307" s="346">
        <f>+'[155]VENTAS TOTALES'!$D88</f>
        <v>0</v>
      </c>
      <c r="BF307" s="347">
        <f>+'[155]VENTAS TOTALES'!$E88</f>
        <v>0</v>
      </c>
      <c r="BG307" s="347">
        <f>+'[155]VENTAS TOTALES'!$F88</f>
        <v>0</v>
      </c>
      <c r="BH307" s="346">
        <f>+'[156]VENTAS TOTALES'!$D88</f>
        <v>0</v>
      </c>
      <c r="BI307" s="347">
        <f>+'[156]VENTAS TOTALES'!$E88</f>
        <v>0</v>
      </c>
      <c r="BJ307" s="347">
        <f>+'[156]VENTAS TOTALES'!$F88</f>
        <v>0</v>
      </c>
      <c r="BK307" s="346">
        <f>+'[157]VENTAS TOTALES'!$D88</f>
        <v>0</v>
      </c>
      <c r="BL307" s="347">
        <f>+'[157]VENTAS TOTALES'!$E88</f>
        <v>76000</v>
      </c>
      <c r="BM307" s="347">
        <f>+'[157]VENTAS TOTALES'!$F88</f>
        <v>76000</v>
      </c>
      <c r="BN307" s="346">
        <f>+'[158]VENTAS TOTALES'!$D88</f>
        <v>0</v>
      </c>
      <c r="BO307" s="347">
        <f>+'[158]VENTAS TOTALES'!$E88</f>
        <v>52000</v>
      </c>
      <c r="BP307" s="347">
        <f>+'[158]VENTAS TOTALES'!$F88</f>
        <v>52000</v>
      </c>
      <c r="BQ307" s="346">
        <f>+'[159]VENTAS TOTALES'!$D88</f>
        <v>0</v>
      </c>
      <c r="BR307" s="347">
        <f>+'[159]VENTAS TOTALES'!$E88</f>
        <v>59000</v>
      </c>
      <c r="BS307" s="347">
        <f>+'[159]VENTAS TOTALES'!$F88</f>
        <v>59000</v>
      </c>
      <c r="BT307" s="346">
        <f>+'[160]VENTAS TOTALES'!$D88</f>
        <v>0</v>
      </c>
      <c r="BU307" s="347">
        <f>+'[160]VENTAS TOTALES'!$E88</f>
        <v>103000</v>
      </c>
      <c r="BV307" s="347">
        <f>+'[160]VENTAS TOTALES'!$F88</f>
        <v>103000</v>
      </c>
      <c r="BW307" s="346">
        <f>+'[161]VENTAS TOTALES'!$D88</f>
        <v>0</v>
      </c>
      <c r="BX307" s="347">
        <f>+'[161]VENTAS TOTALES'!$E88</f>
        <v>48000</v>
      </c>
      <c r="BY307" s="347">
        <f>+'[161]VENTAS TOTALES'!$F88</f>
        <v>48000</v>
      </c>
      <c r="BZ307" s="346">
        <f>+'[162]VENTAS TOTALES'!$D88</f>
        <v>0</v>
      </c>
      <c r="CA307" s="347">
        <f>+'[162]VENTAS TOTALES'!$E88</f>
        <v>10000</v>
      </c>
      <c r="CB307" s="347">
        <f>+'[162]VENTAS TOTALES'!$F88</f>
        <v>10000</v>
      </c>
      <c r="CC307" s="346">
        <f>+'[163]VENTAS TOTALES'!$D88</f>
        <v>0</v>
      </c>
      <c r="CD307" s="347">
        <f>+'[163]VENTAS TOTALES'!$E88</f>
        <v>3000</v>
      </c>
      <c r="CE307" s="347">
        <f>+'[163]VENTAS TOTALES'!$F88</f>
        <v>3000</v>
      </c>
      <c r="CF307" s="346">
        <f>+'[164]VENTAS TOTALES'!$D88</f>
        <v>0</v>
      </c>
      <c r="CG307" s="347">
        <f>+'[164]VENTAS TOTALES'!$E88</f>
        <v>104000</v>
      </c>
      <c r="CH307" s="347">
        <f>+'[164]VENTAS TOTALES'!$F88</f>
        <v>104000</v>
      </c>
      <c r="CI307" s="346">
        <f>+'[165]VENTAS TOTALES'!$D88</f>
        <v>0</v>
      </c>
      <c r="CJ307" s="347">
        <f>+'[165]VENTAS TOTALES'!$E88</f>
        <v>0</v>
      </c>
      <c r="CK307" s="347">
        <f>+'[165]VENTAS TOTALES'!$F88</f>
        <v>0</v>
      </c>
      <c r="CL307" s="346">
        <f>+'[166]VENTAS TOTALES'!$D88</f>
        <v>0</v>
      </c>
      <c r="CM307" s="347">
        <f>+'[166]VENTAS TOTALES'!$E88</f>
        <v>1000</v>
      </c>
      <c r="CN307" s="347">
        <f>+'[166]VENTAS TOTALES'!$F88</f>
        <v>1000</v>
      </c>
      <c r="CO307" s="346">
        <f>+'[167]VENTAS TOTALES'!$D88</f>
        <v>0</v>
      </c>
      <c r="CP307" s="347">
        <f>+'[167]VENTAS TOTALES'!$E88</f>
        <v>100000</v>
      </c>
      <c r="CQ307" s="347">
        <f>+'[167]VENTAS TOTALES'!$F88</f>
        <v>100000</v>
      </c>
      <c r="CR307" s="346">
        <f>+'[168]VENTAS TOTALES'!$D88</f>
        <v>0</v>
      </c>
      <c r="CS307" s="347">
        <f>+'[168]VENTAS TOTALES'!$E88</f>
        <v>101000</v>
      </c>
      <c r="CT307" s="347">
        <f>+'[168]VENTAS TOTALES'!$F88</f>
        <v>101000</v>
      </c>
      <c r="CU307" s="346">
        <f>+'[169]VENTAS TOTALES'!$D88</f>
        <v>0</v>
      </c>
      <c r="CV307" s="347">
        <f>+'[169]VENTAS TOTALES'!$E88</f>
        <v>1000</v>
      </c>
      <c r="CW307" s="347">
        <f>+'[169]VENTAS TOTALES'!$F88</f>
        <v>1000</v>
      </c>
      <c r="CX307" s="346">
        <f>+'[170]VENTAS TOTALES'!$D88</f>
        <v>0</v>
      </c>
      <c r="CY307" s="347">
        <f>+'[170]VENTAS TOTALES'!$E88</f>
        <v>2000</v>
      </c>
      <c r="CZ307" s="347">
        <f>+'[170]VENTAS TOTALES'!$F88</f>
        <v>2000</v>
      </c>
    </row>
    <row r="308" spans="1:104" s="8" customFormat="1" x14ac:dyDescent="0.2">
      <c r="A308" s="475"/>
      <c r="B308" s="370" t="s">
        <v>461</v>
      </c>
      <c r="C308" s="346">
        <f>+'[137]VENTAS TOTALES'!$D89</f>
        <v>0</v>
      </c>
      <c r="D308" s="347">
        <f>+'[137]VENTAS TOTALES'!$E89</f>
        <v>12000</v>
      </c>
      <c r="E308" s="347">
        <f>+'[137]VENTAS TOTALES'!$F89</f>
        <v>12000</v>
      </c>
      <c r="F308" s="346">
        <f>+'[138]VENTAS TOTALES'!$D89</f>
        <v>0</v>
      </c>
      <c r="G308" s="347">
        <f>+'[138]VENTAS TOTALES'!$E89</f>
        <v>29000</v>
      </c>
      <c r="H308" s="347">
        <f>+'[138]VENTAS TOTALES'!$F89</f>
        <v>29000</v>
      </c>
      <c r="I308" s="346">
        <f>+'[139]VENTAS TOTALES'!$D89</f>
        <v>0</v>
      </c>
      <c r="J308" s="347">
        <f>+'[139]VENTAS TOTALES'!$E89</f>
        <v>38000</v>
      </c>
      <c r="K308" s="347">
        <f>+'[139]VENTAS TOTALES'!$F89</f>
        <v>38000</v>
      </c>
      <c r="L308" s="346">
        <f>+'[140]VENTAS TOTALES'!$D89</f>
        <v>0</v>
      </c>
      <c r="M308" s="347">
        <f>+'[140]VENTAS TOTALES'!$E89</f>
        <v>10000</v>
      </c>
      <c r="N308" s="347">
        <f>+'[140]VENTAS TOTALES'!$F89</f>
        <v>10000</v>
      </c>
      <c r="O308" s="346">
        <f>+'[141]VENTAS TOTALES'!$D89</f>
        <v>0</v>
      </c>
      <c r="P308" s="347">
        <f>+'[141]VENTAS TOTALES'!$E89</f>
        <v>18000</v>
      </c>
      <c r="Q308" s="347">
        <f>+'[141]VENTAS TOTALES'!$F89</f>
        <v>18000</v>
      </c>
      <c r="R308" s="346">
        <f>+'[142]VENTAS TOTALES'!$D89</f>
        <v>0</v>
      </c>
      <c r="S308" s="347">
        <f>+'[142]VENTAS TOTALES'!$E89</f>
        <v>0</v>
      </c>
      <c r="T308" s="347">
        <f>+'[142]VENTAS TOTALES'!$F89</f>
        <v>0</v>
      </c>
      <c r="U308" s="346">
        <f>+'[143]VENTAS TOTALES'!$D89</f>
        <v>0</v>
      </c>
      <c r="V308" s="347">
        <f>+'[143]VENTAS TOTALES'!$E89</f>
        <v>13000</v>
      </c>
      <c r="W308" s="347">
        <f>+'[143]VENTAS TOTALES'!$F89</f>
        <v>13000</v>
      </c>
      <c r="X308" s="346">
        <f>+'[144]VENTAS TOTALES'!$D89</f>
        <v>0</v>
      </c>
      <c r="Y308" s="347">
        <f>+'[144]VENTAS TOTALES'!$E89</f>
        <v>50000</v>
      </c>
      <c r="Z308" s="347">
        <f>+'[144]VENTAS TOTALES'!$F89</f>
        <v>50000</v>
      </c>
      <c r="AA308" s="346">
        <f>+'[145]VENTAS TOTALES'!$D89</f>
        <v>0</v>
      </c>
      <c r="AB308" s="347">
        <f>+'[145]VENTAS TOTALES'!$E89</f>
        <v>25000</v>
      </c>
      <c r="AC308" s="347">
        <f>+'[145]VENTAS TOTALES'!$F89</f>
        <v>25000</v>
      </c>
      <c r="AD308" s="346">
        <f>+'[146]VENTAS TOTALES'!$D89</f>
        <v>0</v>
      </c>
      <c r="AE308" s="347">
        <f>+'[146]VENTAS TOTALES'!$E89</f>
        <v>0</v>
      </c>
      <c r="AF308" s="347">
        <f>+'[146]VENTAS TOTALES'!$F89</f>
        <v>0</v>
      </c>
      <c r="AG308" s="346">
        <f>+'[147]VENTAS TOTALES'!$D89</f>
        <v>0</v>
      </c>
      <c r="AH308" s="347">
        <f>+'[147]VENTAS TOTALES'!$E89</f>
        <v>0</v>
      </c>
      <c r="AI308" s="347">
        <f>+'[147]VENTAS TOTALES'!$F89</f>
        <v>0</v>
      </c>
      <c r="AJ308" s="346">
        <f>+'[148]VENTAS TOTALES'!$D89</f>
        <v>0</v>
      </c>
      <c r="AK308" s="347">
        <f>+'[148]VENTAS TOTALES'!$E89</f>
        <v>0</v>
      </c>
      <c r="AL308" s="347">
        <f>+'[148]VENTAS TOTALES'!$F89</f>
        <v>0</v>
      </c>
      <c r="AM308" s="346">
        <f>+'[149]VENTAS TOTALES'!$D89</f>
        <v>0</v>
      </c>
      <c r="AN308" s="347">
        <f>+'[149]VENTAS TOTALES'!$E89</f>
        <v>0</v>
      </c>
      <c r="AO308" s="347">
        <f>+'[149]VENTAS TOTALES'!$F89</f>
        <v>0</v>
      </c>
      <c r="AP308" s="346">
        <f>+'[150]VENTAS TOTALES'!$D89</f>
        <v>0</v>
      </c>
      <c r="AQ308" s="347">
        <f>+'[150]VENTAS TOTALES'!$E89</f>
        <v>21000</v>
      </c>
      <c r="AR308" s="347">
        <f>+'[150]VENTAS TOTALES'!$F89</f>
        <v>21000</v>
      </c>
      <c r="AS308" s="346">
        <f>+'[151]VENTAS TOTALES'!$D89</f>
        <v>0</v>
      </c>
      <c r="AT308" s="347">
        <f>+'[151]VENTAS TOTALES'!$E89</f>
        <v>14000</v>
      </c>
      <c r="AU308" s="347">
        <f>+'[151]VENTAS TOTALES'!$F89</f>
        <v>14000</v>
      </c>
      <c r="AV308" s="346">
        <f>+'[152]VENTAS TOTALES'!$D89</f>
        <v>0</v>
      </c>
      <c r="AW308" s="347">
        <f>+'[152]VENTAS TOTALES'!$E89</f>
        <v>10000</v>
      </c>
      <c r="AX308" s="347">
        <f>+'[152]VENTAS TOTALES'!$F89</f>
        <v>10000</v>
      </c>
      <c r="AY308" s="346">
        <f>+'[153]VENTAS TOTALES'!$D89</f>
        <v>0</v>
      </c>
      <c r="AZ308" s="347">
        <f>+'[153]VENTAS TOTALES'!$E89</f>
        <v>15000</v>
      </c>
      <c r="BA308" s="347">
        <f>+'[153]VENTAS TOTALES'!$F89</f>
        <v>15000</v>
      </c>
      <c r="BB308" s="346">
        <f>+'[154]VENTAS TOTALES'!$D89</f>
        <v>0</v>
      </c>
      <c r="BC308" s="347">
        <f>+'[154]VENTAS TOTALES'!$E89</f>
        <v>0</v>
      </c>
      <c r="BD308" s="347">
        <f>+'[154]VENTAS TOTALES'!$F89</f>
        <v>0</v>
      </c>
      <c r="BE308" s="346">
        <f>+'[155]VENTAS TOTALES'!$D89</f>
        <v>0</v>
      </c>
      <c r="BF308" s="347">
        <f>+'[155]VENTAS TOTALES'!$E89</f>
        <v>2000</v>
      </c>
      <c r="BG308" s="347">
        <f>+'[155]VENTAS TOTALES'!$F89</f>
        <v>2000</v>
      </c>
      <c r="BH308" s="346">
        <f>+'[156]VENTAS TOTALES'!$D89</f>
        <v>0</v>
      </c>
      <c r="BI308" s="347">
        <f>+'[156]VENTAS TOTALES'!$E89</f>
        <v>0</v>
      </c>
      <c r="BJ308" s="347">
        <f>+'[156]VENTAS TOTALES'!$F89</f>
        <v>0</v>
      </c>
      <c r="BK308" s="346">
        <f>+'[157]VENTAS TOTALES'!$D89</f>
        <v>0</v>
      </c>
      <c r="BL308" s="347">
        <f>+'[157]VENTAS TOTALES'!$E89</f>
        <v>10000</v>
      </c>
      <c r="BM308" s="347">
        <f>+'[157]VENTAS TOTALES'!$F89</f>
        <v>10000</v>
      </c>
      <c r="BN308" s="346">
        <f>+'[158]VENTAS TOTALES'!$D89</f>
        <v>0</v>
      </c>
      <c r="BO308" s="347">
        <f>+'[158]VENTAS TOTALES'!$E89</f>
        <v>5000</v>
      </c>
      <c r="BP308" s="347">
        <f>+'[158]VENTAS TOTALES'!$F89</f>
        <v>5000</v>
      </c>
      <c r="BQ308" s="346">
        <f>+'[159]VENTAS TOTALES'!$D89</f>
        <v>0</v>
      </c>
      <c r="BR308" s="347">
        <f>+'[159]VENTAS TOTALES'!$E89</f>
        <v>25000</v>
      </c>
      <c r="BS308" s="347">
        <f>+'[159]VENTAS TOTALES'!$F89</f>
        <v>25000</v>
      </c>
      <c r="BT308" s="346">
        <f>+'[160]VENTAS TOTALES'!$D89</f>
        <v>0</v>
      </c>
      <c r="BU308" s="347">
        <f>+'[160]VENTAS TOTALES'!$E89</f>
        <v>5000</v>
      </c>
      <c r="BV308" s="347">
        <f>+'[160]VENTAS TOTALES'!$F89</f>
        <v>5000</v>
      </c>
      <c r="BW308" s="346">
        <f>+'[161]VENTAS TOTALES'!$D89</f>
        <v>0</v>
      </c>
      <c r="BX308" s="347">
        <f>+'[161]VENTAS TOTALES'!$E89</f>
        <v>1000</v>
      </c>
      <c r="BY308" s="347">
        <f>+'[161]VENTAS TOTALES'!$F89</f>
        <v>1000</v>
      </c>
      <c r="BZ308" s="346">
        <f>+'[162]VENTAS TOTALES'!$D89</f>
        <v>0</v>
      </c>
      <c r="CA308" s="347">
        <f>+'[162]VENTAS TOTALES'!$E89</f>
        <v>15000</v>
      </c>
      <c r="CB308" s="347">
        <f>+'[162]VENTAS TOTALES'!$F89</f>
        <v>15000</v>
      </c>
      <c r="CC308" s="346">
        <f>+'[163]VENTAS TOTALES'!$D89</f>
        <v>0</v>
      </c>
      <c r="CD308" s="347">
        <f>+'[163]VENTAS TOTALES'!$E89</f>
        <v>0</v>
      </c>
      <c r="CE308" s="347">
        <f>+'[163]VENTAS TOTALES'!$F89</f>
        <v>0</v>
      </c>
      <c r="CF308" s="346">
        <f>+'[164]VENTAS TOTALES'!$D89</f>
        <v>0</v>
      </c>
      <c r="CG308" s="347">
        <f>+'[164]VENTAS TOTALES'!$E89</f>
        <v>43000</v>
      </c>
      <c r="CH308" s="347">
        <f>+'[164]VENTAS TOTALES'!$F89</f>
        <v>43000</v>
      </c>
      <c r="CI308" s="346">
        <f>+'[165]VENTAS TOTALES'!$D89</f>
        <v>0</v>
      </c>
      <c r="CJ308" s="347">
        <f>+'[165]VENTAS TOTALES'!$E89</f>
        <v>22000</v>
      </c>
      <c r="CK308" s="347">
        <f>+'[165]VENTAS TOTALES'!$F89</f>
        <v>22000</v>
      </c>
      <c r="CL308" s="346">
        <f>+'[166]VENTAS TOTALES'!$D89</f>
        <v>0</v>
      </c>
      <c r="CM308" s="347">
        <f>+'[166]VENTAS TOTALES'!$E89</f>
        <v>12000</v>
      </c>
      <c r="CN308" s="347">
        <f>+'[166]VENTAS TOTALES'!$F89</f>
        <v>12000</v>
      </c>
      <c r="CO308" s="346">
        <f>+'[167]VENTAS TOTALES'!$D89</f>
        <v>0</v>
      </c>
      <c r="CP308" s="347">
        <f>+'[167]VENTAS TOTALES'!$E89</f>
        <v>20000</v>
      </c>
      <c r="CQ308" s="347">
        <f>+'[167]VENTAS TOTALES'!$F89</f>
        <v>20000</v>
      </c>
      <c r="CR308" s="346">
        <f>+'[168]VENTAS TOTALES'!$D89</f>
        <v>0</v>
      </c>
      <c r="CS308" s="347">
        <f>+'[168]VENTAS TOTALES'!$E89</f>
        <v>1000</v>
      </c>
      <c r="CT308" s="347">
        <f>+'[168]VENTAS TOTALES'!$F89</f>
        <v>1000</v>
      </c>
      <c r="CU308" s="346">
        <f>+'[169]VENTAS TOTALES'!$D89</f>
        <v>0</v>
      </c>
      <c r="CV308" s="347">
        <f>+'[169]VENTAS TOTALES'!$E89</f>
        <v>15000</v>
      </c>
      <c r="CW308" s="347">
        <f>+'[169]VENTAS TOTALES'!$F89</f>
        <v>15000</v>
      </c>
      <c r="CX308" s="346">
        <f>+'[170]VENTAS TOTALES'!$D89</f>
        <v>0</v>
      </c>
      <c r="CY308" s="347">
        <f>+'[170]VENTAS TOTALES'!$E89</f>
        <v>0</v>
      </c>
      <c r="CZ308" s="347">
        <f>+'[170]VENTAS TOTALES'!$F89</f>
        <v>0</v>
      </c>
    </row>
    <row r="309" spans="1:104" s="8" customFormat="1" x14ac:dyDescent="0.2">
      <c r="A309" s="475"/>
      <c r="B309" s="390" t="s">
        <v>485</v>
      </c>
      <c r="C309" s="346">
        <f>+'[137]VENTAS TOTALES'!$D90</f>
        <v>0</v>
      </c>
      <c r="D309" s="347">
        <f>+'[137]VENTAS TOTALES'!$E90</f>
        <v>367000</v>
      </c>
      <c r="E309" s="347">
        <f>+'[137]VENTAS TOTALES'!$F90</f>
        <v>367000</v>
      </c>
      <c r="F309" s="346">
        <f>+'[138]VENTAS TOTALES'!$D90</f>
        <v>0</v>
      </c>
      <c r="G309" s="347">
        <f>+'[138]VENTAS TOTALES'!$E90</f>
        <v>267000</v>
      </c>
      <c r="H309" s="347">
        <f>+'[138]VENTAS TOTALES'!$F90</f>
        <v>267000</v>
      </c>
      <c r="I309" s="346">
        <f>+'[139]VENTAS TOTALES'!$D90</f>
        <v>0</v>
      </c>
      <c r="J309" s="347">
        <f>+'[139]VENTAS TOTALES'!$E90</f>
        <v>4000</v>
      </c>
      <c r="K309" s="347">
        <f>+'[139]VENTAS TOTALES'!$F90</f>
        <v>4000</v>
      </c>
      <c r="L309" s="346">
        <f>+'[140]VENTAS TOTALES'!$D90</f>
        <v>0</v>
      </c>
      <c r="M309" s="347">
        <f>+'[140]VENTAS TOTALES'!$E90</f>
        <v>17000</v>
      </c>
      <c r="N309" s="347">
        <f>+'[140]VENTAS TOTALES'!$F90</f>
        <v>17000</v>
      </c>
      <c r="O309" s="346">
        <f>+'[141]VENTAS TOTALES'!$D90</f>
        <v>0</v>
      </c>
      <c r="P309" s="347">
        <f>+'[141]VENTAS TOTALES'!$E90</f>
        <v>0</v>
      </c>
      <c r="Q309" s="347">
        <f>+'[141]VENTAS TOTALES'!$F90</f>
        <v>0</v>
      </c>
      <c r="R309" s="346">
        <f>+'[142]VENTAS TOTALES'!$D90</f>
        <v>0</v>
      </c>
      <c r="S309" s="347">
        <f>+'[142]VENTAS TOTALES'!$E90</f>
        <v>0</v>
      </c>
      <c r="T309" s="347">
        <f>+'[142]VENTAS TOTALES'!$F90</f>
        <v>0</v>
      </c>
      <c r="U309" s="346">
        <f>+'[143]VENTAS TOTALES'!$D90</f>
        <v>0</v>
      </c>
      <c r="V309" s="347">
        <f>+'[143]VENTAS TOTALES'!$E90</f>
        <v>0</v>
      </c>
      <c r="W309" s="347">
        <f>+'[143]VENTAS TOTALES'!$F90</f>
        <v>0</v>
      </c>
      <c r="X309" s="346">
        <f>+'[144]VENTAS TOTALES'!$D90</f>
        <v>0</v>
      </c>
      <c r="Y309" s="347">
        <f>+'[144]VENTAS TOTALES'!$E90</f>
        <v>0</v>
      </c>
      <c r="Z309" s="347">
        <f>+'[144]VENTAS TOTALES'!$F90</f>
        <v>0</v>
      </c>
      <c r="AA309" s="346">
        <f>+'[145]VENTAS TOTALES'!$D90</f>
        <v>0</v>
      </c>
      <c r="AB309" s="347">
        <f>+'[145]VENTAS TOTALES'!$E90</f>
        <v>0</v>
      </c>
      <c r="AC309" s="347">
        <f>+'[145]VENTAS TOTALES'!$F90</f>
        <v>0</v>
      </c>
      <c r="AD309" s="346">
        <f>+'[146]VENTAS TOTALES'!$D90</f>
        <v>0</v>
      </c>
      <c r="AE309" s="347">
        <f>+'[146]VENTAS TOTALES'!$E90</f>
        <v>0</v>
      </c>
      <c r="AF309" s="347">
        <f>+'[146]VENTAS TOTALES'!$F90</f>
        <v>0</v>
      </c>
      <c r="AG309" s="346">
        <f>+'[147]VENTAS TOTALES'!$D90</f>
        <v>0</v>
      </c>
      <c r="AH309" s="347">
        <f>+'[147]VENTAS TOTALES'!$E90</f>
        <v>0</v>
      </c>
      <c r="AI309" s="347">
        <f>+'[147]VENTAS TOTALES'!$F90</f>
        <v>0</v>
      </c>
      <c r="AJ309" s="346">
        <f>+'[148]VENTAS TOTALES'!$D90</f>
        <v>0</v>
      </c>
      <c r="AK309" s="347">
        <f>+'[148]VENTAS TOTALES'!$E90</f>
        <v>0</v>
      </c>
      <c r="AL309" s="347">
        <f>+'[148]VENTAS TOTALES'!$F90</f>
        <v>0</v>
      </c>
      <c r="AM309" s="346">
        <f>+'[149]VENTAS TOTALES'!$D90</f>
        <v>0</v>
      </c>
      <c r="AN309" s="347">
        <f>+'[149]VENTAS TOTALES'!$E90</f>
        <v>0</v>
      </c>
      <c r="AO309" s="347">
        <f>+'[149]VENTAS TOTALES'!$F90</f>
        <v>0</v>
      </c>
      <c r="AP309" s="346">
        <f>+'[150]VENTAS TOTALES'!$D90</f>
        <v>0</v>
      </c>
      <c r="AQ309" s="347">
        <f>+'[150]VENTAS TOTALES'!$E90</f>
        <v>0</v>
      </c>
      <c r="AR309" s="347">
        <f>+'[150]VENTAS TOTALES'!$F90</f>
        <v>0</v>
      </c>
      <c r="AS309" s="346">
        <f>+'[151]VENTAS TOTALES'!$D90</f>
        <v>0</v>
      </c>
      <c r="AT309" s="347">
        <f>+'[151]VENTAS TOTALES'!$E90</f>
        <v>0</v>
      </c>
      <c r="AU309" s="347">
        <f>+'[151]VENTAS TOTALES'!$F90</f>
        <v>0</v>
      </c>
      <c r="AV309" s="346">
        <f>+'[152]VENTAS TOTALES'!$D90</f>
        <v>0</v>
      </c>
      <c r="AW309" s="347">
        <f>+'[152]VENTAS TOTALES'!$E90</f>
        <v>0</v>
      </c>
      <c r="AX309" s="347">
        <f>+'[152]VENTAS TOTALES'!$F90</f>
        <v>0</v>
      </c>
      <c r="AY309" s="346">
        <f>+'[153]VENTAS TOTALES'!$D90</f>
        <v>0</v>
      </c>
      <c r="AZ309" s="347">
        <f>+'[153]VENTAS TOTALES'!$E90</f>
        <v>0</v>
      </c>
      <c r="BA309" s="347">
        <f>+'[153]VENTAS TOTALES'!$F90</f>
        <v>0</v>
      </c>
      <c r="BB309" s="346">
        <f>+'[154]VENTAS TOTALES'!$D90</f>
        <v>0</v>
      </c>
      <c r="BC309" s="347">
        <f>+'[154]VENTAS TOTALES'!$E90</f>
        <v>0</v>
      </c>
      <c r="BD309" s="347">
        <f>+'[154]VENTAS TOTALES'!$F90</f>
        <v>0</v>
      </c>
      <c r="BE309" s="346">
        <f>+'[155]VENTAS TOTALES'!$D90</f>
        <v>0</v>
      </c>
      <c r="BF309" s="347">
        <f>+'[155]VENTAS TOTALES'!$E90</f>
        <v>0</v>
      </c>
      <c r="BG309" s="347">
        <f>+'[155]VENTAS TOTALES'!$F90</f>
        <v>0</v>
      </c>
      <c r="BH309" s="346">
        <f>+'[156]VENTAS TOTALES'!$D90</f>
        <v>0</v>
      </c>
      <c r="BI309" s="347">
        <f>+'[156]VENTAS TOTALES'!$E90</f>
        <v>0</v>
      </c>
      <c r="BJ309" s="347">
        <f>+'[156]VENTAS TOTALES'!$F90</f>
        <v>0</v>
      </c>
      <c r="BK309" s="346">
        <f>+'[157]VENTAS TOTALES'!$D90</f>
        <v>0</v>
      </c>
      <c r="BL309" s="347">
        <f>+'[157]VENTAS TOTALES'!$E90</f>
        <v>0</v>
      </c>
      <c r="BM309" s="347">
        <f>+'[157]VENTAS TOTALES'!$F90</f>
        <v>0</v>
      </c>
      <c r="BN309" s="346">
        <f>+'[158]VENTAS TOTALES'!$D90</f>
        <v>0</v>
      </c>
      <c r="BO309" s="347">
        <f>+'[158]VENTAS TOTALES'!$E90</f>
        <v>0</v>
      </c>
      <c r="BP309" s="347">
        <f>+'[158]VENTAS TOTALES'!$F90</f>
        <v>0</v>
      </c>
      <c r="BQ309" s="346">
        <f>+'[159]VENTAS TOTALES'!$D90</f>
        <v>0</v>
      </c>
      <c r="BR309" s="347">
        <f>+'[159]VENTAS TOTALES'!$E90</f>
        <v>0</v>
      </c>
      <c r="BS309" s="347">
        <f>+'[159]VENTAS TOTALES'!$F90</f>
        <v>0</v>
      </c>
      <c r="BT309" s="346">
        <f>+'[160]VENTAS TOTALES'!$D90</f>
        <v>0</v>
      </c>
      <c r="BU309" s="347">
        <f>+'[160]VENTAS TOTALES'!$E90</f>
        <v>0</v>
      </c>
      <c r="BV309" s="347">
        <f>+'[160]VENTAS TOTALES'!$F90</f>
        <v>0</v>
      </c>
      <c r="BW309" s="346">
        <f>+'[161]VENTAS TOTALES'!$D90</f>
        <v>0</v>
      </c>
      <c r="BX309" s="347">
        <f>+'[161]VENTAS TOTALES'!$E90</f>
        <v>0</v>
      </c>
      <c r="BY309" s="347">
        <f>+'[161]VENTAS TOTALES'!$F90</f>
        <v>0</v>
      </c>
      <c r="BZ309" s="346">
        <f>+'[162]VENTAS TOTALES'!$D90</f>
        <v>0</v>
      </c>
      <c r="CA309" s="347">
        <f>+'[162]VENTAS TOTALES'!$E90</f>
        <v>0</v>
      </c>
      <c r="CB309" s="347">
        <f>+'[162]VENTAS TOTALES'!$F90</f>
        <v>0</v>
      </c>
      <c r="CC309" s="346">
        <f>+'[163]VENTAS TOTALES'!$D90</f>
        <v>0</v>
      </c>
      <c r="CD309" s="347">
        <f>+'[163]VENTAS TOTALES'!$E90</f>
        <v>0</v>
      </c>
      <c r="CE309" s="347">
        <f>+'[163]VENTAS TOTALES'!$F90</f>
        <v>0</v>
      </c>
      <c r="CF309" s="346">
        <f>+'[164]VENTAS TOTALES'!$D90</f>
        <v>0</v>
      </c>
      <c r="CG309" s="347">
        <f>+'[164]VENTAS TOTALES'!$E90</f>
        <v>0</v>
      </c>
      <c r="CH309" s="347">
        <f>+'[164]VENTAS TOTALES'!$F90</f>
        <v>0</v>
      </c>
      <c r="CI309" s="346">
        <f>+'[165]VENTAS TOTALES'!$D90</f>
        <v>0</v>
      </c>
      <c r="CJ309" s="347">
        <f>+'[165]VENTAS TOTALES'!$E90</f>
        <v>0</v>
      </c>
      <c r="CK309" s="347">
        <f>+'[165]VENTAS TOTALES'!$F90</f>
        <v>0</v>
      </c>
      <c r="CL309" s="346">
        <f>+'[166]VENTAS TOTALES'!$D90</f>
        <v>0</v>
      </c>
      <c r="CM309" s="347">
        <f>+'[166]VENTAS TOTALES'!$E90</f>
        <v>0</v>
      </c>
      <c r="CN309" s="347">
        <f>+'[166]VENTAS TOTALES'!$F90</f>
        <v>0</v>
      </c>
      <c r="CO309" s="346">
        <f>+'[167]VENTAS TOTALES'!$D90</f>
        <v>0</v>
      </c>
      <c r="CP309" s="347">
        <f>+'[167]VENTAS TOTALES'!$E90</f>
        <v>0</v>
      </c>
      <c r="CQ309" s="347">
        <f>+'[167]VENTAS TOTALES'!$F90</f>
        <v>0</v>
      </c>
      <c r="CR309" s="346">
        <f>+'[168]VENTAS TOTALES'!$D90</f>
        <v>0</v>
      </c>
      <c r="CS309" s="347">
        <f>+'[168]VENTAS TOTALES'!$E90</f>
        <v>0</v>
      </c>
      <c r="CT309" s="347">
        <f>+'[168]VENTAS TOTALES'!$F90</f>
        <v>0</v>
      </c>
      <c r="CU309" s="346">
        <f>+'[169]VENTAS TOTALES'!$D90</f>
        <v>0</v>
      </c>
      <c r="CV309" s="347">
        <f>+'[169]VENTAS TOTALES'!$E90</f>
        <v>0</v>
      </c>
      <c r="CW309" s="347">
        <f>+'[169]VENTAS TOTALES'!$F90</f>
        <v>0</v>
      </c>
      <c r="CX309" s="346">
        <f>+'[170]VENTAS TOTALES'!$D90</f>
        <v>0</v>
      </c>
      <c r="CY309" s="347">
        <f>+'[170]VENTAS TOTALES'!$E90</f>
        <v>0</v>
      </c>
      <c r="CZ309" s="347">
        <f>+'[170]VENTAS TOTALES'!$F90</f>
        <v>0</v>
      </c>
    </row>
    <row r="310" spans="1:104" s="8" customFormat="1" x14ac:dyDescent="0.2">
      <c r="A310" s="476"/>
      <c r="B310" s="390" t="s">
        <v>485</v>
      </c>
      <c r="C310" s="394"/>
      <c r="D310" s="395"/>
      <c r="E310" s="395"/>
      <c r="F310" s="394"/>
      <c r="G310" s="395"/>
      <c r="H310" s="395"/>
      <c r="I310" s="346">
        <f>+'[139]VENTAS TOTALES'!$D91</f>
        <v>0</v>
      </c>
      <c r="J310" s="347">
        <f>+'[139]VENTAS TOTALES'!$E91</f>
        <v>0</v>
      </c>
      <c r="K310" s="347">
        <f>+'[139]VENTAS TOTALES'!$F91</f>
        <v>0</v>
      </c>
      <c r="L310" s="346">
        <f>+'[140]VENTAS TOTALES'!$D91</f>
        <v>0</v>
      </c>
      <c r="M310" s="347">
        <f>+'[140]VENTAS TOTALES'!$E91</f>
        <v>14000</v>
      </c>
      <c r="N310" s="347">
        <f>+'[140]VENTAS TOTALES'!$F91</f>
        <v>14000</v>
      </c>
      <c r="O310" s="346">
        <f>+'[141]VENTAS TOTALES'!$D91</f>
        <v>0</v>
      </c>
      <c r="P310" s="347">
        <f>+'[141]VENTAS TOTALES'!$E91</f>
        <v>6000</v>
      </c>
      <c r="Q310" s="347">
        <f>+'[141]VENTAS TOTALES'!$F91</f>
        <v>6000</v>
      </c>
      <c r="R310" s="346">
        <f>+'[142]VENTAS TOTALES'!$D91</f>
        <v>0</v>
      </c>
      <c r="S310" s="347">
        <f>+'[142]VENTAS TOTALES'!$E91</f>
        <v>0</v>
      </c>
      <c r="T310" s="347">
        <f>+'[142]VENTAS TOTALES'!$F91</f>
        <v>0</v>
      </c>
      <c r="U310" s="346">
        <f>+'[143]VENTAS TOTALES'!$D91</f>
        <v>0</v>
      </c>
      <c r="V310" s="347">
        <f>+'[143]VENTAS TOTALES'!$E91</f>
        <v>60000</v>
      </c>
      <c r="W310" s="347">
        <f>+'[143]VENTAS TOTALES'!$F91</f>
        <v>60000</v>
      </c>
      <c r="X310" s="346">
        <f>+'[144]VENTAS TOTALES'!$D91</f>
        <v>0</v>
      </c>
      <c r="Y310" s="347">
        <f>+'[144]VENTAS TOTALES'!$E91</f>
        <v>30000</v>
      </c>
      <c r="Z310" s="347">
        <f>+'[144]VENTAS TOTALES'!$F91</f>
        <v>30000</v>
      </c>
      <c r="AA310" s="346">
        <f>+'[145]VENTAS TOTALES'!$D91</f>
        <v>0</v>
      </c>
      <c r="AB310" s="347">
        <f>+'[145]VENTAS TOTALES'!$E91</f>
        <v>61000</v>
      </c>
      <c r="AC310" s="347">
        <f>+'[145]VENTAS TOTALES'!$F91</f>
        <v>61000</v>
      </c>
      <c r="AD310" s="346">
        <f>+'[146]VENTAS TOTALES'!$D91</f>
        <v>0</v>
      </c>
      <c r="AE310" s="347">
        <f>+'[146]VENTAS TOTALES'!$E91</f>
        <v>76000</v>
      </c>
      <c r="AF310" s="347">
        <f>+'[146]VENTAS TOTALES'!$F91</f>
        <v>76000</v>
      </c>
      <c r="AG310" s="346">
        <f>+'[147]VENTAS TOTALES'!$D91</f>
        <v>0</v>
      </c>
      <c r="AH310" s="347">
        <f>+'[147]VENTAS TOTALES'!$E91</f>
        <v>61000</v>
      </c>
      <c r="AI310" s="347">
        <f>+'[147]VENTAS TOTALES'!$F91</f>
        <v>61000</v>
      </c>
      <c r="AJ310" s="346">
        <f>+'[148]VENTAS TOTALES'!$D91</f>
        <v>0</v>
      </c>
      <c r="AK310" s="347">
        <f>+'[148]VENTAS TOTALES'!$E91</f>
        <v>4000</v>
      </c>
      <c r="AL310" s="347">
        <f>+'[148]VENTAS TOTALES'!$F91</f>
        <v>4000</v>
      </c>
      <c r="AM310" s="346">
        <f>+'[149]VENTAS TOTALES'!$D91</f>
        <v>0</v>
      </c>
      <c r="AN310" s="347">
        <f>+'[149]VENTAS TOTALES'!$E91</f>
        <v>0</v>
      </c>
      <c r="AO310" s="347">
        <f>+'[149]VENTAS TOTALES'!$F91</f>
        <v>0</v>
      </c>
      <c r="AP310" s="346">
        <f>+'[150]VENTAS TOTALES'!$D91</f>
        <v>0</v>
      </c>
      <c r="AQ310" s="347">
        <f>+'[150]VENTAS TOTALES'!$E91</f>
        <v>187000</v>
      </c>
      <c r="AR310" s="347">
        <f>+'[150]VENTAS TOTALES'!$F91</f>
        <v>187000</v>
      </c>
      <c r="AS310" s="346">
        <f>+'[151]VENTAS TOTALES'!$D91</f>
        <v>0</v>
      </c>
      <c r="AT310" s="347">
        <f>+'[151]VENTAS TOTALES'!$E91</f>
        <v>107000</v>
      </c>
      <c r="AU310" s="347">
        <f>+'[151]VENTAS TOTALES'!$F91</f>
        <v>107000</v>
      </c>
      <c r="AV310" s="346">
        <f>+'[152]VENTAS TOTALES'!$D91</f>
        <v>0</v>
      </c>
      <c r="AW310" s="347">
        <f>+'[152]VENTAS TOTALES'!$E91</f>
        <v>0</v>
      </c>
      <c r="AX310" s="347">
        <f>+'[152]VENTAS TOTALES'!$F91</f>
        <v>0</v>
      </c>
      <c r="AY310" s="346">
        <f>+'[153]VENTAS TOTALES'!$D91</f>
        <v>0</v>
      </c>
      <c r="AZ310" s="347">
        <f>+'[153]VENTAS TOTALES'!$E91</f>
        <v>17068000</v>
      </c>
      <c r="BA310" s="347">
        <f>+'[153]VENTAS TOTALES'!$F91</f>
        <v>17068000</v>
      </c>
      <c r="BB310" s="346">
        <f>+'[154]VENTAS TOTALES'!$D91</f>
        <v>0</v>
      </c>
      <c r="BC310" s="347">
        <f>+'[154]VENTAS TOTALES'!$E91</f>
        <v>75000</v>
      </c>
      <c r="BD310" s="347">
        <f>+'[154]VENTAS TOTALES'!$F91</f>
        <v>75000</v>
      </c>
      <c r="BE310" s="346">
        <f>+'[155]VENTAS TOTALES'!$D91</f>
        <v>0</v>
      </c>
      <c r="BF310" s="347">
        <f>+'[155]VENTAS TOTALES'!$E91</f>
        <v>0</v>
      </c>
      <c r="BG310" s="347">
        <f>+'[155]VENTAS TOTALES'!$F91</f>
        <v>0</v>
      </c>
      <c r="BH310" s="346">
        <f>+'[156]VENTAS TOTALES'!$D91</f>
        <v>0</v>
      </c>
      <c r="BI310" s="347">
        <f>+'[156]VENTAS TOTALES'!$E91</f>
        <v>0</v>
      </c>
      <c r="BJ310" s="347">
        <f>+'[156]VENTAS TOTALES'!$F91</f>
        <v>0</v>
      </c>
      <c r="BK310" s="346">
        <f>+'[157]VENTAS TOTALES'!$D91</f>
        <v>0</v>
      </c>
      <c r="BL310" s="347">
        <f>+'[157]VENTAS TOTALES'!$E91</f>
        <v>133000</v>
      </c>
      <c r="BM310" s="347">
        <f>+'[157]VENTAS TOTALES'!$F91</f>
        <v>133000</v>
      </c>
      <c r="BN310" s="346">
        <f>+'[158]VENTAS TOTALES'!$D91</f>
        <v>0</v>
      </c>
      <c r="BO310" s="347">
        <f>+'[158]VENTAS TOTALES'!$E91</f>
        <v>125000</v>
      </c>
      <c r="BP310" s="347">
        <f>+'[158]VENTAS TOTALES'!$F91</f>
        <v>125000</v>
      </c>
      <c r="BQ310" s="346">
        <f>+'[159]VENTAS TOTALES'!$D91</f>
        <v>0</v>
      </c>
      <c r="BR310" s="347">
        <f>+'[159]VENTAS TOTALES'!$E91</f>
        <v>95000</v>
      </c>
      <c r="BS310" s="347">
        <f>+'[159]VENTAS TOTALES'!$F91</f>
        <v>95000</v>
      </c>
      <c r="BT310" s="346">
        <f>+'[160]VENTAS TOTALES'!$D91</f>
        <v>0</v>
      </c>
      <c r="BU310" s="347">
        <f>+'[160]VENTAS TOTALES'!$E91</f>
        <v>41000</v>
      </c>
      <c r="BV310" s="347">
        <f>+'[160]VENTAS TOTALES'!$F91</f>
        <v>41000</v>
      </c>
      <c r="BW310" s="346">
        <f>+'[161]VENTAS TOTALES'!$D91</f>
        <v>0</v>
      </c>
      <c r="BX310" s="347">
        <f>+'[161]VENTAS TOTALES'!$E91</f>
        <v>54000</v>
      </c>
      <c r="BY310" s="347">
        <f>+'[161]VENTAS TOTALES'!$F91</f>
        <v>54000</v>
      </c>
      <c r="BZ310" s="346">
        <f>+'[162]VENTAS TOTALES'!$D91</f>
        <v>0</v>
      </c>
      <c r="CA310" s="347">
        <f>+'[162]VENTAS TOTALES'!$E91</f>
        <v>7000</v>
      </c>
      <c r="CB310" s="347">
        <f>+'[162]VENTAS TOTALES'!$F91</f>
        <v>7000</v>
      </c>
      <c r="CC310" s="346">
        <f>+'[163]VENTAS TOTALES'!$D91</f>
        <v>0</v>
      </c>
      <c r="CD310" s="347">
        <f>+'[163]VENTAS TOTALES'!$E91</f>
        <v>0</v>
      </c>
      <c r="CE310" s="347">
        <f>+'[163]VENTAS TOTALES'!$F91</f>
        <v>0</v>
      </c>
      <c r="CF310" s="346">
        <f>+'[164]VENTAS TOTALES'!$D91</f>
        <v>0</v>
      </c>
      <c r="CG310" s="347">
        <f>+'[164]VENTAS TOTALES'!$E91</f>
        <v>254000</v>
      </c>
      <c r="CH310" s="347">
        <f>+'[164]VENTAS TOTALES'!$F91</f>
        <v>254000</v>
      </c>
      <c r="CI310" s="346">
        <f>+'[165]VENTAS TOTALES'!$D91</f>
        <v>0</v>
      </c>
      <c r="CJ310" s="347">
        <f>+'[165]VENTAS TOTALES'!$E91</f>
        <v>70000</v>
      </c>
      <c r="CK310" s="347">
        <f>+'[165]VENTAS TOTALES'!$F91</f>
        <v>70000</v>
      </c>
      <c r="CL310" s="346">
        <f>+'[166]VENTAS TOTALES'!$D91</f>
        <v>0</v>
      </c>
      <c r="CM310" s="347">
        <f>+'[166]VENTAS TOTALES'!$E91</f>
        <v>101000</v>
      </c>
      <c r="CN310" s="347">
        <f>+'[166]VENTAS TOTALES'!$F91</f>
        <v>101000</v>
      </c>
      <c r="CO310" s="346">
        <f>+'[167]VENTAS TOTALES'!$D91</f>
        <v>0</v>
      </c>
      <c r="CP310" s="347">
        <f>+'[167]VENTAS TOTALES'!$E91</f>
        <v>118000</v>
      </c>
      <c r="CQ310" s="347">
        <f>+'[167]VENTAS TOTALES'!$F91</f>
        <v>118000</v>
      </c>
      <c r="CR310" s="346">
        <f>+'[168]VENTAS TOTALES'!$D91</f>
        <v>0</v>
      </c>
      <c r="CS310" s="347">
        <f>+'[168]VENTAS TOTALES'!$E91</f>
        <v>55000</v>
      </c>
      <c r="CT310" s="347">
        <f>+'[168]VENTAS TOTALES'!$F91</f>
        <v>55000</v>
      </c>
      <c r="CU310" s="346">
        <f>+'[169]VENTAS TOTALES'!$D91</f>
        <v>0</v>
      </c>
      <c r="CV310" s="347">
        <f>+'[169]VENTAS TOTALES'!$E91</f>
        <v>3000</v>
      </c>
      <c r="CW310" s="347">
        <f>+'[169]VENTAS TOTALES'!$F91</f>
        <v>3000</v>
      </c>
      <c r="CX310" s="346">
        <f>+'[170]VENTAS TOTALES'!$D91</f>
        <v>0</v>
      </c>
      <c r="CY310" s="347">
        <f>+'[170]VENTAS TOTALES'!$E91</f>
        <v>5000</v>
      </c>
      <c r="CZ310" s="347">
        <f>+'[170]VENTAS TOTALES'!$F91</f>
        <v>5000</v>
      </c>
    </row>
    <row r="311" spans="1:104" s="8" customFormat="1" ht="13.5" thickBot="1" x14ac:dyDescent="0.25">
      <c r="A311" s="477"/>
      <c r="B311" s="389" t="s">
        <v>488</v>
      </c>
      <c r="C311" s="367">
        <f>+'[137]VENTAS TOTALES'!$D91</f>
        <v>0</v>
      </c>
      <c r="D311" s="368">
        <f>+'[137]VENTAS TOTALES'!$E91</f>
        <v>0</v>
      </c>
      <c r="E311" s="368">
        <f>+'[137]VENTAS TOTALES'!$F91</f>
        <v>0</v>
      </c>
      <c r="F311" s="367">
        <f>+'[138]VENTAS TOTALES'!$D91</f>
        <v>0</v>
      </c>
      <c r="G311" s="368">
        <f>+'[138]VENTAS TOTALES'!$E91</f>
        <v>0</v>
      </c>
      <c r="H311" s="368">
        <f>+'[138]VENTAS TOTALES'!$F91</f>
        <v>0</v>
      </c>
      <c r="I311" s="367">
        <f>+'[139]VENTAS TOTALES'!$D92</f>
        <v>0</v>
      </c>
      <c r="J311" s="347">
        <f>+'[139]VENTAS TOTALES'!$E92</f>
        <v>0</v>
      </c>
      <c r="K311" s="347">
        <f>+'[139]VENTAS TOTALES'!$F92</f>
        <v>0</v>
      </c>
      <c r="L311" s="346">
        <f>+'[140]VENTAS TOTALES'!$D92</f>
        <v>0</v>
      </c>
      <c r="M311" s="347">
        <f>+'[140]VENTAS TOTALES'!$E92</f>
        <v>0</v>
      </c>
      <c r="N311" s="347">
        <f>+'[140]VENTAS TOTALES'!$F92</f>
        <v>0</v>
      </c>
      <c r="O311" s="346">
        <f>+'[141]VENTAS TOTALES'!$D92</f>
        <v>0</v>
      </c>
      <c r="P311" s="347">
        <f>+'[141]VENTAS TOTALES'!$E92</f>
        <v>0</v>
      </c>
      <c r="Q311" s="347">
        <f>+'[141]VENTAS TOTALES'!$F92</f>
        <v>0</v>
      </c>
      <c r="R311" s="346">
        <f>+'[142]VENTAS TOTALES'!$D92</f>
        <v>0</v>
      </c>
      <c r="S311" s="347">
        <f>+'[142]VENTAS TOTALES'!$E92</f>
        <v>0</v>
      </c>
      <c r="T311" s="347">
        <f>+'[142]VENTAS TOTALES'!$F92</f>
        <v>0</v>
      </c>
      <c r="U311" s="346">
        <f>+'[143]VENTAS TOTALES'!$D92</f>
        <v>0</v>
      </c>
      <c r="V311" s="347">
        <f>+'[143]VENTAS TOTALES'!$E92</f>
        <v>0</v>
      </c>
      <c r="W311" s="347">
        <f>+'[143]VENTAS TOTALES'!$F92</f>
        <v>0</v>
      </c>
      <c r="X311" s="346">
        <f>+'[144]VENTAS TOTALES'!$D92</f>
        <v>0</v>
      </c>
      <c r="Y311" s="347">
        <f>+'[144]VENTAS TOTALES'!$E92</f>
        <v>0</v>
      </c>
      <c r="Z311" s="347">
        <f>+'[144]VENTAS TOTALES'!$F92</f>
        <v>0</v>
      </c>
      <c r="AA311" s="346">
        <f>+'[145]VENTAS TOTALES'!$D92</f>
        <v>0</v>
      </c>
      <c r="AB311" s="347">
        <f>+'[145]VENTAS TOTALES'!$E92</f>
        <v>0</v>
      </c>
      <c r="AC311" s="347">
        <f>+'[145]VENTAS TOTALES'!$F92</f>
        <v>0</v>
      </c>
      <c r="AD311" s="346">
        <f>+'[146]VENTAS TOTALES'!$D92</f>
        <v>0</v>
      </c>
      <c r="AE311" s="347">
        <f>+'[146]VENTAS TOTALES'!$E92</f>
        <v>0</v>
      </c>
      <c r="AF311" s="347">
        <f>+'[146]VENTAS TOTALES'!$F92</f>
        <v>0</v>
      </c>
      <c r="AG311" s="346">
        <f>+'[147]VENTAS TOTALES'!$D92</f>
        <v>0</v>
      </c>
      <c r="AH311" s="347">
        <f>+'[147]VENTAS TOTALES'!$E92</f>
        <v>0</v>
      </c>
      <c r="AI311" s="347">
        <f>+'[147]VENTAS TOTALES'!$F92</f>
        <v>0</v>
      </c>
      <c r="AJ311" s="346">
        <f>+'[148]VENTAS TOTALES'!$D92</f>
        <v>0</v>
      </c>
      <c r="AK311" s="347">
        <f>+'[148]VENTAS TOTALES'!$E92</f>
        <v>0</v>
      </c>
      <c r="AL311" s="347">
        <f>+'[148]VENTAS TOTALES'!$F92</f>
        <v>0</v>
      </c>
      <c r="AM311" s="346">
        <f>+'[149]VENTAS TOTALES'!$D92</f>
        <v>0</v>
      </c>
      <c r="AN311" s="347">
        <f>+'[149]VENTAS TOTALES'!$E92</f>
        <v>0</v>
      </c>
      <c r="AO311" s="347">
        <f>+'[149]VENTAS TOTALES'!$F92</f>
        <v>0</v>
      </c>
      <c r="AP311" s="346">
        <f>+'[150]VENTAS TOTALES'!$D92</f>
        <v>0</v>
      </c>
      <c r="AQ311" s="347">
        <f>+'[150]VENTAS TOTALES'!$E92</f>
        <v>0</v>
      </c>
      <c r="AR311" s="347">
        <f>+'[150]VENTAS TOTALES'!$F92</f>
        <v>0</v>
      </c>
      <c r="AS311" s="346">
        <f>+'[151]VENTAS TOTALES'!$D92</f>
        <v>0</v>
      </c>
      <c r="AT311" s="347">
        <f>+'[151]VENTAS TOTALES'!$E92</f>
        <v>0</v>
      </c>
      <c r="AU311" s="347">
        <f>+'[151]VENTAS TOTALES'!$F92</f>
        <v>0</v>
      </c>
      <c r="AV311" s="346">
        <f>+'[152]VENTAS TOTALES'!$D92</f>
        <v>0</v>
      </c>
      <c r="AW311" s="347">
        <f>+'[152]VENTAS TOTALES'!$E92</f>
        <v>0</v>
      </c>
      <c r="AX311" s="347">
        <f>+'[152]VENTAS TOTALES'!$F92</f>
        <v>0</v>
      </c>
      <c r="AY311" s="346">
        <f>+'[153]VENTAS TOTALES'!$D92</f>
        <v>0</v>
      </c>
      <c r="AZ311" s="347">
        <f>+'[153]VENTAS TOTALES'!$E92</f>
        <v>0</v>
      </c>
      <c r="BA311" s="347">
        <f>+'[153]VENTAS TOTALES'!$F92</f>
        <v>0</v>
      </c>
      <c r="BB311" s="346">
        <f>+'[154]VENTAS TOTALES'!$D92</f>
        <v>0</v>
      </c>
      <c r="BC311" s="347">
        <f>+'[154]VENTAS TOTALES'!$E92</f>
        <v>0</v>
      </c>
      <c r="BD311" s="347">
        <f>+'[154]VENTAS TOTALES'!$F92</f>
        <v>0</v>
      </c>
      <c r="BE311" s="346">
        <f>+'[155]VENTAS TOTALES'!$D92</f>
        <v>0</v>
      </c>
      <c r="BF311" s="347">
        <f>+'[155]VENTAS TOTALES'!$E92</f>
        <v>0</v>
      </c>
      <c r="BG311" s="347">
        <f>+'[155]VENTAS TOTALES'!$F92</f>
        <v>0</v>
      </c>
      <c r="BH311" s="346">
        <f>+'[156]VENTAS TOTALES'!$D92</f>
        <v>0</v>
      </c>
      <c r="BI311" s="347">
        <f>+'[156]VENTAS TOTALES'!$E92</f>
        <v>0</v>
      </c>
      <c r="BJ311" s="347">
        <f>+'[156]VENTAS TOTALES'!$F92</f>
        <v>0</v>
      </c>
      <c r="BK311" s="346">
        <f>+'[157]VENTAS TOTALES'!$D92</f>
        <v>0</v>
      </c>
      <c r="BL311" s="347">
        <f>+'[157]VENTAS TOTALES'!$E92</f>
        <v>0</v>
      </c>
      <c r="BM311" s="347">
        <f>+'[157]VENTAS TOTALES'!$F92</f>
        <v>0</v>
      </c>
      <c r="BN311" s="346">
        <f>+'[158]VENTAS TOTALES'!$D92</f>
        <v>0</v>
      </c>
      <c r="BO311" s="347">
        <f>+'[158]VENTAS TOTALES'!$E92</f>
        <v>0</v>
      </c>
      <c r="BP311" s="347">
        <f>+'[158]VENTAS TOTALES'!$F92</f>
        <v>0</v>
      </c>
      <c r="BQ311" s="346">
        <f>+'[159]VENTAS TOTALES'!$D92</f>
        <v>0</v>
      </c>
      <c r="BR311" s="347">
        <f>+'[159]VENTAS TOTALES'!$E92</f>
        <v>0</v>
      </c>
      <c r="BS311" s="347">
        <f>+'[159]VENTAS TOTALES'!$F92</f>
        <v>0</v>
      </c>
      <c r="BT311" s="346">
        <f>+'[160]VENTAS TOTALES'!$D92</f>
        <v>0</v>
      </c>
      <c r="BU311" s="347">
        <f>+'[160]VENTAS TOTALES'!$E92</f>
        <v>0</v>
      </c>
      <c r="BV311" s="347">
        <f>+'[160]VENTAS TOTALES'!$F92</f>
        <v>0</v>
      </c>
      <c r="BW311" s="346">
        <f>+'[161]VENTAS TOTALES'!$D92</f>
        <v>0</v>
      </c>
      <c r="BX311" s="347">
        <f>+'[161]VENTAS TOTALES'!$E92</f>
        <v>0</v>
      </c>
      <c r="BY311" s="347">
        <f>+'[161]VENTAS TOTALES'!$F92</f>
        <v>0</v>
      </c>
      <c r="BZ311" s="346">
        <f>+'[162]VENTAS TOTALES'!$D92</f>
        <v>0</v>
      </c>
      <c r="CA311" s="347">
        <f>+'[162]VENTAS TOTALES'!$E92</f>
        <v>0</v>
      </c>
      <c r="CB311" s="347">
        <f>+'[162]VENTAS TOTALES'!$F92</f>
        <v>0</v>
      </c>
      <c r="CC311" s="346">
        <f>+'[163]VENTAS TOTALES'!$D92</f>
        <v>0</v>
      </c>
      <c r="CD311" s="347">
        <f>+'[163]VENTAS TOTALES'!$E92</f>
        <v>0</v>
      </c>
      <c r="CE311" s="347">
        <f>+'[163]VENTAS TOTALES'!$F92</f>
        <v>0</v>
      </c>
      <c r="CF311" s="346">
        <f>+'[164]VENTAS TOTALES'!$D92</f>
        <v>0</v>
      </c>
      <c r="CG311" s="347">
        <f>+'[164]VENTAS TOTALES'!$E92</f>
        <v>0</v>
      </c>
      <c r="CH311" s="347">
        <f>+'[164]VENTAS TOTALES'!$F92</f>
        <v>0</v>
      </c>
      <c r="CI311" s="346">
        <f>+'[165]VENTAS TOTALES'!$D92</f>
        <v>0</v>
      </c>
      <c r="CJ311" s="347">
        <f>+'[165]VENTAS TOTALES'!$E92</f>
        <v>0</v>
      </c>
      <c r="CK311" s="347">
        <f>+'[165]VENTAS TOTALES'!$F92</f>
        <v>0</v>
      </c>
      <c r="CL311" s="346">
        <f>+'[166]VENTAS TOTALES'!$D92</f>
        <v>0</v>
      </c>
      <c r="CM311" s="347">
        <f>+'[166]VENTAS TOTALES'!$E92</f>
        <v>0</v>
      </c>
      <c r="CN311" s="347">
        <f>+'[166]VENTAS TOTALES'!$F92</f>
        <v>0</v>
      </c>
      <c r="CO311" s="346">
        <f>+'[167]VENTAS TOTALES'!$D92</f>
        <v>0</v>
      </c>
      <c r="CP311" s="347">
        <f>+'[167]VENTAS TOTALES'!$E92</f>
        <v>0</v>
      </c>
      <c r="CQ311" s="347">
        <f>+'[167]VENTAS TOTALES'!$F92</f>
        <v>0</v>
      </c>
      <c r="CR311" s="346">
        <f>+'[168]VENTAS TOTALES'!$D92</f>
        <v>0</v>
      </c>
      <c r="CS311" s="347">
        <f>+'[168]VENTAS TOTALES'!$E92</f>
        <v>0</v>
      </c>
      <c r="CT311" s="347">
        <f>+'[168]VENTAS TOTALES'!$F92</f>
        <v>0</v>
      </c>
      <c r="CU311" s="346">
        <f>+'[169]VENTAS TOTALES'!$D92</f>
        <v>0</v>
      </c>
      <c r="CV311" s="347">
        <f>+'[169]VENTAS TOTALES'!$E92</f>
        <v>0</v>
      </c>
      <c r="CW311" s="347">
        <f>+'[169]VENTAS TOTALES'!$F92</f>
        <v>0</v>
      </c>
      <c r="CX311" s="346">
        <f>+'[170]VENTAS TOTALES'!$D92</f>
        <v>0</v>
      </c>
      <c r="CY311" s="347">
        <f>+'[170]VENTAS TOTALES'!$E92</f>
        <v>0</v>
      </c>
      <c r="CZ311" s="347">
        <f>+'[170]VENTAS TOTALES'!$F92</f>
        <v>0</v>
      </c>
    </row>
    <row r="312" spans="1:104" s="8" customFormat="1" x14ac:dyDescent="0.2">
      <c r="A312" s="466" t="s">
        <v>410</v>
      </c>
      <c r="B312" s="383" t="s">
        <v>395</v>
      </c>
      <c r="C312" s="384">
        <f>+'[137]VENTAS TOTALES'!$D92</f>
        <v>670</v>
      </c>
      <c r="D312" s="385">
        <f>+'[137]VENTAS TOTALES'!$E92</f>
        <v>386000</v>
      </c>
      <c r="E312" s="385">
        <f>+'[137]VENTAS TOTALES'!$F92</f>
        <v>1525000</v>
      </c>
      <c r="F312" s="384">
        <f>+'[138]VENTAS TOTALES'!$D92</f>
        <v>256</v>
      </c>
      <c r="G312" s="385">
        <f>+'[138]VENTAS TOTALES'!$E92</f>
        <v>2266500</v>
      </c>
      <c r="H312" s="385">
        <f>+'[138]VENTAS TOTALES'!$F92</f>
        <v>2701700</v>
      </c>
      <c r="I312" s="384">
        <f>+'[139]VENTAS TOTALES'!$D93</f>
        <v>220</v>
      </c>
      <c r="J312" s="385">
        <f>+'[139]VENTAS TOTALES'!$E93</f>
        <v>1335700</v>
      </c>
      <c r="K312" s="385">
        <f>+'[139]VENTAS TOTALES'!$F93</f>
        <v>1709700</v>
      </c>
      <c r="L312" s="384">
        <f>+'[140]VENTAS TOTALES'!$D93</f>
        <v>132</v>
      </c>
      <c r="M312" s="385">
        <f>+'[140]VENTAS TOTALES'!$E93</f>
        <v>1773600</v>
      </c>
      <c r="N312" s="385">
        <f>+'[140]VENTAS TOTALES'!$F93</f>
        <v>1998000</v>
      </c>
      <c r="O312" s="384">
        <f>+'[141]VENTAS TOTALES'!$D93</f>
        <v>3</v>
      </c>
      <c r="P312" s="385">
        <f>+'[141]VENTAS TOTALES'!$E93</f>
        <v>481300</v>
      </c>
      <c r="Q312" s="385">
        <f>+'[141]VENTAS TOTALES'!$F93</f>
        <v>486400</v>
      </c>
      <c r="R312" s="384">
        <f>+'[142]VENTAS TOTALES'!$D93</f>
        <v>0</v>
      </c>
      <c r="S312" s="385">
        <f>+'[142]VENTAS TOTALES'!$E93</f>
        <v>0</v>
      </c>
      <c r="T312" s="385">
        <f>+'[142]VENTAS TOTALES'!$F93</f>
        <v>0</v>
      </c>
      <c r="U312" s="384">
        <f>+'[143]VENTAS TOTALES'!$D93</f>
        <v>257</v>
      </c>
      <c r="V312" s="385">
        <f>+'[143]VENTAS TOTALES'!$E93</f>
        <v>2792900</v>
      </c>
      <c r="W312" s="385">
        <f>+'[143]VENTAS TOTALES'!$F93</f>
        <v>3229800</v>
      </c>
      <c r="X312" s="384">
        <f>+'[144]VENTAS TOTALES'!$D93</f>
        <v>48</v>
      </c>
      <c r="Y312" s="385">
        <f>+'[144]VENTAS TOTALES'!$E93</f>
        <v>1907700</v>
      </c>
      <c r="Z312" s="385">
        <f>+'[144]VENTAS TOTALES'!$F93</f>
        <v>1989300</v>
      </c>
      <c r="AA312" s="384">
        <f>+'[145]VENTAS TOTALES'!$D93</f>
        <v>49</v>
      </c>
      <c r="AB312" s="385">
        <f>+'[145]VENTAS TOTALES'!$E93</f>
        <v>1455100</v>
      </c>
      <c r="AC312" s="385">
        <f>+'[145]VENTAS TOTALES'!$F93</f>
        <v>1538400</v>
      </c>
      <c r="AD312" s="384">
        <f>+'[146]VENTAS TOTALES'!$D93</f>
        <v>164</v>
      </c>
      <c r="AE312" s="385">
        <f>+'[146]VENTAS TOTALES'!$E93</f>
        <v>1241100</v>
      </c>
      <c r="AF312" s="385">
        <f>+'[146]VENTAS TOTALES'!$F93</f>
        <v>1519900</v>
      </c>
      <c r="AG312" s="384">
        <f>+'[147]VENTAS TOTALES'!$D93</f>
        <v>79</v>
      </c>
      <c r="AH312" s="385">
        <f>+'[147]VENTAS TOTALES'!$E93</f>
        <v>1420600</v>
      </c>
      <c r="AI312" s="385">
        <f>+'[147]VENTAS TOTALES'!$F93</f>
        <v>1554900</v>
      </c>
      <c r="AJ312" s="384">
        <f>+'[148]VENTAS TOTALES'!$D93</f>
        <v>80</v>
      </c>
      <c r="AK312" s="385">
        <f>+'[148]VENTAS TOTALES'!$E93</f>
        <v>521300</v>
      </c>
      <c r="AL312" s="385">
        <f>+'[148]VENTAS TOTALES'!$F93</f>
        <v>657300</v>
      </c>
      <c r="AM312" s="384">
        <f>+'[149]VENTAS TOTALES'!$D93</f>
        <v>0</v>
      </c>
      <c r="AN312" s="385">
        <f>+'[149]VENTAS TOTALES'!$E93</f>
        <v>0</v>
      </c>
      <c r="AO312" s="385">
        <f>+'[149]VENTAS TOTALES'!$F93</f>
        <v>0</v>
      </c>
      <c r="AP312" s="384">
        <f>+'[150]VENTAS TOTALES'!$D93</f>
        <v>106</v>
      </c>
      <c r="AQ312" s="385">
        <f>+'[150]VENTAS TOTALES'!$E93</f>
        <v>2918100</v>
      </c>
      <c r="AR312" s="385">
        <f>+'[150]VENTAS TOTALES'!$F93</f>
        <v>3098300</v>
      </c>
      <c r="AS312" s="384">
        <f>+'[151]VENTAS TOTALES'!$D93</f>
        <v>318</v>
      </c>
      <c r="AT312" s="385">
        <f>+'[151]VENTAS TOTALES'!$E93</f>
        <v>1131500</v>
      </c>
      <c r="AU312" s="385">
        <f>+'[151]VENTAS TOTALES'!$F93</f>
        <v>1672100</v>
      </c>
      <c r="AV312" s="384">
        <f>+'[152]VENTAS TOTALES'!$D93</f>
        <v>131</v>
      </c>
      <c r="AW312" s="385">
        <f>+'[152]VENTAS TOTALES'!$E93</f>
        <v>1117700</v>
      </c>
      <c r="AX312" s="385">
        <f>+'[152]VENTAS TOTALES'!$F93</f>
        <v>1340400</v>
      </c>
      <c r="AY312" s="384">
        <f>+'[153]VENTAS TOTALES'!$D93</f>
        <v>241</v>
      </c>
      <c r="AZ312" s="385">
        <f>+'[153]VENTAS TOTALES'!$E93</f>
        <v>1588400</v>
      </c>
      <c r="BA312" s="385">
        <f>+'[153]VENTAS TOTALES'!$F93</f>
        <v>1998100</v>
      </c>
      <c r="BB312" s="384">
        <f>+'[154]VENTAS TOTALES'!$D93</f>
        <v>138</v>
      </c>
      <c r="BC312" s="385">
        <f>+'[154]VENTAS TOTALES'!$E93</f>
        <v>1603700</v>
      </c>
      <c r="BD312" s="385">
        <f>+'[154]VENTAS TOTALES'!$F93</f>
        <v>1838300</v>
      </c>
      <c r="BE312" s="384">
        <f>+'[155]VENTAS TOTALES'!$D93</f>
        <v>78</v>
      </c>
      <c r="BF312" s="385">
        <f>+'[155]VENTAS TOTALES'!$E93</f>
        <v>705900</v>
      </c>
      <c r="BG312" s="385">
        <f>+'[155]VENTAS TOTALES'!$F93</f>
        <v>838500</v>
      </c>
      <c r="BH312" s="384">
        <f>+'[156]VENTAS TOTALES'!$D93</f>
        <v>0</v>
      </c>
      <c r="BI312" s="385">
        <f>+'[156]VENTAS TOTALES'!$E93</f>
        <v>0</v>
      </c>
      <c r="BJ312" s="385">
        <f>+'[156]VENTAS TOTALES'!$F93</f>
        <v>0</v>
      </c>
      <c r="BK312" s="384">
        <f>+'[157]VENTAS TOTALES'!$D93</f>
        <v>398</v>
      </c>
      <c r="BL312" s="385">
        <f>+'[157]VENTAS TOTALES'!$E93</f>
        <v>1761100</v>
      </c>
      <c r="BM312" s="385">
        <f>+'[157]VENTAS TOTALES'!$F93</f>
        <v>2437700</v>
      </c>
      <c r="BN312" s="384">
        <f>+'[158]VENTAS TOTALES'!$D93</f>
        <v>56</v>
      </c>
      <c r="BO312" s="385">
        <f>+'[158]VENTAS TOTALES'!$E93</f>
        <v>1913100</v>
      </c>
      <c r="BP312" s="385">
        <f>+'[158]VENTAS TOTALES'!$F93</f>
        <v>2008300</v>
      </c>
      <c r="BQ312" s="384">
        <f>+'[159]VENTAS TOTALES'!$D93</f>
        <v>144</v>
      </c>
      <c r="BR312" s="385">
        <f>+'[159]VENTAS TOTALES'!$E93</f>
        <v>1636200</v>
      </c>
      <c r="BS312" s="385">
        <f>+'[159]VENTAS TOTALES'!$F93</f>
        <v>1881000</v>
      </c>
      <c r="BT312" s="384">
        <f>+'[160]VENTAS TOTALES'!$D93</f>
        <v>116</v>
      </c>
      <c r="BU312" s="385">
        <f>+'[160]VENTAS TOTALES'!$E93</f>
        <v>1661700</v>
      </c>
      <c r="BV312" s="385">
        <f>+'[160]VENTAS TOTALES'!$F93</f>
        <v>1858900</v>
      </c>
      <c r="BW312" s="384">
        <f>+'[161]VENTAS TOTALES'!$D93</f>
        <v>340</v>
      </c>
      <c r="BX312" s="385">
        <f>+'[161]VENTAS TOTALES'!$E93</f>
        <v>920350</v>
      </c>
      <c r="BY312" s="385">
        <f>+'[161]VENTAS TOTALES'!$F93</f>
        <v>1498350</v>
      </c>
      <c r="BZ312" s="384">
        <f>+'[162]VENTAS TOTALES'!$D93</f>
        <v>699</v>
      </c>
      <c r="CA312" s="385">
        <f>+'[162]VENTAS TOTALES'!$E93</f>
        <v>174000</v>
      </c>
      <c r="CB312" s="385">
        <f>+'[162]VENTAS TOTALES'!$F93</f>
        <v>1362300</v>
      </c>
      <c r="CC312" s="384">
        <f>+'[163]VENTAS TOTALES'!$D93</f>
        <v>0</v>
      </c>
      <c r="CD312" s="385">
        <f>+'[163]VENTAS TOTALES'!$E93</f>
        <v>0</v>
      </c>
      <c r="CE312" s="385">
        <f>+'[163]VENTAS TOTALES'!$F93</f>
        <v>0</v>
      </c>
      <c r="CF312" s="384">
        <f>+'[164]VENTAS TOTALES'!$D93</f>
        <v>701</v>
      </c>
      <c r="CG312" s="385">
        <f>+'[164]VENTAS TOTALES'!$E93</f>
        <v>1903400</v>
      </c>
      <c r="CH312" s="385">
        <f>+'[164]VENTAS TOTALES'!$F93</f>
        <v>3095100</v>
      </c>
      <c r="CI312" s="384">
        <f>+'[165]VENTAS TOTALES'!$D93</f>
        <v>546</v>
      </c>
      <c r="CJ312" s="385">
        <f>+'[165]VENTAS TOTALES'!$E93</f>
        <v>2871800</v>
      </c>
      <c r="CK312" s="385">
        <f>+'[165]VENTAS TOTALES'!$F93</f>
        <v>3800000</v>
      </c>
      <c r="CL312" s="384">
        <f>+'[166]VENTAS TOTALES'!$D93</f>
        <v>390</v>
      </c>
      <c r="CM312" s="385">
        <f>+'[166]VENTAS TOTALES'!$E93</f>
        <v>2352900</v>
      </c>
      <c r="CN312" s="385">
        <f>+'[166]VENTAS TOTALES'!$F93</f>
        <v>3015900</v>
      </c>
      <c r="CO312" s="384">
        <f>+'[167]VENTAS TOTALES'!$D93</f>
        <v>324</v>
      </c>
      <c r="CP312" s="385">
        <f>+'[167]VENTAS TOTALES'!$E93</f>
        <v>1653300</v>
      </c>
      <c r="CQ312" s="385">
        <f>+'[167]VENTAS TOTALES'!$F93</f>
        <v>2204100</v>
      </c>
      <c r="CR312" s="384">
        <f>+'[168]VENTAS TOTALES'!$D93</f>
        <v>718</v>
      </c>
      <c r="CS312" s="385">
        <f>+'[168]VENTAS TOTALES'!$E93</f>
        <v>376900</v>
      </c>
      <c r="CT312" s="385">
        <f>+'[168]VENTAS TOTALES'!$F93</f>
        <v>1597500</v>
      </c>
      <c r="CU312" s="384">
        <f>+'[169]VENTAS TOTALES'!$D93</f>
        <v>557</v>
      </c>
      <c r="CV312" s="385">
        <f>+'[169]VENTAS TOTALES'!$E93</f>
        <v>229900</v>
      </c>
      <c r="CW312" s="385">
        <f>+'[169]VENTAS TOTALES'!$F93</f>
        <v>1176800</v>
      </c>
      <c r="CX312" s="384">
        <f>+'[170]VENTAS TOTALES'!$D93</f>
        <v>0</v>
      </c>
      <c r="CY312" s="385">
        <f>+'[170]VENTAS TOTALES'!$E93</f>
        <v>0</v>
      </c>
      <c r="CZ312" s="385">
        <f>+'[170]VENTAS TOTALES'!$F93</f>
        <v>0</v>
      </c>
    </row>
    <row r="313" spans="1:104" s="8" customFormat="1" x14ac:dyDescent="0.2">
      <c r="A313" s="466"/>
      <c r="B313" s="370" t="s">
        <v>396</v>
      </c>
      <c r="C313" s="384">
        <f>+'[137]VENTAS TOTALES'!$D93</f>
        <v>450</v>
      </c>
      <c r="D313" s="385">
        <f>+'[137]VENTAS TOTALES'!$E93</f>
        <v>3338600</v>
      </c>
      <c r="E313" s="385">
        <f>+'[137]VENTAS TOTALES'!$F93</f>
        <v>4103600</v>
      </c>
      <c r="F313" s="384">
        <f>+'[138]VENTAS TOTALES'!$D93</f>
        <v>254</v>
      </c>
      <c r="G313" s="385">
        <f>+'[138]VENTAS TOTALES'!$E93</f>
        <v>2234800</v>
      </c>
      <c r="H313" s="385">
        <f>+'[138]VENTAS TOTALES'!$F93</f>
        <v>2666600</v>
      </c>
      <c r="I313" s="384">
        <f>+'[139]VENTAS TOTALES'!$D94</f>
        <v>383</v>
      </c>
      <c r="J313" s="385">
        <f>+'[139]VENTAS TOTALES'!$E94</f>
        <v>1958400</v>
      </c>
      <c r="K313" s="385">
        <f>+'[139]VENTAS TOTALES'!$F94</f>
        <v>2609500</v>
      </c>
      <c r="L313" s="384">
        <f>+'[140]VENTAS TOTALES'!$D94</f>
        <v>371</v>
      </c>
      <c r="M313" s="385">
        <f>+'[140]VENTAS TOTALES'!$E94</f>
        <v>1726000</v>
      </c>
      <c r="N313" s="385">
        <f>+'[140]VENTAS TOTALES'!$F94</f>
        <v>2356700</v>
      </c>
      <c r="O313" s="384">
        <f>+'[141]VENTAS TOTALES'!$D94</f>
        <v>301</v>
      </c>
      <c r="P313" s="385">
        <f>+'[141]VENTAS TOTALES'!$E94</f>
        <v>1179400</v>
      </c>
      <c r="Q313" s="385">
        <f>+'[141]VENTAS TOTALES'!$F94</f>
        <v>1691100</v>
      </c>
      <c r="R313" s="384">
        <f>+'[142]VENTAS TOTALES'!$D94</f>
        <v>0</v>
      </c>
      <c r="S313" s="385">
        <f>+'[142]VENTAS TOTALES'!$E94</f>
        <v>0</v>
      </c>
      <c r="T313" s="385">
        <f>+'[142]VENTAS TOTALES'!$F94</f>
        <v>0</v>
      </c>
      <c r="U313" s="384">
        <f>+'[143]VENTAS TOTALES'!$D94</f>
        <v>348</v>
      </c>
      <c r="V313" s="385">
        <f>+'[143]VENTAS TOTALES'!$E94</f>
        <v>3308400</v>
      </c>
      <c r="W313" s="385">
        <f>+'[143]VENTAS TOTALES'!$F94</f>
        <v>3900000</v>
      </c>
      <c r="X313" s="384">
        <f>+'[144]VENTAS TOTALES'!$D94</f>
        <v>219</v>
      </c>
      <c r="Y313" s="385">
        <f>+'[144]VENTAS TOTALES'!$E94</f>
        <v>2386100</v>
      </c>
      <c r="Z313" s="385">
        <f>+'[144]VENTAS TOTALES'!$F94</f>
        <v>2758400</v>
      </c>
      <c r="AA313" s="384">
        <f>+'[145]VENTAS TOTALES'!$D94</f>
        <v>450</v>
      </c>
      <c r="AB313" s="385">
        <f>+'[145]VENTAS TOTALES'!$E94</f>
        <v>1397100</v>
      </c>
      <c r="AC313" s="385">
        <f>+'[145]VENTAS TOTALES'!$F94</f>
        <v>2162100</v>
      </c>
      <c r="AD313" s="384">
        <f>+'[146]VENTAS TOTALES'!$D94</f>
        <v>353</v>
      </c>
      <c r="AE313" s="385">
        <f>+'[146]VENTAS TOTALES'!$E94</f>
        <v>1820650</v>
      </c>
      <c r="AF313" s="385">
        <f>+'[146]VENTAS TOTALES'!$F94</f>
        <v>2420750</v>
      </c>
      <c r="AG313" s="384">
        <f>+'[147]VENTAS TOTALES'!$D94</f>
        <v>348</v>
      </c>
      <c r="AH313" s="385">
        <f>+'[147]VENTAS TOTALES'!$E94</f>
        <v>1785200</v>
      </c>
      <c r="AI313" s="385">
        <f>+'[147]VENTAS TOTALES'!$F94</f>
        <v>2376800</v>
      </c>
      <c r="AJ313" s="384">
        <f>+'[148]VENTAS TOTALES'!$D94</f>
        <v>423</v>
      </c>
      <c r="AK313" s="385">
        <f>+'[148]VENTAS TOTALES'!$E94</f>
        <v>1337300</v>
      </c>
      <c r="AL313" s="385">
        <f>+'[148]VENTAS TOTALES'!$F94</f>
        <v>2056400</v>
      </c>
      <c r="AM313" s="384">
        <f>+'[149]VENTAS TOTALES'!$D94</f>
        <v>0</v>
      </c>
      <c r="AN313" s="385">
        <f>+'[149]VENTAS TOTALES'!$E94</f>
        <v>0</v>
      </c>
      <c r="AO313" s="385">
        <f>+'[149]VENTAS TOTALES'!$F94</f>
        <v>0</v>
      </c>
      <c r="AP313" s="384">
        <f>+'[150]VENTAS TOTALES'!$D94</f>
        <v>530</v>
      </c>
      <c r="AQ313" s="385">
        <f>+'[150]VENTAS TOTALES'!$E94</f>
        <v>3150450</v>
      </c>
      <c r="AR313" s="385">
        <f>+'[150]VENTAS TOTALES'!$F94</f>
        <v>4051450</v>
      </c>
      <c r="AS313" s="384">
        <f>+'[151]VENTAS TOTALES'!$D94</f>
        <v>223</v>
      </c>
      <c r="AT313" s="385">
        <f>+'[151]VENTAS TOTALES'!$E94</f>
        <v>1027400</v>
      </c>
      <c r="AU313" s="385">
        <f>+'[151]VENTAS TOTALES'!$F94</f>
        <v>1406500</v>
      </c>
      <c r="AV313" s="384">
        <f>+'[152]VENTAS TOTALES'!$D94</f>
        <v>150</v>
      </c>
      <c r="AW313" s="385">
        <f>+'[152]VENTAS TOTALES'!$E94</f>
        <v>1137500</v>
      </c>
      <c r="AX313" s="385">
        <f>+'[152]VENTAS TOTALES'!$F94</f>
        <v>1392500</v>
      </c>
      <c r="AY313" s="384">
        <f>+'[153]VENTAS TOTALES'!$D94</f>
        <v>218</v>
      </c>
      <c r="AZ313" s="385">
        <f>+'[153]VENTAS TOTALES'!$E94</f>
        <v>2395000</v>
      </c>
      <c r="BA313" s="385">
        <f>+'[153]VENTAS TOTALES'!$F94</f>
        <v>2765600</v>
      </c>
      <c r="BB313" s="384">
        <f>+'[154]VENTAS TOTALES'!$D94</f>
        <v>292</v>
      </c>
      <c r="BC313" s="385">
        <f>+'[154]VENTAS TOTALES'!$E94</f>
        <v>1894200</v>
      </c>
      <c r="BD313" s="385">
        <f>+'[154]VENTAS TOTALES'!$F94</f>
        <v>2390600</v>
      </c>
      <c r="BE313" s="384">
        <f>+'[155]VENTAS TOTALES'!$D94</f>
        <v>323</v>
      </c>
      <c r="BF313" s="385">
        <f>+'[155]VENTAS TOTALES'!$E94</f>
        <v>1220300</v>
      </c>
      <c r="BG313" s="385">
        <f>+'[155]VENTAS TOTALES'!$F94</f>
        <v>1769400</v>
      </c>
      <c r="BH313" s="384">
        <f>+'[156]VENTAS TOTALES'!$D94</f>
        <v>0</v>
      </c>
      <c r="BI313" s="385">
        <f>+'[156]VENTAS TOTALES'!$E94</f>
        <v>0</v>
      </c>
      <c r="BJ313" s="385">
        <f>+'[156]VENTAS TOTALES'!$F94</f>
        <v>0</v>
      </c>
      <c r="BK313" s="384">
        <f>+'[157]VENTAS TOTALES'!$D94</f>
        <v>489</v>
      </c>
      <c r="BL313" s="385">
        <f>+'[157]VENTAS TOTALES'!$E94</f>
        <v>4255400</v>
      </c>
      <c r="BM313" s="385">
        <f>+'[157]VENTAS TOTALES'!$F94</f>
        <v>5086700</v>
      </c>
      <c r="BN313" s="384">
        <f>+'[158]VENTAS TOTALES'!$D94</f>
        <v>442</v>
      </c>
      <c r="BO313" s="385">
        <f>+'[158]VENTAS TOTALES'!$E94</f>
        <v>2386100</v>
      </c>
      <c r="BP313" s="385">
        <f>+'[158]VENTAS TOTALES'!$F94</f>
        <v>3137500</v>
      </c>
      <c r="BQ313" s="384">
        <f>+'[159]VENTAS TOTALES'!$D94</f>
        <v>453</v>
      </c>
      <c r="BR313" s="385">
        <f>+'[159]VENTAS TOTALES'!$E94</f>
        <v>2076600</v>
      </c>
      <c r="BS313" s="385">
        <f>+'[159]VENTAS TOTALES'!$F94</f>
        <v>2846700</v>
      </c>
      <c r="BT313" s="384">
        <f>+'[160]VENTAS TOTALES'!$D94</f>
        <v>191</v>
      </c>
      <c r="BU313" s="385">
        <f>+'[160]VENTAS TOTALES'!$E94</f>
        <v>2295400</v>
      </c>
      <c r="BV313" s="385">
        <f>+'[160]VENTAS TOTALES'!$F94</f>
        <v>2620100</v>
      </c>
      <c r="BW313" s="384">
        <f>+'[161]VENTAS TOTALES'!$D94</f>
        <v>380</v>
      </c>
      <c r="BX313" s="385">
        <f>+'[161]VENTAS TOTALES'!$E94</f>
        <v>1691400</v>
      </c>
      <c r="BY313" s="385">
        <f>+'[161]VENTAS TOTALES'!$F94</f>
        <v>2337400</v>
      </c>
      <c r="BZ313" s="384">
        <f>+'[162]VENTAS TOTALES'!$D94</f>
        <v>423</v>
      </c>
      <c r="CA313" s="385">
        <f>+'[162]VENTAS TOTALES'!$E94</f>
        <v>1265500</v>
      </c>
      <c r="CB313" s="385">
        <f>+'[162]VENTAS TOTALES'!$F94</f>
        <v>1984600</v>
      </c>
      <c r="CC313" s="384">
        <f>+'[163]VENTAS TOTALES'!$D94</f>
        <v>0</v>
      </c>
      <c r="CD313" s="385">
        <f>+'[163]VENTAS TOTALES'!$E94</f>
        <v>0</v>
      </c>
      <c r="CE313" s="385">
        <f>+'[163]VENTAS TOTALES'!$F94</f>
        <v>0</v>
      </c>
      <c r="CF313" s="384">
        <f>+'[164]VENTAS TOTALES'!$D94</f>
        <v>402</v>
      </c>
      <c r="CG313" s="385">
        <f>+'[164]VENTAS TOTALES'!$E94</f>
        <v>3763600</v>
      </c>
      <c r="CH313" s="385">
        <f>+'[164]VENTAS TOTALES'!$F94</f>
        <v>4447000</v>
      </c>
      <c r="CI313" s="384">
        <f>+'[165]VENTAS TOTALES'!$D94</f>
        <v>668</v>
      </c>
      <c r="CJ313" s="385">
        <f>+'[165]VENTAS TOTALES'!$E94</f>
        <v>3814300</v>
      </c>
      <c r="CK313" s="385">
        <f>+'[165]VENTAS TOTALES'!$F94</f>
        <v>4949900</v>
      </c>
      <c r="CL313" s="384">
        <f>+'[166]VENTAS TOTALES'!$D94</f>
        <v>511</v>
      </c>
      <c r="CM313" s="385">
        <f>+'[166]VENTAS TOTALES'!$E94</f>
        <v>4106850</v>
      </c>
      <c r="CN313" s="385">
        <f>+'[166]VENTAS TOTALES'!$F94</f>
        <v>4975550</v>
      </c>
      <c r="CO313" s="384">
        <f>+'[167]VENTAS TOTALES'!$D94</f>
        <v>549</v>
      </c>
      <c r="CP313" s="385">
        <f>+'[167]VENTAS TOTALES'!$E94</f>
        <v>2411000</v>
      </c>
      <c r="CQ313" s="385">
        <f>+'[167]VENTAS TOTALES'!$F94</f>
        <v>3344300</v>
      </c>
      <c r="CR313" s="384">
        <f>+'[168]VENTAS TOTALES'!$D94</f>
        <v>371</v>
      </c>
      <c r="CS313" s="385">
        <f>+'[168]VENTAS TOTALES'!$E94</f>
        <v>1515700</v>
      </c>
      <c r="CT313" s="385">
        <f>+'[168]VENTAS TOTALES'!$F94</f>
        <v>2146400</v>
      </c>
      <c r="CU313" s="384">
        <f>+'[169]VENTAS TOTALES'!$D94</f>
        <v>493</v>
      </c>
      <c r="CV313" s="385">
        <f>+'[169]VENTAS TOTALES'!$E94</f>
        <v>934800</v>
      </c>
      <c r="CW313" s="385">
        <f>+'[169]VENTAS TOTALES'!$F94</f>
        <v>1772900</v>
      </c>
      <c r="CX313" s="384">
        <f>+'[170]VENTAS TOTALES'!$D94</f>
        <v>0</v>
      </c>
      <c r="CY313" s="385">
        <f>+'[170]VENTAS TOTALES'!$E94</f>
        <v>0</v>
      </c>
      <c r="CZ313" s="385">
        <f>+'[170]VENTAS TOTALES'!$F94</f>
        <v>0</v>
      </c>
    </row>
    <row r="314" spans="1:104" s="8" customFormat="1" x14ac:dyDescent="0.2">
      <c r="A314" s="466"/>
      <c r="B314" s="370" t="s">
        <v>397</v>
      </c>
      <c r="C314" s="384">
        <f>+'[137]VENTAS TOTALES'!$D94</f>
        <v>440</v>
      </c>
      <c r="D314" s="385">
        <f>+'[137]VENTAS TOTALES'!$E94</f>
        <v>2976700</v>
      </c>
      <c r="E314" s="385">
        <f>+'[137]VENTAS TOTALES'!$F94</f>
        <v>3724700</v>
      </c>
      <c r="F314" s="384">
        <f>+'[138]VENTAS TOTALES'!$D94</f>
        <v>710</v>
      </c>
      <c r="G314" s="385">
        <f>+'[138]VENTAS TOTALES'!$E94</f>
        <v>2473300</v>
      </c>
      <c r="H314" s="385">
        <f>+'[138]VENTAS TOTALES'!$F94</f>
        <v>3680300</v>
      </c>
      <c r="I314" s="384">
        <f>+'[139]VENTAS TOTALES'!$D95</f>
        <v>616</v>
      </c>
      <c r="J314" s="385">
        <f>+'[139]VENTAS TOTALES'!$E95</f>
        <v>1583700</v>
      </c>
      <c r="K314" s="385">
        <f>+'[139]VENTAS TOTALES'!$F95</f>
        <v>2630900</v>
      </c>
      <c r="L314" s="384">
        <f>+'[140]VENTAS TOTALES'!$D95</f>
        <v>684</v>
      </c>
      <c r="M314" s="385">
        <f>+'[140]VENTAS TOTALES'!$E95</f>
        <v>1493400</v>
      </c>
      <c r="N314" s="385">
        <f>+'[140]VENTAS TOTALES'!$F95</f>
        <v>2656200</v>
      </c>
      <c r="O314" s="384">
        <f>+'[141]VENTAS TOTALES'!$D95</f>
        <v>340</v>
      </c>
      <c r="P314" s="385">
        <f>+'[141]VENTAS TOTALES'!$E95</f>
        <v>655900</v>
      </c>
      <c r="Q314" s="385">
        <f>+'[141]VENTAS TOTALES'!$F95</f>
        <v>1233900</v>
      </c>
      <c r="R314" s="384">
        <f>+'[142]VENTAS TOTALES'!$D95</f>
        <v>0</v>
      </c>
      <c r="S314" s="385">
        <f>+'[142]VENTAS TOTALES'!$E95</f>
        <v>0</v>
      </c>
      <c r="T314" s="385">
        <f>+'[142]VENTAS TOTALES'!$F95</f>
        <v>0</v>
      </c>
      <c r="U314" s="384">
        <f>+'[143]VENTAS TOTALES'!$D95</f>
        <v>673</v>
      </c>
      <c r="V314" s="385">
        <f>+'[143]VENTAS TOTALES'!$E95</f>
        <v>2406050</v>
      </c>
      <c r="W314" s="385">
        <f>+'[143]VENTAS TOTALES'!$F95</f>
        <v>3550150</v>
      </c>
      <c r="X314" s="384">
        <f>+'[144]VENTAS TOTALES'!$D95</f>
        <v>648</v>
      </c>
      <c r="Y314" s="385">
        <f>+'[144]VENTAS TOTALES'!$E95</f>
        <v>1587650</v>
      </c>
      <c r="Z314" s="385">
        <f>+'[144]VENTAS TOTALES'!$F95</f>
        <v>2689250</v>
      </c>
      <c r="AA314" s="384">
        <f>+'[145]VENTAS TOTALES'!$D95</f>
        <v>577</v>
      </c>
      <c r="AB314" s="385">
        <f>+'[145]VENTAS TOTALES'!$E95</f>
        <v>1459300</v>
      </c>
      <c r="AC314" s="385">
        <f>+'[145]VENTAS TOTALES'!$F95</f>
        <v>2440200</v>
      </c>
      <c r="AD314" s="384">
        <f>+'[146]VENTAS TOTALES'!$D95</f>
        <v>688</v>
      </c>
      <c r="AE314" s="385">
        <f>+'[146]VENTAS TOTALES'!$E95</f>
        <v>1483800</v>
      </c>
      <c r="AF314" s="385">
        <f>+'[146]VENTAS TOTALES'!$F95</f>
        <v>2653400</v>
      </c>
      <c r="AG314" s="384">
        <f>+'[147]VENTAS TOTALES'!$D95</f>
        <v>477</v>
      </c>
      <c r="AH314" s="385">
        <f>+'[147]VENTAS TOTALES'!$E95</f>
        <v>1523600</v>
      </c>
      <c r="AI314" s="385">
        <f>+'[147]VENTAS TOTALES'!$F95</f>
        <v>2334500</v>
      </c>
      <c r="AJ314" s="384">
        <f>+'[148]VENTAS TOTALES'!$D95</f>
        <v>545</v>
      </c>
      <c r="AK314" s="385">
        <f>+'[148]VENTAS TOTALES'!$E95</f>
        <v>899100</v>
      </c>
      <c r="AL314" s="385">
        <f>+'[148]VENTAS TOTALES'!$F95</f>
        <v>1825600</v>
      </c>
      <c r="AM314" s="384">
        <f>+'[149]VENTAS TOTALES'!$D95</f>
        <v>0</v>
      </c>
      <c r="AN314" s="385">
        <f>+'[149]VENTAS TOTALES'!$E95</f>
        <v>0</v>
      </c>
      <c r="AO314" s="385">
        <f>+'[149]VENTAS TOTALES'!$F95</f>
        <v>0</v>
      </c>
      <c r="AP314" s="384">
        <f>+'[150]VENTAS TOTALES'!$D95</f>
        <v>653</v>
      </c>
      <c r="AQ314" s="385">
        <f>+'[150]VENTAS TOTALES'!$E95</f>
        <v>3247300</v>
      </c>
      <c r="AR314" s="385">
        <f>+'[150]VENTAS TOTALES'!$F95</f>
        <v>4357400</v>
      </c>
      <c r="AS314" s="384">
        <f>+'[151]VENTAS TOTALES'!$D95</f>
        <v>427</v>
      </c>
      <c r="AT314" s="385">
        <f>+'[151]VENTAS TOTALES'!$E95</f>
        <v>905400</v>
      </c>
      <c r="AU314" s="385">
        <f>+'[151]VENTAS TOTALES'!$F95</f>
        <v>1631300</v>
      </c>
      <c r="AV314" s="384">
        <f>+'[152]VENTAS TOTALES'!$D95</f>
        <v>148</v>
      </c>
      <c r="AW314" s="385">
        <f>+'[152]VENTAS TOTALES'!$E95</f>
        <v>1550700</v>
      </c>
      <c r="AX314" s="385">
        <f>+'[152]VENTAS TOTALES'!$F95</f>
        <v>1802300</v>
      </c>
      <c r="AY314" s="384">
        <f>+'[153]VENTAS TOTALES'!$D95</f>
        <v>606</v>
      </c>
      <c r="AZ314" s="385">
        <f>+'[153]VENTAS TOTALES'!$E95</f>
        <v>2188900</v>
      </c>
      <c r="BA314" s="385">
        <f>+'[153]VENTAS TOTALES'!$F95</f>
        <v>3219100</v>
      </c>
      <c r="BB314" s="384">
        <f>+'[154]VENTAS TOTALES'!$D95</f>
        <v>549</v>
      </c>
      <c r="BC314" s="385">
        <f>+'[154]VENTAS TOTALES'!$E95</f>
        <v>1876450</v>
      </c>
      <c r="BD314" s="385">
        <f>+'[154]VENTAS TOTALES'!$F95</f>
        <v>2809750</v>
      </c>
      <c r="BE314" s="384">
        <f>+'[155]VENTAS TOTALES'!$D95</f>
        <v>470</v>
      </c>
      <c r="BF314" s="385">
        <f>+'[155]VENTAS TOTALES'!$E95</f>
        <v>736700</v>
      </c>
      <c r="BG314" s="385">
        <f>+'[155]VENTAS TOTALES'!$F95</f>
        <v>1535700</v>
      </c>
      <c r="BH314" s="384">
        <f>+'[156]VENTAS TOTALES'!$D95</f>
        <v>0</v>
      </c>
      <c r="BI314" s="385">
        <f>+'[156]VENTAS TOTALES'!$E95</f>
        <v>0</v>
      </c>
      <c r="BJ314" s="385">
        <f>+'[156]VENTAS TOTALES'!$F95</f>
        <v>0</v>
      </c>
      <c r="BK314" s="384">
        <f>+'[157]VENTAS TOTALES'!$D95</f>
        <v>612</v>
      </c>
      <c r="BL314" s="385">
        <f>+'[157]VENTAS TOTALES'!$E95</f>
        <v>2833400</v>
      </c>
      <c r="BM314" s="385">
        <f>+'[157]VENTAS TOTALES'!$F95</f>
        <v>3873800</v>
      </c>
      <c r="BN314" s="384">
        <f>+'[158]VENTAS TOTALES'!$D95</f>
        <v>481</v>
      </c>
      <c r="BO314" s="385">
        <f>+'[158]VENTAS TOTALES'!$E95</f>
        <v>1469000</v>
      </c>
      <c r="BP314" s="385">
        <f>+'[158]VENTAS TOTALES'!$F95</f>
        <v>2286700</v>
      </c>
      <c r="BQ314" s="384">
        <f>+'[159]VENTAS TOTALES'!$D95</f>
        <v>405</v>
      </c>
      <c r="BR314" s="385">
        <f>+'[159]VENTAS TOTALES'!$E95</f>
        <v>1704800</v>
      </c>
      <c r="BS314" s="385">
        <f>+'[159]VENTAS TOTALES'!$F95</f>
        <v>2393300</v>
      </c>
      <c r="BT314" s="384">
        <f>+'[160]VENTAS TOTALES'!$D95</f>
        <v>856</v>
      </c>
      <c r="BU314" s="385">
        <f>+'[160]VENTAS TOTALES'!$E95</f>
        <v>1611050</v>
      </c>
      <c r="BV314" s="385">
        <f>+'[160]VENTAS TOTALES'!$F95</f>
        <v>3066250</v>
      </c>
      <c r="BW314" s="384">
        <f>+'[161]VENTAS TOTALES'!$D95</f>
        <v>647</v>
      </c>
      <c r="BX314" s="385">
        <f>+'[161]VENTAS TOTALES'!$E95</f>
        <v>1590500</v>
      </c>
      <c r="BY314" s="385">
        <f>+'[161]VENTAS TOTALES'!$F95</f>
        <v>2690400</v>
      </c>
      <c r="BZ314" s="384">
        <f>+'[162]VENTAS TOTALES'!$D95</f>
        <v>667</v>
      </c>
      <c r="CA314" s="385">
        <f>+'[162]VENTAS TOTALES'!$E95</f>
        <v>855650</v>
      </c>
      <c r="CB314" s="385">
        <f>+'[162]VENTAS TOTALES'!$F95</f>
        <v>1989550</v>
      </c>
      <c r="CC314" s="384">
        <f>+'[163]VENTAS TOTALES'!$D95</f>
        <v>0</v>
      </c>
      <c r="CD314" s="385">
        <f>+'[163]VENTAS TOTALES'!$E95</f>
        <v>0</v>
      </c>
      <c r="CE314" s="385">
        <f>+'[163]VENTAS TOTALES'!$F95</f>
        <v>0</v>
      </c>
      <c r="CF314" s="384">
        <f>+'[164]VENTAS TOTALES'!$D95</f>
        <v>660</v>
      </c>
      <c r="CG314" s="385">
        <f>+'[164]VENTAS TOTALES'!$E95</f>
        <v>3429150</v>
      </c>
      <c r="CH314" s="385">
        <f>+'[164]VENTAS TOTALES'!$F95</f>
        <v>4551150</v>
      </c>
      <c r="CI314" s="384">
        <f>+'[165]VENTAS TOTALES'!$D95</f>
        <v>722</v>
      </c>
      <c r="CJ314" s="385">
        <f>+'[165]VENTAS TOTALES'!$E95</f>
        <v>3008000</v>
      </c>
      <c r="CK314" s="385">
        <f>+'[165]VENTAS TOTALES'!$F95</f>
        <v>4235400</v>
      </c>
      <c r="CL314" s="384">
        <f>+'[166]VENTAS TOTALES'!$D95</f>
        <v>690</v>
      </c>
      <c r="CM314" s="385">
        <f>+'[166]VENTAS TOTALES'!$E95</f>
        <v>2514900</v>
      </c>
      <c r="CN314" s="385">
        <f>+'[166]VENTAS TOTALES'!$F95</f>
        <v>3687900</v>
      </c>
      <c r="CO314" s="384">
        <f>+'[167]VENTAS TOTALES'!$D95</f>
        <v>518</v>
      </c>
      <c r="CP314" s="385">
        <f>+'[167]VENTAS TOTALES'!$E95</f>
        <v>1695400</v>
      </c>
      <c r="CQ314" s="385">
        <f>+'[167]VENTAS TOTALES'!$F95</f>
        <v>2576000</v>
      </c>
      <c r="CR314" s="384">
        <f>+'[168]VENTAS TOTALES'!$D95</f>
        <v>487</v>
      </c>
      <c r="CS314" s="385">
        <f>+'[168]VENTAS TOTALES'!$E95</f>
        <v>1488200</v>
      </c>
      <c r="CT314" s="385">
        <f>+'[168]VENTAS TOTALES'!$F95</f>
        <v>2316100</v>
      </c>
      <c r="CU314" s="384">
        <f>+'[169]VENTAS TOTALES'!$D95</f>
        <v>543</v>
      </c>
      <c r="CV314" s="385">
        <f>+'[169]VENTAS TOTALES'!$E95</f>
        <v>1052750</v>
      </c>
      <c r="CW314" s="385">
        <f>+'[169]VENTAS TOTALES'!$F95</f>
        <v>1975850</v>
      </c>
      <c r="CX314" s="384">
        <f>+'[170]VENTAS TOTALES'!$D95</f>
        <v>0</v>
      </c>
      <c r="CY314" s="385">
        <f>+'[170]VENTAS TOTALES'!$E95</f>
        <v>0</v>
      </c>
      <c r="CZ314" s="385">
        <f>+'[170]VENTAS TOTALES'!$F95</f>
        <v>0</v>
      </c>
    </row>
    <row r="315" spans="1:104" s="8" customFormat="1" x14ac:dyDescent="0.2">
      <c r="A315" s="466"/>
      <c r="B315" s="370" t="s">
        <v>398</v>
      </c>
      <c r="C315" s="384">
        <f>+'[137]VENTAS TOTALES'!$D95</f>
        <v>257</v>
      </c>
      <c r="D315" s="385">
        <f>+'[137]VENTAS TOTALES'!$E95</f>
        <v>6194800</v>
      </c>
      <c r="E315" s="385">
        <f>+'[137]VENTAS TOTALES'!$F95</f>
        <v>6631700</v>
      </c>
      <c r="F315" s="384">
        <f>+'[138]VENTAS TOTALES'!$D95</f>
        <v>231</v>
      </c>
      <c r="G315" s="385">
        <f>+'[138]VENTAS TOTALES'!$E95</f>
        <v>4262050</v>
      </c>
      <c r="H315" s="385">
        <f>+'[138]VENTAS TOTALES'!$F95</f>
        <v>4654750</v>
      </c>
      <c r="I315" s="384">
        <f>+'[139]VENTAS TOTALES'!$D96</f>
        <v>156</v>
      </c>
      <c r="J315" s="385">
        <f>+'[139]VENTAS TOTALES'!$E96</f>
        <v>3202450</v>
      </c>
      <c r="K315" s="385">
        <f>+'[139]VENTAS TOTALES'!$F96</f>
        <v>3467650</v>
      </c>
      <c r="L315" s="384">
        <f>+'[140]VENTAS TOTALES'!$D96</f>
        <v>199</v>
      </c>
      <c r="M315" s="385">
        <f>+'[140]VENTAS TOTALES'!$E96</f>
        <v>2739000</v>
      </c>
      <c r="N315" s="385">
        <f>+'[140]VENTAS TOTALES'!$F96</f>
        <v>3077300</v>
      </c>
      <c r="O315" s="384">
        <f>+'[141]VENTAS TOTALES'!$D96</f>
        <v>90</v>
      </c>
      <c r="P315" s="385">
        <f>+'[141]VENTAS TOTALES'!$E96</f>
        <v>1477500</v>
      </c>
      <c r="Q315" s="385">
        <f>+'[141]VENTAS TOTALES'!$F96</f>
        <v>1630500</v>
      </c>
      <c r="R315" s="384">
        <f>+'[142]VENTAS TOTALES'!$D96</f>
        <v>0</v>
      </c>
      <c r="S315" s="385">
        <f>+'[142]VENTAS TOTALES'!$E96</f>
        <v>0</v>
      </c>
      <c r="T315" s="385">
        <f>+'[142]VENTAS TOTALES'!$F96</f>
        <v>0</v>
      </c>
      <c r="U315" s="384">
        <f>+'[143]VENTAS TOTALES'!$D96</f>
        <v>281</v>
      </c>
      <c r="V315" s="385">
        <f>+'[143]VENTAS TOTALES'!$E96</f>
        <v>4722050</v>
      </c>
      <c r="W315" s="385">
        <f>+'[143]VENTAS TOTALES'!$F96</f>
        <v>5199750</v>
      </c>
      <c r="X315" s="384">
        <f>+'[144]VENTAS TOTALES'!$D96</f>
        <v>169</v>
      </c>
      <c r="Y315" s="385">
        <f>+'[144]VENTAS TOTALES'!$E96</f>
        <v>3287600</v>
      </c>
      <c r="Z315" s="385">
        <f>+'[144]VENTAS TOTALES'!$F96</f>
        <v>3574900</v>
      </c>
      <c r="AA315" s="384">
        <f>+'[145]VENTAS TOTALES'!$D96</f>
        <v>196</v>
      </c>
      <c r="AB315" s="385">
        <f>+'[145]VENTAS TOTALES'!$E96</f>
        <v>3072550</v>
      </c>
      <c r="AC315" s="385">
        <f>+'[145]VENTAS TOTALES'!$F96</f>
        <v>3405750</v>
      </c>
      <c r="AD315" s="384">
        <f>+'[146]VENTAS TOTALES'!$D96</f>
        <v>130</v>
      </c>
      <c r="AE315" s="385">
        <f>+'[146]VENTAS TOTALES'!$E96</f>
        <v>1952950</v>
      </c>
      <c r="AF315" s="385">
        <f>+'[146]VENTAS TOTALES'!$F96</f>
        <v>2173950</v>
      </c>
      <c r="AG315" s="384">
        <f>+'[147]VENTAS TOTALES'!$D96</f>
        <v>264</v>
      </c>
      <c r="AH315" s="385">
        <f>+'[147]VENTAS TOTALES'!$E96</f>
        <v>2718500</v>
      </c>
      <c r="AI315" s="385">
        <f>+'[147]VENTAS TOTALES'!$F96</f>
        <v>3167300</v>
      </c>
      <c r="AJ315" s="384">
        <f>+'[148]VENTAS TOTALES'!$D96</f>
        <v>97</v>
      </c>
      <c r="AK315" s="385">
        <f>+'[148]VENTAS TOTALES'!$E96</f>
        <v>1100900</v>
      </c>
      <c r="AL315" s="385">
        <f>+'[148]VENTAS TOTALES'!$F96</f>
        <v>1265800</v>
      </c>
      <c r="AM315" s="384">
        <f>+'[149]VENTAS TOTALES'!$D96</f>
        <v>0</v>
      </c>
      <c r="AN315" s="385">
        <f>+'[149]VENTAS TOTALES'!$E96</f>
        <v>0</v>
      </c>
      <c r="AO315" s="385">
        <f>+'[149]VENTAS TOTALES'!$F96</f>
        <v>0</v>
      </c>
      <c r="AP315" s="384">
        <f>+'[150]VENTAS TOTALES'!$D96</f>
        <v>456</v>
      </c>
      <c r="AQ315" s="385">
        <f>+'[150]VENTAS TOTALES'!$E96</f>
        <v>5315650</v>
      </c>
      <c r="AR315" s="385">
        <f>+'[150]VENTAS TOTALES'!$F96</f>
        <v>6090850</v>
      </c>
      <c r="AS315" s="384">
        <f>+'[151]VENTAS TOTALES'!$D96</f>
        <v>302</v>
      </c>
      <c r="AT315" s="385">
        <f>+'[151]VENTAS TOTALES'!$E96</f>
        <v>4184850</v>
      </c>
      <c r="AU315" s="385">
        <f>+'[151]VENTAS TOTALES'!$F96</f>
        <v>4698250</v>
      </c>
      <c r="AV315" s="384">
        <f>+'[152]VENTAS TOTALES'!$D96</f>
        <v>374</v>
      </c>
      <c r="AW315" s="385">
        <f>+'[152]VENTAS TOTALES'!$E96</f>
        <v>4560450</v>
      </c>
      <c r="AX315" s="385">
        <f>+'[152]VENTAS TOTALES'!$F96</f>
        <v>5196250</v>
      </c>
      <c r="AY315" s="384">
        <f>+'[153]VENTAS TOTALES'!$D96</f>
        <v>175</v>
      </c>
      <c r="AZ315" s="385">
        <f>+'[153]VENTAS TOTALES'!$E96</f>
        <v>3307750</v>
      </c>
      <c r="BA315" s="385">
        <f>+'[153]VENTAS TOTALES'!$F96</f>
        <v>3605250</v>
      </c>
      <c r="BB315" s="384">
        <f>+'[154]VENTAS TOTALES'!$D96</f>
        <v>248</v>
      </c>
      <c r="BC315" s="385">
        <f>+'[154]VENTAS TOTALES'!$E96</f>
        <v>2298400</v>
      </c>
      <c r="BD315" s="385">
        <f>+'[154]VENTAS TOTALES'!$F96</f>
        <v>2720000</v>
      </c>
      <c r="BE315" s="384">
        <f>+'[155]VENTAS TOTALES'!$D96</f>
        <v>115</v>
      </c>
      <c r="BF315" s="385">
        <f>+'[155]VENTAS TOTALES'!$E96</f>
        <v>1192700</v>
      </c>
      <c r="BG315" s="385">
        <f>+'[155]VENTAS TOTALES'!$F96</f>
        <v>1388200</v>
      </c>
      <c r="BH315" s="384">
        <f>+'[156]VENTAS TOTALES'!$D96</f>
        <v>0</v>
      </c>
      <c r="BI315" s="385">
        <f>+'[156]VENTAS TOTALES'!$E96</f>
        <v>0</v>
      </c>
      <c r="BJ315" s="385">
        <f>+'[156]VENTAS TOTALES'!$F96</f>
        <v>0</v>
      </c>
      <c r="BK315" s="384">
        <f>+'[157]VENTAS TOTALES'!$D96</f>
        <v>350</v>
      </c>
      <c r="BL315" s="385">
        <f>+'[157]VENTAS TOTALES'!$E96</f>
        <v>4117000</v>
      </c>
      <c r="BM315" s="385">
        <f>+'[157]VENTAS TOTALES'!$F96</f>
        <v>4712000</v>
      </c>
      <c r="BN315" s="384">
        <f>+'[158]VENTAS TOTALES'!$D96</f>
        <v>182</v>
      </c>
      <c r="BO315" s="385">
        <f>+'[158]VENTAS TOTALES'!$E96</f>
        <v>3272450</v>
      </c>
      <c r="BP315" s="385">
        <f>+'[158]VENTAS TOTALES'!$F96</f>
        <v>3581850</v>
      </c>
      <c r="BQ315" s="384">
        <f>+'[159]VENTAS TOTALES'!$D96</f>
        <v>131</v>
      </c>
      <c r="BR315" s="385">
        <f>+'[159]VENTAS TOTALES'!$E96</f>
        <v>2704350</v>
      </c>
      <c r="BS315" s="385">
        <f>+'[159]VENTAS TOTALES'!$F96</f>
        <v>2927050</v>
      </c>
      <c r="BT315" s="384">
        <f>+'[160]VENTAS TOTALES'!$D96</f>
        <v>177</v>
      </c>
      <c r="BU315" s="385">
        <f>+'[160]VENTAS TOTALES'!$E96</f>
        <v>2562350</v>
      </c>
      <c r="BV315" s="385">
        <f>+'[160]VENTAS TOTALES'!$F96</f>
        <v>2863250</v>
      </c>
      <c r="BW315" s="384">
        <f>+'[161]VENTAS TOTALES'!$D96</f>
        <v>211</v>
      </c>
      <c r="BX315" s="385">
        <f>+'[161]VENTAS TOTALES'!$E96</f>
        <v>3196200</v>
      </c>
      <c r="BY315" s="385">
        <f>+'[161]VENTAS TOTALES'!$F96</f>
        <v>3554900</v>
      </c>
      <c r="BZ315" s="384">
        <f>+'[162]VENTAS TOTALES'!$D96</f>
        <v>99</v>
      </c>
      <c r="CA315" s="385">
        <f>+'[162]VENTAS TOTALES'!$E96</f>
        <v>1130000</v>
      </c>
      <c r="CB315" s="385">
        <f>+'[162]VENTAS TOTALES'!$F96</f>
        <v>1298300</v>
      </c>
      <c r="CC315" s="384">
        <f>+'[163]VENTAS TOTALES'!$D96</f>
        <v>0</v>
      </c>
      <c r="CD315" s="385">
        <f>+'[163]VENTAS TOTALES'!$E96</f>
        <v>0</v>
      </c>
      <c r="CE315" s="385">
        <f>+'[163]VENTAS TOTALES'!$F96</f>
        <v>0</v>
      </c>
      <c r="CF315" s="384">
        <f>+'[164]VENTAS TOTALES'!$D96</f>
        <v>476</v>
      </c>
      <c r="CG315" s="385">
        <f>+'[164]VENTAS TOTALES'!$E96</f>
        <v>5451050</v>
      </c>
      <c r="CH315" s="385">
        <f>+'[164]VENTAS TOTALES'!$F96</f>
        <v>6260250</v>
      </c>
      <c r="CI315" s="384">
        <f>+'[165]VENTAS TOTALES'!$D96</f>
        <v>237</v>
      </c>
      <c r="CJ315" s="385">
        <f>+'[165]VENTAS TOTALES'!$E96</f>
        <v>6465700</v>
      </c>
      <c r="CK315" s="385">
        <f>+'[165]VENTAS TOTALES'!$F96</f>
        <v>6868600</v>
      </c>
      <c r="CL315" s="384">
        <f>+'[166]VENTAS TOTALES'!$D96</f>
        <v>280</v>
      </c>
      <c r="CM315" s="385">
        <f>+'[166]VENTAS TOTALES'!$E96</f>
        <v>5239900</v>
      </c>
      <c r="CN315" s="385">
        <f>+'[166]VENTAS TOTALES'!$F96</f>
        <v>5715900</v>
      </c>
      <c r="CO315" s="384">
        <f>+'[167]VENTAS TOTALES'!$D96</f>
        <v>251</v>
      </c>
      <c r="CP315" s="385">
        <f>+'[167]VENTAS TOTALES'!$E96</f>
        <v>4374750</v>
      </c>
      <c r="CQ315" s="385">
        <f>+'[167]VENTAS TOTALES'!$F96</f>
        <v>4801450</v>
      </c>
      <c r="CR315" s="384">
        <f>+'[168]VENTAS TOTALES'!$D96</f>
        <v>256</v>
      </c>
      <c r="CS315" s="385">
        <f>+'[168]VENTAS TOTALES'!$E96</f>
        <v>3040000</v>
      </c>
      <c r="CT315" s="385">
        <f>+'[168]VENTAS TOTALES'!$F96</f>
        <v>3475200</v>
      </c>
      <c r="CU315" s="384">
        <f>+'[169]VENTAS TOTALES'!$D96</f>
        <v>123</v>
      </c>
      <c r="CV315" s="385">
        <f>+'[169]VENTAS TOTALES'!$E96</f>
        <v>1494600</v>
      </c>
      <c r="CW315" s="385">
        <f>+'[169]VENTAS TOTALES'!$F96</f>
        <v>1703700</v>
      </c>
      <c r="CX315" s="384">
        <f>+'[170]VENTAS TOTALES'!$D96</f>
        <v>0</v>
      </c>
      <c r="CY315" s="385">
        <f>+'[170]VENTAS TOTALES'!$E96</f>
        <v>0</v>
      </c>
      <c r="CZ315" s="385">
        <f>+'[170]VENTAS TOTALES'!$F96</f>
        <v>0</v>
      </c>
    </row>
    <row r="316" spans="1:104" s="8" customFormat="1" x14ac:dyDescent="0.2">
      <c r="A316" s="466"/>
      <c r="B316" s="370" t="s">
        <v>399</v>
      </c>
      <c r="C316" s="384">
        <f>+'[137]VENTAS TOTALES'!$D96</f>
        <v>315</v>
      </c>
      <c r="D316" s="385">
        <f>+'[137]VENTAS TOTALES'!$E96</f>
        <v>3559400</v>
      </c>
      <c r="E316" s="385">
        <f>+'[137]VENTAS TOTALES'!$F96</f>
        <v>4094900</v>
      </c>
      <c r="F316" s="384">
        <f>+'[138]VENTAS TOTALES'!$D96</f>
        <v>351</v>
      </c>
      <c r="G316" s="385">
        <f>+'[138]VENTAS TOTALES'!$E96</f>
        <v>1410500</v>
      </c>
      <c r="H316" s="385">
        <f>+'[138]VENTAS TOTALES'!$F96</f>
        <v>2007200</v>
      </c>
      <c r="I316" s="384">
        <f>+'[139]VENTAS TOTALES'!$D97</f>
        <v>265</v>
      </c>
      <c r="J316" s="385">
        <f>+'[139]VENTAS TOTALES'!$E97</f>
        <v>1189100</v>
      </c>
      <c r="K316" s="385">
        <f>+'[139]VENTAS TOTALES'!$F97</f>
        <v>1639600</v>
      </c>
      <c r="L316" s="384">
        <f>+'[140]VENTAS TOTALES'!$D97</f>
        <v>292</v>
      </c>
      <c r="M316" s="385">
        <f>+'[140]VENTAS TOTALES'!$E97</f>
        <v>1254000</v>
      </c>
      <c r="N316" s="385">
        <f>+'[140]VENTAS TOTALES'!$F97</f>
        <v>1750400</v>
      </c>
      <c r="O316" s="384">
        <f>+'[141]VENTAS TOTALES'!$D97</f>
        <v>300</v>
      </c>
      <c r="P316" s="385">
        <f>+'[141]VENTAS TOTALES'!$E97</f>
        <v>1050050</v>
      </c>
      <c r="Q316" s="385">
        <f>+'[141]VENTAS TOTALES'!$F97</f>
        <v>1560050</v>
      </c>
      <c r="R316" s="384">
        <f>+'[142]VENTAS TOTALES'!$D97</f>
        <v>0</v>
      </c>
      <c r="S316" s="385">
        <f>+'[142]VENTAS TOTALES'!$E97</f>
        <v>0</v>
      </c>
      <c r="T316" s="385">
        <f>+'[142]VENTAS TOTALES'!$F97</f>
        <v>0</v>
      </c>
      <c r="U316" s="384">
        <f>+'[143]VENTAS TOTALES'!$D97</f>
        <v>306</v>
      </c>
      <c r="V316" s="385">
        <f>+'[143]VENTAS TOTALES'!$E97</f>
        <v>2432200</v>
      </c>
      <c r="W316" s="385">
        <f>+'[143]VENTAS TOTALES'!$F97</f>
        <v>2952400</v>
      </c>
      <c r="X316" s="384">
        <f>+'[144]VENTAS TOTALES'!$D97</f>
        <v>181</v>
      </c>
      <c r="Y316" s="385">
        <f>+'[144]VENTAS TOTALES'!$E97</f>
        <v>1508600</v>
      </c>
      <c r="Z316" s="385">
        <f>+'[144]VENTAS TOTALES'!$F97</f>
        <v>1816300</v>
      </c>
      <c r="AA316" s="384">
        <f>+'[145]VENTAS TOTALES'!$D97</f>
        <v>202</v>
      </c>
      <c r="AB316" s="385">
        <f>+'[145]VENTAS TOTALES'!$E97</f>
        <v>1266300</v>
      </c>
      <c r="AC316" s="385">
        <f>+'[145]VENTAS TOTALES'!$F97</f>
        <v>1609700</v>
      </c>
      <c r="AD316" s="384">
        <f>+'[146]VENTAS TOTALES'!$D97</f>
        <v>239</v>
      </c>
      <c r="AE316" s="385">
        <f>+'[146]VENTAS TOTALES'!$E97</f>
        <v>1385400</v>
      </c>
      <c r="AF316" s="385">
        <f>+'[146]VENTAS TOTALES'!$F97</f>
        <v>1791700</v>
      </c>
      <c r="AG316" s="384">
        <f>+'[147]VENTAS TOTALES'!$D97</f>
        <v>346</v>
      </c>
      <c r="AH316" s="385">
        <f>+'[147]VENTAS TOTALES'!$E97</f>
        <v>1287100</v>
      </c>
      <c r="AI316" s="385">
        <f>+'[147]VENTAS TOTALES'!$F97</f>
        <v>1875300</v>
      </c>
      <c r="AJ316" s="384">
        <f>+'[148]VENTAS TOTALES'!$D97</f>
        <v>326</v>
      </c>
      <c r="AK316" s="385">
        <f>+'[148]VENTAS TOTALES'!$E97</f>
        <v>648000</v>
      </c>
      <c r="AL316" s="385">
        <f>+'[148]VENTAS TOTALES'!$F97</f>
        <v>1202200</v>
      </c>
      <c r="AM316" s="384">
        <f>+'[149]VENTAS TOTALES'!$D97</f>
        <v>0</v>
      </c>
      <c r="AN316" s="385">
        <f>+'[149]VENTAS TOTALES'!$E97</f>
        <v>0</v>
      </c>
      <c r="AO316" s="385">
        <f>+'[149]VENTAS TOTALES'!$F97</f>
        <v>0</v>
      </c>
      <c r="AP316" s="384">
        <f>+'[150]VENTAS TOTALES'!$D97</f>
        <v>227</v>
      </c>
      <c r="AQ316" s="385">
        <f>+'[150]VENTAS TOTALES'!$E97</f>
        <v>2410200</v>
      </c>
      <c r="AR316" s="385">
        <f>+'[150]VENTAS TOTALES'!$F97</f>
        <v>2796100</v>
      </c>
      <c r="AS316" s="384">
        <f>+'[151]VENTAS TOTALES'!$D97</f>
        <v>250</v>
      </c>
      <c r="AT316" s="385">
        <f>+'[151]VENTAS TOTALES'!$E97</f>
        <v>1984500</v>
      </c>
      <c r="AU316" s="385">
        <f>+'[151]VENTAS TOTALES'!$F97</f>
        <v>2409500</v>
      </c>
      <c r="AV316" s="384">
        <f>+'[152]VENTAS TOTALES'!$D97</f>
        <v>384</v>
      </c>
      <c r="AW316" s="385">
        <f>+'[152]VENTAS TOTALES'!$E97</f>
        <v>1752800</v>
      </c>
      <c r="AX316" s="385">
        <f>+'[152]VENTAS TOTALES'!$F97</f>
        <v>2405600</v>
      </c>
      <c r="AY316" s="384">
        <f>+'[153]VENTAS TOTALES'!$D97</f>
        <v>212</v>
      </c>
      <c r="AZ316" s="385">
        <f>+'[153]VENTAS TOTALES'!$E97</f>
        <v>2084600</v>
      </c>
      <c r="BA316" s="385">
        <f>+'[153]VENTAS TOTALES'!$F97</f>
        <v>2445000</v>
      </c>
      <c r="BB316" s="384">
        <f>+'[154]VENTAS TOTALES'!$D97</f>
        <v>282</v>
      </c>
      <c r="BC316" s="385">
        <f>+'[154]VENTAS TOTALES'!$E97</f>
        <v>1150100</v>
      </c>
      <c r="BD316" s="385">
        <f>+'[154]VENTAS TOTALES'!$F97</f>
        <v>1629500</v>
      </c>
      <c r="BE316" s="384">
        <f>+'[155]VENTAS TOTALES'!$D97</f>
        <v>337</v>
      </c>
      <c r="BF316" s="385">
        <f>+'[155]VENTAS TOTALES'!$E97</f>
        <v>782300</v>
      </c>
      <c r="BG316" s="385">
        <f>+'[155]VENTAS TOTALES'!$F97</f>
        <v>1355200</v>
      </c>
      <c r="BH316" s="384">
        <f>+'[156]VENTAS TOTALES'!$D97</f>
        <v>0</v>
      </c>
      <c r="BI316" s="385">
        <f>+'[156]VENTAS TOTALES'!$E97</f>
        <v>0</v>
      </c>
      <c r="BJ316" s="385">
        <f>+'[156]VENTAS TOTALES'!$F97</f>
        <v>0</v>
      </c>
      <c r="BK316" s="384">
        <f>+'[157]VENTAS TOTALES'!$D97</f>
        <v>517</v>
      </c>
      <c r="BL316" s="385">
        <f>+'[157]VENTAS TOTALES'!$E97</f>
        <v>2628300</v>
      </c>
      <c r="BM316" s="385">
        <f>+'[157]VENTAS TOTALES'!$F97</f>
        <v>3507200</v>
      </c>
      <c r="BN316" s="384">
        <f>+'[158]VENTAS TOTALES'!$D97</f>
        <v>338</v>
      </c>
      <c r="BO316" s="385">
        <f>+'[158]VENTAS TOTALES'!$E97</f>
        <v>1456700</v>
      </c>
      <c r="BP316" s="385">
        <f>+'[158]VENTAS TOTALES'!$F97</f>
        <v>2031300</v>
      </c>
      <c r="BQ316" s="384">
        <f>+'[159]VENTAS TOTALES'!$D97</f>
        <v>297</v>
      </c>
      <c r="BR316" s="385">
        <f>+'[159]VENTAS TOTALES'!$E97</f>
        <v>1308500</v>
      </c>
      <c r="BS316" s="385">
        <f>+'[159]VENTAS TOTALES'!$F97</f>
        <v>1813400</v>
      </c>
      <c r="BT316" s="384">
        <f>+'[160]VENTAS TOTALES'!$D97</f>
        <v>247</v>
      </c>
      <c r="BU316" s="385">
        <f>+'[160]VENTAS TOTALES'!$E97</f>
        <v>1398700</v>
      </c>
      <c r="BV316" s="385">
        <f>+'[160]VENTAS TOTALES'!$F97</f>
        <v>1818600</v>
      </c>
      <c r="BW316" s="384">
        <f>+'[161]VENTAS TOTALES'!$D97</f>
        <v>362</v>
      </c>
      <c r="BX316" s="385">
        <f>+'[161]VENTAS TOTALES'!$E97</f>
        <v>1394350</v>
      </c>
      <c r="BY316" s="385">
        <f>+'[161]VENTAS TOTALES'!$F97</f>
        <v>2009750</v>
      </c>
      <c r="BZ316" s="384">
        <f>+'[162]VENTAS TOTALES'!$D97</f>
        <v>291</v>
      </c>
      <c r="CA316" s="385">
        <f>+'[162]VENTAS TOTALES'!$E97</f>
        <v>962350</v>
      </c>
      <c r="CB316" s="385">
        <f>+'[162]VENTAS TOTALES'!$F97</f>
        <v>1457050</v>
      </c>
      <c r="CC316" s="384">
        <f>+'[163]VENTAS TOTALES'!$D97</f>
        <v>0</v>
      </c>
      <c r="CD316" s="385">
        <f>+'[163]VENTAS TOTALES'!$E97</f>
        <v>0</v>
      </c>
      <c r="CE316" s="385">
        <f>+'[163]VENTAS TOTALES'!$F97</f>
        <v>0</v>
      </c>
      <c r="CF316" s="384">
        <f>+'[164]VENTAS TOTALES'!$D97</f>
        <v>383</v>
      </c>
      <c r="CG316" s="385">
        <f>+'[164]VENTAS TOTALES'!$E97</f>
        <v>3316050</v>
      </c>
      <c r="CH316" s="385">
        <f>+'[164]VENTAS TOTALES'!$F97</f>
        <v>3967150</v>
      </c>
      <c r="CI316" s="384">
        <f>+'[165]VENTAS TOTALES'!$D97</f>
        <v>335</v>
      </c>
      <c r="CJ316" s="385">
        <f>+'[165]VENTAS TOTALES'!$E97</f>
        <v>3924200</v>
      </c>
      <c r="CK316" s="385">
        <f>+'[165]VENTAS TOTALES'!$F97</f>
        <v>4493700</v>
      </c>
      <c r="CL316" s="384">
        <f>+'[166]VENTAS TOTALES'!$D97</f>
        <v>244</v>
      </c>
      <c r="CM316" s="385">
        <f>+'[166]VENTAS TOTALES'!$E97</f>
        <v>2170000</v>
      </c>
      <c r="CN316" s="385">
        <f>+'[166]VENTAS TOTALES'!$F97</f>
        <v>2584800</v>
      </c>
      <c r="CO316" s="384">
        <f>+'[167]VENTAS TOTALES'!$D97</f>
        <v>350</v>
      </c>
      <c r="CP316" s="385">
        <f>+'[167]VENTAS TOTALES'!$E97</f>
        <v>1833800</v>
      </c>
      <c r="CQ316" s="385">
        <f>+'[167]VENTAS TOTALES'!$F97</f>
        <v>2428800</v>
      </c>
      <c r="CR316" s="384">
        <f>+'[168]VENTAS TOTALES'!$D97</f>
        <v>344</v>
      </c>
      <c r="CS316" s="385">
        <f>+'[168]VENTAS TOTALES'!$E97</f>
        <v>1594650</v>
      </c>
      <c r="CT316" s="385">
        <f>+'[168]VENTAS TOTALES'!$F97</f>
        <v>2179450</v>
      </c>
      <c r="CU316" s="384">
        <f>+'[169]VENTAS TOTALES'!$D97</f>
        <v>372</v>
      </c>
      <c r="CV316" s="385">
        <f>+'[169]VENTAS TOTALES'!$E97</f>
        <v>638100</v>
      </c>
      <c r="CW316" s="385">
        <f>+'[169]VENTAS TOTALES'!$F97</f>
        <v>1270500</v>
      </c>
      <c r="CX316" s="384">
        <f>+'[170]VENTAS TOTALES'!$D97</f>
        <v>0</v>
      </c>
      <c r="CY316" s="385">
        <f>+'[170]VENTAS TOTALES'!$E97</f>
        <v>0</v>
      </c>
      <c r="CZ316" s="385">
        <f>+'[170]VENTAS TOTALES'!$F97</f>
        <v>0</v>
      </c>
    </row>
    <row r="317" spans="1:104" s="8" customFormat="1" ht="13.5" thickBot="1" x14ac:dyDescent="0.25">
      <c r="A317" s="466"/>
      <c r="B317" s="374" t="s">
        <v>400</v>
      </c>
      <c r="C317" s="384">
        <f>+'[137]VENTAS TOTALES'!$D97</f>
        <v>647</v>
      </c>
      <c r="D317" s="385">
        <f>+'[137]VENTAS TOTALES'!$E97</f>
        <v>2839000</v>
      </c>
      <c r="E317" s="385">
        <f>+'[137]VENTAS TOTALES'!$F97</f>
        <v>3938900</v>
      </c>
      <c r="F317" s="384">
        <f>+'[138]VENTAS TOTALES'!$D97</f>
        <v>559</v>
      </c>
      <c r="G317" s="385">
        <f>+'[138]VENTAS TOTALES'!$E97</f>
        <v>2530000</v>
      </c>
      <c r="H317" s="385">
        <f>+'[138]VENTAS TOTALES'!$F97</f>
        <v>3480300</v>
      </c>
      <c r="I317" s="384">
        <f>+'[139]VENTAS TOTALES'!$D98</f>
        <v>482</v>
      </c>
      <c r="J317" s="385">
        <f>+'[139]VENTAS TOTALES'!$E98</f>
        <v>1276600</v>
      </c>
      <c r="K317" s="385">
        <f>+'[139]VENTAS TOTALES'!$F98</f>
        <v>2096000</v>
      </c>
      <c r="L317" s="384">
        <f>+'[140]VENTAS TOTALES'!$D98</f>
        <v>474</v>
      </c>
      <c r="M317" s="385">
        <f>+'[140]VENTAS TOTALES'!$E98</f>
        <v>1368200</v>
      </c>
      <c r="N317" s="385">
        <f>+'[140]VENTAS TOTALES'!$F98</f>
        <v>2174000</v>
      </c>
      <c r="O317" s="384">
        <f>+'[141]VENTAS TOTALES'!$D98</f>
        <v>434</v>
      </c>
      <c r="P317" s="385">
        <f>+'[141]VENTAS TOTALES'!$E98</f>
        <v>661400</v>
      </c>
      <c r="Q317" s="385">
        <f>+'[141]VENTAS TOTALES'!$F98</f>
        <v>1399200</v>
      </c>
      <c r="R317" s="384">
        <f>+'[142]VENTAS TOTALES'!$D98</f>
        <v>0</v>
      </c>
      <c r="S317" s="385">
        <f>+'[142]VENTAS TOTALES'!$E98</f>
        <v>0</v>
      </c>
      <c r="T317" s="385">
        <f>+'[142]VENTAS TOTALES'!$F98</f>
        <v>0</v>
      </c>
      <c r="U317" s="384">
        <f>+'[143]VENTAS TOTALES'!$D98</f>
        <v>379</v>
      </c>
      <c r="V317" s="385">
        <f>+'[143]VENTAS TOTALES'!$E98</f>
        <v>2671300</v>
      </c>
      <c r="W317" s="385">
        <f>+'[143]VENTAS TOTALES'!$F98</f>
        <v>3315600</v>
      </c>
      <c r="X317" s="384">
        <f>+'[144]VENTAS TOTALES'!$D98</f>
        <v>694</v>
      </c>
      <c r="Y317" s="385">
        <f>+'[144]VENTAS TOTALES'!$E98</f>
        <v>1959100</v>
      </c>
      <c r="Z317" s="385">
        <f>+'[144]VENTAS TOTALES'!$F98</f>
        <v>3138900</v>
      </c>
      <c r="AA317" s="384">
        <f>+'[145]VENTAS TOTALES'!$D98</f>
        <v>394</v>
      </c>
      <c r="AB317" s="385">
        <f>+'[145]VENTAS TOTALES'!$E98</f>
        <v>1302100</v>
      </c>
      <c r="AC317" s="385">
        <f>+'[145]VENTAS TOTALES'!$F98</f>
        <v>1971900</v>
      </c>
      <c r="AD317" s="384">
        <f>+'[146]VENTAS TOTALES'!$D98</f>
        <v>349</v>
      </c>
      <c r="AE317" s="385">
        <f>+'[146]VENTAS TOTALES'!$E98</f>
        <v>1212400</v>
      </c>
      <c r="AF317" s="385">
        <f>+'[146]VENTAS TOTALES'!$F98</f>
        <v>1805700</v>
      </c>
      <c r="AG317" s="384">
        <f>+'[147]VENTAS TOTALES'!$D98</f>
        <v>337</v>
      </c>
      <c r="AH317" s="385">
        <f>+'[147]VENTAS TOTALES'!$E98</f>
        <v>1233700</v>
      </c>
      <c r="AI317" s="385">
        <f>+'[147]VENTAS TOTALES'!$F98</f>
        <v>1806600</v>
      </c>
      <c r="AJ317" s="384">
        <f>+'[148]VENTAS TOTALES'!$D98</f>
        <v>257</v>
      </c>
      <c r="AK317" s="385">
        <f>+'[148]VENTAS TOTALES'!$E98</f>
        <v>765500</v>
      </c>
      <c r="AL317" s="385">
        <f>+'[148]VENTAS TOTALES'!$F98</f>
        <v>1202400</v>
      </c>
      <c r="AM317" s="384">
        <f>+'[149]VENTAS TOTALES'!$D98</f>
        <v>0</v>
      </c>
      <c r="AN317" s="385">
        <f>+'[149]VENTAS TOTALES'!$E98</f>
        <v>0</v>
      </c>
      <c r="AO317" s="385">
        <f>+'[149]VENTAS TOTALES'!$F98</f>
        <v>0</v>
      </c>
      <c r="AP317" s="384">
        <f>+'[150]VENTAS TOTALES'!$D98</f>
        <v>165</v>
      </c>
      <c r="AQ317" s="385">
        <f>+'[150]VENTAS TOTALES'!$E98</f>
        <v>2365200</v>
      </c>
      <c r="AR317" s="385">
        <f>+'[150]VENTAS TOTALES'!$F98</f>
        <v>2645700</v>
      </c>
      <c r="AS317" s="384">
        <f>+'[151]VENTAS TOTALES'!$D98</f>
        <v>317</v>
      </c>
      <c r="AT317" s="385">
        <f>+'[151]VENTAS TOTALES'!$E98</f>
        <v>2215600</v>
      </c>
      <c r="AU317" s="385">
        <f>+'[151]VENTAS TOTALES'!$F98</f>
        <v>2754500</v>
      </c>
      <c r="AV317" s="384">
        <f>+'[152]VENTAS TOTALES'!$D98</f>
        <v>451</v>
      </c>
      <c r="AW317" s="385">
        <f>+'[152]VENTAS TOTALES'!$E98</f>
        <v>3142000</v>
      </c>
      <c r="AX317" s="385">
        <f>+'[152]VENTAS TOTALES'!$F98</f>
        <v>3908700</v>
      </c>
      <c r="AY317" s="384">
        <f>+'[153]VENTAS TOTALES'!$D98</f>
        <v>89</v>
      </c>
      <c r="AZ317" s="385">
        <f>+'[153]VENTAS TOTALES'!$E98</f>
        <v>744900</v>
      </c>
      <c r="BA317" s="385">
        <f>+'[153]VENTAS TOTALES'!$F98</f>
        <v>896200</v>
      </c>
      <c r="BB317" s="384">
        <f>+'[154]VENTAS TOTALES'!$D98</f>
        <v>142</v>
      </c>
      <c r="BC317" s="385">
        <f>+'[154]VENTAS TOTALES'!$E98</f>
        <v>1257600</v>
      </c>
      <c r="BD317" s="385">
        <f>+'[154]VENTAS TOTALES'!$F98</f>
        <v>1499000</v>
      </c>
      <c r="BE317" s="384">
        <f>+'[155]VENTAS TOTALES'!$D98</f>
        <v>228</v>
      </c>
      <c r="BF317" s="385">
        <f>+'[155]VENTAS TOTALES'!$E98</f>
        <v>812650</v>
      </c>
      <c r="BG317" s="385">
        <f>+'[155]VENTAS TOTALES'!$F98</f>
        <v>1200250</v>
      </c>
      <c r="BH317" s="384">
        <f>+'[156]VENTAS TOTALES'!$D98</f>
        <v>0</v>
      </c>
      <c r="BI317" s="385">
        <f>+'[156]VENTAS TOTALES'!$E98</f>
        <v>0</v>
      </c>
      <c r="BJ317" s="385">
        <f>+'[156]VENTAS TOTALES'!$F98</f>
        <v>0</v>
      </c>
      <c r="BK317" s="384">
        <f>+'[157]VENTAS TOTALES'!$D98</f>
        <v>265</v>
      </c>
      <c r="BL317" s="385">
        <f>+'[157]VENTAS TOTALES'!$E98</f>
        <v>2328800</v>
      </c>
      <c r="BM317" s="385">
        <f>+'[157]VENTAS TOTALES'!$F98</f>
        <v>2779300</v>
      </c>
      <c r="BN317" s="384">
        <f>+'[158]VENTAS TOTALES'!$D98</f>
        <v>664</v>
      </c>
      <c r="BO317" s="385">
        <f>+'[158]VENTAS TOTALES'!$E98</f>
        <v>1833700</v>
      </c>
      <c r="BP317" s="385">
        <f>+'[158]VENTAS TOTALES'!$F98</f>
        <v>2962500</v>
      </c>
      <c r="BQ317" s="384">
        <f>+'[159]VENTAS TOTALES'!$D98</f>
        <v>471</v>
      </c>
      <c r="BR317" s="385">
        <f>+'[159]VENTAS TOTALES'!$E98</f>
        <v>2083200</v>
      </c>
      <c r="BS317" s="385">
        <f>+'[159]VENTAS TOTALES'!$F98</f>
        <v>2883900</v>
      </c>
      <c r="BT317" s="384">
        <f>+'[160]VENTAS TOTALES'!$D98</f>
        <v>535</v>
      </c>
      <c r="BU317" s="385">
        <f>+'[160]VENTAS TOTALES'!$E98</f>
        <v>1413600</v>
      </c>
      <c r="BV317" s="385">
        <f>+'[160]VENTAS TOTALES'!$F98</f>
        <v>2323100</v>
      </c>
      <c r="BW317" s="384">
        <f>+'[161]VENTAS TOTALES'!$D98</f>
        <v>835</v>
      </c>
      <c r="BX317" s="385">
        <f>+'[161]VENTAS TOTALES'!$E98</f>
        <v>1593900</v>
      </c>
      <c r="BY317" s="385">
        <f>+'[161]VENTAS TOTALES'!$F98</f>
        <v>3013400</v>
      </c>
      <c r="BZ317" s="384">
        <f>+'[162]VENTAS TOTALES'!$D98</f>
        <v>399</v>
      </c>
      <c r="CA317" s="385">
        <f>+'[162]VENTAS TOTALES'!$E98</f>
        <v>725400</v>
      </c>
      <c r="CB317" s="385">
        <f>+'[162]VENTAS TOTALES'!$F98</f>
        <v>1403700</v>
      </c>
      <c r="CC317" s="384">
        <f>+'[163]VENTAS TOTALES'!$D98</f>
        <v>0</v>
      </c>
      <c r="CD317" s="385">
        <f>+'[163]VENTAS TOTALES'!$E98</f>
        <v>0</v>
      </c>
      <c r="CE317" s="385">
        <f>+'[163]VENTAS TOTALES'!$F98</f>
        <v>0</v>
      </c>
      <c r="CF317" s="384">
        <f>+'[164]VENTAS TOTALES'!$D98</f>
        <v>398</v>
      </c>
      <c r="CG317" s="385">
        <f>+'[164]VENTAS TOTALES'!$E98</f>
        <v>4137000</v>
      </c>
      <c r="CH317" s="385">
        <f>+'[164]VENTAS TOTALES'!$F98</f>
        <v>4813600</v>
      </c>
      <c r="CI317" s="384">
        <f>+'[165]VENTAS TOTALES'!$D98</f>
        <v>654</v>
      </c>
      <c r="CJ317" s="385">
        <f>+'[165]VENTAS TOTALES'!$E98</f>
        <v>3544200</v>
      </c>
      <c r="CK317" s="385">
        <f>+'[165]VENTAS TOTALES'!$F98</f>
        <v>4656000</v>
      </c>
      <c r="CL317" s="384">
        <f>+'[166]VENTAS TOTALES'!$D98</f>
        <v>732</v>
      </c>
      <c r="CM317" s="385">
        <f>+'[166]VENTAS TOTALES'!$E98</f>
        <v>3543400</v>
      </c>
      <c r="CN317" s="385">
        <f>+'[166]VENTAS TOTALES'!$F98</f>
        <v>4787800</v>
      </c>
      <c r="CO317" s="384">
        <f>+'[167]VENTAS TOTALES'!$D98</f>
        <v>768</v>
      </c>
      <c r="CP317" s="385">
        <f>+'[167]VENTAS TOTALES'!$E98</f>
        <v>2274500</v>
      </c>
      <c r="CQ317" s="385">
        <f>+'[167]VENTAS TOTALES'!$F98</f>
        <v>3580100</v>
      </c>
      <c r="CR317" s="384">
        <f>+'[168]VENTAS TOTALES'!$D98</f>
        <v>474</v>
      </c>
      <c r="CS317" s="385">
        <f>+'[168]VENTAS TOTALES'!$E98</f>
        <v>2113900</v>
      </c>
      <c r="CT317" s="385">
        <f>+'[168]VENTAS TOTALES'!$F98</f>
        <v>2919700</v>
      </c>
      <c r="CU317" s="384">
        <f>+'[169]VENTAS TOTALES'!$D98</f>
        <v>327</v>
      </c>
      <c r="CV317" s="385">
        <f>+'[169]VENTAS TOTALES'!$E98</f>
        <v>1032700</v>
      </c>
      <c r="CW317" s="385">
        <f>+'[169]VENTAS TOTALES'!$F98</f>
        <v>1588600</v>
      </c>
      <c r="CX317" s="384">
        <f>+'[170]VENTAS TOTALES'!$D98</f>
        <v>0</v>
      </c>
      <c r="CY317" s="385">
        <f>+'[170]VENTAS TOTALES'!$E98</f>
        <v>0</v>
      </c>
      <c r="CZ317" s="385">
        <f>+'[170]VENTAS TOTALES'!$F98</f>
        <v>0</v>
      </c>
    </row>
    <row r="318" spans="1:104" s="8" customFormat="1" ht="13.5" thickBot="1" x14ac:dyDescent="0.25">
      <c r="A318" s="300" t="s">
        <v>352</v>
      </c>
      <c r="B318" s="300"/>
      <c r="C318" s="301">
        <f t="shared" ref="C318:T318" si="34">SUM(C5:C230)</f>
        <v>962535</v>
      </c>
      <c r="D318" s="301">
        <f t="shared" si="34"/>
        <v>569765402</v>
      </c>
      <c r="E318" s="301">
        <f t="shared" si="34"/>
        <v>2145741702</v>
      </c>
      <c r="F318" s="301">
        <f t="shared" si="34"/>
        <v>946159</v>
      </c>
      <c r="G318" s="301">
        <f t="shared" si="34"/>
        <v>469341951</v>
      </c>
      <c r="H318" s="301">
        <f t="shared" si="34"/>
        <v>2015548251</v>
      </c>
      <c r="I318" s="301">
        <f t="shared" si="34"/>
        <v>831219</v>
      </c>
      <c r="J318" s="301">
        <f t="shared" si="34"/>
        <v>348255950</v>
      </c>
      <c r="K318" s="301">
        <f t="shared" si="34"/>
        <v>1696641650</v>
      </c>
      <c r="L318" s="301">
        <f t="shared" si="34"/>
        <v>829717</v>
      </c>
      <c r="M318" s="301">
        <f t="shared" si="34"/>
        <v>303065500</v>
      </c>
      <c r="N318" s="301">
        <f t="shared" si="34"/>
        <v>1651268200</v>
      </c>
      <c r="O318" s="301">
        <f t="shared" si="34"/>
        <v>603487</v>
      </c>
      <c r="P318" s="301">
        <f t="shared" si="34"/>
        <v>199568400</v>
      </c>
      <c r="Q318" s="301">
        <f t="shared" si="34"/>
        <v>1192026300</v>
      </c>
      <c r="R318" s="301">
        <f t="shared" si="34"/>
        <v>285361</v>
      </c>
      <c r="S318" s="301">
        <f t="shared" si="34"/>
        <v>76726050</v>
      </c>
      <c r="T318" s="301">
        <f t="shared" si="34"/>
        <v>550360950</v>
      </c>
      <c r="U318" s="301">
        <f t="shared" ref="U318:AO318" si="35">SUM(U5:U230)</f>
        <v>1022586</v>
      </c>
      <c r="V318" s="301">
        <f t="shared" si="35"/>
        <v>516294700</v>
      </c>
      <c r="W318" s="301">
        <f t="shared" si="35"/>
        <v>2190657300</v>
      </c>
      <c r="X318" s="301">
        <f t="shared" si="35"/>
        <v>895559</v>
      </c>
      <c r="Y318" s="301">
        <f t="shared" si="35"/>
        <v>366939850</v>
      </c>
      <c r="Z318" s="301">
        <f t="shared" si="35"/>
        <v>1824237350</v>
      </c>
      <c r="AA318" s="301">
        <f t="shared" si="35"/>
        <v>849144</v>
      </c>
      <c r="AB318" s="301">
        <f t="shared" si="35"/>
        <v>319878100</v>
      </c>
      <c r="AC318" s="301">
        <f t="shared" si="35"/>
        <v>1699809300</v>
      </c>
      <c r="AD318" s="301">
        <f t="shared" si="35"/>
        <v>845701</v>
      </c>
      <c r="AE318" s="301">
        <f t="shared" si="35"/>
        <v>330275450</v>
      </c>
      <c r="AF318" s="301">
        <f t="shared" si="35"/>
        <v>1702942150</v>
      </c>
      <c r="AG318" s="301">
        <f t="shared" si="35"/>
        <v>824593</v>
      </c>
      <c r="AH318" s="301">
        <f t="shared" si="35"/>
        <v>287833300</v>
      </c>
      <c r="AI318" s="301">
        <f t="shared" si="35"/>
        <v>1626353600</v>
      </c>
      <c r="AJ318" s="301">
        <f t="shared" si="35"/>
        <v>601931</v>
      </c>
      <c r="AK318" s="301">
        <f t="shared" si="35"/>
        <v>190042901</v>
      </c>
      <c r="AL318" s="301">
        <f t="shared" si="35"/>
        <v>1179744001</v>
      </c>
      <c r="AM318" s="301">
        <f t="shared" si="35"/>
        <v>270718</v>
      </c>
      <c r="AN318" s="301">
        <f t="shared" si="35"/>
        <v>71225250</v>
      </c>
      <c r="AO318" s="301">
        <f t="shared" si="35"/>
        <v>520394650</v>
      </c>
      <c r="AP318" s="301">
        <f t="shared" ref="AP318:BJ318" si="36">SUM(AP5:AP230)</f>
        <v>1037674</v>
      </c>
      <c r="AQ318" s="301">
        <f t="shared" si="36"/>
        <v>514492151</v>
      </c>
      <c r="AR318" s="301">
        <f t="shared" si="36"/>
        <v>2213499751</v>
      </c>
      <c r="AS318" s="301">
        <f t="shared" si="36"/>
        <v>935809</v>
      </c>
      <c r="AT318" s="301">
        <f t="shared" si="36"/>
        <v>514572951</v>
      </c>
      <c r="AU318" s="301">
        <f t="shared" si="36"/>
        <v>2040553251</v>
      </c>
      <c r="AV318" s="301">
        <f t="shared" si="36"/>
        <v>934920</v>
      </c>
      <c r="AW318" s="301">
        <f t="shared" si="36"/>
        <v>498738000</v>
      </c>
      <c r="AX318" s="301">
        <f t="shared" si="36"/>
        <v>2022969800</v>
      </c>
      <c r="AY318" s="301">
        <f t="shared" si="36"/>
        <v>887027</v>
      </c>
      <c r="AZ318" s="301">
        <f t="shared" si="36"/>
        <v>399884409</v>
      </c>
      <c r="BA318" s="301">
        <f t="shared" si="36"/>
        <v>1842710309</v>
      </c>
      <c r="BB318" s="301">
        <f t="shared" si="36"/>
        <v>859507</v>
      </c>
      <c r="BC318" s="301">
        <f t="shared" si="36"/>
        <v>319472401</v>
      </c>
      <c r="BD318" s="301">
        <f t="shared" si="36"/>
        <v>1716562701</v>
      </c>
      <c r="BE318" s="301">
        <f t="shared" si="36"/>
        <v>621377</v>
      </c>
      <c r="BF318" s="301">
        <f t="shared" si="36"/>
        <v>201359501</v>
      </c>
      <c r="BG318" s="301">
        <f t="shared" si="36"/>
        <v>1224068801</v>
      </c>
      <c r="BH318" s="301">
        <f t="shared" si="36"/>
        <v>282846</v>
      </c>
      <c r="BI318" s="301">
        <f t="shared" si="36"/>
        <v>73691250</v>
      </c>
      <c r="BJ318" s="301">
        <f t="shared" si="36"/>
        <v>542846850</v>
      </c>
      <c r="BK318" s="301">
        <f t="shared" ref="BK318:CE318" si="37">SUM(BK5:BK230)</f>
        <v>1043784</v>
      </c>
      <c r="BL318" s="301">
        <f t="shared" si="37"/>
        <v>519998700</v>
      </c>
      <c r="BM318" s="301">
        <f t="shared" si="37"/>
        <v>2229057300</v>
      </c>
      <c r="BN318" s="301">
        <f t="shared" si="37"/>
        <v>897031</v>
      </c>
      <c r="BO318" s="301">
        <f t="shared" si="37"/>
        <v>365679700</v>
      </c>
      <c r="BP318" s="301">
        <f t="shared" si="37"/>
        <v>1825493000</v>
      </c>
      <c r="BQ318" s="301">
        <f t="shared" si="37"/>
        <v>867657</v>
      </c>
      <c r="BR318" s="301">
        <f t="shared" si="37"/>
        <v>331017750</v>
      </c>
      <c r="BS318" s="301">
        <f t="shared" si="37"/>
        <v>1741151850</v>
      </c>
      <c r="BT318" s="301">
        <f t="shared" si="37"/>
        <v>837347</v>
      </c>
      <c r="BU318" s="301">
        <f t="shared" si="37"/>
        <v>306288450</v>
      </c>
      <c r="BV318" s="301">
        <f t="shared" si="37"/>
        <v>1665938550</v>
      </c>
      <c r="BW318" s="301">
        <f t="shared" si="37"/>
        <v>850918</v>
      </c>
      <c r="BX318" s="301">
        <f t="shared" si="37"/>
        <v>326470701</v>
      </c>
      <c r="BY318" s="301">
        <f t="shared" si="37"/>
        <v>1708194501</v>
      </c>
      <c r="BZ318" s="301">
        <f t="shared" si="37"/>
        <v>634200</v>
      </c>
      <c r="CA318" s="301">
        <f t="shared" si="37"/>
        <v>220970451</v>
      </c>
      <c r="CB318" s="301">
        <f t="shared" si="37"/>
        <v>1264884051</v>
      </c>
      <c r="CC318" s="301">
        <f t="shared" si="37"/>
        <v>283941</v>
      </c>
      <c r="CD318" s="301">
        <f t="shared" si="37"/>
        <v>80253100</v>
      </c>
      <c r="CE318" s="301">
        <f t="shared" si="37"/>
        <v>551688000</v>
      </c>
      <c r="CF318" s="301">
        <f t="shared" ref="CF318:CN318" si="38">SUM(CF5:CF230)</f>
        <v>1135271</v>
      </c>
      <c r="CG318" s="301">
        <f t="shared" si="38"/>
        <v>725891950</v>
      </c>
      <c r="CH318" s="301">
        <f t="shared" si="38"/>
        <v>2591291250</v>
      </c>
      <c r="CI318" s="301">
        <f t="shared" si="38"/>
        <v>1047192</v>
      </c>
      <c r="CJ318" s="301">
        <f t="shared" si="38"/>
        <v>621513701</v>
      </c>
      <c r="CK318" s="301">
        <f t="shared" si="38"/>
        <v>2336647901</v>
      </c>
      <c r="CL318" s="301">
        <f t="shared" si="38"/>
        <v>980359</v>
      </c>
      <c r="CM318" s="301">
        <f t="shared" si="38"/>
        <v>490701229</v>
      </c>
      <c r="CN318" s="301">
        <f t="shared" si="38"/>
        <v>2091817729</v>
      </c>
      <c r="CO318" s="301">
        <f t="shared" ref="CO318:CZ318" si="39">SUM(CO5:CO230)</f>
        <v>919703</v>
      </c>
      <c r="CP318" s="301">
        <f t="shared" si="39"/>
        <v>400175667</v>
      </c>
      <c r="CQ318" s="301">
        <f t="shared" si="39"/>
        <v>1898788367</v>
      </c>
      <c r="CR318" s="301">
        <f t="shared" si="39"/>
        <v>895973</v>
      </c>
      <c r="CS318" s="301">
        <f t="shared" si="39"/>
        <v>324843559</v>
      </c>
      <c r="CT318" s="301">
        <f t="shared" si="39"/>
        <v>1782810059</v>
      </c>
      <c r="CU318" s="301">
        <f t="shared" si="39"/>
        <v>658561</v>
      </c>
      <c r="CV318" s="301">
        <f t="shared" si="39"/>
        <v>209596950</v>
      </c>
      <c r="CW318" s="301">
        <f t="shared" si="39"/>
        <v>1293896250</v>
      </c>
      <c r="CX318" s="301">
        <f t="shared" si="39"/>
        <v>287786</v>
      </c>
      <c r="CY318" s="301">
        <f t="shared" si="39"/>
        <v>77121300</v>
      </c>
      <c r="CZ318" s="301">
        <f t="shared" si="39"/>
        <v>554874700</v>
      </c>
    </row>
    <row r="319" spans="1:104" s="8" customFormat="1" ht="13.5" thickBot="1" x14ac:dyDescent="0.25">
      <c r="A319" s="338" t="s">
        <v>351</v>
      </c>
      <c r="B319" s="338"/>
      <c r="C319" s="339">
        <f t="shared" ref="C319" si="40">+TRUNC((D318-(C349*1500))/1700,3)</f>
        <v>308004.35399999999</v>
      </c>
      <c r="D319" s="340"/>
      <c r="E319" s="341"/>
      <c r="F319" s="339">
        <f t="shared" ref="F319" si="41">+TRUNC((G318-(F349*1500))/1700,3)</f>
        <v>248374.08799999999</v>
      </c>
      <c r="G319" s="340"/>
      <c r="H319" s="341"/>
      <c r="I319" s="339">
        <f t="shared" ref="I319" si="42">+TRUNC((J318-(I349*1500))/1700,3)</f>
        <v>175758.20499999999</v>
      </c>
      <c r="J319" s="340"/>
      <c r="K319" s="341"/>
      <c r="L319" s="339">
        <f t="shared" ref="L319" si="43">+TRUNC((M318-(L349*1500))/1700,3)</f>
        <v>150266.17600000001</v>
      </c>
      <c r="M319" s="340"/>
      <c r="N319" s="341"/>
      <c r="O319" s="339">
        <f t="shared" ref="O319" si="44">+TRUNC((P318-(O349*1500))/1700,3)</f>
        <v>102912</v>
      </c>
      <c r="P319" s="340"/>
      <c r="Q319" s="341"/>
      <c r="R319" s="339">
        <f t="shared" ref="R319" si="45">+TRUNC((S318-(R349*1500))/1700,3)</f>
        <v>40737.088000000003</v>
      </c>
      <c r="S319" s="340"/>
      <c r="T319" s="341"/>
      <c r="U319" s="339">
        <f t="shared" ref="U319" si="46">+TRUNC((V318-(U349*1500))/1700,3)</f>
        <v>275045.70500000002</v>
      </c>
      <c r="V319" s="340"/>
      <c r="W319" s="341"/>
      <c r="X319" s="339">
        <f t="shared" ref="X319" si="47">+TRUNC((Y318-(X349*1500))/1700,3)</f>
        <v>186589.91099999999</v>
      </c>
      <c r="Y319" s="340"/>
      <c r="Z319" s="341"/>
      <c r="AA319" s="339">
        <f t="shared" ref="AA319" si="48">+TRUNC((AB318-(AA349*1500))/1700,3)</f>
        <v>159444.764</v>
      </c>
      <c r="AB319" s="340"/>
      <c r="AC319" s="341"/>
      <c r="AD319" s="339">
        <f t="shared" ref="AD319" si="49">+TRUNC((AE318-(AD349*1500))/1700,3)</f>
        <v>164969.67600000001</v>
      </c>
      <c r="AE319" s="340"/>
      <c r="AF319" s="341"/>
      <c r="AG319" s="339">
        <f t="shared" ref="AG319" si="50">+TRUNC((AH318-(AG349*1500))/1700,3)</f>
        <v>140729</v>
      </c>
      <c r="AH319" s="340"/>
      <c r="AI319" s="341"/>
      <c r="AJ319" s="339">
        <f t="shared" ref="AJ319" si="51">+TRUNC((AK318-(AJ349*1500))/1700,3)</f>
        <v>97284.058999999994</v>
      </c>
      <c r="AK319" s="340"/>
      <c r="AL319" s="341"/>
      <c r="AM319" s="339">
        <f t="shared" ref="AM319" si="52">+TRUNC((AN318-(AM349*1500))/1700,3)</f>
        <v>37570.146999999997</v>
      </c>
      <c r="AN319" s="340"/>
      <c r="AO319" s="341"/>
      <c r="AP319" s="339">
        <f t="shared" ref="AP319" si="53">+TRUNC((AQ318-(AP349*1500))/1700,3)</f>
        <v>273568.91200000001</v>
      </c>
      <c r="AQ319" s="340"/>
      <c r="AR319" s="341"/>
      <c r="AS319" s="339">
        <f t="shared" ref="AS319" si="54">+TRUNC((AT318-(AS349*1500))/1700,3)</f>
        <v>273422.32400000002</v>
      </c>
      <c r="AT319" s="340"/>
      <c r="AU319" s="341"/>
      <c r="AV319" s="339">
        <f t="shared" ref="AV319" si="55">+TRUNC((AW318-(AV349*1500))/1700,3)</f>
        <v>263998.23499999999</v>
      </c>
      <c r="AW319" s="340"/>
      <c r="AX319" s="341"/>
      <c r="AY319" s="339">
        <f t="shared" ref="AY319" si="56">+TRUNC((AZ318-(AY349*1500))/1700,3)</f>
        <v>205808.47500000001</v>
      </c>
      <c r="AZ319" s="340"/>
      <c r="BA319" s="341"/>
      <c r="BB319" s="339">
        <f t="shared" ref="BB319" si="57">+TRUNC((BC318-(BB349*1500))/1700,3)</f>
        <v>159049.05900000001</v>
      </c>
      <c r="BC319" s="340"/>
      <c r="BD319" s="341"/>
      <c r="BE319" s="339">
        <f t="shared" ref="BE319" si="58">+TRUNC((BF318-(BE349*1500))/1700,3)</f>
        <v>103926.765</v>
      </c>
      <c r="BF319" s="340"/>
      <c r="BG319" s="341"/>
      <c r="BH319" s="339">
        <f t="shared" ref="BH319" si="59">+TRUNC((BI318-(BH349*1500))/1700,3)</f>
        <v>38837.205000000002</v>
      </c>
      <c r="BI319" s="340"/>
      <c r="BJ319" s="341"/>
      <c r="BK319" s="339">
        <f t="shared" ref="BK319" si="60">+TRUNC((BL318-(BK349*1500))/1700,3)</f>
        <v>276663.35200000001</v>
      </c>
      <c r="BL319" s="340"/>
      <c r="BM319" s="341"/>
      <c r="BN319" s="339">
        <f t="shared" ref="BN319" si="61">+TRUNC((BO318-(BN349*1500))/1700,3)</f>
        <v>185834.52900000001</v>
      </c>
      <c r="BO319" s="340"/>
      <c r="BP319" s="341"/>
      <c r="BQ319" s="339">
        <f t="shared" ref="BQ319" si="62">+TRUNC((BR318-(BQ349*1500))/1700,3)</f>
        <v>165483.97</v>
      </c>
      <c r="BR319" s="340"/>
      <c r="BS319" s="341"/>
      <c r="BT319" s="339">
        <f t="shared" ref="BT319" si="63">+TRUNC((BU318-(BT349*1500))/1700,3)</f>
        <v>151415.55799999999</v>
      </c>
      <c r="BU319" s="340"/>
      <c r="BV319" s="341"/>
      <c r="BW319" s="339">
        <f t="shared" ref="BW319" si="64">+TRUNC((BX318-(BW349*1500))/1700,3)</f>
        <v>162701.58799999999</v>
      </c>
      <c r="BX319" s="340"/>
      <c r="BY319" s="341"/>
      <c r="BZ319" s="339">
        <f t="shared" ref="BZ319" si="65">+TRUNC((CA318-(BZ349*1500))/1700,3)</f>
        <v>115242.03</v>
      </c>
      <c r="CA319" s="340"/>
      <c r="CB319" s="341"/>
      <c r="CC319" s="339">
        <f t="shared" ref="CC319" si="66">+TRUNC((CD318-(CC349*1500))/1700,3)</f>
        <v>42810.057999999997</v>
      </c>
      <c r="CD319" s="340"/>
      <c r="CE319" s="341"/>
      <c r="CF319" s="339">
        <f t="shared" ref="CF319" si="67">+TRUNC((CG318-(CF349*1500))/1700,3)</f>
        <v>398225.26400000002</v>
      </c>
      <c r="CG319" s="340"/>
      <c r="CH319" s="341"/>
      <c r="CI319" s="339">
        <f t="shared" ref="CI319" si="68">+TRUNC((CJ318-(CI349*1500))/1700,3)</f>
        <v>336582.76500000001</v>
      </c>
      <c r="CJ319" s="340"/>
      <c r="CK319" s="341"/>
      <c r="CL319" s="339">
        <f t="shared" ref="CL319" si="69">+TRUNC((CM318-(CL349*1500))/1700,3)</f>
        <v>259288.37</v>
      </c>
      <c r="CM319" s="340"/>
      <c r="CN319" s="341"/>
      <c r="CO319" s="339">
        <f t="shared" ref="CO319" si="70">+TRUNC((CP318-(CO349*1500))/1700,3)</f>
        <v>206346.86199999999</v>
      </c>
      <c r="CP319" s="340"/>
      <c r="CQ319" s="341"/>
      <c r="CR319" s="339">
        <f t="shared" ref="CR319" si="71">+TRUNC((CS318-(CR349*1500))/1700,3)</f>
        <v>161776.21100000001</v>
      </c>
      <c r="CS319" s="340"/>
      <c r="CT319" s="341"/>
      <c r="CU319" s="339">
        <f t="shared" ref="CU319" si="72">+TRUNC((CV318-(CU349*1500))/1700,3)</f>
        <v>108140.558</v>
      </c>
      <c r="CV319" s="340"/>
      <c r="CW319" s="341"/>
      <c r="CX319" s="339">
        <f t="shared" ref="CX319" si="73">+TRUNC((CY318-(CX349*1500))/1700,3)</f>
        <v>40893.705000000002</v>
      </c>
      <c r="CY319" s="340"/>
      <c r="CZ319" s="341"/>
    </row>
    <row r="320" spans="1:104" s="8" customFormat="1" x14ac:dyDescent="0.2">
      <c r="A320" s="295" t="s">
        <v>353</v>
      </c>
      <c r="B320" s="296"/>
      <c r="C320" s="297">
        <f t="shared" ref="C320:I320" si="74">+SUM(C318:C319)</f>
        <v>1270539.3540000001</v>
      </c>
      <c r="D320" s="298"/>
      <c r="E320" s="299"/>
      <c r="F320" s="297">
        <f t="shared" si="74"/>
        <v>1194533.088</v>
      </c>
      <c r="G320" s="298"/>
      <c r="H320" s="299"/>
      <c r="I320" s="297">
        <f t="shared" si="74"/>
        <v>1006977.205</v>
      </c>
      <c r="J320" s="298"/>
      <c r="K320" s="299"/>
      <c r="L320" s="297">
        <f t="shared" ref="L320:R320" si="75">+SUM(L318:L319)</f>
        <v>979983.17599999998</v>
      </c>
      <c r="M320" s="298"/>
      <c r="N320" s="299"/>
      <c r="O320" s="297">
        <f t="shared" si="75"/>
        <v>706399</v>
      </c>
      <c r="P320" s="298"/>
      <c r="Q320" s="299"/>
      <c r="R320" s="297">
        <f t="shared" si="75"/>
        <v>326098.08799999999</v>
      </c>
      <c r="S320" s="298"/>
      <c r="T320" s="299"/>
      <c r="U320" s="297">
        <f t="shared" ref="U320" si="76">+SUM(U318:U319)</f>
        <v>1297631.7050000001</v>
      </c>
      <c r="V320" s="298"/>
      <c r="W320" s="299"/>
      <c r="X320" s="297">
        <f t="shared" ref="X320" si="77">+SUM(X318:X319)</f>
        <v>1082148.9110000001</v>
      </c>
      <c r="Y320" s="298"/>
      <c r="Z320" s="299"/>
      <c r="AA320" s="297">
        <f t="shared" ref="AA320" si="78">+SUM(AA318:AA319)</f>
        <v>1008588.764</v>
      </c>
      <c r="AB320" s="298"/>
      <c r="AC320" s="299"/>
      <c r="AD320" s="297">
        <f t="shared" ref="AD320" si="79">+SUM(AD318:AD319)</f>
        <v>1010670.676</v>
      </c>
      <c r="AE320" s="298"/>
      <c r="AF320" s="299"/>
      <c r="AG320" s="297">
        <f t="shared" ref="AG320" si="80">+SUM(AG318:AG319)</f>
        <v>965322</v>
      </c>
      <c r="AH320" s="298"/>
      <c r="AI320" s="299"/>
      <c r="AJ320" s="297">
        <f t="shared" ref="AJ320" si="81">+SUM(AJ318:AJ319)</f>
        <v>699215.05900000001</v>
      </c>
      <c r="AK320" s="298"/>
      <c r="AL320" s="299"/>
      <c r="AM320" s="297">
        <f t="shared" ref="AM320" si="82">+SUM(AM318:AM319)</f>
        <v>308288.147</v>
      </c>
      <c r="AN320" s="298"/>
      <c r="AO320" s="299"/>
      <c r="AP320" s="297">
        <f t="shared" ref="AP320:AY320" si="83">+SUM(AP318:AP319)</f>
        <v>1311242.912</v>
      </c>
      <c r="AQ320" s="298"/>
      <c r="AR320" s="299"/>
      <c r="AS320" s="297">
        <f t="shared" si="83"/>
        <v>1209231.324</v>
      </c>
      <c r="AT320" s="298"/>
      <c r="AU320" s="299"/>
      <c r="AV320" s="297">
        <f t="shared" si="83"/>
        <v>1198918.2349999999</v>
      </c>
      <c r="AW320" s="298"/>
      <c r="AX320" s="299"/>
      <c r="AY320" s="297">
        <f t="shared" si="83"/>
        <v>1092835.4750000001</v>
      </c>
      <c r="AZ320" s="298"/>
      <c r="BA320" s="299"/>
      <c r="BB320" s="297">
        <f t="shared" ref="BB320:BH320" si="84">+SUM(BB318:BB319)</f>
        <v>1018556.059</v>
      </c>
      <c r="BC320" s="298"/>
      <c r="BD320" s="299"/>
      <c r="BE320" s="297">
        <f t="shared" si="84"/>
        <v>725303.76500000001</v>
      </c>
      <c r="BF320" s="298"/>
      <c r="BG320" s="299"/>
      <c r="BH320" s="297">
        <f t="shared" si="84"/>
        <v>321683.20500000002</v>
      </c>
      <c r="BI320" s="298"/>
      <c r="BJ320" s="299"/>
      <c r="BK320" s="297">
        <f t="shared" ref="BK320" si="85">+SUM(BK318:BK319)</f>
        <v>1320447.352</v>
      </c>
      <c r="BL320" s="298"/>
      <c r="BM320" s="299"/>
      <c r="BN320" s="297">
        <f t="shared" ref="BN320" si="86">+SUM(BN318:BN319)</f>
        <v>1082865.5290000001</v>
      </c>
      <c r="BO320" s="298"/>
      <c r="BP320" s="299"/>
      <c r="BQ320" s="297">
        <f t="shared" ref="BQ320" si="87">+SUM(BQ318:BQ319)</f>
        <v>1033140.97</v>
      </c>
      <c r="BR320" s="298"/>
      <c r="BS320" s="299"/>
      <c r="BT320" s="297">
        <f t="shared" ref="BT320" si="88">+SUM(BT318:BT319)</f>
        <v>988762.55799999996</v>
      </c>
      <c r="BU320" s="298"/>
      <c r="BV320" s="299"/>
      <c r="BW320" s="297">
        <f t="shared" ref="BW320" si="89">+SUM(BW318:BW319)</f>
        <v>1013619.588</v>
      </c>
      <c r="BX320" s="298"/>
      <c r="BY320" s="299"/>
      <c r="BZ320" s="297">
        <f t="shared" ref="BZ320" si="90">+SUM(BZ318:BZ319)</f>
        <v>749442.03</v>
      </c>
      <c r="CA320" s="298"/>
      <c r="CB320" s="299"/>
      <c r="CC320" s="297">
        <f t="shared" ref="CC320" si="91">+SUM(CC318:CC319)</f>
        <v>326751.05800000002</v>
      </c>
      <c r="CD320" s="298"/>
      <c r="CE320" s="299"/>
      <c r="CF320" s="297">
        <f t="shared" ref="CF320:CL320" si="92">+SUM(CF318:CF319)</f>
        <v>1533496.264</v>
      </c>
      <c r="CG320" s="298"/>
      <c r="CH320" s="299"/>
      <c r="CI320" s="297">
        <f t="shared" si="92"/>
        <v>1383774.7650000001</v>
      </c>
      <c r="CJ320" s="298"/>
      <c r="CK320" s="299"/>
      <c r="CL320" s="297">
        <f t="shared" si="92"/>
        <v>1239647.3700000001</v>
      </c>
      <c r="CM320" s="298"/>
      <c r="CN320" s="299"/>
      <c r="CO320" s="297">
        <f t="shared" ref="CO320" si="93">+SUM(CO318:CO319)</f>
        <v>1126049.862</v>
      </c>
      <c r="CP320" s="298"/>
      <c r="CQ320" s="299"/>
      <c r="CR320" s="297">
        <f t="shared" ref="CR320" si="94">+SUM(CR318:CR319)</f>
        <v>1057749.2110000001</v>
      </c>
      <c r="CS320" s="298"/>
      <c r="CT320" s="299"/>
      <c r="CU320" s="297">
        <f t="shared" ref="CU320" si="95">+SUM(CU318:CU319)</f>
        <v>766701.55799999996</v>
      </c>
      <c r="CV320" s="298"/>
      <c r="CW320" s="299"/>
      <c r="CX320" s="297">
        <f t="shared" ref="CX320" si="96">+SUM(CX318:CX319)</f>
        <v>328679.70500000002</v>
      </c>
      <c r="CY320" s="298"/>
      <c r="CZ320" s="299"/>
    </row>
    <row r="321" spans="1:104" s="8" customFormat="1" x14ac:dyDescent="0.2">
      <c r="A321" s="160" t="s">
        <v>177</v>
      </c>
      <c r="B321" s="222"/>
      <c r="C321" s="158">
        <f t="shared" ref="C321:T321" si="97">SUM(C231:C317)</f>
        <v>456500</v>
      </c>
      <c r="D321" s="158">
        <f t="shared" si="97"/>
        <v>262111000</v>
      </c>
      <c r="E321" s="158">
        <f t="shared" si="97"/>
        <v>1038161000</v>
      </c>
      <c r="F321" s="158">
        <f t="shared" si="97"/>
        <v>430965</v>
      </c>
      <c r="G321" s="158">
        <f t="shared" si="97"/>
        <v>212785800</v>
      </c>
      <c r="H321" s="158">
        <f t="shared" si="97"/>
        <v>945426300</v>
      </c>
      <c r="I321" s="158">
        <f t="shared" si="97"/>
        <v>356861</v>
      </c>
      <c r="J321" s="158">
        <f t="shared" si="97"/>
        <v>145031300</v>
      </c>
      <c r="K321" s="158">
        <f t="shared" si="97"/>
        <v>751695000</v>
      </c>
      <c r="L321" s="158">
        <f t="shared" si="97"/>
        <v>361719</v>
      </c>
      <c r="M321" s="158">
        <f t="shared" si="97"/>
        <v>124026390</v>
      </c>
      <c r="N321" s="158">
        <f t="shared" si="97"/>
        <v>738948690</v>
      </c>
      <c r="O321" s="158">
        <f t="shared" si="97"/>
        <v>274243</v>
      </c>
      <c r="P321" s="158">
        <f t="shared" si="97"/>
        <v>86815600</v>
      </c>
      <c r="Q321" s="158">
        <f t="shared" si="97"/>
        <v>553028700</v>
      </c>
      <c r="R321" s="158">
        <f t="shared" si="97"/>
        <v>133388</v>
      </c>
      <c r="S321" s="158">
        <f t="shared" si="97"/>
        <v>38791900</v>
      </c>
      <c r="T321" s="158">
        <f t="shared" si="97"/>
        <v>265551500</v>
      </c>
      <c r="U321" s="158">
        <f t="shared" ref="U321:AO321" si="98">SUM(U231:U317)</f>
        <v>488729</v>
      </c>
      <c r="V321" s="158">
        <f t="shared" si="98"/>
        <v>234443550</v>
      </c>
      <c r="W321" s="158">
        <f t="shared" si="98"/>
        <v>1065282850</v>
      </c>
      <c r="X321" s="158">
        <f t="shared" si="98"/>
        <v>402340</v>
      </c>
      <c r="Y321" s="158">
        <f t="shared" si="98"/>
        <v>152496200</v>
      </c>
      <c r="Z321" s="158">
        <f t="shared" si="98"/>
        <v>836474200</v>
      </c>
      <c r="AA321" s="158">
        <f t="shared" si="98"/>
        <v>381491</v>
      </c>
      <c r="AB321" s="158">
        <f t="shared" si="98"/>
        <v>131543450</v>
      </c>
      <c r="AC321" s="158">
        <f t="shared" si="98"/>
        <v>780078150</v>
      </c>
      <c r="AD321" s="158">
        <f t="shared" si="98"/>
        <v>377414</v>
      </c>
      <c r="AE321" s="158">
        <f t="shared" si="98"/>
        <v>131781751</v>
      </c>
      <c r="AF321" s="158">
        <f t="shared" si="98"/>
        <v>773385551</v>
      </c>
      <c r="AG321" s="158">
        <f t="shared" si="98"/>
        <v>364343</v>
      </c>
      <c r="AH321" s="158">
        <f t="shared" si="98"/>
        <v>118226350</v>
      </c>
      <c r="AI321" s="158">
        <f t="shared" si="98"/>
        <v>737609450</v>
      </c>
      <c r="AJ321" s="158">
        <f t="shared" si="98"/>
        <v>274404</v>
      </c>
      <c r="AK321" s="158">
        <f t="shared" si="98"/>
        <v>80800950</v>
      </c>
      <c r="AL321" s="158">
        <f t="shared" si="98"/>
        <v>547287750</v>
      </c>
      <c r="AM321" s="158">
        <f t="shared" si="98"/>
        <v>126033</v>
      </c>
      <c r="AN321" s="158">
        <f t="shared" si="98"/>
        <v>32441850</v>
      </c>
      <c r="AO321" s="158">
        <f t="shared" si="98"/>
        <v>246697950</v>
      </c>
      <c r="AP321" s="158">
        <f t="shared" ref="AP321:BJ321" si="99">SUM(AP231:AP317)</f>
        <v>459814</v>
      </c>
      <c r="AQ321" s="158">
        <f t="shared" si="99"/>
        <v>196310550</v>
      </c>
      <c r="AR321" s="158">
        <f t="shared" si="99"/>
        <v>977994350</v>
      </c>
      <c r="AS321" s="158">
        <f t="shared" si="99"/>
        <v>379392</v>
      </c>
      <c r="AT321" s="158">
        <f t="shared" si="99"/>
        <v>179652401</v>
      </c>
      <c r="AU321" s="158">
        <f t="shared" si="99"/>
        <v>824618801</v>
      </c>
      <c r="AV321" s="158">
        <f t="shared" si="99"/>
        <v>401276</v>
      </c>
      <c r="AW321" s="158">
        <f t="shared" si="99"/>
        <v>212600350</v>
      </c>
      <c r="AX321" s="158">
        <f t="shared" si="99"/>
        <v>894769550</v>
      </c>
      <c r="AY321" s="158">
        <f t="shared" si="99"/>
        <v>386061</v>
      </c>
      <c r="AZ321" s="158">
        <f t="shared" si="99"/>
        <v>191086030</v>
      </c>
      <c r="BA321" s="158">
        <f t="shared" si="99"/>
        <v>847389730</v>
      </c>
      <c r="BB321" s="158">
        <f t="shared" si="99"/>
        <v>376074</v>
      </c>
      <c r="BC321" s="158">
        <f t="shared" si="99"/>
        <v>139125451</v>
      </c>
      <c r="BD321" s="158">
        <f t="shared" si="99"/>
        <v>778451251</v>
      </c>
      <c r="BE321" s="158">
        <f t="shared" si="99"/>
        <v>282008</v>
      </c>
      <c r="BF321" s="158">
        <f t="shared" si="99"/>
        <v>86850250</v>
      </c>
      <c r="BG321" s="158">
        <f t="shared" si="99"/>
        <v>566263850</v>
      </c>
      <c r="BH321" s="158">
        <f t="shared" si="99"/>
        <v>127562</v>
      </c>
      <c r="BI321" s="158">
        <f t="shared" si="99"/>
        <v>35493650</v>
      </c>
      <c r="BJ321" s="158">
        <f t="shared" si="99"/>
        <v>252349050</v>
      </c>
      <c r="BK321" s="158">
        <f t="shared" ref="BK321:CE321" si="100">SUM(BK231:BK317)</f>
        <v>491378</v>
      </c>
      <c r="BL321" s="158">
        <f t="shared" si="100"/>
        <v>227940250</v>
      </c>
      <c r="BM321" s="158">
        <f t="shared" si="100"/>
        <v>1063282850</v>
      </c>
      <c r="BN321" s="158">
        <f t="shared" si="100"/>
        <v>400673</v>
      </c>
      <c r="BO321" s="158">
        <f t="shared" si="100"/>
        <v>148347050</v>
      </c>
      <c r="BP321" s="158">
        <f t="shared" si="100"/>
        <v>829491150</v>
      </c>
      <c r="BQ321" s="158">
        <f t="shared" si="100"/>
        <v>380531</v>
      </c>
      <c r="BR321" s="158">
        <f t="shared" si="100"/>
        <v>133727350</v>
      </c>
      <c r="BS321" s="158">
        <f t="shared" si="100"/>
        <v>780630050</v>
      </c>
      <c r="BT321" s="158">
        <f t="shared" si="100"/>
        <v>370402</v>
      </c>
      <c r="BU321" s="158">
        <f t="shared" si="100"/>
        <v>126510500</v>
      </c>
      <c r="BV321" s="158">
        <f t="shared" si="100"/>
        <v>756193900</v>
      </c>
      <c r="BW321" s="158">
        <f t="shared" si="100"/>
        <v>371371</v>
      </c>
      <c r="BX321" s="158">
        <f t="shared" si="100"/>
        <v>127345300</v>
      </c>
      <c r="BY321" s="158">
        <f t="shared" si="100"/>
        <v>758676000</v>
      </c>
      <c r="BZ321" s="158">
        <f t="shared" si="100"/>
        <v>286649</v>
      </c>
      <c r="CA321" s="158">
        <f t="shared" si="100"/>
        <v>95996600</v>
      </c>
      <c r="CB321" s="158">
        <f t="shared" si="100"/>
        <v>583299900</v>
      </c>
      <c r="CC321" s="158">
        <f t="shared" si="100"/>
        <v>135781</v>
      </c>
      <c r="CD321" s="158">
        <f t="shared" si="100"/>
        <v>40693000</v>
      </c>
      <c r="CE321" s="158">
        <f t="shared" si="100"/>
        <v>271520700</v>
      </c>
      <c r="CF321" s="158">
        <f t="shared" ref="CF321:CN321" si="101">SUM(CF231:CF317)</f>
        <v>532020</v>
      </c>
      <c r="CG321" s="158">
        <f t="shared" si="101"/>
        <v>301671650</v>
      </c>
      <c r="CH321" s="158">
        <f t="shared" si="101"/>
        <v>1206105650</v>
      </c>
      <c r="CI321" s="158">
        <f t="shared" si="101"/>
        <v>481254</v>
      </c>
      <c r="CJ321" s="158">
        <f t="shared" si="101"/>
        <v>272800300</v>
      </c>
      <c r="CK321" s="158">
        <f t="shared" si="101"/>
        <v>1090932100</v>
      </c>
      <c r="CL321" s="158">
        <f t="shared" si="101"/>
        <v>451779</v>
      </c>
      <c r="CM321" s="158">
        <f t="shared" si="101"/>
        <v>222117050</v>
      </c>
      <c r="CN321" s="158">
        <f t="shared" si="101"/>
        <v>990141350</v>
      </c>
      <c r="CO321" s="158">
        <f t="shared" ref="CO321:CZ321" si="102">SUM(CO231:CO317)</f>
        <v>411304</v>
      </c>
      <c r="CP321" s="158">
        <f t="shared" si="102"/>
        <v>173291800</v>
      </c>
      <c r="CQ321" s="158">
        <f t="shared" si="102"/>
        <v>872508600</v>
      </c>
      <c r="CR321" s="158">
        <f t="shared" si="102"/>
        <v>388007</v>
      </c>
      <c r="CS321" s="158">
        <f t="shared" si="102"/>
        <v>134712600</v>
      </c>
      <c r="CT321" s="158">
        <f t="shared" si="102"/>
        <v>794324500</v>
      </c>
      <c r="CU321" s="158">
        <f t="shared" si="102"/>
        <v>298893</v>
      </c>
      <c r="CV321" s="158">
        <f t="shared" si="102"/>
        <v>91047700</v>
      </c>
      <c r="CW321" s="158">
        <f t="shared" si="102"/>
        <v>599165800</v>
      </c>
      <c r="CX321" s="158">
        <f t="shared" si="102"/>
        <v>133401</v>
      </c>
      <c r="CY321" s="158">
        <f t="shared" si="102"/>
        <v>35723850</v>
      </c>
      <c r="CZ321" s="158">
        <f t="shared" si="102"/>
        <v>262505550</v>
      </c>
    </row>
    <row r="322" spans="1:104" s="8" customFormat="1" x14ac:dyDescent="0.2">
      <c r="A322" s="160" t="s">
        <v>355</v>
      </c>
      <c r="B322" s="222"/>
      <c r="C322" s="158">
        <f t="shared" ref="C322" si="103">+TRUNC((D321/1700),3)</f>
        <v>154182.94099999999</v>
      </c>
      <c r="D322" s="207"/>
      <c r="E322" s="207"/>
      <c r="F322" s="158">
        <f t="shared" ref="F322" si="104">+TRUNC((G321/1700),3)</f>
        <v>125168.117</v>
      </c>
      <c r="G322" s="207"/>
      <c r="H322" s="207"/>
      <c r="I322" s="158">
        <f t="shared" ref="I322" si="105">+TRUNC((J321/1700),3)</f>
        <v>85312.528999999995</v>
      </c>
      <c r="J322" s="207"/>
      <c r="K322" s="207"/>
      <c r="L322" s="158">
        <f t="shared" ref="L322" si="106">+TRUNC((M321/1700),3)</f>
        <v>72956.7</v>
      </c>
      <c r="M322" s="207"/>
      <c r="N322" s="207"/>
      <c r="O322" s="158">
        <f t="shared" ref="O322" si="107">+TRUNC((P321/1700),3)</f>
        <v>51068</v>
      </c>
      <c r="P322" s="207"/>
      <c r="Q322" s="207"/>
      <c r="R322" s="158">
        <f t="shared" ref="R322" si="108">+TRUNC((S321/1700),3)</f>
        <v>22818.763999999999</v>
      </c>
      <c r="S322" s="207"/>
      <c r="T322" s="207"/>
      <c r="U322" s="158">
        <f t="shared" ref="U322" si="109">+TRUNC((V321/1700),3)</f>
        <v>137907.97</v>
      </c>
      <c r="V322" s="207"/>
      <c r="W322" s="207"/>
      <c r="X322" s="158">
        <f t="shared" ref="X322" si="110">+TRUNC((Y321/1700),3)</f>
        <v>89703.646999999997</v>
      </c>
      <c r="Y322" s="207"/>
      <c r="Z322" s="207"/>
      <c r="AA322" s="158">
        <f t="shared" ref="AA322" si="111">+TRUNC((AB321/1700),3)</f>
        <v>77378.5</v>
      </c>
      <c r="AB322" s="207"/>
      <c r="AC322" s="207"/>
      <c r="AD322" s="158">
        <f t="shared" ref="AD322" si="112">+TRUNC((AE321/1700),3)</f>
        <v>77518.676999999996</v>
      </c>
      <c r="AE322" s="207"/>
      <c r="AF322" s="207"/>
      <c r="AG322" s="158">
        <f t="shared" ref="AG322" si="113">+TRUNC((AH321/1700),3)</f>
        <v>69544.910999999993</v>
      </c>
      <c r="AH322" s="207"/>
      <c r="AI322" s="207"/>
      <c r="AJ322" s="158">
        <f t="shared" ref="AJ322" si="114">+TRUNC((AK321/1700),3)</f>
        <v>47529.97</v>
      </c>
      <c r="AK322" s="207"/>
      <c r="AL322" s="207"/>
      <c r="AM322" s="158">
        <f t="shared" ref="AM322" si="115">+TRUNC((AN321/1700),3)</f>
        <v>19083.440999999999</v>
      </c>
      <c r="AN322" s="207"/>
      <c r="AO322" s="207"/>
      <c r="AP322" s="158">
        <f t="shared" ref="AP322" si="116">+TRUNC((AQ321/1700),3)</f>
        <v>115476.79399999999</v>
      </c>
      <c r="AQ322" s="207"/>
      <c r="AR322" s="207"/>
      <c r="AS322" s="158">
        <f t="shared" ref="AS322" si="117">+TRUNC((AT321/1700),3)</f>
        <v>105677.882</v>
      </c>
      <c r="AT322" s="207"/>
      <c r="AU322" s="207"/>
      <c r="AV322" s="158">
        <f t="shared" ref="AV322" si="118">+TRUNC((AW321/1700),3)</f>
        <v>125059.02899999999</v>
      </c>
      <c r="AW322" s="207"/>
      <c r="AX322" s="207"/>
      <c r="AY322" s="158">
        <f t="shared" ref="AY322" si="119">+TRUNC((AZ321/1700),3)</f>
        <v>112403.54700000001</v>
      </c>
      <c r="AZ322" s="207"/>
      <c r="BA322" s="207"/>
      <c r="BB322" s="158">
        <f t="shared" ref="BB322" si="120">+TRUNC((BC321/1700),3)</f>
        <v>81838.5</v>
      </c>
      <c r="BC322" s="207"/>
      <c r="BD322" s="207"/>
      <c r="BE322" s="158">
        <f t="shared" ref="BE322" si="121">+TRUNC((BF321/1700),3)</f>
        <v>51088.381999999998</v>
      </c>
      <c r="BF322" s="207"/>
      <c r="BG322" s="207"/>
      <c r="BH322" s="158">
        <f t="shared" ref="BH322" si="122">+TRUNC((BI321/1700),3)</f>
        <v>20878.616999999998</v>
      </c>
      <c r="BI322" s="207"/>
      <c r="BJ322" s="207"/>
      <c r="BK322" s="158">
        <f t="shared" ref="BK322" si="123">+TRUNC((BL321/1700),3)</f>
        <v>134082.5</v>
      </c>
      <c r="BL322" s="207"/>
      <c r="BM322" s="207"/>
      <c r="BN322" s="158">
        <f t="shared" ref="BN322" si="124">+TRUNC((BO321/1700),3)</f>
        <v>87262.97</v>
      </c>
      <c r="BO322" s="207"/>
      <c r="BP322" s="207"/>
      <c r="BQ322" s="158">
        <f t="shared" ref="BQ322" si="125">+TRUNC((BR321/1700),3)</f>
        <v>78663.146999999997</v>
      </c>
      <c r="BR322" s="207"/>
      <c r="BS322" s="207"/>
      <c r="BT322" s="158">
        <f t="shared" ref="BT322" si="126">+TRUNC((BU321/1700),3)</f>
        <v>74417.941000000006</v>
      </c>
      <c r="BU322" s="207"/>
      <c r="BV322" s="207"/>
      <c r="BW322" s="158">
        <f t="shared" ref="BW322" si="127">+TRUNC((BX321/1700),3)</f>
        <v>74909</v>
      </c>
      <c r="BX322" s="207"/>
      <c r="BY322" s="207"/>
      <c r="BZ322" s="158">
        <f t="shared" ref="BZ322" si="128">+TRUNC((CA321/1700),3)</f>
        <v>56468.588000000003</v>
      </c>
      <c r="CA322" s="207"/>
      <c r="CB322" s="207"/>
      <c r="CC322" s="158">
        <f t="shared" ref="CC322" si="129">+TRUNC((CD321/1700),3)</f>
        <v>23937.058000000001</v>
      </c>
      <c r="CD322" s="207"/>
      <c r="CE322" s="207"/>
      <c r="CF322" s="158">
        <f t="shared" ref="CF322" si="130">+TRUNC((CG321/1700),3)</f>
        <v>177453.91099999999</v>
      </c>
      <c r="CG322" s="207"/>
      <c r="CH322" s="207"/>
      <c r="CI322" s="158">
        <f t="shared" ref="CI322" si="131">+TRUNC((CJ321/1700),3)</f>
        <v>160470.764</v>
      </c>
      <c r="CJ322" s="207"/>
      <c r="CK322" s="207"/>
      <c r="CL322" s="158">
        <f t="shared" ref="CL322" si="132">+TRUNC((CM321/1700),3)</f>
        <v>130657.088</v>
      </c>
      <c r="CM322" s="207"/>
      <c r="CN322" s="207"/>
      <c r="CO322" s="158">
        <f t="shared" ref="CO322" si="133">+TRUNC((CP321/1700),3)</f>
        <v>101936.352</v>
      </c>
      <c r="CP322" s="207"/>
      <c r="CQ322" s="207"/>
      <c r="CR322" s="158">
        <f t="shared" ref="CR322" si="134">+TRUNC((CS321/1700),3)</f>
        <v>79242.705000000002</v>
      </c>
      <c r="CS322" s="207"/>
      <c r="CT322" s="207"/>
      <c r="CU322" s="158">
        <f t="shared" ref="CU322" si="135">+TRUNC((CV321/1700),3)</f>
        <v>53557.47</v>
      </c>
      <c r="CV322" s="207"/>
      <c r="CW322" s="207"/>
      <c r="CX322" s="158">
        <f t="shared" ref="CX322" si="136">+TRUNC((CY321/1700),3)</f>
        <v>21014.028999999999</v>
      </c>
      <c r="CY322" s="207"/>
      <c r="CZ322" s="207"/>
    </row>
    <row r="323" spans="1:104" s="8" customFormat="1" ht="13.5" thickBot="1" x14ac:dyDescent="0.25">
      <c r="A323" s="161" t="s">
        <v>356</v>
      </c>
      <c r="B323" s="223"/>
      <c r="C323" s="159">
        <f t="shared" ref="C323:I323" si="137">+SUM(C321:C322)</f>
        <v>610682.94099999999</v>
      </c>
      <c r="D323" s="209"/>
      <c r="E323" s="209"/>
      <c r="F323" s="159">
        <f t="shared" si="137"/>
        <v>556133.11699999997</v>
      </c>
      <c r="G323" s="209"/>
      <c r="H323" s="209"/>
      <c r="I323" s="159">
        <f t="shared" si="137"/>
        <v>442173.52899999998</v>
      </c>
      <c r="J323" s="209"/>
      <c r="K323" s="209"/>
      <c r="L323" s="159">
        <f t="shared" ref="L323:R323" si="138">+SUM(L321:L322)</f>
        <v>434675.7</v>
      </c>
      <c r="M323" s="209"/>
      <c r="N323" s="209"/>
      <c r="O323" s="159">
        <f t="shared" si="138"/>
        <v>325311</v>
      </c>
      <c r="P323" s="209"/>
      <c r="Q323" s="209"/>
      <c r="R323" s="159">
        <f t="shared" si="138"/>
        <v>156206.764</v>
      </c>
      <c r="S323" s="209"/>
      <c r="T323" s="209"/>
      <c r="U323" s="159">
        <f t="shared" ref="U323" si="139">+SUM(U321:U322)</f>
        <v>626636.97</v>
      </c>
      <c r="V323" s="209"/>
      <c r="W323" s="209"/>
      <c r="X323" s="159">
        <f t="shared" ref="X323" si="140">+SUM(X321:X322)</f>
        <v>492043.647</v>
      </c>
      <c r="Y323" s="209"/>
      <c r="Z323" s="209"/>
      <c r="AA323" s="159">
        <f t="shared" ref="AA323" si="141">+SUM(AA321:AA322)</f>
        <v>458869.5</v>
      </c>
      <c r="AB323" s="209"/>
      <c r="AC323" s="209"/>
      <c r="AD323" s="159">
        <f t="shared" ref="AD323" si="142">+SUM(AD321:AD322)</f>
        <v>454932.67700000003</v>
      </c>
      <c r="AE323" s="209"/>
      <c r="AF323" s="209"/>
      <c r="AG323" s="159">
        <f t="shared" ref="AG323" si="143">+SUM(AG321:AG322)</f>
        <v>433887.91099999996</v>
      </c>
      <c r="AH323" s="209"/>
      <c r="AI323" s="209"/>
      <c r="AJ323" s="159">
        <f t="shared" ref="AJ323" si="144">+SUM(AJ321:AJ322)</f>
        <v>321933.96999999997</v>
      </c>
      <c r="AK323" s="209"/>
      <c r="AL323" s="209"/>
      <c r="AM323" s="159">
        <f t="shared" ref="AM323" si="145">+SUM(AM321:AM322)</f>
        <v>145116.44099999999</v>
      </c>
      <c r="AN323" s="209"/>
      <c r="AO323" s="209"/>
      <c r="AP323" s="159">
        <f t="shared" ref="AP323:AY323" si="146">+SUM(AP321:AP322)</f>
        <v>575290.79399999999</v>
      </c>
      <c r="AQ323" s="209"/>
      <c r="AR323" s="209"/>
      <c r="AS323" s="159">
        <f t="shared" si="146"/>
        <v>485069.88199999998</v>
      </c>
      <c r="AT323" s="209"/>
      <c r="AU323" s="209"/>
      <c r="AV323" s="159">
        <f t="shared" si="146"/>
        <v>526335.02899999998</v>
      </c>
      <c r="AW323" s="209"/>
      <c r="AX323" s="209"/>
      <c r="AY323" s="159">
        <f t="shared" si="146"/>
        <v>498464.54700000002</v>
      </c>
      <c r="AZ323" s="209"/>
      <c r="BA323" s="209"/>
      <c r="BB323" s="159">
        <f t="shared" ref="BB323:BH323" si="147">+SUM(BB321:BB322)</f>
        <v>457912.5</v>
      </c>
      <c r="BC323" s="209"/>
      <c r="BD323" s="209"/>
      <c r="BE323" s="159">
        <f t="shared" si="147"/>
        <v>333096.38199999998</v>
      </c>
      <c r="BF323" s="209"/>
      <c r="BG323" s="209"/>
      <c r="BH323" s="159">
        <f t="shared" si="147"/>
        <v>148440.617</v>
      </c>
      <c r="BI323" s="209"/>
      <c r="BJ323" s="209"/>
      <c r="BK323" s="159">
        <f t="shared" ref="BK323" si="148">+SUM(BK321:BK322)</f>
        <v>625460.5</v>
      </c>
      <c r="BL323" s="209"/>
      <c r="BM323" s="209"/>
      <c r="BN323" s="159">
        <f t="shared" ref="BN323" si="149">+SUM(BN321:BN322)</f>
        <v>487935.97</v>
      </c>
      <c r="BO323" s="209"/>
      <c r="BP323" s="209"/>
      <c r="BQ323" s="159">
        <f t="shared" ref="BQ323" si="150">+SUM(BQ321:BQ322)</f>
        <v>459194.147</v>
      </c>
      <c r="BR323" s="209"/>
      <c r="BS323" s="209"/>
      <c r="BT323" s="159">
        <f t="shared" ref="BT323" si="151">+SUM(BT321:BT322)</f>
        <v>444819.94099999999</v>
      </c>
      <c r="BU323" s="209"/>
      <c r="BV323" s="209"/>
      <c r="BW323" s="159">
        <f t="shared" ref="BW323" si="152">+SUM(BW321:BW322)</f>
        <v>446280</v>
      </c>
      <c r="BX323" s="209"/>
      <c r="BY323" s="209"/>
      <c r="BZ323" s="159">
        <f t="shared" ref="BZ323" si="153">+SUM(BZ321:BZ322)</f>
        <v>343117.58799999999</v>
      </c>
      <c r="CA323" s="209"/>
      <c r="CB323" s="209"/>
      <c r="CC323" s="159">
        <f t="shared" ref="CC323" si="154">+SUM(CC321:CC322)</f>
        <v>159718.05799999999</v>
      </c>
      <c r="CD323" s="209"/>
      <c r="CE323" s="209"/>
      <c r="CF323" s="159">
        <f t="shared" ref="CF323:CL323" si="155">+SUM(CF321:CF322)</f>
        <v>709473.91099999996</v>
      </c>
      <c r="CG323" s="209"/>
      <c r="CH323" s="209"/>
      <c r="CI323" s="159">
        <f t="shared" si="155"/>
        <v>641724.76399999997</v>
      </c>
      <c r="CJ323" s="209"/>
      <c r="CK323" s="209"/>
      <c r="CL323" s="159">
        <f t="shared" si="155"/>
        <v>582436.08799999999</v>
      </c>
      <c r="CM323" s="209"/>
      <c r="CN323" s="209"/>
      <c r="CO323" s="159">
        <f t="shared" ref="CO323" si="156">+SUM(CO321:CO322)</f>
        <v>513240.35200000001</v>
      </c>
      <c r="CP323" s="209"/>
      <c r="CQ323" s="209"/>
      <c r="CR323" s="159">
        <f t="shared" ref="CR323" si="157">+SUM(CR321:CR322)</f>
        <v>467249.70500000002</v>
      </c>
      <c r="CS323" s="209"/>
      <c r="CT323" s="209"/>
      <c r="CU323" s="159">
        <f t="shared" ref="CU323" si="158">+SUM(CU321:CU322)</f>
        <v>352450.47</v>
      </c>
      <c r="CV323" s="209"/>
      <c r="CW323" s="209"/>
      <c r="CX323" s="159">
        <f t="shared" ref="CX323" si="159">+SUM(CX321:CX322)</f>
        <v>154415.02900000001</v>
      </c>
      <c r="CY323" s="209"/>
      <c r="CZ323" s="209"/>
    </row>
    <row r="324" spans="1:104" s="8" customFormat="1" ht="13.5" thickBot="1" x14ac:dyDescent="0.25">
      <c r="A324" s="358"/>
      <c r="B324" s="359"/>
      <c r="C324" s="366">
        <f>+TRUNC((D318-(C349*1500+Entradas!CS184*800 ))/1700,3)+C318</f>
        <v>1270539.3540000001</v>
      </c>
      <c r="D324" s="360"/>
      <c r="E324" s="361"/>
      <c r="F324" s="366">
        <f>+TRUNC((G318-(F349*1500+Entradas!CV184*800 ))/1700,3)+F318</f>
        <v>1194533.088</v>
      </c>
      <c r="G324" s="360"/>
      <c r="H324" s="361"/>
      <c r="I324" s="366">
        <f>+TRUNC((J318-(I349*1500+Entradas!CY184*800 ))/1700,3)+I318</f>
        <v>1006977.205</v>
      </c>
      <c r="J324" s="360"/>
      <c r="K324" s="361"/>
      <c r="L324" s="366">
        <f>+TRUNC((M318-(L349*1500+Entradas!DB184*800 ))/1700,3)+L318</f>
        <v>979983.17599999998</v>
      </c>
      <c r="M324" s="360"/>
      <c r="N324" s="361"/>
      <c r="O324" s="366">
        <f>+TRUNC((P318-(O349*1500+Entradas!DE184*800 ))/1700,3)+O318</f>
        <v>706399</v>
      </c>
      <c r="P324" s="360"/>
      <c r="Q324" s="361"/>
      <c r="R324" s="366">
        <f>+TRUNC((S318-(R349*1500+Entradas!DH184*800 ))/1700,3)+R318</f>
        <v>326098.08799999999</v>
      </c>
      <c r="S324" s="360"/>
      <c r="T324" s="361"/>
      <c r="U324" s="366">
        <f>+TRUNC((V318-(U349*1500+Entradas!DK184*800 ))/1700,3)+U318</f>
        <v>1297631.7050000001</v>
      </c>
      <c r="V324" s="360"/>
      <c r="W324" s="361"/>
      <c r="X324" s="366">
        <f>+TRUNC((Y318-(X349*1500+Entradas!DN184*800 ))/1700,3)+X318</f>
        <v>1082148.9110000001</v>
      </c>
      <c r="Y324" s="360"/>
      <c r="Z324" s="361"/>
      <c r="AA324" s="366">
        <f>+TRUNC((AB318-(AA349*1500+Entradas!DQ184*800 ))/1700,3)+AA318</f>
        <v>1008588.764</v>
      </c>
      <c r="AB324" s="360"/>
      <c r="AC324" s="361"/>
      <c r="AD324" s="366">
        <f>+TRUNC((AE318-(AD349*1500+Entradas!DT184*800 ))/1700,3)+AD318</f>
        <v>1010670.676</v>
      </c>
      <c r="AE324" s="360"/>
      <c r="AF324" s="361"/>
      <c r="AG324" s="366">
        <f>+TRUNC((AH318-(AG349*1500+Entradas!DW184*800 ))/1700,3)+AG318</f>
        <v>965322</v>
      </c>
      <c r="AH324" s="360"/>
      <c r="AI324" s="361"/>
      <c r="AJ324" s="366">
        <f>+TRUNC((AK318-(AJ349*1500+Entradas!DZ184*800 ))/1700,3)+AJ318</f>
        <v>699215.05900000001</v>
      </c>
      <c r="AK324" s="360"/>
      <c r="AL324" s="361"/>
      <c r="AM324" s="366">
        <f>+TRUNC((AN318-(AM349*1500+Entradas!EC184*800 ))/1700,3)+AM318</f>
        <v>308288.147</v>
      </c>
      <c r="AN324" s="360"/>
      <c r="AO324" s="361"/>
      <c r="AP324" s="366">
        <f>+TRUNC((AQ318-(AP349*1500+Entradas!EF184*800 ))/1700,3)+AP318</f>
        <v>1311242.912</v>
      </c>
      <c r="AQ324" s="360"/>
      <c r="AR324" s="361"/>
      <c r="AS324" s="366">
        <f>+TRUNC((AT318-(AS349*1500+Entradas!EI184*800 ))/1700,3)+AS318</f>
        <v>1209231.324</v>
      </c>
      <c r="AT324" s="360"/>
      <c r="AU324" s="361"/>
      <c r="AV324" s="366">
        <f>+TRUNC((AW318-(AV349*1500+Entradas!EL184*800 ))/1700,3)+AV318</f>
        <v>1198918.2349999999</v>
      </c>
      <c r="AW324" s="360"/>
      <c r="AX324" s="361"/>
      <c r="AY324" s="366">
        <f>+TRUNC((AZ318-(AY349*1500+Entradas!EO184*800 ))/1700,3)+AY318</f>
        <v>1092835.4750000001</v>
      </c>
      <c r="AZ324" s="360"/>
      <c r="BA324" s="361"/>
      <c r="BB324" s="366">
        <f>+TRUNC((BC318-(BB349*1500+Entradas!ER184*800 ))/1700,3)+BB318</f>
        <v>1018556.059</v>
      </c>
      <c r="BC324" s="360"/>
      <c r="BD324" s="361"/>
      <c r="BE324" s="366">
        <f>+TRUNC((BF318-(BE349*1500+Entradas!EU184*800 ))/1700,3)+BE318</f>
        <v>725303.76500000001</v>
      </c>
      <c r="BF324" s="360"/>
      <c r="BG324" s="361"/>
      <c r="BH324" s="366">
        <f>+TRUNC((BI318-(BH349*1500+Entradas!EX184*800 ))/1700,3)+BH318</f>
        <v>321683.20500000002</v>
      </c>
      <c r="BI324" s="360"/>
      <c r="BJ324" s="361"/>
      <c r="BK324" s="366">
        <f>+TRUNC((BL318-(BK349*1500+Entradas!FA184*800 ))/1700,3)+BK318</f>
        <v>1320447.352</v>
      </c>
      <c r="BL324" s="360"/>
      <c r="BM324" s="361"/>
      <c r="BN324" s="366">
        <f>+TRUNC((BO318-(BN349*1500+Entradas!FD184*800 ))/1700,3)+BN318</f>
        <v>1082865.5290000001</v>
      </c>
      <c r="BO324" s="360"/>
      <c r="BP324" s="361"/>
      <c r="BQ324" s="366">
        <f>+TRUNC((BR318-(BQ349*1500+Entradas!FG184*800 ))/1700,3)+BQ318</f>
        <v>1033140.97</v>
      </c>
      <c r="BR324" s="360"/>
      <c r="BS324" s="361"/>
      <c r="BT324" s="366">
        <f>+TRUNC((BU318-(BT349*1500+Entradas!FJ184*800 ))/1700,3)+BT318</f>
        <v>988762.55799999996</v>
      </c>
      <c r="BU324" s="360"/>
      <c r="BV324" s="361"/>
      <c r="BW324" s="366">
        <f>+TRUNC((BX318-(BW349*1500+Entradas!FM184*800 ))/1700,3)+BW318</f>
        <v>1013619.588</v>
      </c>
      <c r="BX324" s="360"/>
      <c r="BY324" s="361"/>
      <c r="BZ324" s="366">
        <f>+TRUNC((CA318-(BZ349*1500+Entradas!FP184*800 ))/1700,3)+BZ318</f>
        <v>749442.03</v>
      </c>
      <c r="CA324" s="360"/>
      <c r="CB324" s="361"/>
      <c r="CC324" s="366">
        <f>+TRUNC((CD318-(CC349*1500+Entradas!FS184*800 ))/1700,3)+CC318</f>
        <v>326751.05800000002</v>
      </c>
      <c r="CD324" s="360"/>
      <c r="CE324" s="361"/>
      <c r="CF324" s="366">
        <f>+TRUNC((CG318-(CF349*1500+Entradas!FV184*800 ))/1700,3)+CF318</f>
        <v>1533496.264</v>
      </c>
      <c r="CG324" s="360"/>
      <c r="CH324" s="361"/>
      <c r="CI324" s="366">
        <f>+TRUNC((CJ318-(CI349*1500+Entradas!FY184*800 ))/1700,3)+CI318</f>
        <v>1383774.7650000001</v>
      </c>
      <c r="CJ324" s="360"/>
      <c r="CK324" s="361"/>
      <c r="CL324" s="366">
        <f>+TRUNC((CM318-(CL349*1500+Entradas!GB184*800 ))/1700,3)+CL318</f>
        <v>1239647.3700000001</v>
      </c>
      <c r="CM324" s="360"/>
      <c r="CN324" s="361"/>
      <c r="CO324" s="366">
        <f>+TRUNC((CP318-(CO349*1500+Entradas!GE184*800 ))/1700,3)+CO318</f>
        <v>1126049.862</v>
      </c>
      <c r="CP324" s="360"/>
      <c r="CQ324" s="361"/>
      <c r="CR324" s="366">
        <f>+TRUNC((CS318-(CR349*1500+Entradas!GH184*800 ))/1700,3)+CR318</f>
        <v>1057749.2110000001</v>
      </c>
      <c r="CS324" s="360"/>
      <c r="CT324" s="361"/>
      <c r="CU324" s="366">
        <f>+TRUNC((CV318-(CU349*1500+Entradas!GK184*800 ))/1700,3)+CU318</f>
        <v>766701.55799999996</v>
      </c>
      <c r="CV324" s="360"/>
      <c r="CW324" s="361"/>
      <c r="CX324" s="366">
        <f>+TRUNC((CY318-(CX349*1500+Entradas!GN184*800 ))/1700,3)+CX318</f>
        <v>328679.70500000002</v>
      </c>
      <c r="CY324" s="360"/>
      <c r="CZ324" s="361"/>
    </row>
    <row r="325" spans="1:104" s="8" customFormat="1" x14ac:dyDescent="0.2">
      <c r="A325" s="165"/>
      <c r="B325" s="172"/>
      <c r="C325" s="165">
        <f t="shared" ref="C325" si="160">+C320-C324</f>
        <v>0</v>
      </c>
      <c r="D325" s="165"/>
      <c r="E325" s="165">
        <f t="shared" ref="E325:F325" si="161">+E320-E324</f>
        <v>0</v>
      </c>
      <c r="F325" s="165">
        <f t="shared" si="161"/>
        <v>0</v>
      </c>
      <c r="G325" s="165"/>
      <c r="H325" s="165">
        <f t="shared" ref="H325:I325" si="162">+H320-H324</f>
        <v>0</v>
      </c>
      <c r="I325" s="165">
        <f t="shared" si="162"/>
        <v>0</v>
      </c>
      <c r="J325" s="165"/>
      <c r="K325" s="165">
        <f t="shared" ref="K325:L325" si="163">+K320-K324</f>
        <v>0</v>
      </c>
      <c r="L325" s="165">
        <f t="shared" si="163"/>
        <v>0</v>
      </c>
      <c r="M325" s="165"/>
      <c r="N325" s="165">
        <f t="shared" ref="N325:O325" si="164">+N320-N324</f>
        <v>0</v>
      </c>
      <c r="O325" s="165">
        <f t="shared" si="164"/>
        <v>0</v>
      </c>
      <c r="P325" s="165"/>
      <c r="Q325" s="165">
        <f t="shared" ref="Q325:R325" si="165">+Q320-Q324</f>
        <v>0</v>
      </c>
      <c r="R325" s="165">
        <f t="shared" si="165"/>
        <v>0</v>
      </c>
      <c r="S325" s="165"/>
      <c r="T325" s="165">
        <f t="shared" ref="T325:U325" si="166">+T320-T324</f>
        <v>0</v>
      </c>
      <c r="U325" s="165">
        <f t="shared" si="166"/>
        <v>0</v>
      </c>
      <c r="V325" s="165"/>
      <c r="W325" s="165">
        <f t="shared" ref="W325:X325" si="167">+W320-W324</f>
        <v>0</v>
      </c>
      <c r="X325" s="165">
        <f t="shared" si="167"/>
        <v>0</v>
      </c>
      <c r="Y325" s="165"/>
      <c r="Z325" s="165">
        <f t="shared" ref="Z325:AA325" si="168">+Z320-Z324</f>
        <v>0</v>
      </c>
      <c r="AA325" s="165">
        <f t="shared" si="168"/>
        <v>0</v>
      </c>
      <c r="AB325" s="165"/>
      <c r="AC325" s="165">
        <f t="shared" ref="AC325:AD325" si="169">+AC320-AC324</f>
        <v>0</v>
      </c>
      <c r="AD325" s="165">
        <f t="shared" si="169"/>
        <v>0</v>
      </c>
      <c r="AE325" s="165"/>
      <c r="AF325" s="165">
        <f t="shared" ref="AF325:AG325" si="170">+AF320-AF324</f>
        <v>0</v>
      </c>
      <c r="AG325" s="165">
        <f t="shared" si="170"/>
        <v>0</v>
      </c>
      <c r="AH325" s="165"/>
      <c r="AI325" s="165">
        <f t="shared" ref="AI325:AJ325" si="171">+AI320-AI324</f>
        <v>0</v>
      </c>
      <c r="AJ325" s="165">
        <f t="shared" si="171"/>
        <v>0</v>
      </c>
      <c r="AK325" s="165"/>
      <c r="AL325" s="165">
        <f t="shared" ref="AL325:AM325" si="172">+AL320-AL324</f>
        <v>0</v>
      </c>
      <c r="AM325" s="165">
        <f t="shared" si="172"/>
        <v>0</v>
      </c>
      <c r="AN325" s="165"/>
      <c r="AO325" s="165">
        <f t="shared" ref="AO325:AP325" si="173">+AO320-AO324</f>
        <v>0</v>
      </c>
      <c r="AP325" s="165">
        <f t="shared" si="173"/>
        <v>0</v>
      </c>
      <c r="AQ325" s="165"/>
      <c r="AR325" s="165">
        <f t="shared" ref="AR325:AS325" si="174">+AR320-AR324</f>
        <v>0</v>
      </c>
      <c r="AS325" s="165">
        <f t="shared" si="174"/>
        <v>0</v>
      </c>
      <c r="AT325" s="165"/>
      <c r="AU325" s="165">
        <f t="shared" ref="AU325:AV325" si="175">+AU320-AU324</f>
        <v>0</v>
      </c>
      <c r="AV325" s="165">
        <f t="shared" si="175"/>
        <v>0</v>
      </c>
      <c r="AW325" s="165"/>
      <c r="AX325" s="165">
        <f t="shared" ref="AX325:AY325" si="176">+AX320-AX324</f>
        <v>0</v>
      </c>
      <c r="AY325" s="165">
        <f t="shared" si="176"/>
        <v>0</v>
      </c>
      <c r="AZ325" s="165"/>
      <c r="BA325" s="165">
        <f t="shared" ref="BA325:BB325" si="177">+BA320-BA324</f>
        <v>0</v>
      </c>
      <c r="BB325" s="165">
        <f t="shared" si="177"/>
        <v>0</v>
      </c>
      <c r="BC325" s="165"/>
      <c r="BD325" s="165">
        <f t="shared" ref="BD325:BE325" si="178">+BD320-BD324</f>
        <v>0</v>
      </c>
      <c r="BE325" s="165">
        <f t="shared" si="178"/>
        <v>0</v>
      </c>
      <c r="BF325" s="165"/>
      <c r="BG325" s="165">
        <f t="shared" ref="BG325:BH325" si="179">+BG320-BG324</f>
        <v>0</v>
      </c>
      <c r="BH325" s="165">
        <f t="shared" si="179"/>
        <v>0</v>
      </c>
      <c r="BI325" s="165"/>
      <c r="BJ325" s="165">
        <f t="shared" ref="BJ325:BK325" si="180">+BJ320-BJ324</f>
        <v>0</v>
      </c>
      <c r="BK325" s="165">
        <f t="shared" si="180"/>
        <v>0</v>
      </c>
      <c r="BL325" s="165"/>
      <c r="BM325" s="165">
        <f t="shared" ref="BM325:BN325" si="181">+BM320-BM324</f>
        <v>0</v>
      </c>
      <c r="BN325" s="165">
        <f t="shared" si="181"/>
        <v>0</v>
      </c>
      <c r="BO325" s="165"/>
      <c r="BP325" s="165">
        <f t="shared" ref="BP325:BQ325" si="182">+BP320-BP324</f>
        <v>0</v>
      </c>
      <c r="BQ325" s="165">
        <f t="shared" si="182"/>
        <v>0</v>
      </c>
      <c r="BR325" s="165"/>
      <c r="BS325" s="165">
        <f t="shared" ref="BS325:BT325" si="183">+BS320-BS324</f>
        <v>0</v>
      </c>
      <c r="BT325" s="165">
        <f t="shared" si="183"/>
        <v>0</v>
      </c>
      <c r="BU325" s="165"/>
      <c r="BV325" s="165">
        <f t="shared" ref="BV325:BW325" si="184">+BV320-BV324</f>
        <v>0</v>
      </c>
      <c r="BW325" s="165">
        <f t="shared" si="184"/>
        <v>0</v>
      </c>
      <c r="BX325" s="165"/>
      <c r="BY325" s="165">
        <f t="shared" ref="BY325:BZ325" si="185">+BY320-BY324</f>
        <v>0</v>
      </c>
      <c r="BZ325" s="165">
        <f t="shared" si="185"/>
        <v>0</v>
      </c>
      <c r="CA325" s="165"/>
      <c r="CB325" s="165">
        <f t="shared" ref="CB325:CC325" si="186">+CB320-CB324</f>
        <v>0</v>
      </c>
      <c r="CC325" s="165">
        <f t="shared" si="186"/>
        <v>0</v>
      </c>
      <c r="CD325" s="165"/>
      <c r="CE325" s="165">
        <f t="shared" ref="CE325:CF325" si="187">+CE320-CE324</f>
        <v>0</v>
      </c>
      <c r="CF325" s="165">
        <f t="shared" si="187"/>
        <v>0</v>
      </c>
      <c r="CG325" s="165"/>
      <c r="CH325" s="165">
        <f t="shared" ref="CH325:CI325" si="188">+CH320-CH324</f>
        <v>0</v>
      </c>
      <c r="CI325" s="165">
        <f t="shared" si="188"/>
        <v>0</v>
      </c>
      <c r="CJ325" s="165"/>
      <c r="CK325" s="165">
        <f t="shared" ref="CK325:CL325" si="189">+CK320-CK324</f>
        <v>0</v>
      </c>
      <c r="CL325" s="165">
        <f t="shared" si="189"/>
        <v>0</v>
      </c>
      <c r="CM325" s="165"/>
      <c r="CN325" s="165">
        <f t="shared" ref="CN325:CO325" si="190">+CN320-CN324</f>
        <v>0</v>
      </c>
      <c r="CO325" s="165">
        <f t="shared" si="190"/>
        <v>0</v>
      </c>
      <c r="CP325" s="165"/>
      <c r="CQ325" s="165">
        <f t="shared" ref="CQ325:CR325" si="191">+CQ320-CQ324</f>
        <v>0</v>
      </c>
      <c r="CR325" s="165">
        <f t="shared" si="191"/>
        <v>0</v>
      </c>
      <c r="CS325" s="165"/>
      <c r="CT325" s="165">
        <f t="shared" ref="CT325:CU325" si="192">+CT320-CT324</f>
        <v>0</v>
      </c>
      <c r="CU325" s="165">
        <f t="shared" si="192"/>
        <v>0</v>
      </c>
      <c r="CV325" s="165"/>
      <c r="CW325" s="165">
        <f t="shared" ref="CW325:CX325" si="193">+CW320-CW324</f>
        <v>0</v>
      </c>
      <c r="CX325" s="165">
        <f t="shared" si="193"/>
        <v>0</v>
      </c>
      <c r="CY325" s="165"/>
      <c r="CZ325" s="165">
        <f t="shared" ref="CZ325" si="194">+CZ320-CZ324</f>
        <v>0</v>
      </c>
    </row>
    <row r="326" spans="1:104" s="12" customFormat="1" ht="14.25" x14ac:dyDescent="0.2">
      <c r="A326" s="224" t="s">
        <v>357</v>
      </c>
      <c r="B326" s="225"/>
      <c r="C326" s="173">
        <f>+C320-[104]CONCILIACION!$D$52</f>
        <v>0</v>
      </c>
      <c r="D326" s="174">
        <f>+D318-[104]CONCILIACION!$B$47</f>
        <v>0</v>
      </c>
      <c r="E326" s="175">
        <f>+E318-[104]CONCILIACION!$B$49</f>
        <v>0</v>
      </c>
      <c r="F326" s="173">
        <f>+F320-[105]CONCILIACION!$D$52</f>
        <v>0</v>
      </c>
      <c r="G326" s="174">
        <f>+G318-[105]CONCILIACION!$B$47</f>
        <v>0</v>
      </c>
      <c r="H326" s="175">
        <f>+H318-[105]CONCILIACION!$B$49</f>
        <v>0</v>
      </c>
      <c r="I326" s="173">
        <f>+I320-[106]CONCILIACION!$D$52</f>
        <v>0</v>
      </c>
      <c r="J326" s="174">
        <f>+J318-[106]CONCILIACION!$B$47</f>
        <v>0</v>
      </c>
      <c r="K326" s="175">
        <f>+K318-[106]CONCILIACION!$B$49</f>
        <v>0</v>
      </c>
      <c r="L326" s="173">
        <f>+L320-[107]CONCILIACION!$D$52</f>
        <v>0</v>
      </c>
      <c r="M326" s="174">
        <f>+M318-[107]CONCILIACION!$B$47</f>
        <v>0</v>
      </c>
      <c r="N326" s="175">
        <f>+N318-[107]CONCILIACION!$B$49</f>
        <v>0</v>
      </c>
      <c r="O326" s="173">
        <f>+O320-[108]CONCILIACION!$D$52</f>
        <v>0</v>
      </c>
      <c r="P326" s="174">
        <f>+P318-[108]CONCILIACION!$B$47</f>
        <v>0</v>
      </c>
      <c r="Q326" s="175">
        <f>+Q318-[108]CONCILIACION!$B$49</f>
        <v>0</v>
      </c>
      <c r="R326" s="173">
        <f>+R320-[109]CONCILIACION!$D$52</f>
        <v>0</v>
      </c>
      <c r="S326" s="174">
        <f>+S318-[109]CONCILIACION!$B$47</f>
        <v>0</v>
      </c>
      <c r="T326" s="175">
        <f>+T318-[109]CONCILIACION!$B$49</f>
        <v>0</v>
      </c>
      <c r="U326" s="173">
        <f>+U320-[110]CONCILIACION!$D$52</f>
        <v>0</v>
      </c>
      <c r="V326" s="174">
        <f>+V318-[110]CONCILIACION!$B$47</f>
        <v>0</v>
      </c>
      <c r="W326" s="175">
        <f>+W318-[110]CONCILIACION!$B$49</f>
        <v>0</v>
      </c>
      <c r="X326" s="173">
        <f>+X320-[111]CONCILIACION!$D$52</f>
        <v>0</v>
      </c>
      <c r="Y326" s="174">
        <f>+Y318-[111]CONCILIACION!$B$47</f>
        <v>0</v>
      </c>
      <c r="Z326" s="175">
        <f>+Z318-[111]CONCILIACION!$B$49</f>
        <v>0</v>
      </c>
      <c r="AA326" s="173">
        <f>+AA320-[112]CONCILIACION!$D$52</f>
        <v>0</v>
      </c>
      <c r="AB326" s="174">
        <f>+AB318-[112]CONCILIACION!$B$47</f>
        <v>0</v>
      </c>
      <c r="AC326" s="175">
        <f>+AC318-[112]CONCILIACION!$B$49</f>
        <v>0</v>
      </c>
      <c r="AD326" s="173">
        <f>+AD320-[113]CONCILIACION!$D$52</f>
        <v>0</v>
      </c>
      <c r="AE326" s="174">
        <f>+AE318-[113]CONCILIACION!$B$47</f>
        <v>0</v>
      </c>
      <c r="AF326" s="175">
        <f>+AF318-[113]CONCILIACION!$B$49</f>
        <v>0</v>
      </c>
      <c r="AG326" s="173">
        <f>+AG320-[114]CONCILIACION!$D$52</f>
        <v>0</v>
      </c>
      <c r="AH326" s="174">
        <f>+AH318-[114]CONCILIACION!$B$47</f>
        <v>0</v>
      </c>
      <c r="AI326" s="175">
        <f>+AI318-[114]CONCILIACION!$B$49</f>
        <v>0</v>
      </c>
      <c r="AJ326" s="173">
        <f>+AJ320-[115]CONCILIACION!$D$52</f>
        <v>0</v>
      </c>
      <c r="AK326" s="174">
        <f>+AK318-[115]CONCILIACION!$B$47</f>
        <v>0</v>
      </c>
      <c r="AL326" s="175">
        <f>+AL318-[115]CONCILIACION!$B$49</f>
        <v>0</v>
      </c>
      <c r="AM326" s="173">
        <f>+AM320-[116]CONCILIACION!$D$52</f>
        <v>0</v>
      </c>
      <c r="AN326" s="174">
        <f>+AN318-[116]CONCILIACION!$B$47</f>
        <v>0</v>
      </c>
      <c r="AO326" s="175">
        <f>+AO318-[116]CONCILIACION!$B$49</f>
        <v>0</v>
      </c>
      <c r="AP326" s="173">
        <f>+AP320-[117]CONCILIACION!$D$52</f>
        <v>0</v>
      </c>
      <c r="AQ326" s="174">
        <f>+AQ318-[117]CONCILIACION!$B$47</f>
        <v>0</v>
      </c>
      <c r="AR326" s="175">
        <f>+AR318-[117]CONCILIACION!$B$49</f>
        <v>0</v>
      </c>
      <c r="AS326" s="173">
        <f>+AS320-[118]CONCILIACION!$D$52</f>
        <v>0</v>
      </c>
      <c r="AT326" s="174">
        <f>+AT318-[118]CONCILIACION!$B$47</f>
        <v>0</v>
      </c>
      <c r="AU326" s="175">
        <f>+AU318-[118]CONCILIACION!$B$49</f>
        <v>0</v>
      </c>
      <c r="AV326" s="173">
        <f>+AV320-[119]CONCILIACION!$D$52</f>
        <v>0</v>
      </c>
      <c r="AW326" s="174">
        <f>+AW318-[119]CONCILIACION!$B$47</f>
        <v>0</v>
      </c>
      <c r="AX326" s="175">
        <f>+AX318-[119]CONCILIACION!$B$49</f>
        <v>0</v>
      </c>
      <c r="AY326" s="173">
        <f>+AY320-[120]CONCILIACION!$D$52</f>
        <v>0</v>
      </c>
      <c r="AZ326" s="174">
        <f>+AZ318-[120]CONCILIACION!$B$47</f>
        <v>0</v>
      </c>
      <c r="BA326" s="175">
        <f>+BA318-[120]CONCILIACION!$B$49</f>
        <v>0</v>
      </c>
      <c r="BB326" s="173">
        <f>+BB320-[121]CONCILIACION!$D$52</f>
        <v>0</v>
      </c>
      <c r="BC326" s="174">
        <f>+BC318-[121]CONCILIACION!$B$47</f>
        <v>0</v>
      </c>
      <c r="BD326" s="175">
        <f>+BD318-[121]CONCILIACION!$B$49</f>
        <v>0</v>
      </c>
      <c r="BE326" s="173">
        <f>+BE320-[122]CONCILIACION!$D$52</f>
        <v>0</v>
      </c>
      <c r="BF326" s="174">
        <f>+BF318-[122]CONCILIACION!$B$47</f>
        <v>0</v>
      </c>
      <c r="BG326" s="175">
        <f>+BG318-[122]CONCILIACION!$B$49</f>
        <v>0</v>
      </c>
      <c r="BH326" s="173">
        <f>+BH320-[123]CONCILIACION!$D$52</f>
        <v>0</v>
      </c>
      <c r="BI326" s="174">
        <f>+BI318-[123]CONCILIACION!$B$47</f>
        <v>0</v>
      </c>
      <c r="BJ326" s="175">
        <f>+BJ318-[123]CONCILIACION!$B$49</f>
        <v>0</v>
      </c>
      <c r="BK326" s="173">
        <f>+BK320-[124]CONCILIACION!$D$52</f>
        <v>0</v>
      </c>
      <c r="BL326" s="174">
        <f>+BL318-[124]CONCILIACION!$B$47</f>
        <v>0</v>
      </c>
      <c r="BM326" s="175">
        <f>+BM318-[124]CONCILIACION!$B$49</f>
        <v>0</v>
      </c>
      <c r="BN326" s="173">
        <f>+BN320-[125]CONCILIACION!$D$52</f>
        <v>0</v>
      </c>
      <c r="BO326" s="174">
        <f>+BO318-[125]CONCILIACION!$B$47</f>
        <v>0</v>
      </c>
      <c r="BP326" s="175">
        <f>+BP318-[125]CONCILIACION!$B$49</f>
        <v>0</v>
      </c>
      <c r="BQ326" s="173">
        <f>+BQ320-[103]CONCILIACION!$D$54</f>
        <v>0</v>
      </c>
      <c r="BR326" s="174">
        <f>+BR318-[103]CONCILIACION!$B$49</f>
        <v>0</v>
      </c>
      <c r="BS326" s="175">
        <f>+BS318-[103]CONCILIACION!$B$51</f>
        <v>0</v>
      </c>
      <c r="BT326" s="173">
        <f>+BT320-[126]CONCILIACION!$D$52</f>
        <v>0</v>
      </c>
      <c r="BU326" s="174">
        <f>+BU318-[126]CONCILIACION!$B$47</f>
        <v>0</v>
      </c>
      <c r="BV326" s="175">
        <f>+BV318-[126]CONCILIACION!$B$49</f>
        <v>0</v>
      </c>
      <c r="BW326" s="173">
        <f>+BW320-[127]CONCILIACION!$D$52</f>
        <v>0</v>
      </c>
      <c r="BX326" s="174">
        <f>+BX318-[127]CONCILIACION!$B$47</f>
        <v>0</v>
      </c>
      <c r="BY326" s="175">
        <f>+BY318-[127]CONCILIACION!$B$49</f>
        <v>0</v>
      </c>
      <c r="BZ326" s="173">
        <f>+BZ320-[128]CONCILIACION!$D$52</f>
        <v>0</v>
      </c>
      <c r="CA326" s="174">
        <f>+CA318-[128]CONCILIACION!$B$47</f>
        <v>0</v>
      </c>
      <c r="CB326" s="175">
        <f>+CB318-[128]CONCILIACION!$B$49</f>
        <v>0</v>
      </c>
      <c r="CC326" s="173">
        <f>+CC320-[129]CONCILIACION!$D$52</f>
        <v>0</v>
      </c>
      <c r="CD326" s="174">
        <f>+CD318-[129]CONCILIACION!$B$47</f>
        <v>0</v>
      </c>
      <c r="CE326" s="175">
        <f>+CE318-[129]CONCILIACION!$B$49</f>
        <v>0</v>
      </c>
      <c r="CF326" s="173">
        <f>+CF320-[130]CONCILIACION!$D$52</f>
        <v>0</v>
      </c>
      <c r="CG326" s="174">
        <f>+CG318-[130]CONCILIACION!$B$47</f>
        <v>0</v>
      </c>
      <c r="CH326" s="175">
        <f>+CH318-[130]CONCILIACION!$B$49</f>
        <v>0</v>
      </c>
      <c r="CI326" s="173">
        <f>+CI320-[131]CONCILIACION!$D$52</f>
        <v>0</v>
      </c>
      <c r="CJ326" s="174">
        <f>+CJ318-[131]CONCILIACION!$B$47</f>
        <v>0</v>
      </c>
      <c r="CK326" s="175">
        <f>+CK318-[131]CONCILIACION!$B$49</f>
        <v>0</v>
      </c>
      <c r="CL326" s="173">
        <f>+CL320-[132]CONCILIACION!$D$52</f>
        <v>0</v>
      </c>
      <c r="CM326" s="174">
        <f>+CM318-[132]CONCILIACION!$B$47</f>
        <v>0</v>
      </c>
      <c r="CN326" s="175">
        <f>+CN318-[132]CONCILIACION!$B$49</f>
        <v>0</v>
      </c>
      <c r="CO326" s="173">
        <f>+CO320-[133]CONCILIACION!$D$52</f>
        <v>0</v>
      </c>
      <c r="CP326" s="174">
        <f>+CP318-[133]CONCILIACION!$B$47</f>
        <v>0</v>
      </c>
      <c r="CQ326" s="175">
        <f>+CQ318-[133]CONCILIACION!$B$49</f>
        <v>0</v>
      </c>
      <c r="CR326" s="173">
        <f>+CR320-[134]CONCILIACION!$D$52</f>
        <v>0</v>
      </c>
      <c r="CS326" s="174">
        <f>+CS318-[134]CONCILIACION!$B$47</f>
        <v>0</v>
      </c>
      <c r="CT326" s="175">
        <f>+CT318-[134]CONCILIACION!$B$49</f>
        <v>0</v>
      </c>
      <c r="CU326" s="173">
        <f>+CU320-[135]CONCILIACION!$D$52</f>
        <v>0</v>
      </c>
      <c r="CV326" s="174">
        <f>+CV318-[135]CONCILIACION!$B$47</f>
        <v>0</v>
      </c>
      <c r="CW326" s="175">
        <f>+CW318-[135]CONCILIACION!$B$49</f>
        <v>0</v>
      </c>
      <c r="CX326" s="173">
        <f>+CX320-[136]CONCILIACION!$D$52</f>
        <v>0</v>
      </c>
      <c r="CY326" s="174">
        <f>+CY318-[136]CONCILIACION!$B$47</f>
        <v>0</v>
      </c>
      <c r="CZ326" s="175">
        <f>+CZ318-[136]CONCILIACION!$B$49</f>
        <v>0</v>
      </c>
    </row>
    <row r="327" spans="1:104" s="12" customFormat="1" ht="14.25" x14ac:dyDescent="0.2">
      <c r="A327" s="224" t="s">
        <v>358</v>
      </c>
      <c r="B327" s="225"/>
      <c r="C327" s="173">
        <f>+C323-[171]CONCILIACION!$D$47</f>
        <v>0</v>
      </c>
      <c r="D327" s="388">
        <f>+D321-[171]CONCILIACION!$B$42</f>
        <v>0</v>
      </c>
      <c r="E327" s="386">
        <f>+E321-[171]CONCILIACION!$B$44</f>
        <v>0</v>
      </c>
      <c r="F327" s="173">
        <f>+F323-[172]CONCILIACION!$D$47</f>
        <v>0</v>
      </c>
      <c r="G327" s="388">
        <f>+G321-[172]CONCILIACION!$B$42</f>
        <v>0</v>
      </c>
      <c r="H327" s="386">
        <f>+H321-[172]CONCILIACION!$B$44</f>
        <v>0</v>
      </c>
      <c r="I327" s="173">
        <f>+I323-[173]CONCILIACION!$D$47</f>
        <v>0</v>
      </c>
      <c r="J327" s="388">
        <f>+J321-[173]CONCILIACION!$B$42</f>
        <v>0</v>
      </c>
      <c r="K327" s="386">
        <f>+K321-[173]CONCILIACION!$B$44</f>
        <v>0</v>
      </c>
      <c r="L327" s="173">
        <f>+L323-[174]CONCILIACION!$D$47</f>
        <v>0</v>
      </c>
      <c r="M327" s="388">
        <f>+M321-[174]CONCILIACION!$B$42</f>
        <v>0</v>
      </c>
      <c r="N327" s="386">
        <f>+N321-[174]CONCILIACION!$B$44</f>
        <v>0</v>
      </c>
      <c r="O327" s="173">
        <f>+O323-[175]CONCILIACION!$D$47</f>
        <v>0</v>
      </c>
      <c r="P327" s="388">
        <f>+P321-[175]CONCILIACION!$B$42</f>
        <v>0</v>
      </c>
      <c r="Q327" s="386">
        <f>+Q321-[175]CONCILIACION!$B$44</f>
        <v>0</v>
      </c>
      <c r="R327" s="173">
        <f>+R323-[176]CONCILIACION!$D$47</f>
        <v>0</v>
      </c>
      <c r="S327" s="388">
        <f>+S321-[176]CONCILIACION!$B$42</f>
        <v>0</v>
      </c>
      <c r="T327" s="386">
        <f>+T321-[176]CONCILIACION!$B$44</f>
        <v>0</v>
      </c>
      <c r="U327" s="173">
        <f>+U323-[177]CONCILIACION!$D$47</f>
        <v>0</v>
      </c>
      <c r="V327" s="388">
        <f>+V321-[177]CONCILIACION!$B$42</f>
        <v>0</v>
      </c>
      <c r="W327" s="386">
        <f>+W321-[177]CONCILIACION!$B$44</f>
        <v>0</v>
      </c>
      <c r="X327" s="173">
        <f>+X323-[178]CONCILIACION!$D$47</f>
        <v>0</v>
      </c>
      <c r="Y327" s="388">
        <f>+Y321-[178]CONCILIACION!$B$42</f>
        <v>0</v>
      </c>
      <c r="Z327" s="386">
        <f>+Z321-[178]CONCILIACION!$B$44</f>
        <v>0</v>
      </c>
      <c r="AA327" s="173">
        <f>+AA323-[179]CONCILIACION!$D$47</f>
        <v>0</v>
      </c>
      <c r="AB327" s="388">
        <f>+AB321-[179]CONCILIACION!$B$42</f>
        <v>0</v>
      </c>
      <c r="AC327" s="386">
        <f>+AC321-[179]CONCILIACION!$B$44</f>
        <v>0</v>
      </c>
      <c r="AD327" s="173">
        <f>+AD323-[180]CONCILIACION!$D$47</f>
        <v>0</v>
      </c>
      <c r="AE327" s="388">
        <f>+AE321-[180]CONCILIACION!$B$42</f>
        <v>0</v>
      </c>
      <c r="AF327" s="386">
        <f>+AF321-[180]CONCILIACION!$B$44</f>
        <v>0</v>
      </c>
      <c r="AG327" s="173">
        <f>+AG323-[181]CONCILIACION!$D$47</f>
        <v>0</v>
      </c>
      <c r="AH327" s="388">
        <f>+AH321-[181]CONCILIACION!$B$42</f>
        <v>0</v>
      </c>
      <c r="AI327" s="386">
        <f>+AI321-[181]CONCILIACION!$B$44</f>
        <v>0</v>
      </c>
      <c r="AJ327" s="173">
        <f>+AJ323-[182]CONCILIACION!$D$47</f>
        <v>0</v>
      </c>
      <c r="AK327" s="388">
        <f>+AK321-[182]CONCILIACION!$B$42</f>
        <v>0</v>
      </c>
      <c r="AL327" s="386">
        <f>+AL321-[182]CONCILIACION!$B$44</f>
        <v>0</v>
      </c>
      <c r="AM327" s="173">
        <f>+AM323-[183]CONCILIACION!$D$47</f>
        <v>0</v>
      </c>
      <c r="AN327" s="388">
        <f>+AN321-[183]CONCILIACION!$B$42</f>
        <v>0</v>
      </c>
      <c r="AO327" s="386">
        <f>+AO321-[183]CONCILIACION!$B$44</f>
        <v>0</v>
      </c>
      <c r="AP327" s="173">
        <f>+AP323-[184]CONCILIACION!$D$47</f>
        <v>0</v>
      </c>
      <c r="AQ327" s="388">
        <f>+AQ321-[184]CONCILIACION!$B$42</f>
        <v>0</v>
      </c>
      <c r="AR327" s="386">
        <f>+AR321-[184]CONCILIACION!$B$44</f>
        <v>0</v>
      </c>
      <c r="AS327" s="173">
        <f>+AS323-[185]CONCILIACION!$D$47</f>
        <v>0</v>
      </c>
      <c r="AT327" s="388">
        <f>+AT321-[185]CONCILIACION!$B$42</f>
        <v>0</v>
      </c>
      <c r="AU327" s="386">
        <f>+AU321-[185]CONCILIACION!$B$44</f>
        <v>0</v>
      </c>
      <c r="AV327" s="173">
        <f>+AV323-[186]CONCILIACION!$D$47</f>
        <v>0</v>
      </c>
      <c r="AW327" s="388">
        <f>+AW321-[186]CONCILIACION!$B$42</f>
        <v>0</v>
      </c>
      <c r="AX327" s="386">
        <f>+AX321-[186]CONCILIACION!$B$44</f>
        <v>0</v>
      </c>
      <c r="AY327" s="173">
        <f>+AY323-[187]CONCILIACION!$D$47</f>
        <v>0</v>
      </c>
      <c r="AZ327" s="388">
        <f>+AZ321-[187]CONCILIACION!$B$42</f>
        <v>0</v>
      </c>
      <c r="BA327" s="386">
        <f>+BA321-[187]CONCILIACION!$B$44</f>
        <v>0</v>
      </c>
      <c r="BB327" s="173">
        <f>+BB323-[188]CONCILIACION!$D$47</f>
        <v>0</v>
      </c>
      <c r="BC327" s="388">
        <f>+BC321-[188]CONCILIACION!$B$42</f>
        <v>0</v>
      </c>
      <c r="BD327" s="386">
        <f>+BD321-[188]CONCILIACION!$B$44</f>
        <v>0</v>
      </c>
      <c r="BE327" s="173">
        <f>+BE323-[189]CONCILIACION!$D$47</f>
        <v>0</v>
      </c>
      <c r="BF327" s="388">
        <f>+BF321-[189]CONCILIACION!$B$42</f>
        <v>0</v>
      </c>
      <c r="BG327" s="386">
        <f>+BG321-[189]CONCILIACION!$B$44</f>
        <v>0</v>
      </c>
      <c r="BH327" s="173">
        <f>+BH323-[190]CONCILIACION!$D$47</f>
        <v>0</v>
      </c>
      <c r="BI327" s="388">
        <f>+BI321-[190]CONCILIACION!$B$42</f>
        <v>0</v>
      </c>
      <c r="BJ327" s="386">
        <f>+BJ321-[190]CONCILIACION!$B$44</f>
        <v>0</v>
      </c>
      <c r="BK327" s="173">
        <f>+BK323-[191]CONCILIACION!$D$47</f>
        <v>0</v>
      </c>
      <c r="BL327" s="388">
        <f>+BL321-[191]CONCILIACION!$B$42</f>
        <v>0</v>
      </c>
      <c r="BM327" s="386">
        <f>+BM321-[191]CONCILIACION!$B$44</f>
        <v>0</v>
      </c>
      <c r="BN327" s="173">
        <f>+BN323-[192]CONCILIACION!$D$47</f>
        <v>0</v>
      </c>
      <c r="BO327" s="388">
        <f>+BO321-[192]CONCILIACION!$B$42</f>
        <v>0</v>
      </c>
      <c r="BP327" s="386">
        <f>+BP321-[192]CONCILIACION!$B$44</f>
        <v>0</v>
      </c>
      <c r="BQ327" s="173">
        <f>+BQ323-[193]CONCILIACION!$D$47</f>
        <v>0</v>
      </c>
      <c r="BR327" s="388">
        <f>+BR321-[193]CONCILIACION!$B$42</f>
        <v>0</v>
      </c>
      <c r="BS327" s="386">
        <f>+BS321-[193]CONCILIACION!$B$44</f>
        <v>0</v>
      </c>
      <c r="BT327" s="173">
        <f>+BT323-[194]CONCILIACION!$D$47</f>
        <v>0</v>
      </c>
      <c r="BU327" s="388">
        <f>+BU321-[194]CONCILIACION!$B$42</f>
        <v>0</v>
      </c>
      <c r="BV327" s="386">
        <f>+BV321-[194]CONCILIACION!$B$44</f>
        <v>0</v>
      </c>
      <c r="BW327" s="173">
        <f>+BW323-[195]CONCILIACION!$D$47</f>
        <v>0</v>
      </c>
      <c r="BX327" s="388">
        <f>+BX321-[195]CONCILIACION!$B$42</f>
        <v>0</v>
      </c>
      <c r="BY327" s="386">
        <f>+BY321-[195]CONCILIACION!$B$44</f>
        <v>0</v>
      </c>
      <c r="BZ327" s="173">
        <f>+BZ323-[196]CONCILIACION!$D$47</f>
        <v>0</v>
      </c>
      <c r="CA327" s="388">
        <f>+CA321-[196]CONCILIACION!$B$42</f>
        <v>0</v>
      </c>
      <c r="CB327" s="386">
        <f>+CB321-[196]CONCILIACION!$B$44</f>
        <v>0</v>
      </c>
      <c r="CC327" s="173">
        <f>+CC323-[197]CONCILIACION!$D$47</f>
        <v>0</v>
      </c>
      <c r="CD327" s="388">
        <f>+CD321-[197]CONCILIACION!$B$42</f>
        <v>0</v>
      </c>
      <c r="CE327" s="386">
        <f>+CE321-[197]CONCILIACION!$B$44</f>
        <v>0</v>
      </c>
      <c r="CF327" s="173">
        <f>+CF323-[198]CONCILIACION!$D$47</f>
        <v>0</v>
      </c>
      <c r="CG327" s="388">
        <f>+CG321-[198]CONCILIACION!$B$42</f>
        <v>0</v>
      </c>
      <c r="CH327" s="386">
        <f>+CH321-[198]CONCILIACION!$B$44</f>
        <v>0</v>
      </c>
      <c r="CI327" s="173">
        <f>+CI323-[199]CONCILIACION!$D$47</f>
        <v>0</v>
      </c>
      <c r="CJ327" s="388">
        <f>+CJ321-[199]CONCILIACION!$B$42</f>
        <v>0</v>
      </c>
      <c r="CK327" s="386">
        <f>+CK321-[199]CONCILIACION!$B$44</f>
        <v>0</v>
      </c>
      <c r="CL327" s="173">
        <f>+CL323-[200]CONCILIACION!$D$47</f>
        <v>0</v>
      </c>
      <c r="CM327" s="388">
        <f>+CM321-[200]CONCILIACION!$B$42</f>
        <v>0</v>
      </c>
      <c r="CN327" s="386">
        <f>+CN321-[200]CONCILIACION!$B$44</f>
        <v>0</v>
      </c>
      <c r="CO327" s="173">
        <f>+CO323-[201]CONCILIACION!$D$47</f>
        <v>0</v>
      </c>
      <c r="CP327" s="388">
        <f>+CP321-[201]CONCILIACION!$B$42</f>
        <v>0</v>
      </c>
      <c r="CQ327" s="386">
        <f>+CQ321-[201]CONCILIACION!$B$44</f>
        <v>0</v>
      </c>
      <c r="CR327" s="173">
        <f>+CR323-[202]CONCILIACION!$D$47</f>
        <v>0</v>
      </c>
      <c r="CS327" s="388">
        <f>+CS321-[202]CONCILIACION!$B$42</f>
        <v>0</v>
      </c>
      <c r="CT327" s="386">
        <f>+CT321-[202]CONCILIACION!$B$44</f>
        <v>0</v>
      </c>
      <c r="CU327" s="173">
        <f>+CU323-[203]CONCILIACION!$D$47</f>
        <v>0</v>
      </c>
      <c r="CV327" s="388">
        <f>+CV321-[203]CONCILIACION!$B$42</f>
        <v>0</v>
      </c>
      <c r="CW327" s="386">
        <f>+CW321-[203]CONCILIACION!$B$44</f>
        <v>0</v>
      </c>
      <c r="CX327" s="173">
        <f>+CX323-[204]CONCILIACION!$D$47</f>
        <v>0</v>
      </c>
      <c r="CY327" s="388">
        <f>+CY321-[204]CONCILIACION!$B$42</f>
        <v>0</v>
      </c>
      <c r="CZ327" s="386">
        <f>+CZ321-[204]CONCILIACION!$B$44</f>
        <v>0</v>
      </c>
    </row>
    <row r="328" spans="1:104" s="12" customFormat="1" x14ac:dyDescent="0.2">
      <c r="A328" s="226" t="s">
        <v>165</v>
      </c>
      <c r="B328" s="227"/>
      <c r="C328" s="205">
        <f t="shared" ref="C328:I328" si="195">C323+C320</f>
        <v>1881222.2949999999</v>
      </c>
      <c r="D328" s="206">
        <f t="shared" ref="D328:E328" si="196">D321+D318</f>
        <v>831876402</v>
      </c>
      <c r="E328" s="208">
        <f t="shared" si="196"/>
        <v>3183902702</v>
      </c>
      <c r="F328" s="205">
        <f t="shared" si="195"/>
        <v>1750666.2050000001</v>
      </c>
      <c r="G328" s="206">
        <f t="shared" ref="G328:H328" si="197">G321+G318</f>
        <v>682127751</v>
      </c>
      <c r="H328" s="208">
        <f t="shared" si="197"/>
        <v>2960974551</v>
      </c>
      <c r="I328" s="205">
        <f t="shared" si="195"/>
        <v>1449150.7339999999</v>
      </c>
      <c r="J328" s="206">
        <f t="shared" ref="J328:K328" si="198">J321+J318</f>
        <v>493287250</v>
      </c>
      <c r="K328" s="208">
        <f t="shared" si="198"/>
        <v>2448336650</v>
      </c>
      <c r="L328" s="205">
        <f t="shared" ref="L328:R328" si="199">L323+L320</f>
        <v>1414658.8759999999</v>
      </c>
      <c r="M328" s="206">
        <f t="shared" ref="M328:N328" si="200">M321+M318</f>
        <v>427091890</v>
      </c>
      <c r="N328" s="208">
        <f t="shared" si="200"/>
        <v>2390216890</v>
      </c>
      <c r="O328" s="205">
        <f t="shared" si="199"/>
        <v>1031710</v>
      </c>
      <c r="P328" s="206">
        <f t="shared" ref="P328:Q328" si="201">P321+P318</f>
        <v>286384000</v>
      </c>
      <c r="Q328" s="208">
        <f t="shared" si="201"/>
        <v>1745055000</v>
      </c>
      <c r="R328" s="205">
        <f t="shared" si="199"/>
        <v>482304.85199999996</v>
      </c>
      <c r="S328" s="206">
        <f t="shared" ref="S328:T328" si="202">S321+S318</f>
        <v>115517950</v>
      </c>
      <c r="T328" s="208">
        <f t="shared" si="202"/>
        <v>815912450</v>
      </c>
      <c r="U328" s="205">
        <f t="shared" ref="U328" si="203">U323+U320</f>
        <v>1924268.675</v>
      </c>
      <c r="V328" s="206">
        <f t="shared" ref="V328:W328" si="204">V321+V318</f>
        <v>750738250</v>
      </c>
      <c r="W328" s="208">
        <f t="shared" si="204"/>
        <v>3255940150</v>
      </c>
      <c r="X328" s="205">
        <f t="shared" ref="X328" si="205">X323+X320</f>
        <v>1574192.5580000002</v>
      </c>
      <c r="Y328" s="206">
        <f t="shared" ref="Y328:Z328" si="206">Y321+Y318</f>
        <v>519436050</v>
      </c>
      <c r="Z328" s="208">
        <f t="shared" si="206"/>
        <v>2660711550</v>
      </c>
      <c r="AA328" s="205">
        <f t="shared" ref="AA328" si="207">AA323+AA320</f>
        <v>1467458.264</v>
      </c>
      <c r="AB328" s="206">
        <f t="shared" ref="AB328:AC328" si="208">AB321+AB318</f>
        <v>451421550</v>
      </c>
      <c r="AC328" s="208">
        <f t="shared" si="208"/>
        <v>2479887450</v>
      </c>
      <c r="AD328" s="205">
        <f t="shared" ref="AD328" si="209">AD323+AD320</f>
        <v>1465603.3530000001</v>
      </c>
      <c r="AE328" s="206">
        <f t="shared" ref="AE328:AF328" si="210">AE321+AE318</f>
        <v>462057201</v>
      </c>
      <c r="AF328" s="208">
        <f t="shared" si="210"/>
        <v>2476327701</v>
      </c>
      <c r="AG328" s="205">
        <f t="shared" ref="AG328" si="211">AG323+AG320</f>
        <v>1399209.9109999998</v>
      </c>
      <c r="AH328" s="206">
        <f t="shared" ref="AH328:AI328" si="212">AH321+AH318</f>
        <v>406059650</v>
      </c>
      <c r="AI328" s="208">
        <f t="shared" si="212"/>
        <v>2363963050</v>
      </c>
      <c r="AJ328" s="205">
        <f t="shared" ref="AJ328" si="213">AJ323+AJ320</f>
        <v>1021149.029</v>
      </c>
      <c r="AK328" s="206">
        <f t="shared" ref="AK328:AL328" si="214">AK321+AK318</f>
        <v>270843851</v>
      </c>
      <c r="AL328" s="208">
        <f t="shared" si="214"/>
        <v>1727031751</v>
      </c>
      <c r="AM328" s="205">
        <f t="shared" ref="AM328" si="215">AM323+AM320</f>
        <v>453404.58799999999</v>
      </c>
      <c r="AN328" s="206">
        <f t="shared" ref="AN328:AO328" si="216">AN321+AN318</f>
        <v>103667100</v>
      </c>
      <c r="AO328" s="208">
        <f t="shared" si="216"/>
        <v>767092600</v>
      </c>
      <c r="AP328" s="205">
        <f t="shared" ref="AP328:AY328" si="217">AP323+AP320</f>
        <v>1886533.706</v>
      </c>
      <c r="AQ328" s="206">
        <f t="shared" ref="AQ328:AR328" si="218">AQ321+AQ318</f>
        <v>710802701</v>
      </c>
      <c r="AR328" s="208">
        <f t="shared" si="218"/>
        <v>3191494101</v>
      </c>
      <c r="AS328" s="205">
        <f t="shared" si="217"/>
        <v>1694301.206</v>
      </c>
      <c r="AT328" s="206">
        <f t="shared" ref="AT328:AU328" si="219">AT321+AT318</f>
        <v>694225352</v>
      </c>
      <c r="AU328" s="208">
        <f t="shared" si="219"/>
        <v>2865172052</v>
      </c>
      <c r="AV328" s="205">
        <f t="shared" si="217"/>
        <v>1725253.264</v>
      </c>
      <c r="AW328" s="206">
        <f t="shared" ref="AW328:AX328" si="220">AW321+AW318</f>
        <v>711338350</v>
      </c>
      <c r="AX328" s="208">
        <f t="shared" si="220"/>
        <v>2917739350</v>
      </c>
      <c r="AY328" s="205">
        <f t="shared" si="217"/>
        <v>1591300.0220000001</v>
      </c>
      <c r="AZ328" s="206">
        <f t="shared" ref="AZ328:BA328" si="221">AZ321+AZ318</f>
        <v>590970439</v>
      </c>
      <c r="BA328" s="208">
        <f t="shared" si="221"/>
        <v>2690100039</v>
      </c>
      <c r="BB328" s="205">
        <f t="shared" ref="BB328:BH328" si="222">BB323+BB320</f>
        <v>1476468.5589999999</v>
      </c>
      <c r="BC328" s="206">
        <f t="shared" ref="BC328:BD328" si="223">BC321+BC318</f>
        <v>458597852</v>
      </c>
      <c r="BD328" s="208">
        <f t="shared" si="223"/>
        <v>2495013952</v>
      </c>
      <c r="BE328" s="205">
        <f t="shared" si="222"/>
        <v>1058400.1469999999</v>
      </c>
      <c r="BF328" s="206">
        <f t="shared" ref="BF328:BG328" si="224">BF321+BF318</f>
        <v>288209751</v>
      </c>
      <c r="BG328" s="208">
        <f t="shared" si="224"/>
        <v>1790332651</v>
      </c>
      <c r="BH328" s="205">
        <f t="shared" si="222"/>
        <v>470123.82200000004</v>
      </c>
      <c r="BI328" s="206">
        <f t="shared" ref="BI328:BJ328" si="225">BI321+BI318</f>
        <v>109184900</v>
      </c>
      <c r="BJ328" s="208">
        <f t="shared" si="225"/>
        <v>795195900</v>
      </c>
      <c r="BK328" s="205">
        <f t="shared" ref="BK328" si="226">BK323+BK320</f>
        <v>1945907.852</v>
      </c>
      <c r="BL328" s="206">
        <f t="shared" ref="BL328:BM328" si="227">BL321+BL318</f>
        <v>747938950</v>
      </c>
      <c r="BM328" s="208">
        <f t="shared" si="227"/>
        <v>3292340150</v>
      </c>
      <c r="BN328" s="205">
        <f t="shared" ref="BN328" si="228">BN323+BN320</f>
        <v>1570801.4990000001</v>
      </c>
      <c r="BO328" s="206">
        <f t="shared" ref="BO328:BP328" si="229">BO321+BO318</f>
        <v>514026750</v>
      </c>
      <c r="BP328" s="208">
        <f t="shared" si="229"/>
        <v>2654984150</v>
      </c>
      <c r="BQ328" s="205">
        <f t="shared" ref="BQ328" si="230">BQ323+BQ320</f>
        <v>1492335.1170000001</v>
      </c>
      <c r="BR328" s="206">
        <f t="shared" ref="BR328:BS328" si="231">BR321+BR318</f>
        <v>464745100</v>
      </c>
      <c r="BS328" s="208">
        <f t="shared" si="231"/>
        <v>2521781900</v>
      </c>
      <c r="BT328" s="205">
        <f t="shared" ref="BT328" si="232">BT323+BT320</f>
        <v>1433582.4989999998</v>
      </c>
      <c r="BU328" s="206">
        <f t="shared" ref="BU328:BV328" si="233">BU321+BU318</f>
        <v>432798950</v>
      </c>
      <c r="BV328" s="208">
        <f t="shared" si="233"/>
        <v>2422132450</v>
      </c>
      <c r="BW328" s="205">
        <f t="shared" ref="BW328" si="234">BW323+BW320</f>
        <v>1459899.588</v>
      </c>
      <c r="BX328" s="206">
        <f t="shared" ref="BX328:BY328" si="235">BX321+BX318</f>
        <v>453816001</v>
      </c>
      <c r="BY328" s="208">
        <f t="shared" si="235"/>
        <v>2466870501</v>
      </c>
      <c r="BZ328" s="205">
        <f t="shared" ref="BZ328" si="236">BZ323+BZ320</f>
        <v>1092559.618</v>
      </c>
      <c r="CA328" s="206">
        <f t="shared" ref="CA328:CB328" si="237">CA321+CA318</f>
        <v>316967051</v>
      </c>
      <c r="CB328" s="208">
        <f t="shared" si="237"/>
        <v>1848183951</v>
      </c>
      <c r="CC328" s="205">
        <f t="shared" ref="CC328" si="238">CC323+CC320</f>
        <v>486469.11600000004</v>
      </c>
      <c r="CD328" s="206">
        <f t="shared" ref="CD328:CE328" si="239">CD321+CD318</f>
        <v>120946100</v>
      </c>
      <c r="CE328" s="208">
        <f t="shared" si="239"/>
        <v>823208700</v>
      </c>
      <c r="CF328" s="205">
        <f t="shared" ref="CF328:CL328" si="240">CF323+CF320</f>
        <v>2242970.1749999998</v>
      </c>
      <c r="CG328" s="206">
        <f t="shared" ref="CG328:CH328" si="241">CG321+CG318</f>
        <v>1027563600</v>
      </c>
      <c r="CH328" s="208">
        <f t="shared" si="241"/>
        <v>3797396900</v>
      </c>
      <c r="CI328" s="205">
        <f t="shared" si="240"/>
        <v>2025499.5290000001</v>
      </c>
      <c r="CJ328" s="206">
        <f t="shared" ref="CJ328:CK328" si="242">CJ321+CJ318</f>
        <v>894314001</v>
      </c>
      <c r="CK328" s="208">
        <f t="shared" si="242"/>
        <v>3427580001</v>
      </c>
      <c r="CL328" s="205">
        <f t="shared" si="240"/>
        <v>1822083.4580000001</v>
      </c>
      <c r="CM328" s="206">
        <f t="shared" ref="CM328:CN328" si="243">CM321+CM318</f>
        <v>712818279</v>
      </c>
      <c r="CN328" s="208">
        <f t="shared" si="243"/>
        <v>3081959079</v>
      </c>
      <c r="CO328" s="205">
        <f t="shared" ref="CO328" si="244">CO323+CO320</f>
        <v>1639290.2139999999</v>
      </c>
      <c r="CP328" s="206">
        <f t="shared" ref="CP328:CQ328" si="245">CP321+CP318</f>
        <v>573467467</v>
      </c>
      <c r="CQ328" s="208">
        <f t="shared" si="245"/>
        <v>2771296967</v>
      </c>
      <c r="CR328" s="205">
        <f t="shared" ref="CR328" si="246">CR323+CR320</f>
        <v>1524998.9160000002</v>
      </c>
      <c r="CS328" s="206">
        <f t="shared" ref="CS328:CT328" si="247">CS321+CS318</f>
        <v>459556159</v>
      </c>
      <c r="CT328" s="208">
        <f t="shared" si="247"/>
        <v>2577134559</v>
      </c>
      <c r="CU328" s="205">
        <f t="shared" ref="CU328" si="248">CU323+CU320</f>
        <v>1119152.0279999999</v>
      </c>
      <c r="CV328" s="206">
        <f t="shared" ref="CV328:CW328" si="249">CV321+CV318</f>
        <v>300644650</v>
      </c>
      <c r="CW328" s="208">
        <f t="shared" si="249"/>
        <v>1893062050</v>
      </c>
      <c r="CX328" s="205">
        <f t="shared" ref="CX328" si="250">CX323+CX320</f>
        <v>483094.73400000005</v>
      </c>
      <c r="CY328" s="206">
        <f t="shared" ref="CY328:CZ328" si="251">CY321+CY318</f>
        <v>112845150</v>
      </c>
      <c r="CZ328" s="208">
        <f t="shared" si="251"/>
        <v>817380250</v>
      </c>
    </row>
    <row r="329" spans="1:104" s="12" customFormat="1" x14ac:dyDescent="0.2">
      <c r="A329" s="355" t="s">
        <v>431</v>
      </c>
      <c r="B329" s="362"/>
      <c r="C329" s="363">
        <f t="shared" ref="C329:I329" si="252">+C324+C323</f>
        <v>1881222.2949999999</v>
      </c>
      <c r="D329" s="364"/>
      <c r="E329" s="365"/>
      <c r="F329" s="363">
        <f t="shared" si="252"/>
        <v>1750666.2050000001</v>
      </c>
      <c r="G329" s="364"/>
      <c r="H329" s="365"/>
      <c r="I329" s="363">
        <f t="shared" si="252"/>
        <v>1449150.7339999999</v>
      </c>
      <c r="J329" s="364"/>
      <c r="K329" s="365"/>
      <c r="L329" s="363">
        <f t="shared" ref="L329:R329" si="253">+L324+L323</f>
        <v>1414658.8759999999</v>
      </c>
      <c r="M329" s="364"/>
      <c r="N329" s="365"/>
      <c r="O329" s="363">
        <f t="shared" si="253"/>
        <v>1031710</v>
      </c>
      <c r="P329" s="364"/>
      <c r="Q329" s="365"/>
      <c r="R329" s="363">
        <f t="shared" si="253"/>
        <v>482304.85199999996</v>
      </c>
      <c r="S329" s="364"/>
      <c r="T329" s="365"/>
      <c r="U329" s="363">
        <f t="shared" ref="U329" si="254">+U324+U323</f>
        <v>1924268.675</v>
      </c>
      <c r="V329" s="364"/>
      <c r="W329" s="365"/>
      <c r="X329" s="363">
        <f t="shared" ref="X329" si="255">+X324+X323</f>
        <v>1574192.5580000002</v>
      </c>
      <c r="Y329" s="364"/>
      <c r="Z329" s="365"/>
      <c r="AA329" s="363">
        <f t="shared" ref="AA329" si="256">+AA324+AA323</f>
        <v>1467458.264</v>
      </c>
      <c r="AB329" s="364"/>
      <c r="AC329" s="365"/>
      <c r="AD329" s="363">
        <f t="shared" ref="AD329" si="257">+AD324+AD323</f>
        <v>1465603.3530000001</v>
      </c>
      <c r="AE329" s="364"/>
      <c r="AF329" s="365"/>
      <c r="AG329" s="363">
        <f t="shared" ref="AG329" si="258">+AG324+AG323</f>
        <v>1399209.9109999998</v>
      </c>
      <c r="AH329" s="364"/>
      <c r="AI329" s="365"/>
      <c r="AJ329" s="363">
        <f t="shared" ref="AJ329" si="259">+AJ324+AJ323</f>
        <v>1021149.029</v>
      </c>
      <c r="AK329" s="364"/>
      <c r="AL329" s="365"/>
      <c r="AM329" s="363">
        <f t="shared" ref="AM329" si="260">+AM324+AM323</f>
        <v>453404.58799999999</v>
      </c>
      <c r="AN329" s="364"/>
      <c r="AO329" s="365"/>
      <c r="AP329" s="363">
        <f t="shared" ref="AP329:AY329" si="261">+AP324+AP323</f>
        <v>1886533.706</v>
      </c>
      <c r="AQ329" s="364"/>
      <c r="AR329" s="365"/>
      <c r="AS329" s="363">
        <f t="shared" si="261"/>
        <v>1694301.206</v>
      </c>
      <c r="AT329" s="364"/>
      <c r="AU329" s="365"/>
      <c r="AV329" s="363">
        <f t="shared" si="261"/>
        <v>1725253.264</v>
      </c>
      <c r="AW329" s="364"/>
      <c r="AX329" s="365"/>
      <c r="AY329" s="363">
        <f t="shared" si="261"/>
        <v>1591300.0220000001</v>
      </c>
      <c r="AZ329" s="364"/>
      <c r="BA329" s="365"/>
      <c r="BB329" s="363">
        <f t="shared" ref="BB329:BH329" si="262">+BB324+BB323</f>
        <v>1476468.5589999999</v>
      </c>
      <c r="BC329" s="364"/>
      <c r="BD329" s="365"/>
      <c r="BE329" s="363">
        <f t="shared" si="262"/>
        <v>1058400.1469999999</v>
      </c>
      <c r="BF329" s="364"/>
      <c r="BG329" s="365"/>
      <c r="BH329" s="363">
        <f t="shared" si="262"/>
        <v>470123.82200000004</v>
      </c>
      <c r="BI329" s="364"/>
      <c r="BJ329" s="365"/>
      <c r="BK329" s="363">
        <f t="shared" ref="BK329" si="263">+BK324+BK323</f>
        <v>1945907.852</v>
      </c>
      <c r="BL329" s="364"/>
      <c r="BM329" s="365"/>
      <c r="BN329" s="363">
        <f t="shared" ref="BN329" si="264">+BN324+BN323</f>
        <v>1570801.4990000001</v>
      </c>
      <c r="BO329" s="364"/>
      <c r="BP329" s="365"/>
      <c r="BQ329" s="363">
        <f t="shared" ref="BQ329" si="265">+BQ324+BQ323</f>
        <v>1492335.1170000001</v>
      </c>
      <c r="BR329" s="364"/>
      <c r="BS329" s="365"/>
      <c r="BT329" s="363">
        <f t="shared" ref="BT329" si="266">+BT324+BT323</f>
        <v>1433582.4989999998</v>
      </c>
      <c r="BU329" s="364"/>
      <c r="BV329" s="365"/>
      <c r="BW329" s="363">
        <f t="shared" ref="BW329" si="267">+BW324+BW323</f>
        <v>1459899.588</v>
      </c>
      <c r="BX329" s="364"/>
      <c r="BY329" s="365"/>
      <c r="BZ329" s="363">
        <f t="shared" ref="BZ329" si="268">+BZ324+BZ323</f>
        <v>1092559.618</v>
      </c>
      <c r="CA329" s="364"/>
      <c r="CB329" s="365"/>
      <c r="CC329" s="363">
        <f t="shared" ref="CC329" si="269">+CC324+CC323</f>
        <v>486469.11600000004</v>
      </c>
      <c r="CD329" s="364"/>
      <c r="CE329" s="365"/>
      <c r="CF329" s="363">
        <f t="shared" ref="CF329:CL329" si="270">+CF324+CF323</f>
        <v>2242970.1749999998</v>
      </c>
      <c r="CG329" s="364"/>
      <c r="CH329" s="365"/>
      <c r="CI329" s="363">
        <f t="shared" si="270"/>
        <v>2025499.5290000001</v>
      </c>
      <c r="CJ329" s="364"/>
      <c r="CK329" s="365"/>
      <c r="CL329" s="363">
        <f t="shared" si="270"/>
        <v>1822083.4580000001</v>
      </c>
      <c r="CM329" s="364"/>
      <c r="CN329" s="365"/>
      <c r="CO329" s="363">
        <f t="shared" ref="CO329" si="271">+CO324+CO323</f>
        <v>1639290.2139999999</v>
      </c>
      <c r="CP329" s="364"/>
      <c r="CQ329" s="365"/>
      <c r="CR329" s="363">
        <f t="shared" ref="CR329" si="272">+CR324+CR323</f>
        <v>1524998.9160000002</v>
      </c>
      <c r="CS329" s="364"/>
      <c r="CT329" s="365"/>
      <c r="CU329" s="363">
        <f t="shared" ref="CU329" si="273">+CU324+CU323</f>
        <v>1119152.0279999999</v>
      </c>
      <c r="CV329" s="364"/>
      <c r="CW329" s="365"/>
      <c r="CX329" s="363">
        <f t="shared" ref="CX329" si="274">+CX324+CX323</f>
        <v>483094.73400000005</v>
      </c>
      <c r="CY329" s="364"/>
      <c r="CZ329" s="365"/>
    </row>
    <row r="330" spans="1:104" ht="14.25" x14ac:dyDescent="0.2">
      <c r="A330" s="224" t="s">
        <v>475</v>
      </c>
      <c r="C330" s="375">
        <f>+C320-'[69]VENTAS TOTALES'!$M$144</f>
        <v>0</v>
      </c>
      <c r="F330" s="375">
        <f>+F320-'[70]VENTAS TOTALES'!$M$144</f>
        <v>0</v>
      </c>
      <c r="I330" s="375">
        <f>+I320-'[71]VENTAS TOTALES'!$M$144</f>
        <v>0</v>
      </c>
      <c r="L330" s="375">
        <f>+L320-'[72]VENTAS TOTALES'!$M$144</f>
        <v>0</v>
      </c>
      <c r="O330" s="375">
        <f>+O320-'[73]VENTAS TOTALES'!$M$144</f>
        <v>0</v>
      </c>
      <c r="R330" s="375">
        <f>+R320-'[74]VENTAS TOTALES'!$M$144</f>
        <v>0</v>
      </c>
      <c r="U330" s="375">
        <f>+U320-'[75]VENTAS TOTALES'!$M$144</f>
        <v>0</v>
      </c>
      <c r="X330" s="375">
        <f>+X320-'[76]VENTAS TOTALES'!$M$144</f>
        <v>0</v>
      </c>
      <c r="AA330" s="375">
        <f>+AA320-'[77]VENTAS TOTALES'!$M$144</f>
        <v>0</v>
      </c>
      <c r="AD330" s="375">
        <f>+AD320-'[78]VENTAS TOTALES'!$M$144</f>
        <v>0</v>
      </c>
      <c r="AG330" s="375">
        <f>+AG320-'[79]VENTAS TOTALES'!$M$144</f>
        <v>0</v>
      </c>
      <c r="AJ330" s="375">
        <f>+AJ320-'[80]VENTAS TOTALES'!$M$144</f>
        <v>0</v>
      </c>
      <c r="AM330" s="375">
        <f>+AM320-'[81]VENTAS TOTALES'!$M$144</f>
        <v>0</v>
      </c>
      <c r="AP330" s="375">
        <f>+AP320-'[82]VENTAS TOTALES'!$M$144</f>
        <v>0</v>
      </c>
      <c r="AS330" s="375">
        <f>+AS320-'[83]VENTAS TOTALES'!$M$144</f>
        <v>0</v>
      </c>
      <c r="AV330" s="375">
        <f>+AV320-'[84]VENTAS TOTALES'!$M$144</f>
        <v>0</v>
      </c>
      <c r="AY330" s="375">
        <f>+AY320-'[85]VENTAS TOTALES'!$M$144</f>
        <v>0</v>
      </c>
      <c r="BB330" s="375">
        <f>+BB320-'[86]VENTAS TOTALES'!$M$144</f>
        <v>0</v>
      </c>
      <c r="BE330" s="375">
        <f>+BE320-'[87]VENTAS TOTALES'!$M$144</f>
        <v>0</v>
      </c>
      <c r="BH330" s="375">
        <f>+BH320-'[88]VENTAS TOTALES'!$M$144</f>
        <v>0</v>
      </c>
      <c r="BK330" s="375">
        <f>+BK320-'[89]VENTAS TOTALES'!$M$144</f>
        <v>0</v>
      </c>
      <c r="BN330" s="375">
        <f>+BN320-'[90]VENTAS TOTALES'!$M$144</f>
        <v>0</v>
      </c>
      <c r="BQ330" s="375">
        <f>+BQ320-'[91]VENTAS TOTALES'!$M$144</f>
        <v>0</v>
      </c>
      <c r="BT330" s="375">
        <f>+BT320-'[92]VENTAS TOTALES'!$M$144</f>
        <v>0</v>
      </c>
      <c r="BW330" s="375">
        <f>+BW320-'[93]VENTAS TOTALES'!$M$144</f>
        <v>0</v>
      </c>
      <c r="BZ330" s="375">
        <f>+BZ320-'[94]VENTAS TOTALES'!$M$144</f>
        <v>0</v>
      </c>
      <c r="CC330" s="375">
        <f>+CC320-'[95]VENTAS TOTALES'!$M$144</f>
        <v>0</v>
      </c>
      <c r="CF330" s="375">
        <f>+CF320-'[96]VENTAS TOTALES'!$M$144</f>
        <v>0</v>
      </c>
      <c r="CI330" s="375">
        <f>+CI320-'[97]VENTAS TOTALES'!$M$144</f>
        <v>0</v>
      </c>
      <c r="CL330" s="375">
        <f>+CL320-'[98]VENTAS TOTALES'!$M$144</f>
        <v>0</v>
      </c>
      <c r="CO330" s="375">
        <f>+CO320-'[99]VENTAS TOTALES'!$M$144</f>
        <v>0</v>
      </c>
      <c r="CR330" s="375">
        <f>+CR320-'[100]VENTAS TOTALES'!$M$144</f>
        <v>0</v>
      </c>
      <c r="CU330" s="375">
        <f>+CU320-'[101]VENTAS TOTALES'!$M$144</f>
        <v>0</v>
      </c>
      <c r="CX330" s="375">
        <f>+CX320-'[102]VENTAS TOTALES'!$M$144</f>
        <v>0</v>
      </c>
    </row>
    <row r="331" spans="1:104" s="8" customFormat="1" ht="14.25" x14ac:dyDescent="0.2">
      <c r="A331" s="224" t="s">
        <v>476</v>
      </c>
      <c r="B331" s="199"/>
      <c r="C331" s="377">
        <f>+C323-'[137]VENTAS TOTALES'!$M$74</f>
        <v>0</v>
      </c>
      <c r="D331" s="164"/>
      <c r="E331" s="176"/>
      <c r="F331" s="377">
        <f>+F323-'[138]VENTAS TOTALES'!$M$74</f>
        <v>0</v>
      </c>
      <c r="G331" s="164"/>
      <c r="H331" s="176"/>
      <c r="I331" s="377">
        <f>+I323-'[139]VENTAS TOTALES'!$M$74</f>
        <v>0</v>
      </c>
      <c r="J331" s="164"/>
      <c r="K331" s="176"/>
      <c r="L331" s="377">
        <f>+L323-'[140]VENTAS TOTALES'!$M$74</f>
        <v>0</v>
      </c>
      <c r="M331" s="164"/>
      <c r="N331" s="176"/>
      <c r="O331" s="377">
        <f>+O323-'[141]VENTAS TOTALES'!$M$74</f>
        <v>0</v>
      </c>
      <c r="P331" s="164"/>
      <c r="Q331" s="176"/>
      <c r="R331" s="377">
        <f>+R323-'[142]VENTAS TOTALES'!$M$74</f>
        <v>0</v>
      </c>
      <c r="S331" s="164"/>
      <c r="T331" s="176"/>
      <c r="U331" s="377">
        <f>+U323-'[143]VENTAS TOTALES'!$M$74</f>
        <v>0</v>
      </c>
      <c r="V331" s="164"/>
      <c r="W331" s="176"/>
      <c r="X331" s="377">
        <f>+X323-'[144]VENTAS TOTALES'!$M$74</f>
        <v>0</v>
      </c>
      <c r="Y331" s="164"/>
      <c r="Z331" s="176"/>
      <c r="AA331" s="377">
        <f>+AA323-'[145]VENTAS TOTALES'!$M$74</f>
        <v>0</v>
      </c>
      <c r="AB331" s="164"/>
      <c r="AC331" s="176"/>
      <c r="AD331" s="377">
        <f>+AD323-'[146]VENTAS TOTALES'!$M$74</f>
        <v>0</v>
      </c>
      <c r="AE331" s="164"/>
      <c r="AF331" s="176"/>
      <c r="AG331" s="377">
        <f>+AG323-'[147]VENTAS TOTALES'!$M$74</f>
        <v>0</v>
      </c>
      <c r="AH331" s="164"/>
      <c r="AI331" s="176"/>
      <c r="AJ331" s="377">
        <f>+AJ323-'[148]VENTAS TOTALES'!$M$74</f>
        <v>0</v>
      </c>
      <c r="AK331" s="164"/>
      <c r="AL331" s="176"/>
      <c r="AM331" s="377">
        <f>+AM323-'[149]VENTAS TOTALES'!$M$74</f>
        <v>0</v>
      </c>
      <c r="AN331" s="164"/>
      <c r="AO331" s="176"/>
      <c r="AP331" s="377">
        <f>+AP323-'[150]VENTAS TOTALES'!$M$74</f>
        <v>0</v>
      </c>
      <c r="AQ331" s="164"/>
      <c r="AR331" s="176"/>
      <c r="AS331" s="377">
        <f>+AS323-'[151]VENTAS TOTALES'!$M$74</f>
        <v>0</v>
      </c>
      <c r="AT331" s="164"/>
      <c r="AU331" s="176"/>
      <c r="AV331" s="377">
        <f>+AV323-'[152]VENTAS TOTALES'!$M$74</f>
        <v>0</v>
      </c>
      <c r="AW331" s="164"/>
      <c r="AX331" s="176"/>
      <c r="AY331" s="377">
        <f>+AY323-'[153]VENTAS TOTALES'!$M$74</f>
        <v>0</v>
      </c>
      <c r="AZ331" s="164"/>
      <c r="BA331" s="176"/>
      <c r="BB331" s="377">
        <f>+BB323-'[154]VENTAS TOTALES'!$M$74</f>
        <v>0</v>
      </c>
      <c r="BC331" s="164"/>
      <c r="BD331" s="176"/>
      <c r="BE331" s="377">
        <f>+BE323-'[155]VENTAS TOTALES'!$M$74</f>
        <v>0</v>
      </c>
      <c r="BF331" s="164"/>
      <c r="BG331" s="176"/>
      <c r="BH331" s="377">
        <f>+BH323-'[156]VENTAS TOTALES'!$M$74</f>
        <v>0</v>
      </c>
      <c r="BI331" s="164"/>
      <c r="BJ331" s="176"/>
      <c r="BK331" s="377">
        <f>+BK323-'[157]VENTAS TOTALES'!$M$74</f>
        <v>0</v>
      </c>
      <c r="BL331" s="164"/>
      <c r="BM331" s="176"/>
      <c r="BN331" s="377">
        <f>+BN323-'[158]VENTAS TOTALES'!$M$74</f>
        <v>0</v>
      </c>
      <c r="BO331" s="164"/>
      <c r="BP331" s="176"/>
      <c r="BQ331" s="377">
        <f>+BQ323-'[159]VENTAS TOTALES'!$M$74</f>
        <v>0</v>
      </c>
      <c r="BR331" s="164"/>
      <c r="BS331" s="176"/>
      <c r="BT331" s="377">
        <f>+BT323-'[160]VENTAS TOTALES'!$M$74</f>
        <v>0</v>
      </c>
      <c r="BU331" s="164"/>
      <c r="BV331" s="176"/>
      <c r="BW331" s="377">
        <f>+BW323-'[161]VENTAS TOTALES'!$M$74</f>
        <v>0</v>
      </c>
      <c r="BX331" s="164"/>
      <c r="BY331" s="176"/>
      <c r="BZ331" s="377">
        <f>+BZ323-'[162]VENTAS TOTALES'!$M$74</f>
        <v>0</v>
      </c>
      <c r="CA331" s="164"/>
      <c r="CB331" s="176"/>
      <c r="CC331" s="377">
        <f>+CC323-'[163]VENTAS TOTALES'!$M$74</f>
        <v>0</v>
      </c>
      <c r="CD331" s="164"/>
      <c r="CE331" s="176"/>
      <c r="CF331" s="377">
        <f>+CF323-'[164]VENTAS TOTALES'!$M$74</f>
        <v>0</v>
      </c>
      <c r="CG331" s="164"/>
      <c r="CH331" s="176"/>
      <c r="CI331" s="377">
        <f>+CI323-'[165]VENTAS TOTALES'!$M$74</f>
        <v>0</v>
      </c>
      <c r="CJ331" s="164"/>
      <c r="CK331" s="176"/>
      <c r="CL331" s="377">
        <f>+CL323-'[166]VENTAS TOTALES'!$M$74</f>
        <v>0</v>
      </c>
      <c r="CM331" s="164"/>
      <c r="CN331" s="176"/>
      <c r="CO331" s="377">
        <f>+CO323-'[167]VENTAS TOTALES'!$M$74</f>
        <v>0</v>
      </c>
      <c r="CP331" s="164"/>
      <c r="CQ331" s="176"/>
      <c r="CR331" s="377">
        <f>+CR323-'[168]VENTAS TOTALES'!$M$74</f>
        <v>0</v>
      </c>
      <c r="CS331" s="164"/>
      <c r="CT331" s="176"/>
      <c r="CU331" s="377">
        <f>+CU323-'[169]VENTAS TOTALES'!$M$74</f>
        <v>0</v>
      </c>
      <c r="CV331" s="164"/>
      <c r="CW331" s="176"/>
      <c r="CX331" s="377">
        <f>+CX323-'[170]VENTAS TOTALES'!$M$74</f>
        <v>0</v>
      </c>
      <c r="CY331" s="164"/>
      <c r="CZ331" s="176"/>
    </row>
    <row r="332" spans="1:104" s="8" customFormat="1" x14ac:dyDescent="0.2">
      <c r="A332" s="197"/>
      <c r="B332" s="199"/>
      <c r="C332" s="163"/>
      <c r="D332" s="163"/>
      <c r="E332" s="163"/>
      <c r="F332" s="163"/>
      <c r="G332" s="163"/>
      <c r="H332" s="163"/>
      <c r="I332" s="163"/>
      <c r="J332" s="163"/>
      <c r="K332" s="163"/>
      <c r="L332" s="163"/>
      <c r="M332" s="163"/>
      <c r="N332" s="163"/>
      <c r="O332" s="163"/>
      <c r="P332" s="163"/>
      <c r="Q332" s="163"/>
      <c r="R332" s="163"/>
      <c r="S332" s="163"/>
      <c r="T332" s="163"/>
      <c r="U332" s="163"/>
      <c r="V332" s="163"/>
      <c r="W332" s="163"/>
      <c r="X332" s="163"/>
      <c r="Y332" s="163"/>
      <c r="Z332" s="163"/>
      <c r="AA332" s="163"/>
      <c r="AB332" s="163"/>
      <c r="AC332" s="163"/>
      <c r="AD332" s="163"/>
      <c r="AE332" s="163"/>
      <c r="AF332" s="163"/>
      <c r="AG332" s="163"/>
      <c r="AH332" s="163"/>
      <c r="AI332" s="163"/>
      <c r="AJ332" s="163"/>
      <c r="AK332" s="163"/>
      <c r="AL332" s="163"/>
      <c r="AM332" s="163"/>
      <c r="AN332" s="163"/>
      <c r="AO332" s="163"/>
      <c r="AP332" s="163"/>
      <c r="AQ332" s="163"/>
      <c r="AR332" s="163"/>
      <c r="AS332" s="163"/>
      <c r="AT332" s="163"/>
      <c r="AU332" s="163"/>
      <c r="AV332" s="163"/>
      <c r="AW332" s="163"/>
      <c r="AX332" s="163"/>
      <c r="AY332" s="163"/>
      <c r="AZ332" s="163"/>
      <c r="BA332" s="163"/>
      <c r="BB332" s="163"/>
      <c r="BC332" s="163"/>
      <c r="BD332" s="163"/>
      <c r="BE332" s="163"/>
      <c r="BF332" s="163"/>
      <c r="BG332" s="163"/>
      <c r="BH332" s="163"/>
      <c r="BI332" s="163"/>
      <c r="BJ332" s="163"/>
      <c r="BK332" s="163"/>
      <c r="BL332" s="163"/>
      <c r="BM332" s="163"/>
      <c r="BN332" s="163"/>
      <c r="BO332" s="163"/>
      <c r="BP332" s="163"/>
      <c r="BQ332" s="163"/>
      <c r="BR332" s="163"/>
      <c r="BS332" s="163"/>
      <c r="BT332" s="163"/>
      <c r="BU332" s="163"/>
      <c r="BV332" s="163"/>
      <c r="BW332" s="163"/>
      <c r="BX332" s="163"/>
      <c r="BY332" s="163"/>
      <c r="BZ332" s="163"/>
      <c r="CA332" s="163"/>
      <c r="CB332" s="163"/>
      <c r="CC332" s="163"/>
      <c r="CD332" s="163"/>
      <c r="CE332" s="163"/>
      <c r="CF332" s="163"/>
      <c r="CG332" s="163"/>
      <c r="CH332" s="163"/>
      <c r="CI332" s="163"/>
      <c r="CJ332" s="163"/>
      <c r="CK332" s="163"/>
      <c r="CL332" s="163"/>
      <c r="CM332" s="163"/>
      <c r="CN332" s="163"/>
      <c r="CO332" s="163"/>
      <c r="CP332" s="163"/>
      <c r="CQ332" s="163"/>
      <c r="CR332" s="163"/>
      <c r="CS332" s="163"/>
      <c r="CT332" s="163"/>
      <c r="CU332" s="163"/>
      <c r="CV332" s="163"/>
      <c r="CW332" s="163"/>
      <c r="CX332" s="163"/>
      <c r="CY332" s="163"/>
      <c r="CZ332" s="163"/>
    </row>
    <row r="333" spans="1:104" s="8" customFormat="1" x14ac:dyDescent="0.2">
      <c r="A333" s="228" t="s">
        <v>164</v>
      </c>
      <c r="B333" s="229"/>
      <c r="C333" s="211">
        <f>+[104]CONCILIACION!$D$39</f>
        <v>2145741702</v>
      </c>
      <c r="D333" s="166">
        <f>+[104]CONCILIACION!$G$35</f>
        <v>0</v>
      </c>
      <c r="E333" s="171">
        <f>+[104]CONCILIACION!$H$35</f>
        <v>0</v>
      </c>
      <c r="F333" s="211">
        <f>+[105]CONCILIACION!$D$39</f>
        <v>2015548251</v>
      </c>
      <c r="G333" s="166">
        <f>+[105]CONCILIACION!$G$35</f>
        <v>0</v>
      </c>
      <c r="H333" s="171">
        <f>+[105]CONCILIACION!$H$35</f>
        <v>0</v>
      </c>
      <c r="I333" s="211">
        <f>+[106]CONCILIACION!$D$39</f>
        <v>1696641650</v>
      </c>
      <c r="J333" s="166">
        <f>+[106]CONCILIACION!$G$35</f>
        <v>0</v>
      </c>
      <c r="K333" s="171">
        <f>+[106]CONCILIACION!$H$35</f>
        <v>0</v>
      </c>
      <c r="L333" s="211">
        <f>+[107]CONCILIACION!$D$39</f>
        <v>1651268200</v>
      </c>
      <c r="M333" s="166">
        <f>+[107]CONCILIACION!$G$35</f>
        <v>0</v>
      </c>
      <c r="N333" s="171">
        <f>+[107]CONCILIACION!$H$35</f>
        <v>0</v>
      </c>
      <c r="O333" s="211">
        <f>+[108]CONCILIACION!$D$39</f>
        <v>1192026300</v>
      </c>
      <c r="P333" s="166">
        <f>+[108]CONCILIACION!$G$35</f>
        <v>0</v>
      </c>
      <c r="Q333" s="171">
        <f>+[108]CONCILIACION!$H$35</f>
        <v>0</v>
      </c>
      <c r="R333" s="211">
        <f>+[109]CONCILIACION!$D$39</f>
        <v>550360950</v>
      </c>
      <c r="S333" s="166">
        <f>+[109]CONCILIACION!$G$35</f>
        <v>0</v>
      </c>
      <c r="T333" s="171">
        <f>+[109]CONCILIACION!$H$35</f>
        <v>0</v>
      </c>
      <c r="U333" s="211">
        <f>+[110]CONCILIACION!$D$39</f>
        <v>2190657300</v>
      </c>
      <c r="V333" s="166">
        <f>+[110]CONCILIACION!$G$35</f>
        <v>0</v>
      </c>
      <c r="W333" s="171">
        <f>+[110]CONCILIACION!$H$35</f>
        <v>0</v>
      </c>
      <c r="X333" s="211">
        <f>+[111]CONCILIACION!$D$39</f>
        <v>1824237350</v>
      </c>
      <c r="Y333" s="166">
        <f>+[111]CONCILIACION!$G$35</f>
        <v>0</v>
      </c>
      <c r="Z333" s="171">
        <f>+[111]CONCILIACION!$H$35</f>
        <v>0</v>
      </c>
      <c r="AA333" s="211">
        <f>+[112]CONCILIACION!$D$39</f>
        <v>1699809300</v>
      </c>
      <c r="AB333" s="166">
        <f>+[112]CONCILIACION!$G$35</f>
        <v>0</v>
      </c>
      <c r="AC333" s="171">
        <f>+[112]CONCILIACION!$H$35</f>
        <v>0</v>
      </c>
      <c r="AD333" s="211">
        <f>+[113]CONCILIACION!$D$39</f>
        <v>1702942150</v>
      </c>
      <c r="AE333" s="166">
        <f>+[113]CONCILIACION!$G$35</f>
        <v>0</v>
      </c>
      <c r="AF333" s="171">
        <f>+[113]CONCILIACION!$H$35</f>
        <v>0</v>
      </c>
      <c r="AG333" s="211">
        <f>+[114]CONCILIACION!$D$39</f>
        <v>1626353600</v>
      </c>
      <c r="AH333" s="166">
        <f>+[114]CONCILIACION!$G$35</f>
        <v>0</v>
      </c>
      <c r="AI333" s="171">
        <f>+[114]CONCILIACION!$H$35</f>
        <v>0</v>
      </c>
      <c r="AJ333" s="211">
        <f>+[115]CONCILIACION!$D$39</f>
        <v>1179744001</v>
      </c>
      <c r="AK333" s="166">
        <f>+[115]CONCILIACION!$G$35</f>
        <v>0</v>
      </c>
      <c r="AL333" s="171">
        <f>+[115]CONCILIACION!$H$35</f>
        <v>0</v>
      </c>
      <c r="AM333" s="211">
        <f>+[116]CONCILIACION!$D$39</f>
        <v>520394650</v>
      </c>
      <c r="AN333" s="166">
        <f>+[116]CONCILIACION!$G$35</f>
        <v>0</v>
      </c>
      <c r="AO333" s="171">
        <f>+[116]CONCILIACION!$H$35</f>
        <v>0</v>
      </c>
      <c r="AP333" s="211">
        <f>+[117]CONCILIACION!$D$39</f>
        <v>2213499751</v>
      </c>
      <c r="AQ333" s="166">
        <f>+[117]CONCILIACION!$G$35</f>
        <v>0</v>
      </c>
      <c r="AR333" s="171">
        <f>+[117]CONCILIACION!$H$35</f>
        <v>0</v>
      </c>
      <c r="AS333" s="211">
        <f>+[118]CONCILIACION!$D$39</f>
        <v>2040553251</v>
      </c>
      <c r="AT333" s="166">
        <f>+[118]CONCILIACION!$G$35</f>
        <v>0</v>
      </c>
      <c r="AU333" s="171">
        <f>+[118]CONCILIACION!$H$35</f>
        <v>0</v>
      </c>
      <c r="AV333" s="211">
        <f>+[119]CONCILIACION!$D$39</f>
        <v>2022969800</v>
      </c>
      <c r="AW333" s="166">
        <f>+[119]CONCILIACION!$G$35</f>
        <v>0</v>
      </c>
      <c r="AX333" s="171">
        <f>+[119]CONCILIACION!$H$35</f>
        <v>0</v>
      </c>
      <c r="AY333" s="211">
        <f>+[120]CONCILIACION!$D$39</f>
        <v>1842710309</v>
      </c>
      <c r="AZ333" s="166">
        <f>+[120]CONCILIACION!$G$35</f>
        <v>0</v>
      </c>
      <c r="BA333" s="171">
        <f>+[120]CONCILIACION!$H$35</f>
        <v>0</v>
      </c>
      <c r="BB333" s="211">
        <f>+[121]CONCILIACION!$D$39</f>
        <v>1716562701</v>
      </c>
      <c r="BC333" s="166">
        <f>+[121]CONCILIACION!$G$35</f>
        <v>0</v>
      </c>
      <c r="BD333" s="171">
        <f>+[121]CONCILIACION!$H$35</f>
        <v>0</v>
      </c>
      <c r="BE333" s="211">
        <f>+[122]CONCILIACION!$D$39</f>
        <v>1224068801</v>
      </c>
      <c r="BF333" s="166">
        <f>+[122]CONCILIACION!$G$35</f>
        <v>0</v>
      </c>
      <c r="BG333" s="171">
        <f>+[122]CONCILIACION!$H$35</f>
        <v>0</v>
      </c>
      <c r="BH333" s="211">
        <f>+[123]CONCILIACION!$D$39</f>
        <v>542846850</v>
      </c>
      <c r="BI333" s="166">
        <f>+[123]CONCILIACION!$G$35</f>
        <v>0</v>
      </c>
      <c r="BJ333" s="171">
        <f>+[123]CONCILIACION!$H$35</f>
        <v>0</v>
      </c>
      <c r="BK333" s="211">
        <f>+[124]CONCILIACION!$D$39</f>
        <v>2229057300</v>
      </c>
      <c r="BL333" s="166">
        <f>+[124]CONCILIACION!$G$35</f>
        <v>0</v>
      </c>
      <c r="BM333" s="171">
        <f>+[124]CONCILIACION!$H$35</f>
        <v>0</v>
      </c>
      <c r="BN333" s="211">
        <f>+[125]CONCILIACION!$D$39</f>
        <v>1825493000</v>
      </c>
      <c r="BO333" s="166">
        <f>+[125]CONCILIACION!$G$35</f>
        <v>0</v>
      </c>
      <c r="BP333" s="171">
        <f>+[125]CONCILIACION!$H$35</f>
        <v>0</v>
      </c>
      <c r="BQ333" s="211">
        <f>+[103]CONCILIACION!$D$39</f>
        <v>1741151850</v>
      </c>
      <c r="BR333" s="166">
        <f>+[103]CONCILIACION!$G$35</f>
        <v>0</v>
      </c>
      <c r="BS333" s="171">
        <f>+[103]CONCILIACION!$H$35</f>
        <v>0</v>
      </c>
      <c r="BT333" s="211">
        <f>+[126]CONCILIACION!$D$39</f>
        <v>1665938550</v>
      </c>
      <c r="BU333" s="166">
        <f>+[126]CONCILIACION!$G$35</f>
        <v>0</v>
      </c>
      <c r="BV333" s="171">
        <f>+[126]CONCILIACION!$H$35</f>
        <v>0</v>
      </c>
      <c r="BW333" s="211">
        <f>+[127]CONCILIACION!$D$39</f>
        <v>1708194501</v>
      </c>
      <c r="BX333" s="166">
        <f>+[127]CONCILIACION!$G$35</f>
        <v>0</v>
      </c>
      <c r="BY333" s="171">
        <f>+[127]CONCILIACION!$H$35</f>
        <v>0</v>
      </c>
      <c r="BZ333" s="211">
        <f>+[128]CONCILIACION!$D$39</f>
        <v>1264884051</v>
      </c>
      <c r="CA333" s="166">
        <f>+[128]CONCILIACION!$G$35</f>
        <v>0</v>
      </c>
      <c r="CB333" s="171">
        <f>+[128]CONCILIACION!$H$35</f>
        <v>0</v>
      </c>
      <c r="CC333" s="211">
        <f>+[129]CONCILIACION!$D$39</f>
        <v>551688000</v>
      </c>
      <c r="CD333" s="166">
        <f>+[129]CONCILIACION!$G$35</f>
        <v>0</v>
      </c>
      <c r="CE333" s="171">
        <f>+[129]CONCILIACION!$H$35</f>
        <v>0</v>
      </c>
      <c r="CF333" s="211">
        <f>+[130]CONCILIACION!$D$39</f>
        <v>2591291250</v>
      </c>
      <c r="CG333" s="166">
        <f>+[130]CONCILIACION!$G$35</f>
        <v>0</v>
      </c>
      <c r="CH333" s="171">
        <f>+[130]CONCILIACION!$H$35</f>
        <v>0</v>
      </c>
      <c r="CI333" s="211">
        <f>+[131]CONCILIACION!$D$39</f>
        <v>2336647901</v>
      </c>
      <c r="CJ333" s="166">
        <f>+[131]CONCILIACION!$G$35</f>
        <v>0</v>
      </c>
      <c r="CK333" s="171">
        <f>+[131]CONCILIACION!$H$35</f>
        <v>0</v>
      </c>
      <c r="CL333" s="211">
        <f>+[132]CONCILIACION!$D$39</f>
        <v>2091817729</v>
      </c>
      <c r="CM333" s="166">
        <f>+[132]CONCILIACION!$G$35</f>
        <v>0</v>
      </c>
      <c r="CN333" s="171">
        <f>+[132]CONCILIACION!$H$35</f>
        <v>0</v>
      </c>
      <c r="CO333" s="211">
        <f>+[133]CONCILIACION!$D$39</f>
        <v>1898788367</v>
      </c>
      <c r="CP333" s="166">
        <f>+[133]CONCILIACION!$G$35</f>
        <v>0</v>
      </c>
      <c r="CQ333" s="171">
        <f>+[133]CONCILIACION!$H$35</f>
        <v>0</v>
      </c>
      <c r="CR333" s="211">
        <f>+[134]CONCILIACION!$D$39</f>
        <v>1782810059</v>
      </c>
      <c r="CS333" s="166">
        <f>+[134]CONCILIACION!$G$35</f>
        <v>0</v>
      </c>
      <c r="CT333" s="171">
        <f>+[134]CONCILIACION!$H$35</f>
        <v>0</v>
      </c>
      <c r="CU333" s="211">
        <f>+[135]CONCILIACION!$D$39</f>
        <v>1293896250</v>
      </c>
      <c r="CV333" s="166">
        <f>+[135]CONCILIACION!$G$35</f>
        <v>0</v>
      </c>
      <c r="CW333" s="171">
        <f>+[135]CONCILIACION!$H$35</f>
        <v>0</v>
      </c>
      <c r="CX333" s="211">
        <f>+[136]CONCILIACION!$D$39</f>
        <v>554874700</v>
      </c>
      <c r="CY333" s="166">
        <f>+[136]CONCILIACION!$G$35</f>
        <v>0</v>
      </c>
      <c r="CZ333" s="171">
        <f>+[136]CONCILIACION!$H$35</f>
        <v>0</v>
      </c>
    </row>
    <row r="334" spans="1:104" s="8" customFormat="1" x14ac:dyDescent="0.2">
      <c r="A334" s="230" t="s">
        <v>45</v>
      </c>
      <c r="B334" s="231"/>
      <c r="C334" s="212">
        <f t="shared" ref="C334" si="275">+((C320*1700)-((C346-C347)*200))</f>
        <v>2145741701.8000002</v>
      </c>
      <c r="D334" s="166"/>
      <c r="E334" s="213"/>
      <c r="F334" s="212">
        <f t="shared" ref="F334" si="276">+((F320*1700)-((F346-F347)*200))</f>
        <v>2015548249.5999999</v>
      </c>
      <c r="G334" s="166"/>
      <c r="H334" s="213"/>
      <c r="I334" s="212">
        <f t="shared" ref="I334" si="277">+((I320*1700)-((I346-I347)*200))</f>
        <v>1696641648.5</v>
      </c>
      <c r="J334" s="166"/>
      <c r="K334" s="213"/>
      <c r="L334" s="212">
        <f t="shared" ref="L334" si="278">+((L320*1700)-((L346-L347)*200))</f>
        <v>1651268199.2</v>
      </c>
      <c r="M334" s="166"/>
      <c r="N334" s="213"/>
      <c r="O334" s="212">
        <f t="shared" ref="O334" si="279">+((O320*1700)-((O346-O347)*200))</f>
        <v>1192026300</v>
      </c>
      <c r="P334" s="166"/>
      <c r="Q334" s="213"/>
      <c r="R334" s="212">
        <f t="shared" ref="R334" si="280">+((R320*1700)-((R346-R347)*200))</f>
        <v>550360949.60000002</v>
      </c>
      <c r="S334" s="166"/>
      <c r="T334" s="213"/>
      <c r="U334" s="212">
        <f t="shared" ref="U334:AM334" si="281">+((U320*1700)-((U346-U347)*200))</f>
        <v>2190657298.5</v>
      </c>
      <c r="V334" s="166"/>
      <c r="W334" s="213"/>
      <c r="X334" s="212">
        <f t="shared" si="281"/>
        <v>1824237348.7</v>
      </c>
      <c r="Y334" s="166"/>
      <c r="Z334" s="213"/>
      <c r="AA334" s="212">
        <f t="shared" si="281"/>
        <v>1699809298.8</v>
      </c>
      <c r="AB334" s="166"/>
      <c r="AC334" s="213"/>
      <c r="AD334" s="212">
        <f t="shared" si="281"/>
        <v>1702942149.2</v>
      </c>
      <c r="AE334" s="166"/>
      <c r="AF334" s="213"/>
      <c r="AG334" s="212">
        <f t="shared" si="281"/>
        <v>1626353600</v>
      </c>
      <c r="AH334" s="166"/>
      <c r="AI334" s="213"/>
      <c r="AJ334" s="212">
        <f t="shared" si="281"/>
        <v>1179744000.3</v>
      </c>
      <c r="AK334" s="166"/>
      <c r="AL334" s="213"/>
      <c r="AM334" s="212">
        <f t="shared" si="281"/>
        <v>520394649.89999998</v>
      </c>
      <c r="AN334" s="166"/>
      <c r="AO334" s="213"/>
      <c r="AP334" s="212">
        <f t="shared" ref="AP334" si="282">+((AP320*1700)-((AP346-AP347)*200))</f>
        <v>2213499750.4000001</v>
      </c>
      <c r="AQ334" s="166"/>
      <c r="AR334" s="213"/>
      <c r="AS334" s="212">
        <f t="shared" ref="AS334" si="283">+((AS320*1700)-((AS346-AS347)*200))</f>
        <v>2040553250.8</v>
      </c>
      <c r="AT334" s="166"/>
      <c r="AU334" s="213"/>
      <c r="AV334" s="212">
        <f t="shared" ref="AV334" si="284">+((AV320*1700)-((AV346-AV347)*200))</f>
        <v>2022969799.4999998</v>
      </c>
      <c r="AW334" s="166"/>
      <c r="AX334" s="213"/>
      <c r="AY334" s="212">
        <f t="shared" ref="AY334" si="285">+((AY320*1700)-((AY346-AY347)*200))</f>
        <v>1842710307.5000002</v>
      </c>
      <c r="AZ334" s="166"/>
      <c r="BA334" s="213"/>
      <c r="BB334" s="212">
        <f t="shared" ref="BB334" si="286">+((BB320*1700)-((BB346-BB347)*200))</f>
        <v>1716562700.3</v>
      </c>
      <c r="BC334" s="166"/>
      <c r="BD334" s="213"/>
      <c r="BE334" s="212">
        <f t="shared" ref="BE334" si="287">+((BE320*1700)-((BE346-BE347)*200))</f>
        <v>1224068800.5</v>
      </c>
      <c r="BF334" s="166"/>
      <c r="BG334" s="213"/>
      <c r="BH334" s="212">
        <f t="shared" ref="BH334" si="288">+((BH320*1700)-((BH346-BH347)*200))</f>
        <v>542846848.5</v>
      </c>
      <c r="BI334" s="166"/>
      <c r="BJ334" s="213"/>
      <c r="BK334" s="212">
        <f t="shared" ref="BK334:BQ334" si="289">+((BK320*1700)-((BK346-BK347)*200))</f>
        <v>2229057298.4000001</v>
      </c>
      <c r="BL334" s="166"/>
      <c r="BM334" s="213"/>
      <c r="BN334" s="212">
        <f t="shared" si="289"/>
        <v>1825492999.3000002</v>
      </c>
      <c r="BO334" s="166"/>
      <c r="BP334" s="213"/>
      <c r="BQ334" s="212">
        <f t="shared" si="289"/>
        <v>1741151849</v>
      </c>
      <c r="BR334" s="166"/>
      <c r="BS334" s="213"/>
      <c r="BT334" s="212">
        <f t="shared" ref="BT334:CC334" si="290">+((BT320*1700)-((BT346-BT347)*200))</f>
        <v>1665938548.5999999</v>
      </c>
      <c r="BU334" s="166"/>
      <c r="BV334" s="213"/>
      <c r="BW334" s="212">
        <f t="shared" si="290"/>
        <v>1708194499.5999999</v>
      </c>
      <c r="BX334" s="166"/>
      <c r="BY334" s="213"/>
      <c r="BZ334" s="212">
        <f t="shared" si="290"/>
        <v>1264884051</v>
      </c>
      <c r="CA334" s="166"/>
      <c r="CB334" s="213"/>
      <c r="CC334" s="212">
        <f t="shared" si="290"/>
        <v>551687998.60000002</v>
      </c>
      <c r="CD334" s="166"/>
      <c r="CE334" s="213"/>
      <c r="CF334" s="212">
        <f t="shared" ref="CF334" si="291">+((CF320*1700)-((CF346-CF347)*200))</f>
        <v>2591291248.7999997</v>
      </c>
      <c r="CG334" s="166"/>
      <c r="CH334" s="213"/>
      <c r="CI334" s="212">
        <f t="shared" ref="CI334" si="292">+((CI320*1700)-((CI346-CI347)*200))</f>
        <v>2336647900.5</v>
      </c>
      <c r="CJ334" s="166"/>
      <c r="CK334" s="213"/>
      <c r="CL334" s="212">
        <f t="shared" ref="CL334" si="293">+((CL320*1700)-((CL346-CL347)*200))</f>
        <v>2091817729.0000002</v>
      </c>
      <c r="CM334" s="166"/>
      <c r="CN334" s="213"/>
      <c r="CO334" s="212">
        <f t="shared" ref="CO334:CX334" si="294">+((CO320*1700)-((CO346-CO347)*200))</f>
        <v>1898788365.3999999</v>
      </c>
      <c r="CP334" s="166"/>
      <c r="CQ334" s="213"/>
      <c r="CR334" s="212">
        <f t="shared" si="294"/>
        <v>1782810058.7000003</v>
      </c>
      <c r="CS334" s="166"/>
      <c r="CT334" s="213"/>
      <c r="CU334" s="212">
        <f t="shared" si="294"/>
        <v>1293896248.5999999</v>
      </c>
      <c r="CV334" s="166"/>
      <c r="CW334" s="213"/>
      <c r="CX334" s="212">
        <f t="shared" si="294"/>
        <v>554874698.5</v>
      </c>
      <c r="CY334" s="166"/>
      <c r="CZ334" s="213"/>
    </row>
    <row r="335" spans="1:104" s="8" customFormat="1" x14ac:dyDescent="0.2">
      <c r="A335" s="228" t="s">
        <v>46</v>
      </c>
      <c r="B335" s="229"/>
      <c r="C335" s="212">
        <f t="shared" ref="C335:I335" si="295">+C333-C334</f>
        <v>0.19999980926513672</v>
      </c>
      <c r="D335" s="166"/>
      <c r="E335" s="213"/>
      <c r="F335" s="212">
        <f t="shared" si="295"/>
        <v>1.4000000953674316</v>
      </c>
      <c r="G335" s="166"/>
      <c r="H335" s="213"/>
      <c r="I335" s="212">
        <f t="shared" si="295"/>
        <v>1.5</v>
      </c>
      <c r="J335" s="166"/>
      <c r="K335" s="213"/>
      <c r="L335" s="212">
        <f t="shared" ref="L335:R335" si="296">+L333-L334</f>
        <v>0.79999995231628418</v>
      </c>
      <c r="M335" s="166"/>
      <c r="N335" s="213"/>
      <c r="O335" s="212">
        <f t="shared" si="296"/>
        <v>0</v>
      </c>
      <c r="P335" s="166"/>
      <c r="Q335" s="213"/>
      <c r="R335" s="212">
        <f t="shared" si="296"/>
        <v>0.39999997615814209</v>
      </c>
      <c r="S335" s="166"/>
      <c r="T335" s="213"/>
      <c r="U335" s="212">
        <f t="shared" ref="U335" si="297">+U333-U334</f>
        <v>1.5</v>
      </c>
      <c r="V335" s="166"/>
      <c r="W335" s="213"/>
      <c r="X335" s="212">
        <f t="shared" ref="X335" si="298">+X333-X334</f>
        <v>1.2999999523162842</v>
      </c>
      <c r="Y335" s="166"/>
      <c r="Z335" s="213"/>
      <c r="AA335" s="212">
        <f t="shared" ref="AA335" si="299">+AA333-AA334</f>
        <v>1.2000000476837158</v>
      </c>
      <c r="AB335" s="166"/>
      <c r="AC335" s="213"/>
      <c r="AD335" s="212">
        <f t="shared" ref="AD335" si="300">+AD333-AD334</f>
        <v>0.79999995231628418</v>
      </c>
      <c r="AE335" s="166"/>
      <c r="AF335" s="213"/>
      <c r="AG335" s="212">
        <f t="shared" ref="AG335" si="301">+AG333-AG334</f>
        <v>0</v>
      </c>
      <c r="AH335" s="166"/>
      <c r="AI335" s="213"/>
      <c r="AJ335" s="212">
        <f t="shared" ref="AJ335" si="302">+AJ333-AJ334</f>
        <v>0.70000004768371582</v>
      </c>
      <c r="AK335" s="166"/>
      <c r="AL335" s="213"/>
      <c r="AM335" s="212">
        <f t="shared" ref="AM335" si="303">+AM333-AM334</f>
        <v>0.10000002384185791</v>
      </c>
      <c r="AN335" s="166"/>
      <c r="AO335" s="213"/>
      <c r="AP335" s="212">
        <f t="shared" ref="AP335:AY335" si="304">+AP333-AP334</f>
        <v>0.59999990463256836</v>
      </c>
      <c r="AQ335" s="166"/>
      <c r="AR335" s="213"/>
      <c r="AS335" s="212">
        <f t="shared" si="304"/>
        <v>0.20000004768371582</v>
      </c>
      <c r="AT335" s="166"/>
      <c r="AU335" s="213"/>
      <c r="AV335" s="212">
        <f t="shared" si="304"/>
        <v>0.5000002384185791</v>
      </c>
      <c r="AW335" s="166"/>
      <c r="AX335" s="213"/>
      <c r="AY335" s="212">
        <f t="shared" si="304"/>
        <v>1.4999997615814209</v>
      </c>
      <c r="AZ335" s="166"/>
      <c r="BA335" s="213"/>
      <c r="BB335" s="212">
        <f t="shared" ref="BB335:BH335" si="305">+BB333-BB334</f>
        <v>0.70000004768371582</v>
      </c>
      <c r="BC335" s="166"/>
      <c r="BD335" s="213"/>
      <c r="BE335" s="212">
        <f t="shared" si="305"/>
        <v>0.5</v>
      </c>
      <c r="BF335" s="166"/>
      <c r="BG335" s="213"/>
      <c r="BH335" s="212">
        <f t="shared" si="305"/>
        <v>1.5</v>
      </c>
      <c r="BI335" s="166"/>
      <c r="BJ335" s="213"/>
      <c r="BK335" s="212">
        <f t="shared" ref="BK335" si="306">+BK333-BK334</f>
        <v>1.5999999046325684</v>
      </c>
      <c r="BL335" s="166"/>
      <c r="BM335" s="213"/>
      <c r="BN335" s="212">
        <f t="shared" ref="BN335" si="307">+BN333-BN334</f>
        <v>0.69999980926513672</v>
      </c>
      <c r="BO335" s="166"/>
      <c r="BP335" s="213"/>
      <c r="BQ335" s="212">
        <f t="shared" ref="BQ335" si="308">+BQ333-BQ334</f>
        <v>1</v>
      </c>
      <c r="BR335" s="166"/>
      <c r="BS335" s="213"/>
      <c r="BT335" s="212">
        <f t="shared" ref="BT335" si="309">+BT333-BT334</f>
        <v>1.4000000953674316</v>
      </c>
      <c r="BU335" s="166"/>
      <c r="BV335" s="213"/>
      <c r="BW335" s="212">
        <f t="shared" ref="BW335" si="310">+BW333-BW334</f>
        <v>1.4000000953674316</v>
      </c>
      <c r="BX335" s="166"/>
      <c r="BY335" s="213"/>
      <c r="BZ335" s="212">
        <f t="shared" ref="BZ335" si="311">+BZ333-BZ334</f>
        <v>0</v>
      </c>
      <c r="CA335" s="166"/>
      <c r="CB335" s="213"/>
      <c r="CC335" s="212">
        <f t="shared" ref="CC335" si="312">+CC333-CC334</f>
        <v>1.3999999761581421</v>
      </c>
      <c r="CD335" s="166"/>
      <c r="CE335" s="213"/>
      <c r="CF335" s="212">
        <f t="shared" ref="CF335:CL335" si="313">+CF333-CF334</f>
        <v>1.2000002861022949</v>
      </c>
      <c r="CG335" s="166"/>
      <c r="CH335" s="213"/>
      <c r="CI335" s="212">
        <f t="shared" si="313"/>
        <v>0.5</v>
      </c>
      <c r="CJ335" s="166"/>
      <c r="CK335" s="213"/>
      <c r="CL335" s="212">
        <f t="shared" si="313"/>
        <v>0</v>
      </c>
      <c r="CM335" s="166"/>
      <c r="CN335" s="213"/>
      <c r="CO335" s="212">
        <f t="shared" ref="CO335" si="314">+CO333-CO334</f>
        <v>1.6000001430511475</v>
      </c>
      <c r="CP335" s="166"/>
      <c r="CQ335" s="213"/>
      <c r="CR335" s="212">
        <f t="shared" ref="CR335" si="315">+CR333-CR334</f>
        <v>0.29999971389770508</v>
      </c>
      <c r="CS335" s="166"/>
      <c r="CT335" s="213"/>
      <c r="CU335" s="212">
        <f t="shared" ref="CU335" si="316">+CU333-CU334</f>
        <v>1.4000000953674316</v>
      </c>
      <c r="CV335" s="166"/>
      <c r="CW335" s="213"/>
      <c r="CX335" s="212">
        <f t="shared" ref="CX335" si="317">+CX333-CX334</f>
        <v>1.5</v>
      </c>
      <c r="CY335" s="166"/>
      <c r="CZ335" s="213"/>
    </row>
    <row r="336" spans="1:104" s="8" customFormat="1" x14ac:dyDescent="0.2">
      <c r="A336" s="163"/>
      <c r="B336" s="176"/>
      <c r="C336" s="214"/>
      <c r="D336" s="164"/>
      <c r="E336" s="215"/>
      <c r="F336" s="214"/>
      <c r="G336" s="164"/>
      <c r="H336" s="215"/>
      <c r="I336" s="214"/>
      <c r="J336" s="164"/>
      <c r="K336" s="215"/>
      <c r="L336" s="214"/>
      <c r="M336" s="164"/>
      <c r="N336" s="215"/>
      <c r="O336" s="214"/>
      <c r="P336" s="164"/>
      <c r="Q336" s="215"/>
      <c r="R336" s="214"/>
      <c r="S336" s="164"/>
      <c r="T336" s="215"/>
      <c r="U336" s="214"/>
      <c r="V336" s="164"/>
      <c r="W336" s="215"/>
      <c r="X336" s="214"/>
      <c r="Y336" s="164"/>
      <c r="Z336" s="215"/>
      <c r="AA336" s="214"/>
      <c r="AB336" s="164"/>
      <c r="AC336" s="215"/>
      <c r="AD336" s="214"/>
      <c r="AE336" s="164"/>
      <c r="AF336" s="215"/>
      <c r="AG336" s="214"/>
      <c r="AH336" s="164"/>
      <c r="AI336" s="215"/>
      <c r="AJ336" s="214"/>
      <c r="AK336" s="164"/>
      <c r="AL336" s="215"/>
      <c r="AM336" s="214"/>
      <c r="AN336" s="164"/>
      <c r="AO336" s="215"/>
      <c r="AP336" s="214"/>
      <c r="AQ336" s="164"/>
      <c r="AR336" s="215"/>
      <c r="AS336" s="214"/>
      <c r="AT336" s="164"/>
      <c r="AU336" s="215"/>
      <c r="AV336" s="214"/>
      <c r="AW336" s="164"/>
      <c r="AX336" s="215"/>
      <c r="AY336" s="214"/>
      <c r="AZ336" s="164"/>
      <c r="BA336" s="215"/>
      <c r="BB336" s="214"/>
      <c r="BC336" s="164"/>
      <c r="BD336" s="215"/>
      <c r="BE336" s="214"/>
      <c r="BF336" s="164"/>
      <c r="BG336" s="215"/>
      <c r="BH336" s="214"/>
      <c r="BI336" s="164"/>
      <c r="BJ336" s="215"/>
      <c r="BK336" s="214"/>
      <c r="BL336" s="164"/>
      <c r="BM336" s="215"/>
      <c r="BN336" s="214"/>
      <c r="BO336" s="164"/>
      <c r="BP336" s="215"/>
      <c r="BQ336" s="214"/>
      <c r="BR336" s="164"/>
      <c r="BS336" s="215"/>
      <c r="BT336" s="214"/>
      <c r="BU336" s="164"/>
      <c r="BV336" s="215"/>
      <c r="BW336" s="214"/>
      <c r="BX336" s="164"/>
      <c r="BY336" s="215"/>
      <c r="BZ336" s="214"/>
      <c r="CA336" s="164"/>
      <c r="CB336" s="215"/>
      <c r="CC336" s="214"/>
      <c r="CD336" s="164"/>
      <c r="CE336" s="215"/>
      <c r="CF336" s="214"/>
      <c r="CG336" s="164"/>
      <c r="CH336" s="215"/>
      <c r="CI336" s="214"/>
      <c r="CJ336" s="164"/>
      <c r="CK336" s="215"/>
      <c r="CL336" s="214"/>
      <c r="CM336" s="164"/>
      <c r="CN336" s="215"/>
      <c r="CO336" s="214"/>
      <c r="CP336" s="164"/>
      <c r="CQ336" s="215"/>
      <c r="CR336" s="214"/>
      <c r="CS336" s="164"/>
      <c r="CT336" s="215"/>
      <c r="CU336" s="214"/>
      <c r="CV336" s="164"/>
      <c r="CW336" s="215"/>
      <c r="CX336" s="214"/>
      <c r="CY336" s="164"/>
      <c r="CZ336" s="215"/>
    </row>
    <row r="337" spans="1:104" s="8" customFormat="1" ht="12" customHeight="1" x14ac:dyDescent="0.2">
      <c r="A337" s="228" t="s">
        <v>166</v>
      </c>
      <c r="B337" s="229"/>
      <c r="C337" s="214">
        <f>+[171]CONCILIACION!$E$34</f>
        <v>1038210950</v>
      </c>
      <c r="D337" s="164"/>
      <c r="E337" s="215"/>
      <c r="F337" s="214">
        <f>+[172]CONCILIACION!$E$34</f>
        <v>945475950</v>
      </c>
      <c r="G337" s="164"/>
      <c r="H337" s="215"/>
      <c r="I337" s="214">
        <f>+[173]CONCILIACION!$E$34</f>
        <v>751748450</v>
      </c>
      <c r="J337" s="164"/>
      <c r="K337" s="215"/>
      <c r="L337" s="214">
        <f>+[174]CONCILIACION!$E$34</f>
        <v>739006400</v>
      </c>
      <c r="M337" s="164"/>
      <c r="N337" s="215"/>
      <c r="O337" s="214">
        <f>+[175]CONCILIACION!$E$34</f>
        <v>553072100</v>
      </c>
      <c r="P337" s="164"/>
      <c r="Q337" s="215"/>
      <c r="R337" s="214">
        <f>+[176]CONCILIACION!$E$34</f>
        <v>265596650</v>
      </c>
      <c r="S337" s="164"/>
      <c r="T337" s="215"/>
      <c r="U337" s="214">
        <f>+[177]CONCILIACION!$E$34</f>
        <v>1065385900</v>
      </c>
      <c r="V337" s="164"/>
      <c r="W337" s="215"/>
      <c r="X337" s="214">
        <f>+[178]CONCILIACION!$E$34</f>
        <v>836509450</v>
      </c>
      <c r="Y337" s="164"/>
      <c r="Z337" s="215"/>
      <c r="AA337" s="214">
        <f>+[179]CONCILIACION!$E$34</f>
        <v>780113500</v>
      </c>
      <c r="AB337" s="164"/>
      <c r="AC337" s="215"/>
      <c r="AD337" s="214">
        <f>+[180]CONCILIACION!$E$34</f>
        <v>773447301</v>
      </c>
      <c r="AE337" s="164"/>
      <c r="AF337" s="215"/>
      <c r="AG337" s="214">
        <f>+[181]CONCILIACION!$E$34</f>
        <v>737685850</v>
      </c>
      <c r="AH337" s="164"/>
      <c r="AI337" s="215"/>
      <c r="AJ337" s="214">
        <f>+[182]CONCILIACION!$E$34</f>
        <v>547317700</v>
      </c>
      <c r="AK337" s="164"/>
      <c r="AL337" s="215"/>
      <c r="AM337" s="214">
        <f>+[183]CONCILIACION!$E$34</f>
        <v>246729750</v>
      </c>
      <c r="AN337" s="164"/>
      <c r="AO337" s="215"/>
      <c r="AP337" s="214">
        <f>+[184]CONCILIACION!$E$34</f>
        <v>978098350</v>
      </c>
      <c r="AQ337" s="164"/>
      <c r="AR337" s="215"/>
      <c r="AS337" s="214">
        <f>+[185]CONCILIACION!$E$34</f>
        <v>824639600</v>
      </c>
      <c r="AT337" s="164"/>
      <c r="AU337" s="215"/>
      <c r="AV337" s="214">
        <f>+[186]CONCILIACION!$E$34</f>
        <v>894848250</v>
      </c>
      <c r="AW337" s="164"/>
      <c r="AX337" s="215"/>
      <c r="AY337" s="214">
        <f>+[187]CONCILIACION!$E$34</f>
        <v>847416880</v>
      </c>
      <c r="AZ337" s="164"/>
      <c r="BA337" s="215"/>
      <c r="BB337" s="214">
        <f>+[188]CONCILIACION!$E$34</f>
        <v>778486350</v>
      </c>
      <c r="BC337" s="164"/>
      <c r="BD337" s="215"/>
      <c r="BE337" s="214">
        <f>+[189]CONCILIACION!$E$34</f>
        <v>566287100</v>
      </c>
      <c r="BF337" s="164"/>
      <c r="BG337" s="215"/>
      <c r="BH337" s="214">
        <f>+[190]CONCILIACION!$E$34</f>
        <v>252365500</v>
      </c>
      <c r="BI337" s="164"/>
      <c r="BJ337" s="215"/>
      <c r="BK337" s="214">
        <f>+[191]CONCILIACION!$E$34</f>
        <v>1063339750</v>
      </c>
      <c r="BL337" s="164"/>
      <c r="BM337" s="215"/>
      <c r="BN337" s="214">
        <f>+[192]CONCILIACION!$E$34</f>
        <v>829532450</v>
      </c>
      <c r="BO337" s="164"/>
      <c r="BP337" s="215"/>
      <c r="BQ337" s="214">
        <f>+[193]CONCILIACION!$E$34</f>
        <v>780678500</v>
      </c>
      <c r="BR337" s="164"/>
      <c r="BS337" s="215"/>
      <c r="BT337" s="214">
        <f>+[194]CONCILIACION!$E$34</f>
        <v>756279850</v>
      </c>
      <c r="BU337" s="164"/>
      <c r="BV337" s="215"/>
      <c r="BW337" s="214">
        <f>+[195]CONCILIACION!$E$34</f>
        <v>758710900</v>
      </c>
      <c r="BX337" s="164"/>
      <c r="BY337" s="215"/>
      <c r="BZ337" s="214">
        <f>+[196]CONCILIACION!$E$34</f>
        <v>583339150</v>
      </c>
      <c r="CA337" s="164"/>
      <c r="CB337" s="215"/>
      <c r="CC337" s="214">
        <f>+[197]CONCILIACION!$E$34</f>
        <v>271538850</v>
      </c>
      <c r="CD337" s="164"/>
      <c r="CE337" s="215"/>
      <c r="CF337" s="214">
        <f>+[198]CONCILIACION!$E$34</f>
        <v>1206192500</v>
      </c>
      <c r="CG337" s="164"/>
      <c r="CH337" s="215"/>
      <c r="CI337" s="214">
        <f>+[199]CONCILIACION!$E$34</f>
        <v>1091121850</v>
      </c>
      <c r="CJ337" s="164"/>
      <c r="CK337" s="215"/>
      <c r="CL337" s="214">
        <f>+[200]CONCILIACION!$E$34</f>
        <v>990194050</v>
      </c>
      <c r="CM337" s="164"/>
      <c r="CN337" s="215"/>
      <c r="CO337" s="214">
        <f>+[201]CONCILIACION!$E$34</f>
        <v>872553100</v>
      </c>
      <c r="CP337" s="164"/>
      <c r="CQ337" s="215"/>
      <c r="CR337" s="214">
        <f>+[202]CONCILIACION!$E$34</f>
        <v>794370150</v>
      </c>
      <c r="CS337" s="164"/>
      <c r="CT337" s="215"/>
      <c r="CU337" s="214">
        <f>+[203]CONCILIACION!$E$34</f>
        <v>599213850</v>
      </c>
      <c r="CV337" s="164"/>
      <c r="CW337" s="215"/>
      <c r="CX337" s="214">
        <f>+[204]CONCILIACION!$E$34</f>
        <v>262518150</v>
      </c>
      <c r="CY337" s="164"/>
      <c r="CZ337" s="215"/>
    </row>
    <row r="338" spans="1:104" s="8" customFormat="1" x14ac:dyDescent="0.2">
      <c r="A338" s="230" t="s">
        <v>45</v>
      </c>
      <c r="B338" s="231"/>
      <c r="C338" s="214">
        <f t="shared" ref="C338" si="318">+C323*1700</f>
        <v>1038160999.6999999</v>
      </c>
      <c r="D338" s="164"/>
      <c r="E338" s="215"/>
      <c r="F338" s="214">
        <f t="shared" ref="F338" si="319">+F323*1700</f>
        <v>945426298.89999998</v>
      </c>
      <c r="G338" s="164"/>
      <c r="H338" s="215"/>
      <c r="I338" s="214">
        <f t="shared" ref="I338" si="320">+I323*1700</f>
        <v>751694999.29999995</v>
      </c>
      <c r="J338" s="164"/>
      <c r="K338" s="215"/>
      <c r="L338" s="214">
        <f t="shared" ref="L338" si="321">+L323*1700</f>
        <v>738948690</v>
      </c>
      <c r="M338" s="164"/>
      <c r="N338" s="215"/>
      <c r="O338" s="214">
        <f t="shared" ref="O338" si="322">+O323*1700</f>
        <v>553028700</v>
      </c>
      <c r="P338" s="164"/>
      <c r="Q338" s="215"/>
      <c r="R338" s="214">
        <f t="shared" ref="R338" si="323">+R323*1700</f>
        <v>265551498.79999998</v>
      </c>
      <c r="S338" s="164"/>
      <c r="T338" s="215"/>
      <c r="U338" s="214">
        <f t="shared" ref="U338:AM338" si="324">+U323*1700</f>
        <v>1065282849</v>
      </c>
      <c r="V338" s="164"/>
      <c r="W338" s="215"/>
      <c r="X338" s="214">
        <f t="shared" si="324"/>
        <v>836474199.89999998</v>
      </c>
      <c r="Y338" s="164"/>
      <c r="Z338" s="215"/>
      <c r="AA338" s="214">
        <f t="shared" si="324"/>
        <v>780078150</v>
      </c>
      <c r="AB338" s="164"/>
      <c r="AC338" s="215"/>
      <c r="AD338" s="214">
        <f t="shared" si="324"/>
        <v>773385550.9000001</v>
      </c>
      <c r="AE338" s="164"/>
      <c r="AF338" s="215"/>
      <c r="AG338" s="214">
        <f t="shared" si="324"/>
        <v>737609448.69999993</v>
      </c>
      <c r="AH338" s="164"/>
      <c r="AI338" s="215"/>
      <c r="AJ338" s="214">
        <f t="shared" si="324"/>
        <v>547287749</v>
      </c>
      <c r="AK338" s="164"/>
      <c r="AL338" s="215"/>
      <c r="AM338" s="214">
        <f t="shared" si="324"/>
        <v>246697949.69999999</v>
      </c>
      <c r="AN338" s="164"/>
      <c r="AO338" s="215"/>
      <c r="AP338" s="214">
        <f t="shared" ref="AP338" si="325">+AP323*1700</f>
        <v>977994349.79999995</v>
      </c>
      <c r="AQ338" s="164"/>
      <c r="AR338" s="215"/>
      <c r="AS338" s="214">
        <f t="shared" ref="AS338" si="326">+AS323*1700</f>
        <v>824618799.39999998</v>
      </c>
      <c r="AT338" s="164"/>
      <c r="AU338" s="215"/>
      <c r="AV338" s="214">
        <f t="shared" ref="AV338" si="327">+AV323*1700</f>
        <v>894769549.29999995</v>
      </c>
      <c r="AW338" s="164"/>
      <c r="AX338" s="215"/>
      <c r="AY338" s="214">
        <f t="shared" ref="AY338" si="328">+AY323*1700</f>
        <v>847389729.89999998</v>
      </c>
      <c r="AZ338" s="164"/>
      <c r="BA338" s="215"/>
      <c r="BB338" s="214">
        <f t="shared" ref="BB338" si="329">+BB323*1700</f>
        <v>778451250</v>
      </c>
      <c r="BC338" s="164"/>
      <c r="BD338" s="215"/>
      <c r="BE338" s="214">
        <f t="shared" ref="BE338" si="330">+BE323*1700</f>
        <v>566263849.39999998</v>
      </c>
      <c r="BF338" s="164"/>
      <c r="BG338" s="215"/>
      <c r="BH338" s="214">
        <f t="shared" ref="BH338" si="331">+BH323*1700</f>
        <v>252349048.90000001</v>
      </c>
      <c r="BI338" s="164"/>
      <c r="BJ338" s="215"/>
      <c r="BK338" s="214">
        <f t="shared" ref="BK338:BQ338" si="332">+BK323*1700</f>
        <v>1063282850</v>
      </c>
      <c r="BL338" s="164"/>
      <c r="BM338" s="215"/>
      <c r="BN338" s="214">
        <f t="shared" si="332"/>
        <v>829491149</v>
      </c>
      <c r="BO338" s="164"/>
      <c r="BP338" s="215"/>
      <c r="BQ338" s="214">
        <f t="shared" si="332"/>
        <v>780630049.89999998</v>
      </c>
      <c r="BR338" s="164"/>
      <c r="BS338" s="215"/>
      <c r="BT338" s="214">
        <f t="shared" ref="BT338:CC338" si="333">+BT323*1700</f>
        <v>756193899.69999993</v>
      </c>
      <c r="BU338" s="164"/>
      <c r="BV338" s="215"/>
      <c r="BW338" s="214">
        <f t="shared" si="333"/>
        <v>758676000</v>
      </c>
      <c r="BX338" s="164"/>
      <c r="BY338" s="215"/>
      <c r="BZ338" s="214">
        <f t="shared" si="333"/>
        <v>583299899.60000002</v>
      </c>
      <c r="CA338" s="164"/>
      <c r="CB338" s="215"/>
      <c r="CC338" s="214">
        <f t="shared" si="333"/>
        <v>271520698.59999996</v>
      </c>
      <c r="CD338" s="164"/>
      <c r="CE338" s="215"/>
      <c r="CF338" s="214">
        <f t="shared" ref="CF338" si="334">+CF323*1700</f>
        <v>1206105648.7</v>
      </c>
      <c r="CG338" s="164"/>
      <c r="CH338" s="215"/>
      <c r="CI338" s="214">
        <f t="shared" ref="CI338" si="335">+CI323*1700</f>
        <v>1090932098.8</v>
      </c>
      <c r="CJ338" s="164"/>
      <c r="CK338" s="215"/>
      <c r="CL338" s="214">
        <f t="shared" ref="CL338" si="336">+CL323*1700</f>
        <v>990141349.60000002</v>
      </c>
      <c r="CM338" s="164"/>
      <c r="CN338" s="215"/>
      <c r="CO338" s="214">
        <f t="shared" ref="CO338:CX338" si="337">+CO323*1700</f>
        <v>872508598.39999998</v>
      </c>
      <c r="CP338" s="164"/>
      <c r="CQ338" s="215"/>
      <c r="CR338" s="214">
        <f t="shared" si="337"/>
        <v>794324498.5</v>
      </c>
      <c r="CS338" s="164"/>
      <c r="CT338" s="215"/>
      <c r="CU338" s="214">
        <f t="shared" si="337"/>
        <v>599165799</v>
      </c>
      <c r="CV338" s="164"/>
      <c r="CW338" s="215"/>
      <c r="CX338" s="214">
        <f t="shared" si="337"/>
        <v>262505549.30000001</v>
      </c>
      <c r="CY338" s="164"/>
      <c r="CZ338" s="215"/>
    </row>
    <row r="339" spans="1:104" s="12" customFormat="1" x14ac:dyDescent="0.2">
      <c r="A339" s="232" t="s">
        <v>46</v>
      </c>
      <c r="B339" s="233"/>
      <c r="C339" s="376">
        <f t="shared" ref="C339:T339" si="338">+C337-C338</f>
        <v>49950.300000071526</v>
      </c>
      <c r="D339" s="179">
        <f t="shared" si="338"/>
        <v>0</v>
      </c>
      <c r="E339" s="216">
        <f t="shared" si="338"/>
        <v>0</v>
      </c>
      <c r="F339" s="376">
        <f t="shared" si="338"/>
        <v>49651.100000023842</v>
      </c>
      <c r="G339" s="179">
        <f t="shared" si="338"/>
        <v>0</v>
      </c>
      <c r="H339" s="216">
        <f t="shared" si="338"/>
        <v>0</v>
      </c>
      <c r="I339" s="376">
        <f t="shared" si="338"/>
        <v>53450.700000047684</v>
      </c>
      <c r="J339" s="179">
        <f t="shared" si="338"/>
        <v>0</v>
      </c>
      <c r="K339" s="216">
        <f t="shared" si="338"/>
        <v>0</v>
      </c>
      <c r="L339" s="376">
        <f t="shared" si="338"/>
        <v>57710</v>
      </c>
      <c r="M339" s="179">
        <f t="shared" si="338"/>
        <v>0</v>
      </c>
      <c r="N339" s="216">
        <f t="shared" si="338"/>
        <v>0</v>
      </c>
      <c r="O339" s="376">
        <f t="shared" si="338"/>
        <v>43400</v>
      </c>
      <c r="P339" s="179">
        <f t="shared" si="338"/>
        <v>0</v>
      </c>
      <c r="Q339" s="216">
        <f t="shared" si="338"/>
        <v>0</v>
      </c>
      <c r="R339" s="376">
        <f t="shared" si="338"/>
        <v>45151.200000017881</v>
      </c>
      <c r="S339" s="179">
        <f t="shared" si="338"/>
        <v>0</v>
      </c>
      <c r="T339" s="216">
        <f t="shared" si="338"/>
        <v>0</v>
      </c>
      <c r="U339" s="376">
        <f t="shared" ref="U339:AO339" si="339">+U337-U338</f>
        <v>103051</v>
      </c>
      <c r="V339" s="179">
        <f t="shared" si="339"/>
        <v>0</v>
      </c>
      <c r="W339" s="216">
        <f t="shared" si="339"/>
        <v>0</v>
      </c>
      <c r="X339" s="376">
        <f t="shared" si="339"/>
        <v>35250.100000023842</v>
      </c>
      <c r="Y339" s="179">
        <f t="shared" si="339"/>
        <v>0</v>
      </c>
      <c r="Z339" s="216">
        <f t="shared" si="339"/>
        <v>0</v>
      </c>
      <c r="AA339" s="376">
        <f t="shared" si="339"/>
        <v>35350</v>
      </c>
      <c r="AB339" s="179">
        <f t="shared" si="339"/>
        <v>0</v>
      </c>
      <c r="AC339" s="216">
        <f t="shared" si="339"/>
        <v>0</v>
      </c>
      <c r="AD339" s="376">
        <f t="shared" si="339"/>
        <v>61750.099999904633</v>
      </c>
      <c r="AE339" s="179">
        <f t="shared" si="339"/>
        <v>0</v>
      </c>
      <c r="AF339" s="216">
        <f t="shared" si="339"/>
        <v>0</v>
      </c>
      <c r="AG339" s="376">
        <f t="shared" si="339"/>
        <v>76401.300000071526</v>
      </c>
      <c r="AH339" s="179">
        <f t="shared" si="339"/>
        <v>0</v>
      </c>
      <c r="AI339" s="216">
        <f t="shared" si="339"/>
        <v>0</v>
      </c>
      <c r="AJ339" s="376">
        <f t="shared" si="339"/>
        <v>29951</v>
      </c>
      <c r="AK339" s="179">
        <f t="shared" si="339"/>
        <v>0</v>
      </c>
      <c r="AL339" s="216">
        <f t="shared" si="339"/>
        <v>0</v>
      </c>
      <c r="AM339" s="376">
        <f t="shared" si="339"/>
        <v>31800.300000011921</v>
      </c>
      <c r="AN339" s="179">
        <f t="shared" si="339"/>
        <v>0</v>
      </c>
      <c r="AO339" s="216">
        <f t="shared" si="339"/>
        <v>0</v>
      </c>
      <c r="AP339" s="376">
        <f t="shared" ref="AP339:BJ339" si="340">+AP337-AP338</f>
        <v>104000.20000004768</v>
      </c>
      <c r="AQ339" s="179">
        <f t="shared" si="340"/>
        <v>0</v>
      </c>
      <c r="AR339" s="216">
        <f t="shared" si="340"/>
        <v>0</v>
      </c>
      <c r="AS339" s="376">
        <f t="shared" si="340"/>
        <v>20800.600000023842</v>
      </c>
      <c r="AT339" s="179">
        <f t="shared" si="340"/>
        <v>0</v>
      </c>
      <c r="AU339" s="216">
        <f t="shared" si="340"/>
        <v>0</v>
      </c>
      <c r="AV339" s="376">
        <f t="shared" si="340"/>
        <v>78700.700000047684</v>
      </c>
      <c r="AW339" s="179">
        <f t="shared" si="340"/>
        <v>0</v>
      </c>
      <c r="AX339" s="216">
        <f t="shared" si="340"/>
        <v>0</v>
      </c>
      <c r="AY339" s="376">
        <f t="shared" si="340"/>
        <v>27150.100000023842</v>
      </c>
      <c r="AZ339" s="179">
        <f t="shared" si="340"/>
        <v>0</v>
      </c>
      <c r="BA339" s="216">
        <f t="shared" si="340"/>
        <v>0</v>
      </c>
      <c r="BB339" s="376">
        <f t="shared" si="340"/>
        <v>35100</v>
      </c>
      <c r="BC339" s="179">
        <f t="shared" si="340"/>
        <v>0</v>
      </c>
      <c r="BD339" s="216">
        <f t="shared" si="340"/>
        <v>0</v>
      </c>
      <c r="BE339" s="376">
        <f t="shared" si="340"/>
        <v>23250.600000023842</v>
      </c>
      <c r="BF339" s="179">
        <f t="shared" si="340"/>
        <v>0</v>
      </c>
      <c r="BG339" s="216">
        <f t="shared" si="340"/>
        <v>0</v>
      </c>
      <c r="BH339" s="376">
        <f t="shared" si="340"/>
        <v>16451.09999999404</v>
      </c>
      <c r="BI339" s="179">
        <f t="shared" si="340"/>
        <v>0</v>
      </c>
      <c r="BJ339" s="216">
        <f t="shared" si="340"/>
        <v>0</v>
      </c>
      <c r="BK339" s="376">
        <f t="shared" ref="BK339:CE339" si="341">+BK337-BK338</f>
        <v>56900</v>
      </c>
      <c r="BL339" s="179">
        <f t="shared" si="341"/>
        <v>0</v>
      </c>
      <c r="BM339" s="216">
        <f t="shared" si="341"/>
        <v>0</v>
      </c>
      <c r="BN339" s="376">
        <f t="shared" si="341"/>
        <v>41301</v>
      </c>
      <c r="BO339" s="179">
        <f t="shared" si="341"/>
        <v>0</v>
      </c>
      <c r="BP339" s="216">
        <f t="shared" si="341"/>
        <v>0</v>
      </c>
      <c r="BQ339" s="376">
        <f t="shared" si="341"/>
        <v>48450.100000023842</v>
      </c>
      <c r="BR339" s="179">
        <f t="shared" si="341"/>
        <v>0</v>
      </c>
      <c r="BS339" s="216">
        <f t="shared" si="341"/>
        <v>0</v>
      </c>
      <c r="BT339" s="376">
        <f t="shared" si="341"/>
        <v>85950.300000071526</v>
      </c>
      <c r="BU339" s="179">
        <f t="shared" si="341"/>
        <v>0</v>
      </c>
      <c r="BV339" s="216">
        <f t="shared" si="341"/>
        <v>0</v>
      </c>
      <c r="BW339" s="376">
        <f t="shared" si="341"/>
        <v>34900</v>
      </c>
      <c r="BX339" s="179">
        <f t="shared" si="341"/>
        <v>0</v>
      </c>
      <c r="BY339" s="216">
        <f t="shared" si="341"/>
        <v>0</v>
      </c>
      <c r="BZ339" s="376">
        <f t="shared" si="341"/>
        <v>39250.399999976158</v>
      </c>
      <c r="CA339" s="179">
        <f t="shared" si="341"/>
        <v>0</v>
      </c>
      <c r="CB339" s="216">
        <f t="shared" si="341"/>
        <v>0</v>
      </c>
      <c r="CC339" s="376">
        <f t="shared" si="341"/>
        <v>18151.400000035763</v>
      </c>
      <c r="CD339" s="179">
        <f t="shared" si="341"/>
        <v>0</v>
      </c>
      <c r="CE339" s="216">
        <f t="shared" si="341"/>
        <v>0</v>
      </c>
      <c r="CF339" s="376">
        <f t="shared" ref="CF339:CN339" si="342">+CF337-CF338</f>
        <v>86851.299999952316</v>
      </c>
      <c r="CG339" s="179">
        <f t="shared" si="342"/>
        <v>0</v>
      </c>
      <c r="CH339" s="216">
        <f t="shared" si="342"/>
        <v>0</v>
      </c>
      <c r="CI339" s="376">
        <f t="shared" si="342"/>
        <v>189751.20000004768</v>
      </c>
      <c r="CJ339" s="179">
        <f t="shared" si="342"/>
        <v>0</v>
      </c>
      <c r="CK339" s="216">
        <f t="shared" si="342"/>
        <v>0</v>
      </c>
      <c r="CL339" s="376">
        <f t="shared" si="342"/>
        <v>52700.399999976158</v>
      </c>
      <c r="CM339" s="179">
        <f t="shared" si="342"/>
        <v>0</v>
      </c>
      <c r="CN339" s="216">
        <f t="shared" si="342"/>
        <v>0</v>
      </c>
      <c r="CO339" s="376">
        <f t="shared" ref="CO339:CZ339" si="343">+CO337-CO338</f>
        <v>44501.600000023842</v>
      </c>
      <c r="CP339" s="179">
        <f t="shared" si="343"/>
        <v>0</v>
      </c>
      <c r="CQ339" s="216">
        <f t="shared" si="343"/>
        <v>0</v>
      </c>
      <c r="CR339" s="376">
        <f t="shared" si="343"/>
        <v>45651.5</v>
      </c>
      <c r="CS339" s="179">
        <f t="shared" si="343"/>
        <v>0</v>
      </c>
      <c r="CT339" s="216">
        <f t="shared" si="343"/>
        <v>0</v>
      </c>
      <c r="CU339" s="376">
        <f t="shared" si="343"/>
        <v>48051</v>
      </c>
      <c r="CV339" s="179">
        <f t="shared" si="343"/>
        <v>0</v>
      </c>
      <c r="CW339" s="216">
        <f t="shared" si="343"/>
        <v>0</v>
      </c>
      <c r="CX339" s="376">
        <f t="shared" si="343"/>
        <v>12600.699999988079</v>
      </c>
      <c r="CY339" s="179">
        <f t="shared" si="343"/>
        <v>0</v>
      </c>
      <c r="CZ339" s="216">
        <f t="shared" si="343"/>
        <v>0</v>
      </c>
    </row>
    <row r="340" spans="1:104" s="12" customFormat="1" x14ac:dyDescent="0.2">
      <c r="A340" s="234"/>
      <c r="B340" s="235"/>
      <c r="C340" s="177"/>
      <c r="D340" s="166"/>
      <c r="E340" s="178"/>
      <c r="F340" s="177"/>
      <c r="G340" s="166"/>
      <c r="H340" s="178"/>
      <c r="I340" s="177"/>
      <c r="J340" s="166"/>
      <c r="K340" s="178"/>
      <c r="L340" s="177"/>
      <c r="M340" s="166"/>
      <c r="N340" s="178"/>
      <c r="O340" s="177"/>
      <c r="P340" s="166"/>
      <c r="Q340" s="178"/>
      <c r="R340" s="177"/>
      <c r="S340" s="166"/>
      <c r="T340" s="178"/>
      <c r="U340" s="177"/>
      <c r="V340" s="166"/>
      <c r="W340" s="178"/>
      <c r="X340" s="177"/>
      <c r="Y340" s="166"/>
      <c r="Z340" s="178"/>
      <c r="AA340" s="177"/>
      <c r="AB340" s="166"/>
      <c r="AC340" s="178"/>
      <c r="AD340" s="177"/>
      <c r="AE340" s="166"/>
      <c r="AF340" s="178"/>
      <c r="AG340" s="177"/>
      <c r="AH340" s="166"/>
      <c r="AI340" s="178"/>
      <c r="AJ340" s="177"/>
      <c r="AK340" s="166"/>
      <c r="AL340" s="178"/>
      <c r="AM340" s="177"/>
      <c r="AN340" s="166"/>
      <c r="AO340" s="178"/>
      <c r="AP340" s="177"/>
      <c r="AQ340" s="166"/>
      <c r="AR340" s="178"/>
      <c r="AS340" s="177"/>
      <c r="AT340" s="166"/>
      <c r="AU340" s="178"/>
      <c r="AV340" s="177"/>
      <c r="AW340" s="166"/>
      <c r="AX340" s="178"/>
      <c r="AY340" s="177"/>
      <c r="AZ340" s="166"/>
      <c r="BA340" s="178"/>
      <c r="BB340" s="177"/>
      <c r="BC340" s="166"/>
      <c r="BD340" s="178"/>
      <c r="BE340" s="177"/>
      <c r="BF340" s="166"/>
      <c r="BG340" s="178"/>
      <c r="BH340" s="177"/>
      <c r="BI340" s="166"/>
      <c r="BJ340" s="178"/>
      <c r="BK340" s="177"/>
      <c r="BL340" s="166"/>
      <c r="BM340" s="178"/>
      <c r="BN340" s="177"/>
      <c r="BO340" s="166"/>
      <c r="BP340" s="178"/>
      <c r="BQ340" s="177"/>
      <c r="BR340" s="166"/>
      <c r="BS340" s="178"/>
      <c r="BT340" s="177"/>
      <c r="BU340" s="166"/>
      <c r="BV340" s="178"/>
      <c r="BW340" s="177"/>
      <c r="BX340" s="166"/>
      <c r="BY340" s="178"/>
      <c r="BZ340" s="177"/>
      <c r="CA340" s="166"/>
      <c r="CB340" s="178"/>
      <c r="CC340" s="177"/>
      <c r="CD340" s="166"/>
      <c r="CE340" s="178"/>
      <c r="CF340" s="177"/>
      <c r="CG340" s="166"/>
      <c r="CH340" s="178"/>
      <c r="CI340" s="177"/>
      <c r="CJ340" s="166"/>
      <c r="CK340" s="178"/>
      <c r="CL340" s="177"/>
      <c r="CM340" s="166"/>
      <c r="CN340" s="178"/>
      <c r="CO340" s="177"/>
      <c r="CP340" s="166"/>
      <c r="CQ340" s="178"/>
      <c r="CR340" s="177"/>
      <c r="CS340" s="166"/>
      <c r="CT340" s="178"/>
      <c r="CU340" s="177"/>
      <c r="CV340" s="166"/>
      <c r="CW340" s="178"/>
      <c r="CX340" s="177"/>
      <c r="CY340" s="166"/>
      <c r="CZ340" s="178"/>
    </row>
    <row r="341" spans="1:104" s="12" customFormat="1" ht="13.5" thickBot="1" x14ac:dyDescent="0.25">
      <c r="A341" s="180"/>
      <c r="B341" s="236"/>
      <c r="C341" s="180"/>
      <c r="D341" s="164"/>
      <c r="E341" s="181"/>
      <c r="F341" s="180"/>
      <c r="G341" s="164"/>
      <c r="H341" s="181"/>
      <c r="I341" s="180"/>
      <c r="J341" s="164"/>
      <c r="K341" s="181"/>
      <c r="L341" s="180"/>
      <c r="M341" s="164"/>
      <c r="N341" s="181"/>
      <c r="O341" s="180"/>
      <c r="P341" s="164"/>
      <c r="Q341" s="181"/>
      <c r="R341" s="180"/>
      <c r="S341" s="164"/>
      <c r="T341" s="181"/>
      <c r="U341" s="180"/>
      <c r="V341" s="164"/>
      <c r="W341" s="181"/>
      <c r="X341" s="180"/>
      <c r="Y341" s="164"/>
      <c r="Z341" s="181"/>
      <c r="AA341" s="180"/>
      <c r="AB341" s="164"/>
      <c r="AC341" s="181"/>
      <c r="AD341" s="180"/>
      <c r="AE341" s="164"/>
      <c r="AF341" s="181"/>
      <c r="AG341" s="180"/>
      <c r="AH341" s="164"/>
      <c r="AI341" s="181"/>
      <c r="AJ341" s="180"/>
      <c r="AK341" s="164"/>
      <c r="AL341" s="181"/>
      <c r="AM341" s="180"/>
      <c r="AN341" s="164"/>
      <c r="AO341" s="181"/>
      <c r="AP341" s="180"/>
      <c r="AQ341" s="164"/>
      <c r="AR341" s="181"/>
      <c r="AS341" s="180"/>
      <c r="AT341" s="164"/>
      <c r="AU341" s="181"/>
      <c r="AV341" s="180"/>
      <c r="AW341" s="164"/>
      <c r="AX341" s="181"/>
      <c r="AY341" s="180"/>
      <c r="AZ341" s="164"/>
      <c r="BA341" s="181"/>
      <c r="BB341" s="180"/>
      <c r="BC341" s="164"/>
      <c r="BD341" s="181"/>
      <c r="BE341" s="180"/>
      <c r="BF341" s="164"/>
      <c r="BG341" s="181"/>
      <c r="BH341" s="180"/>
      <c r="BI341" s="164"/>
      <c r="BJ341" s="181"/>
      <c r="BK341" s="180"/>
      <c r="BL341" s="164"/>
      <c r="BM341" s="181"/>
      <c r="BN341" s="180"/>
      <c r="BO341" s="164"/>
      <c r="BP341" s="181"/>
      <c r="BQ341" s="180"/>
      <c r="BR341" s="164"/>
      <c r="BS341" s="181"/>
      <c r="BT341" s="180"/>
      <c r="BU341" s="164"/>
      <c r="BV341" s="181"/>
      <c r="BW341" s="180"/>
      <c r="BX341" s="164"/>
      <c r="BY341" s="181"/>
      <c r="BZ341" s="180"/>
      <c r="CA341" s="164"/>
      <c r="CB341" s="181"/>
      <c r="CC341" s="180"/>
      <c r="CD341" s="164"/>
      <c r="CE341" s="181"/>
      <c r="CF341" s="180"/>
      <c r="CG341" s="164"/>
      <c r="CH341" s="181"/>
      <c r="CI341" s="180"/>
      <c r="CJ341" s="164"/>
      <c r="CK341" s="181"/>
      <c r="CL341" s="180"/>
      <c r="CM341" s="164"/>
      <c r="CN341" s="181"/>
      <c r="CO341" s="180"/>
      <c r="CP341" s="164"/>
      <c r="CQ341" s="181"/>
      <c r="CR341" s="180"/>
      <c r="CS341" s="164"/>
      <c r="CT341" s="181"/>
      <c r="CU341" s="180"/>
      <c r="CV341" s="164"/>
      <c r="CW341" s="181"/>
      <c r="CX341" s="180"/>
      <c r="CY341" s="164"/>
      <c r="CZ341" s="181"/>
    </row>
    <row r="342" spans="1:104" s="12" customFormat="1" ht="13.5" thickBot="1" x14ac:dyDescent="0.25">
      <c r="A342" s="123" t="s">
        <v>182</v>
      </c>
      <c r="B342" s="124"/>
      <c r="C342" s="210">
        <f t="shared" ref="C342:T342" si="344">+C334+C338</f>
        <v>3183902701.5</v>
      </c>
      <c r="D342" s="182">
        <f t="shared" si="344"/>
        <v>0</v>
      </c>
      <c r="E342" s="247">
        <f t="shared" si="344"/>
        <v>0</v>
      </c>
      <c r="F342" s="210">
        <f t="shared" si="344"/>
        <v>2960974548.5</v>
      </c>
      <c r="G342" s="182">
        <f t="shared" si="344"/>
        <v>0</v>
      </c>
      <c r="H342" s="247">
        <f t="shared" si="344"/>
        <v>0</v>
      </c>
      <c r="I342" s="210">
        <f t="shared" si="344"/>
        <v>2448336647.8000002</v>
      </c>
      <c r="J342" s="182">
        <f t="shared" si="344"/>
        <v>0</v>
      </c>
      <c r="K342" s="247">
        <f t="shared" si="344"/>
        <v>0</v>
      </c>
      <c r="L342" s="210">
        <f t="shared" si="344"/>
        <v>2390216889.1999998</v>
      </c>
      <c r="M342" s="182">
        <f t="shared" si="344"/>
        <v>0</v>
      </c>
      <c r="N342" s="247">
        <f t="shared" si="344"/>
        <v>0</v>
      </c>
      <c r="O342" s="210">
        <f t="shared" si="344"/>
        <v>1745055000</v>
      </c>
      <c r="P342" s="182">
        <f t="shared" si="344"/>
        <v>0</v>
      </c>
      <c r="Q342" s="247">
        <f t="shared" si="344"/>
        <v>0</v>
      </c>
      <c r="R342" s="210">
        <f t="shared" si="344"/>
        <v>815912448.39999998</v>
      </c>
      <c r="S342" s="182">
        <f t="shared" si="344"/>
        <v>0</v>
      </c>
      <c r="T342" s="247">
        <f t="shared" si="344"/>
        <v>0</v>
      </c>
      <c r="U342" s="210">
        <f t="shared" ref="U342:AO342" si="345">+U334+U338</f>
        <v>3255940147.5</v>
      </c>
      <c r="V342" s="182">
        <f t="shared" si="345"/>
        <v>0</v>
      </c>
      <c r="W342" s="247">
        <f t="shared" si="345"/>
        <v>0</v>
      </c>
      <c r="X342" s="210">
        <f t="shared" si="345"/>
        <v>2660711548.5999999</v>
      </c>
      <c r="Y342" s="182">
        <f t="shared" si="345"/>
        <v>0</v>
      </c>
      <c r="Z342" s="247">
        <f t="shared" si="345"/>
        <v>0</v>
      </c>
      <c r="AA342" s="210">
        <f t="shared" si="345"/>
        <v>2479887448.8000002</v>
      </c>
      <c r="AB342" s="182">
        <f t="shared" si="345"/>
        <v>0</v>
      </c>
      <c r="AC342" s="247">
        <f t="shared" si="345"/>
        <v>0</v>
      </c>
      <c r="AD342" s="210">
        <f t="shared" si="345"/>
        <v>2476327700.1000004</v>
      </c>
      <c r="AE342" s="182">
        <f t="shared" si="345"/>
        <v>0</v>
      </c>
      <c r="AF342" s="247">
        <f t="shared" si="345"/>
        <v>0</v>
      </c>
      <c r="AG342" s="210">
        <f t="shared" si="345"/>
        <v>2363963048.6999998</v>
      </c>
      <c r="AH342" s="182">
        <f t="shared" si="345"/>
        <v>0</v>
      </c>
      <c r="AI342" s="247">
        <f t="shared" si="345"/>
        <v>0</v>
      </c>
      <c r="AJ342" s="210">
        <f t="shared" si="345"/>
        <v>1727031749.3</v>
      </c>
      <c r="AK342" s="182">
        <f t="shared" si="345"/>
        <v>0</v>
      </c>
      <c r="AL342" s="247">
        <f t="shared" si="345"/>
        <v>0</v>
      </c>
      <c r="AM342" s="210">
        <f t="shared" si="345"/>
        <v>767092599.5999999</v>
      </c>
      <c r="AN342" s="182">
        <f t="shared" si="345"/>
        <v>0</v>
      </c>
      <c r="AO342" s="247">
        <f t="shared" si="345"/>
        <v>0</v>
      </c>
      <c r="AP342" s="210">
        <f t="shared" ref="AP342:BJ342" si="346">+AP334+AP338</f>
        <v>3191494100.1999998</v>
      </c>
      <c r="AQ342" s="182">
        <f t="shared" si="346"/>
        <v>0</v>
      </c>
      <c r="AR342" s="247">
        <f t="shared" si="346"/>
        <v>0</v>
      </c>
      <c r="AS342" s="210">
        <f t="shared" si="346"/>
        <v>2865172050.1999998</v>
      </c>
      <c r="AT342" s="182">
        <f t="shared" si="346"/>
        <v>0</v>
      </c>
      <c r="AU342" s="247">
        <f t="shared" si="346"/>
        <v>0</v>
      </c>
      <c r="AV342" s="210">
        <f t="shared" si="346"/>
        <v>2917739348.7999997</v>
      </c>
      <c r="AW342" s="182">
        <f t="shared" si="346"/>
        <v>0</v>
      </c>
      <c r="AX342" s="247">
        <f t="shared" si="346"/>
        <v>0</v>
      </c>
      <c r="AY342" s="210">
        <f t="shared" si="346"/>
        <v>2690100037.4000001</v>
      </c>
      <c r="AZ342" s="182">
        <f t="shared" si="346"/>
        <v>0</v>
      </c>
      <c r="BA342" s="247">
        <f t="shared" si="346"/>
        <v>0</v>
      </c>
      <c r="BB342" s="210">
        <f t="shared" si="346"/>
        <v>2495013950.3000002</v>
      </c>
      <c r="BC342" s="182">
        <f t="shared" si="346"/>
        <v>0</v>
      </c>
      <c r="BD342" s="247">
        <f t="shared" si="346"/>
        <v>0</v>
      </c>
      <c r="BE342" s="210">
        <f t="shared" si="346"/>
        <v>1790332649.9000001</v>
      </c>
      <c r="BF342" s="182">
        <f t="shared" si="346"/>
        <v>0</v>
      </c>
      <c r="BG342" s="247">
        <f t="shared" si="346"/>
        <v>0</v>
      </c>
      <c r="BH342" s="210">
        <f t="shared" si="346"/>
        <v>795195897.39999998</v>
      </c>
      <c r="BI342" s="182">
        <f t="shared" si="346"/>
        <v>0</v>
      </c>
      <c r="BJ342" s="247">
        <f t="shared" si="346"/>
        <v>0</v>
      </c>
      <c r="BK342" s="210">
        <f t="shared" ref="BK342:CE342" si="347">+BK334+BK338</f>
        <v>3292340148.4000001</v>
      </c>
      <c r="BL342" s="182">
        <f t="shared" si="347"/>
        <v>0</v>
      </c>
      <c r="BM342" s="247">
        <f t="shared" si="347"/>
        <v>0</v>
      </c>
      <c r="BN342" s="210">
        <f t="shared" si="347"/>
        <v>2654984148.3000002</v>
      </c>
      <c r="BO342" s="182">
        <f t="shared" si="347"/>
        <v>0</v>
      </c>
      <c r="BP342" s="247">
        <f t="shared" si="347"/>
        <v>0</v>
      </c>
      <c r="BQ342" s="210">
        <f t="shared" si="347"/>
        <v>2521781898.9000001</v>
      </c>
      <c r="BR342" s="182">
        <f t="shared" si="347"/>
        <v>0</v>
      </c>
      <c r="BS342" s="247">
        <f t="shared" si="347"/>
        <v>0</v>
      </c>
      <c r="BT342" s="210">
        <f t="shared" si="347"/>
        <v>2422132448.2999997</v>
      </c>
      <c r="BU342" s="182">
        <f t="shared" si="347"/>
        <v>0</v>
      </c>
      <c r="BV342" s="247">
        <f t="shared" si="347"/>
        <v>0</v>
      </c>
      <c r="BW342" s="210">
        <f t="shared" si="347"/>
        <v>2466870499.5999999</v>
      </c>
      <c r="BX342" s="182">
        <f t="shared" si="347"/>
        <v>0</v>
      </c>
      <c r="BY342" s="247">
        <f t="shared" si="347"/>
        <v>0</v>
      </c>
      <c r="BZ342" s="210">
        <f t="shared" si="347"/>
        <v>1848183950.5999999</v>
      </c>
      <c r="CA342" s="182">
        <f t="shared" si="347"/>
        <v>0</v>
      </c>
      <c r="CB342" s="247">
        <f t="shared" si="347"/>
        <v>0</v>
      </c>
      <c r="CC342" s="210">
        <f t="shared" si="347"/>
        <v>823208697.20000005</v>
      </c>
      <c r="CD342" s="182">
        <f t="shared" si="347"/>
        <v>0</v>
      </c>
      <c r="CE342" s="247">
        <f t="shared" si="347"/>
        <v>0</v>
      </c>
      <c r="CF342" s="210">
        <f t="shared" ref="CF342:CN342" si="348">+CF334+CF338</f>
        <v>3797396897.5</v>
      </c>
      <c r="CG342" s="182">
        <f t="shared" si="348"/>
        <v>0</v>
      </c>
      <c r="CH342" s="247">
        <f t="shared" si="348"/>
        <v>0</v>
      </c>
      <c r="CI342" s="210">
        <f t="shared" si="348"/>
        <v>3427579999.3000002</v>
      </c>
      <c r="CJ342" s="182">
        <f t="shared" si="348"/>
        <v>0</v>
      </c>
      <c r="CK342" s="247">
        <f t="shared" si="348"/>
        <v>0</v>
      </c>
      <c r="CL342" s="210">
        <f t="shared" si="348"/>
        <v>3081959078.6000004</v>
      </c>
      <c r="CM342" s="182">
        <f t="shared" si="348"/>
        <v>0</v>
      </c>
      <c r="CN342" s="247">
        <f t="shared" si="348"/>
        <v>0</v>
      </c>
      <c r="CO342" s="210">
        <f t="shared" ref="CO342:CZ342" si="349">+CO334+CO338</f>
        <v>2771296963.7999997</v>
      </c>
      <c r="CP342" s="182">
        <f t="shared" si="349"/>
        <v>0</v>
      </c>
      <c r="CQ342" s="247">
        <f t="shared" si="349"/>
        <v>0</v>
      </c>
      <c r="CR342" s="210">
        <f t="shared" si="349"/>
        <v>2577134557.2000003</v>
      </c>
      <c r="CS342" s="182">
        <f t="shared" si="349"/>
        <v>0</v>
      </c>
      <c r="CT342" s="247">
        <f t="shared" si="349"/>
        <v>0</v>
      </c>
      <c r="CU342" s="210">
        <f t="shared" si="349"/>
        <v>1893062047.5999999</v>
      </c>
      <c r="CV342" s="182">
        <f t="shared" si="349"/>
        <v>0</v>
      </c>
      <c r="CW342" s="247">
        <f t="shared" si="349"/>
        <v>0</v>
      </c>
      <c r="CX342" s="210">
        <f t="shared" si="349"/>
        <v>817380247.79999995</v>
      </c>
      <c r="CY342" s="182">
        <f t="shared" si="349"/>
        <v>0</v>
      </c>
      <c r="CZ342" s="247">
        <f t="shared" si="349"/>
        <v>0</v>
      </c>
    </row>
    <row r="343" spans="1:104" s="12" customFormat="1" ht="13.5" thickBot="1" x14ac:dyDescent="0.25">
      <c r="A343" s="123" t="s">
        <v>183</v>
      </c>
      <c r="B343" s="124"/>
      <c r="C343" s="210">
        <f t="shared" ref="C343:T343" si="350">+C333+C337</f>
        <v>3183952652</v>
      </c>
      <c r="D343" s="182">
        <f t="shared" si="350"/>
        <v>0</v>
      </c>
      <c r="E343" s="247">
        <f t="shared" si="350"/>
        <v>0</v>
      </c>
      <c r="F343" s="210">
        <f t="shared" si="350"/>
        <v>2961024201</v>
      </c>
      <c r="G343" s="182">
        <f t="shared" si="350"/>
        <v>0</v>
      </c>
      <c r="H343" s="247">
        <f t="shared" si="350"/>
        <v>0</v>
      </c>
      <c r="I343" s="210">
        <f t="shared" si="350"/>
        <v>2448390100</v>
      </c>
      <c r="J343" s="182">
        <f t="shared" si="350"/>
        <v>0</v>
      </c>
      <c r="K343" s="247">
        <f t="shared" si="350"/>
        <v>0</v>
      </c>
      <c r="L343" s="210">
        <f t="shared" si="350"/>
        <v>2390274600</v>
      </c>
      <c r="M343" s="182">
        <f t="shared" si="350"/>
        <v>0</v>
      </c>
      <c r="N343" s="247">
        <f t="shared" si="350"/>
        <v>0</v>
      </c>
      <c r="O343" s="210">
        <f t="shared" si="350"/>
        <v>1745098400</v>
      </c>
      <c r="P343" s="182">
        <f t="shared" si="350"/>
        <v>0</v>
      </c>
      <c r="Q343" s="247">
        <f t="shared" si="350"/>
        <v>0</v>
      </c>
      <c r="R343" s="210">
        <f t="shared" si="350"/>
        <v>815957600</v>
      </c>
      <c r="S343" s="182">
        <f t="shared" si="350"/>
        <v>0</v>
      </c>
      <c r="T343" s="247">
        <f t="shared" si="350"/>
        <v>0</v>
      </c>
      <c r="U343" s="210">
        <f t="shared" ref="U343:AO343" si="351">+U333+U337</f>
        <v>3256043200</v>
      </c>
      <c r="V343" s="182">
        <f t="shared" si="351"/>
        <v>0</v>
      </c>
      <c r="W343" s="247">
        <f t="shared" si="351"/>
        <v>0</v>
      </c>
      <c r="X343" s="210">
        <f t="shared" si="351"/>
        <v>2660746800</v>
      </c>
      <c r="Y343" s="182">
        <f t="shared" si="351"/>
        <v>0</v>
      </c>
      <c r="Z343" s="247">
        <f t="shared" si="351"/>
        <v>0</v>
      </c>
      <c r="AA343" s="210">
        <f t="shared" si="351"/>
        <v>2479922800</v>
      </c>
      <c r="AB343" s="182">
        <f t="shared" si="351"/>
        <v>0</v>
      </c>
      <c r="AC343" s="247">
        <f t="shared" si="351"/>
        <v>0</v>
      </c>
      <c r="AD343" s="210">
        <f t="shared" si="351"/>
        <v>2476389451</v>
      </c>
      <c r="AE343" s="182">
        <f t="shared" si="351"/>
        <v>0</v>
      </c>
      <c r="AF343" s="247">
        <f t="shared" si="351"/>
        <v>0</v>
      </c>
      <c r="AG343" s="210">
        <f t="shared" si="351"/>
        <v>2364039450</v>
      </c>
      <c r="AH343" s="182">
        <f t="shared" si="351"/>
        <v>0</v>
      </c>
      <c r="AI343" s="247">
        <f t="shared" si="351"/>
        <v>0</v>
      </c>
      <c r="AJ343" s="210">
        <f t="shared" si="351"/>
        <v>1727061701</v>
      </c>
      <c r="AK343" s="182">
        <f t="shared" si="351"/>
        <v>0</v>
      </c>
      <c r="AL343" s="247">
        <f t="shared" si="351"/>
        <v>0</v>
      </c>
      <c r="AM343" s="210">
        <f t="shared" si="351"/>
        <v>767124400</v>
      </c>
      <c r="AN343" s="182">
        <f t="shared" si="351"/>
        <v>0</v>
      </c>
      <c r="AO343" s="247">
        <f t="shared" si="351"/>
        <v>0</v>
      </c>
      <c r="AP343" s="210">
        <f t="shared" ref="AP343:BJ343" si="352">+AP333+AP337</f>
        <v>3191598101</v>
      </c>
      <c r="AQ343" s="182">
        <f t="shared" si="352"/>
        <v>0</v>
      </c>
      <c r="AR343" s="247">
        <f t="shared" si="352"/>
        <v>0</v>
      </c>
      <c r="AS343" s="210">
        <f t="shared" si="352"/>
        <v>2865192851</v>
      </c>
      <c r="AT343" s="182">
        <f t="shared" si="352"/>
        <v>0</v>
      </c>
      <c r="AU343" s="247">
        <f t="shared" si="352"/>
        <v>0</v>
      </c>
      <c r="AV343" s="210">
        <f t="shared" si="352"/>
        <v>2917818050</v>
      </c>
      <c r="AW343" s="182">
        <f t="shared" si="352"/>
        <v>0</v>
      </c>
      <c r="AX343" s="247">
        <f t="shared" si="352"/>
        <v>0</v>
      </c>
      <c r="AY343" s="210">
        <f t="shared" si="352"/>
        <v>2690127189</v>
      </c>
      <c r="AZ343" s="182">
        <f t="shared" si="352"/>
        <v>0</v>
      </c>
      <c r="BA343" s="247">
        <f t="shared" si="352"/>
        <v>0</v>
      </c>
      <c r="BB343" s="210">
        <f t="shared" si="352"/>
        <v>2495049051</v>
      </c>
      <c r="BC343" s="182">
        <f t="shared" si="352"/>
        <v>0</v>
      </c>
      <c r="BD343" s="247">
        <f t="shared" si="352"/>
        <v>0</v>
      </c>
      <c r="BE343" s="210">
        <f t="shared" si="352"/>
        <v>1790355901</v>
      </c>
      <c r="BF343" s="182">
        <f t="shared" si="352"/>
        <v>0</v>
      </c>
      <c r="BG343" s="247">
        <f t="shared" si="352"/>
        <v>0</v>
      </c>
      <c r="BH343" s="210">
        <f t="shared" si="352"/>
        <v>795212350</v>
      </c>
      <c r="BI343" s="182">
        <f t="shared" si="352"/>
        <v>0</v>
      </c>
      <c r="BJ343" s="247">
        <f t="shared" si="352"/>
        <v>0</v>
      </c>
      <c r="BK343" s="210">
        <f t="shared" ref="BK343:CE343" si="353">+BK333+BK337</f>
        <v>3292397050</v>
      </c>
      <c r="BL343" s="182">
        <f t="shared" si="353"/>
        <v>0</v>
      </c>
      <c r="BM343" s="247">
        <f t="shared" si="353"/>
        <v>0</v>
      </c>
      <c r="BN343" s="210">
        <f t="shared" si="353"/>
        <v>2655025450</v>
      </c>
      <c r="BO343" s="182">
        <f t="shared" si="353"/>
        <v>0</v>
      </c>
      <c r="BP343" s="247">
        <f t="shared" si="353"/>
        <v>0</v>
      </c>
      <c r="BQ343" s="210">
        <f t="shared" si="353"/>
        <v>2521830350</v>
      </c>
      <c r="BR343" s="182">
        <f t="shared" si="353"/>
        <v>0</v>
      </c>
      <c r="BS343" s="247">
        <f t="shared" si="353"/>
        <v>0</v>
      </c>
      <c r="BT343" s="210">
        <f t="shared" si="353"/>
        <v>2422218400</v>
      </c>
      <c r="BU343" s="182">
        <f t="shared" si="353"/>
        <v>0</v>
      </c>
      <c r="BV343" s="247">
        <f t="shared" si="353"/>
        <v>0</v>
      </c>
      <c r="BW343" s="210">
        <f t="shared" si="353"/>
        <v>2466905401</v>
      </c>
      <c r="BX343" s="182">
        <f t="shared" si="353"/>
        <v>0</v>
      </c>
      <c r="BY343" s="247">
        <f t="shared" si="353"/>
        <v>0</v>
      </c>
      <c r="BZ343" s="210">
        <f t="shared" si="353"/>
        <v>1848223201</v>
      </c>
      <c r="CA343" s="182">
        <f t="shared" si="353"/>
        <v>0</v>
      </c>
      <c r="CB343" s="247">
        <f t="shared" si="353"/>
        <v>0</v>
      </c>
      <c r="CC343" s="210">
        <f t="shared" si="353"/>
        <v>823226850</v>
      </c>
      <c r="CD343" s="182">
        <f t="shared" si="353"/>
        <v>0</v>
      </c>
      <c r="CE343" s="247">
        <f t="shared" si="353"/>
        <v>0</v>
      </c>
      <c r="CF343" s="210">
        <f t="shared" ref="CF343:CN343" si="354">+CF333+CF337</f>
        <v>3797483750</v>
      </c>
      <c r="CG343" s="182">
        <f t="shared" si="354"/>
        <v>0</v>
      </c>
      <c r="CH343" s="247">
        <f t="shared" si="354"/>
        <v>0</v>
      </c>
      <c r="CI343" s="210">
        <f t="shared" si="354"/>
        <v>3427769751</v>
      </c>
      <c r="CJ343" s="182">
        <f t="shared" si="354"/>
        <v>0</v>
      </c>
      <c r="CK343" s="247">
        <f t="shared" si="354"/>
        <v>0</v>
      </c>
      <c r="CL343" s="210">
        <f t="shared" si="354"/>
        <v>3082011779</v>
      </c>
      <c r="CM343" s="182">
        <f t="shared" si="354"/>
        <v>0</v>
      </c>
      <c r="CN343" s="247">
        <f t="shared" si="354"/>
        <v>0</v>
      </c>
      <c r="CO343" s="210">
        <f t="shared" ref="CO343:CZ343" si="355">+CO333+CO337</f>
        <v>2771341467</v>
      </c>
      <c r="CP343" s="182">
        <f t="shared" si="355"/>
        <v>0</v>
      </c>
      <c r="CQ343" s="247">
        <f t="shared" si="355"/>
        <v>0</v>
      </c>
      <c r="CR343" s="210">
        <f t="shared" si="355"/>
        <v>2577180209</v>
      </c>
      <c r="CS343" s="182">
        <f t="shared" si="355"/>
        <v>0</v>
      </c>
      <c r="CT343" s="247">
        <f t="shared" si="355"/>
        <v>0</v>
      </c>
      <c r="CU343" s="210">
        <f t="shared" si="355"/>
        <v>1893110100</v>
      </c>
      <c r="CV343" s="182">
        <f t="shared" si="355"/>
        <v>0</v>
      </c>
      <c r="CW343" s="247">
        <f t="shared" si="355"/>
        <v>0</v>
      </c>
      <c r="CX343" s="210">
        <f t="shared" si="355"/>
        <v>817392850</v>
      </c>
      <c r="CY343" s="182">
        <f t="shared" si="355"/>
        <v>0</v>
      </c>
      <c r="CZ343" s="247">
        <f t="shared" si="355"/>
        <v>0</v>
      </c>
    </row>
    <row r="344" spans="1:104" s="12" customFormat="1" ht="13.5" thickBot="1" x14ac:dyDescent="0.25">
      <c r="A344" s="123" t="s">
        <v>184</v>
      </c>
      <c r="B344" s="124"/>
      <c r="C344" s="210">
        <f t="shared" ref="C344:T344" si="356">+C339+C335</f>
        <v>49950.499999880791</v>
      </c>
      <c r="D344" s="182">
        <f t="shared" si="356"/>
        <v>0</v>
      </c>
      <c r="E344" s="247">
        <f t="shared" si="356"/>
        <v>0</v>
      </c>
      <c r="F344" s="210">
        <f t="shared" si="356"/>
        <v>49652.500000119209</v>
      </c>
      <c r="G344" s="182">
        <f t="shared" si="356"/>
        <v>0</v>
      </c>
      <c r="H344" s="247">
        <f t="shared" si="356"/>
        <v>0</v>
      </c>
      <c r="I344" s="210">
        <f t="shared" si="356"/>
        <v>53452.200000047684</v>
      </c>
      <c r="J344" s="182">
        <f t="shared" si="356"/>
        <v>0</v>
      </c>
      <c r="K344" s="247">
        <f t="shared" si="356"/>
        <v>0</v>
      </c>
      <c r="L344" s="210">
        <f t="shared" si="356"/>
        <v>57710.799999952316</v>
      </c>
      <c r="M344" s="182">
        <f t="shared" si="356"/>
        <v>0</v>
      </c>
      <c r="N344" s="247">
        <f t="shared" si="356"/>
        <v>0</v>
      </c>
      <c r="O344" s="210">
        <f t="shared" si="356"/>
        <v>43400</v>
      </c>
      <c r="P344" s="182">
        <f t="shared" si="356"/>
        <v>0</v>
      </c>
      <c r="Q344" s="247">
        <f t="shared" si="356"/>
        <v>0</v>
      </c>
      <c r="R344" s="210">
        <f t="shared" si="356"/>
        <v>45151.59999999404</v>
      </c>
      <c r="S344" s="182">
        <f t="shared" si="356"/>
        <v>0</v>
      </c>
      <c r="T344" s="247">
        <f t="shared" si="356"/>
        <v>0</v>
      </c>
      <c r="U344" s="210">
        <f t="shared" ref="U344:AO344" si="357">+U339+U335</f>
        <v>103052.5</v>
      </c>
      <c r="V344" s="182">
        <f t="shared" si="357"/>
        <v>0</v>
      </c>
      <c r="W344" s="247">
        <f t="shared" si="357"/>
        <v>0</v>
      </c>
      <c r="X344" s="210">
        <f t="shared" si="357"/>
        <v>35251.399999976158</v>
      </c>
      <c r="Y344" s="182">
        <f t="shared" si="357"/>
        <v>0</v>
      </c>
      <c r="Z344" s="247">
        <f t="shared" si="357"/>
        <v>0</v>
      </c>
      <c r="AA344" s="210">
        <f t="shared" si="357"/>
        <v>35351.200000047684</v>
      </c>
      <c r="AB344" s="182">
        <f t="shared" si="357"/>
        <v>0</v>
      </c>
      <c r="AC344" s="247">
        <f t="shared" si="357"/>
        <v>0</v>
      </c>
      <c r="AD344" s="210">
        <f t="shared" si="357"/>
        <v>61750.899999856949</v>
      </c>
      <c r="AE344" s="182">
        <f t="shared" si="357"/>
        <v>0</v>
      </c>
      <c r="AF344" s="247">
        <f t="shared" si="357"/>
        <v>0</v>
      </c>
      <c r="AG344" s="210">
        <f t="shared" si="357"/>
        <v>76401.300000071526</v>
      </c>
      <c r="AH344" s="182">
        <f t="shared" si="357"/>
        <v>0</v>
      </c>
      <c r="AI344" s="247">
        <f t="shared" si="357"/>
        <v>0</v>
      </c>
      <c r="AJ344" s="210">
        <f t="shared" si="357"/>
        <v>29951.700000047684</v>
      </c>
      <c r="AK344" s="182">
        <f t="shared" si="357"/>
        <v>0</v>
      </c>
      <c r="AL344" s="247">
        <f t="shared" si="357"/>
        <v>0</v>
      </c>
      <c r="AM344" s="210">
        <f t="shared" si="357"/>
        <v>31800.400000035763</v>
      </c>
      <c r="AN344" s="182">
        <f t="shared" si="357"/>
        <v>0</v>
      </c>
      <c r="AO344" s="247">
        <f t="shared" si="357"/>
        <v>0</v>
      </c>
      <c r="AP344" s="210">
        <f t="shared" ref="AP344:BJ344" si="358">+AP339+AP335</f>
        <v>104000.79999995232</v>
      </c>
      <c r="AQ344" s="182">
        <f t="shared" si="358"/>
        <v>0</v>
      </c>
      <c r="AR344" s="247">
        <f t="shared" si="358"/>
        <v>0</v>
      </c>
      <c r="AS344" s="210">
        <f t="shared" si="358"/>
        <v>20800.800000071526</v>
      </c>
      <c r="AT344" s="182">
        <f t="shared" si="358"/>
        <v>0</v>
      </c>
      <c r="AU344" s="247">
        <f t="shared" si="358"/>
        <v>0</v>
      </c>
      <c r="AV344" s="210">
        <f t="shared" si="358"/>
        <v>78701.200000286102</v>
      </c>
      <c r="AW344" s="182">
        <f t="shared" si="358"/>
        <v>0</v>
      </c>
      <c r="AX344" s="247">
        <f t="shared" si="358"/>
        <v>0</v>
      </c>
      <c r="AY344" s="210">
        <f t="shared" si="358"/>
        <v>27151.599999785423</v>
      </c>
      <c r="AZ344" s="182">
        <f t="shared" si="358"/>
        <v>0</v>
      </c>
      <c r="BA344" s="247">
        <f t="shared" si="358"/>
        <v>0</v>
      </c>
      <c r="BB344" s="210">
        <f t="shared" si="358"/>
        <v>35100.700000047684</v>
      </c>
      <c r="BC344" s="182">
        <f t="shared" si="358"/>
        <v>0</v>
      </c>
      <c r="BD344" s="247">
        <f t="shared" si="358"/>
        <v>0</v>
      </c>
      <c r="BE344" s="210">
        <f t="shared" si="358"/>
        <v>23251.100000023842</v>
      </c>
      <c r="BF344" s="182">
        <f t="shared" si="358"/>
        <v>0</v>
      </c>
      <c r="BG344" s="247">
        <f t="shared" si="358"/>
        <v>0</v>
      </c>
      <c r="BH344" s="210">
        <f t="shared" si="358"/>
        <v>16452.59999999404</v>
      </c>
      <c r="BI344" s="182">
        <f t="shared" si="358"/>
        <v>0</v>
      </c>
      <c r="BJ344" s="247">
        <f t="shared" si="358"/>
        <v>0</v>
      </c>
      <c r="BK344" s="210">
        <f t="shared" ref="BK344:CE344" si="359">+BK339+BK335</f>
        <v>56901.599999904633</v>
      </c>
      <c r="BL344" s="182">
        <f t="shared" si="359"/>
        <v>0</v>
      </c>
      <c r="BM344" s="247">
        <f t="shared" si="359"/>
        <v>0</v>
      </c>
      <c r="BN344" s="210">
        <f t="shared" si="359"/>
        <v>41301.699999809265</v>
      </c>
      <c r="BO344" s="182">
        <f t="shared" si="359"/>
        <v>0</v>
      </c>
      <c r="BP344" s="247">
        <f t="shared" si="359"/>
        <v>0</v>
      </c>
      <c r="BQ344" s="210">
        <f t="shared" si="359"/>
        <v>48451.100000023842</v>
      </c>
      <c r="BR344" s="182">
        <f t="shared" si="359"/>
        <v>0</v>
      </c>
      <c r="BS344" s="247">
        <f t="shared" si="359"/>
        <v>0</v>
      </c>
      <c r="BT344" s="210">
        <f t="shared" si="359"/>
        <v>85951.700000166893</v>
      </c>
      <c r="BU344" s="182">
        <f t="shared" si="359"/>
        <v>0</v>
      </c>
      <c r="BV344" s="247">
        <f t="shared" si="359"/>
        <v>0</v>
      </c>
      <c r="BW344" s="210">
        <f t="shared" si="359"/>
        <v>34901.400000095367</v>
      </c>
      <c r="BX344" s="182">
        <f t="shared" si="359"/>
        <v>0</v>
      </c>
      <c r="BY344" s="247">
        <f t="shared" si="359"/>
        <v>0</v>
      </c>
      <c r="BZ344" s="210">
        <f t="shared" si="359"/>
        <v>39250.399999976158</v>
      </c>
      <c r="CA344" s="182">
        <f t="shared" si="359"/>
        <v>0</v>
      </c>
      <c r="CB344" s="247">
        <f t="shared" si="359"/>
        <v>0</v>
      </c>
      <c r="CC344" s="210">
        <f t="shared" si="359"/>
        <v>18152.800000011921</v>
      </c>
      <c r="CD344" s="182">
        <f t="shared" si="359"/>
        <v>0</v>
      </c>
      <c r="CE344" s="247">
        <f t="shared" si="359"/>
        <v>0</v>
      </c>
      <c r="CF344" s="210">
        <f t="shared" ref="CF344:CN344" si="360">+CF339+CF335</f>
        <v>86852.500000238419</v>
      </c>
      <c r="CG344" s="182">
        <f t="shared" si="360"/>
        <v>0</v>
      </c>
      <c r="CH344" s="247">
        <f t="shared" si="360"/>
        <v>0</v>
      </c>
      <c r="CI344" s="210">
        <f t="shared" si="360"/>
        <v>189751.70000004768</v>
      </c>
      <c r="CJ344" s="182">
        <f t="shared" si="360"/>
        <v>0</v>
      </c>
      <c r="CK344" s="247">
        <f t="shared" si="360"/>
        <v>0</v>
      </c>
      <c r="CL344" s="210">
        <f t="shared" si="360"/>
        <v>52700.399999976158</v>
      </c>
      <c r="CM344" s="182">
        <f t="shared" si="360"/>
        <v>0</v>
      </c>
      <c r="CN344" s="247">
        <f t="shared" si="360"/>
        <v>0</v>
      </c>
      <c r="CO344" s="210">
        <f t="shared" ref="CO344:CZ344" si="361">+CO339+CO335</f>
        <v>44503.200000166893</v>
      </c>
      <c r="CP344" s="182">
        <f t="shared" si="361"/>
        <v>0</v>
      </c>
      <c r="CQ344" s="247">
        <f t="shared" si="361"/>
        <v>0</v>
      </c>
      <c r="CR344" s="210">
        <f t="shared" si="361"/>
        <v>45651.799999713898</v>
      </c>
      <c r="CS344" s="182">
        <f t="shared" si="361"/>
        <v>0</v>
      </c>
      <c r="CT344" s="247">
        <f t="shared" si="361"/>
        <v>0</v>
      </c>
      <c r="CU344" s="210">
        <f t="shared" si="361"/>
        <v>48052.400000095367</v>
      </c>
      <c r="CV344" s="182">
        <f t="shared" si="361"/>
        <v>0</v>
      </c>
      <c r="CW344" s="247">
        <f t="shared" si="361"/>
        <v>0</v>
      </c>
      <c r="CX344" s="210">
        <f t="shared" si="361"/>
        <v>12602.199999988079</v>
      </c>
      <c r="CY344" s="182">
        <f t="shared" si="361"/>
        <v>0</v>
      </c>
      <c r="CZ344" s="247">
        <f t="shared" si="361"/>
        <v>0</v>
      </c>
    </row>
    <row r="345" spans="1:104" s="8" customFormat="1" ht="13.5" thickBot="1" x14ac:dyDescent="0.25">
      <c r="A345" s="183"/>
      <c r="B345" s="185"/>
      <c r="C345" s="183"/>
      <c r="D345" s="184"/>
      <c r="E345" s="185"/>
      <c r="F345" s="183"/>
      <c r="G345" s="184"/>
      <c r="H345" s="185"/>
      <c r="I345" s="183"/>
      <c r="J345" s="184"/>
      <c r="K345" s="185"/>
      <c r="L345" s="183"/>
      <c r="M345" s="184"/>
      <c r="N345" s="185"/>
      <c r="O345" s="183"/>
      <c r="P345" s="184"/>
      <c r="Q345" s="185"/>
      <c r="R345" s="183"/>
      <c r="S345" s="184"/>
      <c r="T345" s="185"/>
      <c r="U345" s="183"/>
      <c r="V345" s="184"/>
      <c r="W345" s="185"/>
      <c r="X345" s="183"/>
      <c r="Y345" s="184"/>
      <c r="Z345" s="185"/>
      <c r="AA345" s="183"/>
      <c r="AB345" s="184"/>
      <c r="AC345" s="185"/>
      <c r="AD345" s="183"/>
      <c r="AE345" s="184"/>
      <c r="AF345" s="185"/>
      <c r="AG345" s="183"/>
      <c r="AH345" s="184"/>
      <c r="AI345" s="185"/>
      <c r="AJ345" s="183"/>
      <c r="AK345" s="184"/>
      <c r="AL345" s="185"/>
      <c r="AM345" s="183"/>
      <c r="AN345" s="184"/>
      <c r="AO345" s="185"/>
      <c r="AP345" s="183"/>
      <c r="AQ345" s="184"/>
      <c r="AR345" s="185"/>
      <c r="AS345" s="183"/>
      <c r="AT345" s="184"/>
      <c r="AU345" s="185"/>
      <c r="AV345" s="183"/>
      <c r="AW345" s="184"/>
      <c r="AX345" s="185"/>
      <c r="AY345" s="183"/>
      <c r="AZ345" s="184"/>
      <c r="BA345" s="185"/>
      <c r="BB345" s="183"/>
      <c r="BC345" s="184"/>
      <c r="BD345" s="185"/>
      <c r="BE345" s="183"/>
      <c r="BF345" s="184"/>
      <c r="BG345" s="185"/>
      <c r="BH345" s="183"/>
      <c r="BI345" s="184"/>
      <c r="BJ345" s="185"/>
      <c r="BK345" s="183"/>
      <c r="BL345" s="184"/>
      <c r="BM345" s="185"/>
      <c r="BN345" s="183"/>
      <c r="BO345" s="184"/>
      <c r="BP345" s="185"/>
      <c r="BQ345" s="183"/>
      <c r="BR345" s="184"/>
      <c r="BS345" s="185"/>
      <c r="BT345" s="183"/>
      <c r="BU345" s="184"/>
      <c r="BV345" s="185"/>
      <c r="BW345" s="183"/>
      <c r="BX345" s="184"/>
      <c r="BY345" s="185"/>
      <c r="BZ345" s="183"/>
      <c r="CA345" s="184"/>
      <c r="CB345" s="185"/>
      <c r="CC345" s="183"/>
      <c r="CD345" s="184"/>
      <c r="CE345" s="185"/>
      <c r="CF345" s="183"/>
      <c r="CG345" s="184"/>
      <c r="CH345" s="185"/>
      <c r="CI345" s="183"/>
      <c r="CJ345" s="184"/>
      <c r="CK345" s="185"/>
      <c r="CL345" s="183"/>
      <c r="CM345" s="184"/>
      <c r="CN345" s="185"/>
      <c r="CO345" s="183"/>
      <c r="CP345" s="184"/>
      <c r="CQ345" s="185"/>
      <c r="CR345" s="183"/>
      <c r="CS345" s="184"/>
      <c r="CT345" s="185"/>
      <c r="CU345" s="183"/>
      <c r="CV345" s="184"/>
      <c r="CW345" s="185"/>
      <c r="CX345" s="183"/>
      <c r="CY345" s="184"/>
      <c r="CZ345" s="185"/>
    </row>
    <row r="346" spans="1:104" s="8" customFormat="1" ht="13.5" thickBot="1" x14ac:dyDescent="0.25">
      <c r="A346" s="126" t="s">
        <v>130</v>
      </c>
      <c r="B346" s="127"/>
      <c r="C346" s="186">
        <f t="shared" ref="C346:I346" si="362">SUM(C109:C111)</f>
        <v>80451</v>
      </c>
      <c r="D346" s="182">
        <f t="shared" ref="D346:E346" si="363">SUM(D109:D110)</f>
        <v>24718650</v>
      </c>
      <c r="E346" s="247">
        <f t="shared" si="363"/>
        <v>101152150</v>
      </c>
      <c r="F346" s="186">
        <f t="shared" si="362"/>
        <v>85405</v>
      </c>
      <c r="G346" s="182">
        <f t="shared" ref="G346:H346" si="364">SUM(G109:G110)</f>
        <v>21928350</v>
      </c>
      <c r="H346" s="247">
        <f t="shared" si="364"/>
        <v>104852850</v>
      </c>
      <c r="I346" s="186">
        <f t="shared" si="362"/>
        <v>85043</v>
      </c>
      <c r="J346" s="182">
        <f t="shared" ref="J346:K346" si="365">SUM(J109:J110)</f>
        <v>18759250</v>
      </c>
      <c r="K346" s="247">
        <f t="shared" si="365"/>
        <v>98645750</v>
      </c>
      <c r="L346" s="186">
        <f t="shared" ref="L346:R346" si="366">SUM(L109:L111)</f>
        <v>83207</v>
      </c>
      <c r="M346" s="182">
        <f t="shared" ref="M346:N346" si="367">SUM(M109:M110)</f>
        <v>17606800</v>
      </c>
      <c r="N346" s="247">
        <f t="shared" si="367"/>
        <v>96742500</v>
      </c>
      <c r="O346" s="186">
        <f t="shared" si="366"/>
        <v>51735</v>
      </c>
      <c r="P346" s="182">
        <f t="shared" ref="P346:Q346" si="368">SUM(P109:P110)</f>
        <v>11419500</v>
      </c>
      <c r="Q346" s="247">
        <f t="shared" si="368"/>
        <v>65899000</v>
      </c>
      <c r="R346" s="186">
        <f t="shared" si="366"/>
        <v>24129</v>
      </c>
      <c r="S346" s="182">
        <f t="shared" ref="S346:T346" si="369">SUM(S109:S110)</f>
        <v>3802100</v>
      </c>
      <c r="T346" s="247">
        <f t="shared" si="369"/>
        <v>33342600</v>
      </c>
      <c r="U346" s="186">
        <f t="shared" ref="U346" si="370">SUM(U109:U111)</f>
        <v>86534</v>
      </c>
      <c r="V346" s="182">
        <f t="shared" ref="V346:W346" si="371">SUM(V109:V110)</f>
        <v>23886700</v>
      </c>
      <c r="W346" s="247">
        <f t="shared" si="371"/>
        <v>106960900</v>
      </c>
      <c r="X346" s="186">
        <f t="shared" ref="X346" si="372">SUM(X109:X111)</f>
        <v>86071</v>
      </c>
      <c r="Y346" s="182">
        <f t="shared" ref="Y346:Z346" si="373">SUM(Y109:Y110)</f>
        <v>18697350</v>
      </c>
      <c r="Z346" s="247">
        <f t="shared" si="373"/>
        <v>99865250</v>
      </c>
      <c r="AA346" s="186">
        <f t="shared" ref="AA346" si="374">SUM(AA109:AA111)</f>
        <v>82552</v>
      </c>
      <c r="AB346" s="182">
        <f t="shared" ref="AB346:AC346" si="375">SUM(AB109:AB110)</f>
        <v>16005700</v>
      </c>
      <c r="AC346" s="247">
        <f t="shared" si="375"/>
        <v>92730500</v>
      </c>
      <c r="AD346" s="186">
        <f t="shared" ref="AD346" si="376">SUM(AD109:AD111)</f>
        <v>84459</v>
      </c>
      <c r="AE346" s="182">
        <f t="shared" ref="AE346:AF346" si="377">SUM(AE109:AE110)</f>
        <v>17507350</v>
      </c>
      <c r="AF346" s="247">
        <f t="shared" si="377"/>
        <v>96062650</v>
      </c>
      <c r="AG346" s="186">
        <f t="shared" ref="AG346" si="378">SUM(AG109:AG111)</f>
        <v>82155</v>
      </c>
      <c r="AH346" s="182">
        <f t="shared" ref="AH346:AI346" si="379">SUM(AH109:AH110)</f>
        <v>15950650</v>
      </c>
      <c r="AI346" s="247">
        <f t="shared" si="379"/>
        <v>92326350</v>
      </c>
      <c r="AJ346" s="186">
        <f t="shared" ref="AJ346" si="380">SUM(AJ109:AJ111)</f>
        <v>51772</v>
      </c>
      <c r="AK346" s="182">
        <f t="shared" ref="AK346:AL346" si="381">SUM(AK109:AK110)</f>
        <v>11581950</v>
      </c>
      <c r="AL346" s="247">
        <f t="shared" si="381"/>
        <v>66012750</v>
      </c>
      <c r="AM346" s="186">
        <f t="shared" ref="AM346" si="382">SUM(AM109:AM111)</f>
        <v>22377</v>
      </c>
      <c r="AN346" s="182">
        <f t="shared" ref="AN346:AO346" si="383">SUM(AN109:AN110)</f>
        <v>4100000</v>
      </c>
      <c r="AO346" s="247">
        <f t="shared" si="383"/>
        <v>31089700</v>
      </c>
      <c r="AP346" s="186">
        <f t="shared" ref="AP346:AY346" si="384">SUM(AP109:AP111)</f>
        <v>88606</v>
      </c>
      <c r="AQ346" s="182">
        <f t="shared" ref="AQ346:AR346" si="385">SUM(AQ109:AQ110)</f>
        <v>26264900</v>
      </c>
      <c r="AR346" s="247">
        <f t="shared" si="385"/>
        <v>111856900</v>
      </c>
      <c r="AS346" s="186">
        <f t="shared" si="384"/>
        <v>86282</v>
      </c>
      <c r="AT346" s="182">
        <f t="shared" ref="AT346:AU346" si="386">SUM(AT109:AT110)</f>
        <v>23200200</v>
      </c>
      <c r="AU346" s="247">
        <f t="shared" si="386"/>
        <v>104984600</v>
      </c>
      <c r="AV346" s="186">
        <f t="shared" si="384"/>
        <v>86239</v>
      </c>
      <c r="AW346" s="182">
        <f t="shared" ref="AW346:AX346" si="387">SUM(AW109:AW110)</f>
        <v>25640200</v>
      </c>
      <c r="AX346" s="247">
        <f t="shared" si="387"/>
        <v>107114300</v>
      </c>
      <c r="AY346" s="186">
        <f t="shared" si="384"/>
        <v>85242</v>
      </c>
      <c r="AZ346" s="182">
        <f t="shared" ref="AZ346:BA346" si="388">SUM(AZ109:AZ110)</f>
        <v>21578600</v>
      </c>
      <c r="BA346" s="247">
        <f t="shared" si="388"/>
        <v>101370000</v>
      </c>
      <c r="BB346" s="186">
        <f t="shared" ref="BB346:BH346" si="389">SUM(BB109:BB111)</f>
        <v>84093</v>
      </c>
      <c r="BC346" s="182">
        <f t="shared" ref="BC346:BD346" si="390">SUM(BC109:BC110)</f>
        <v>17171300</v>
      </c>
      <c r="BD346" s="247">
        <f t="shared" si="390"/>
        <v>96057800</v>
      </c>
      <c r="BE346" s="186">
        <f t="shared" si="389"/>
        <v>52131</v>
      </c>
      <c r="BF346" s="182">
        <f t="shared" ref="BF346:BG346" si="391">SUM(BF109:BF110)</f>
        <v>11109101</v>
      </c>
      <c r="BG346" s="247">
        <f t="shared" si="391"/>
        <v>66100201</v>
      </c>
      <c r="BH346" s="186">
        <f t="shared" si="389"/>
        <v>24117</v>
      </c>
      <c r="BI346" s="182">
        <f t="shared" ref="BI346:BJ346" si="392">SUM(BI109:BI110)</f>
        <v>4276200</v>
      </c>
      <c r="BJ346" s="247">
        <f t="shared" si="392"/>
        <v>33592500</v>
      </c>
      <c r="BK346" s="186">
        <f t="shared" ref="BK346" si="393">SUM(BK109:BK111)</f>
        <v>88338</v>
      </c>
      <c r="BL346" s="182">
        <f t="shared" ref="BL346:BM346" si="394">SUM(BL109:BL110)</f>
        <v>26786600</v>
      </c>
      <c r="BM346" s="247">
        <f t="shared" si="394"/>
        <v>111587000</v>
      </c>
      <c r="BN346" s="186">
        <f t="shared" ref="BN346" si="395">SUM(BN109:BN111)</f>
        <v>86042</v>
      </c>
      <c r="BO346" s="182">
        <f t="shared" ref="BO346:BP346" si="396">SUM(BO109:BO110)</f>
        <v>18495450</v>
      </c>
      <c r="BP346" s="247">
        <f t="shared" si="396"/>
        <v>99627450</v>
      </c>
      <c r="BQ346" s="186">
        <f t="shared" ref="BQ346" si="397">SUM(BQ109:BQ111)</f>
        <v>84711</v>
      </c>
      <c r="BR346" s="182">
        <f t="shared" ref="BR346:BS346" si="398">SUM(BR109:BR110)</f>
        <v>17829400</v>
      </c>
      <c r="BS346" s="247">
        <f t="shared" si="398"/>
        <v>96955300</v>
      </c>
      <c r="BT346" s="186">
        <f t="shared" ref="BT346" si="399">SUM(BT109:BT111)</f>
        <v>83565</v>
      </c>
      <c r="BU346" s="182">
        <f t="shared" ref="BU346:BV346" si="400">SUM(BU109:BU110)</f>
        <v>15931350</v>
      </c>
      <c r="BV346" s="247">
        <f t="shared" si="400"/>
        <v>94152050</v>
      </c>
      <c r="BW346" s="186">
        <f t="shared" ref="BW346" si="401">SUM(BW109:BW111)</f>
        <v>83996</v>
      </c>
      <c r="BX346" s="182">
        <f t="shared" ref="BX346:BY346" si="402">SUM(BX109:BX110)</f>
        <v>15814300</v>
      </c>
      <c r="BY346" s="247">
        <f t="shared" si="402"/>
        <v>93770700</v>
      </c>
      <c r="BZ346" s="186">
        <f t="shared" ref="BZ346" si="403">SUM(BZ109:BZ111)</f>
        <v>53563</v>
      </c>
      <c r="CA346" s="182">
        <f t="shared" ref="CA346:CB346" si="404">SUM(CA109:CA110)</f>
        <v>12512851</v>
      </c>
      <c r="CB346" s="247">
        <f t="shared" si="404"/>
        <v>69343551</v>
      </c>
      <c r="CC346" s="186">
        <f t="shared" ref="CC346" si="405">SUM(CC109:CC111)</f>
        <v>22840</v>
      </c>
      <c r="CD346" s="182">
        <f t="shared" ref="CD346:CE346" si="406">SUM(CD109:CD110)</f>
        <v>4944250</v>
      </c>
      <c r="CE346" s="247">
        <f t="shared" si="406"/>
        <v>32507450</v>
      </c>
      <c r="CF346" s="186">
        <f t="shared" ref="CF346:CL346" si="407">SUM(CF109:CF111)</f>
        <v>88141</v>
      </c>
      <c r="CG346" s="182">
        <f t="shared" ref="CG346:CH346" si="408">SUM(CG109:CG110)</f>
        <v>31625000</v>
      </c>
      <c r="CH346" s="247">
        <f t="shared" si="408"/>
        <v>116903300</v>
      </c>
      <c r="CI346" s="186">
        <f t="shared" si="407"/>
        <v>88380</v>
      </c>
      <c r="CJ346" s="182">
        <f t="shared" ref="CJ346:CK346" si="409">SUM(CJ109:CJ110)</f>
        <v>24940900</v>
      </c>
      <c r="CK346" s="247">
        <f t="shared" si="409"/>
        <v>110094700</v>
      </c>
      <c r="CL346" s="186">
        <f t="shared" si="407"/>
        <v>87322</v>
      </c>
      <c r="CM346" s="182">
        <f t="shared" ref="CM346:CN346" si="410">SUM(CM109:CM110)</f>
        <v>20445000</v>
      </c>
      <c r="CN346" s="247">
        <f t="shared" si="410"/>
        <v>103398600</v>
      </c>
      <c r="CO346" s="186">
        <f t="shared" ref="CO346" si="411">SUM(CO109:CO111)</f>
        <v>86948</v>
      </c>
      <c r="CP346" s="182">
        <f t="shared" ref="CP346:CQ346" si="412">SUM(CP109:CP110)</f>
        <v>18138150</v>
      </c>
      <c r="CQ346" s="247">
        <f t="shared" si="412"/>
        <v>101067350</v>
      </c>
      <c r="CR346" s="186">
        <f t="shared" ref="CR346" si="413">SUM(CR109:CR111)</f>
        <v>86438</v>
      </c>
      <c r="CS346" s="182">
        <f t="shared" ref="CS346:CT346" si="414">SUM(CS109:CS110)</f>
        <v>15567300</v>
      </c>
      <c r="CT346" s="247">
        <f t="shared" si="414"/>
        <v>97324300</v>
      </c>
      <c r="CU346" s="186">
        <f t="shared" ref="CU346" si="415">SUM(CU109:CU111)</f>
        <v>55475</v>
      </c>
      <c r="CV346" s="182">
        <f t="shared" ref="CV346:CW346" si="416">SUM(CV109:CV110)</f>
        <v>11400750</v>
      </c>
      <c r="CW346" s="247">
        <f t="shared" si="416"/>
        <v>70453850</v>
      </c>
      <c r="CX346" s="186">
        <f t="shared" ref="CX346" si="417">SUM(CX109:CX111)</f>
        <v>23623</v>
      </c>
      <c r="CY346" s="182">
        <f t="shared" ref="CY346:CZ346" si="418">SUM(CY109:CY110)</f>
        <v>3896400</v>
      </c>
      <c r="CZ346" s="247">
        <f t="shared" si="418"/>
        <v>32572700</v>
      </c>
    </row>
    <row r="347" spans="1:104" s="4" customFormat="1" ht="13.5" thickBot="1" x14ac:dyDescent="0.25">
      <c r="A347" s="237" t="s">
        <v>120</v>
      </c>
      <c r="B347" s="129"/>
      <c r="C347" s="187">
        <f t="shared" ref="C347:T347" si="419">+C110</f>
        <v>9575</v>
      </c>
      <c r="D347" s="188">
        <f t="shared" si="419"/>
        <v>18014900</v>
      </c>
      <c r="E347" s="247">
        <f t="shared" si="419"/>
        <v>34292400</v>
      </c>
      <c r="F347" s="187">
        <f t="shared" si="419"/>
        <v>9615</v>
      </c>
      <c r="G347" s="188">
        <f t="shared" si="419"/>
        <v>15747650</v>
      </c>
      <c r="H347" s="247">
        <f t="shared" si="419"/>
        <v>32093150</v>
      </c>
      <c r="I347" s="187">
        <f t="shared" si="419"/>
        <v>8945</v>
      </c>
      <c r="J347" s="188">
        <f t="shared" si="419"/>
        <v>12782350</v>
      </c>
      <c r="K347" s="247">
        <f t="shared" si="419"/>
        <v>27988850</v>
      </c>
      <c r="L347" s="187">
        <f t="shared" si="419"/>
        <v>9691</v>
      </c>
      <c r="M347" s="188">
        <f t="shared" si="419"/>
        <v>13141400</v>
      </c>
      <c r="N347" s="247">
        <f t="shared" si="419"/>
        <v>29616100</v>
      </c>
      <c r="O347" s="187">
        <f t="shared" si="419"/>
        <v>7475</v>
      </c>
      <c r="P347" s="188">
        <f t="shared" si="419"/>
        <v>8759200</v>
      </c>
      <c r="Q347" s="247">
        <f t="shared" si="419"/>
        <v>21466700</v>
      </c>
      <c r="R347" s="187">
        <f t="shared" si="419"/>
        <v>4100</v>
      </c>
      <c r="S347" s="188">
        <f t="shared" si="419"/>
        <v>2447900</v>
      </c>
      <c r="T347" s="247">
        <f t="shared" si="419"/>
        <v>9417900</v>
      </c>
      <c r="U347" s="187">
        <f t="shared" ref="U347:AO347" si="420">+U110</f>
        <v>9951</v>
      </c>
      <c r="V347" s="188">
        <f t="shared" si="420"/>
        <v>16718300</v>
      </c>
      <c r="W347" s="247">
        <f t="shared" si="420"/>
        <v>33635000</v>
      </c>
      <c r="X347" s="187">
        <f t="shared" si="420"/>
        <v>8992</v>
      </c>
      <c r="Y347" s="188">
        <f t="shared" si="420"/>
        <v>13250050</v>
      </c>
      <c r="Z347" s="247">
        <f t="shared" si="420"/>
        <v>28536450</v>
      </c>
      <c r="AA347" s="187">
        <f t="shared" si="420"/>
        <v>8594</v>
      </c>
      <c r="AB347" s="188">
        <f t="shared" si="420"/>
        <v>11703300</v>
      </c>
      <c r="AC347" s="247">
        <f t="shared" si="420"/>
        <v>26313100</v>
      </c>
      <c r="AD347" s="187">
        <f t="shared" si="420"/>
        <v>8469</v>
      </c>
      <c r="AE347" s="188">
        <f t="shared" si="420"/>
        <v>12614750</v>
      </c>
      <c r="AF347" s="247">
        <f t="shared" si="420"/>
        <v>27012050</v>
      </c>
      <c r="AG347" s="187">
        <f t="shared" si="420"/>
        <v>8686</v>
      </c>
      <c r="AH347" s="188">
        <f t="shared" si="420"/>
        <v>11549850</v>
      </c>
      <c r="AI347" s="247">
        <f t="shared" si="420"/>
        <v>26316050</v>
      </c>
      <c r="AJ347" s="187">
        <f t="shared" si="420"/>
        <v>7164</v>
      </c>
      <c r="AK347" s="188">
        <f t="shared" si="420"/>
        <v>8729000</v>
      </c>
      <c r="AL347" s="247">
        <f t="shared" si="420"/>
        <v>20907800</v>
      </c>
      <c r="AM347" s="187">
        <f t="shared" si="420"/>
        <v>3901</v>
      </c>
      <c r="AN347" s="188">
        <f t="shared" si="420"/>
        <v>2951700</v>
      </c>
      <c r="AO347" s="247">
        <f t="shared" si="420"/>
        <v>9583400</v>
      </c>
      <c r="AP347" s="187">
        <f t="shared" ref="AP347:BJ347" si="421">+AP110</f>
        <v>10540</v>
      </c>
      <c r="AQ347" s="188">
        <f t="shared" si="421"/>
        <v>18073900</v>
      </c>
      <c r="AR347" s="247">
        <f t="shared" si="421"/>
        <v>35991900</v>
      </c>
      <c r="AS347" s="187">
        <f t="shared" si="421"/>
        <v>10582</v>
      </c>
      <c r="AT347" s="188">
        <f t="shared" si="421"/>
        <v>15743100</v>
      </c>
      <c r="AU347" s="247">
        <f t="shared" si="421"/>
        <v>33732500</v>
      </c>
      <c r="AV347" s="187">
        <f t="shared" si="421"/>
        <v>10283</v>
      </c>
      <c r="AW347" s="188">
        <f t="shared" si="421"/>
        <v>19431400</v>
      </c>
      <c r="AX347" s="247">
        <f t="shared" si="421"/>
        <v>36912500</v>
      </c>
      <c r="AY347" s="187">
        <f t="shared" si="421"/>
        <v>9692</v>
      </c>
      <c r="AZ347" s="188">
        <f t="shared" si="421"/>
        <v>15649300</v>
      </c>
      <c r="BA347" s="247">
        <f t="shared" si="421"/>
        <v>32125700</v>
      </c>
      <c r="BB347" s="187">
        <f t="shared" si="421"/>
        <v>9180</v>
      </c>
      <c r="BC347" s="188">
        <f t="shared" si="421"/>
        <v>12171000</v>
      </c>
      <c r="BD347" s="247">
        <f t="shared" si="421"/>
        <v>27777000</v>
      </c>
      <c r="BE347" s="187">
        <f t="shared" si="421"/>
        <v>7393</v>
      </c>
      <c r="BF347" s="188">
        <f t="shared" si="421"/>
        <v>8768201</v>
      </c>
      <c r="BG347" s="247">
        <f t="shared" si="421"/>
        <v>21336301</v>
      </c>
      <c r="BH347" s="187">
        <f t="shared" si="421"/>
        <v>4044</v>
      </c>
      <c r="BI347" s="188">
        <f t="shared" si="421"/>
        <v>2728100</v>
      </c>
      <c r="BJ347" s="247">
        <f t="shared" si="421"/>
        <v>9602900</v>
      </c>
      <c r="BK347" s="187">
        <f t="shared" ref="BK347:CE347" si="422">+BK110</f>
        <v>9822</v>
      </c>
      <c r="BL347" s="188">
        <f t="shared" si="422"/>
        <v>19222800</v>
      </c>
      <c r="BM347" s="247">
        <f t="shared" si="422"/>
        <v>35920200</v>
      </c>
      <c r="BN347" s="187">
        <f t="shared" si="422"/>
        <v>9150</v>
      </c>
      <c r="BO347" s="188">
        <f t="shared" si="422"/>
        <v>12912200</v>
      </c>
      <c r="BP347" s="247">
        <f t="shared" si="422"/>
        <v>28467200</v>
      </c>
      <c r="BQ347" s="187">
        <f t="shared" si="422"/>
        <v>8772</v>
      </c>
      <c r="BR347" s="188">
        <f t="shared" si="422"/>
        <v>12199900</v>
      </c>
      <c r="BS347" s="247">
        <f t="shared" si="422"/>
        <v>27112300</v>
      </c>
      <c r="BT347" s="187">
        <f t="shared" si="422"/>
        <v>8776</v>
      </c>
      <c r="BU347" s="188">
        <f t="shared" si="422"/>
        <v>11535750</v>
      </c>
      <c r="BV347" s="247">
        <f t="shared" si="422"/>
        <v>26454950</v>
      </c>
      <c r="BW347" s="187">
        <f t="shared" si="422"/>
        <v>9202</v>
      </c>
      <c r="BX347" s="188">
        <f t="shared" si="422"/>
        <v>11502600</v>
      </c>
      <c r="BY347" s="247">
        <f t="shared" si="422"/>
        <v>27146000</v>
      </c>
      <c r="BZ347" s="187">
        <f t="shared" si="422"/>
        <v>7726</v>
      </c>
      <c r="CA347" s="188">
        <f t="shared" si="422"/>
        <v>9565350</v>
      </c>
      <c r="CB347" s="247">
        <f t="shared" si="422"/>
        <v>22699550</v>
      </c>
      <c r="CC347" s="187">
        <f t="shared" si="422"/>
        <v>3896</v>
      </c>
      <c r="CD347" s="188">
        <f t="shared" si="422"/>
        <v>3103750</v>
      </c>
      <c r="CE347" s="247">
        <f t="shared" si="422"/>
        <v>9726950</v>
      </c>
      <c r="CF347" s="187">
        <f t="shared" ref="CF347:CN347" si="423">+CF110</f>
        <v>9879</v>
      </c>
      <c r="CG347" s="188">
        <f t="shared" si="423"/>
        <v>21326900</v>
      </c>
      <c r="CH347" s="247">
        <f t="shared" si="423"/>
        <v>38121200</v>
      </c>
      <c r="CI347" s="187">
        <f t="shared" si="423"/>
        <v>9534</v>
      </c>
      <c r="CJ347" s="188">
        <f t="shared" si="423"/>
        <v>16806100</v>
      </c>
      <c r="CK347" s="247">
        <f t="shared" si="423"/>
        <v>33013900</v>
      </c>
      <c r="CL347" s="187">
        <f t="shared" si="423"/>
        <v>9408</v>
      </c>
      <c r="CM347" s="188">
        <f t="shared" si="423"/>
        <v>13633900</v>
      </c>
      <c r="CN347" s="247">
        <f t="shared" si="423"/>
        <v>29627500</v>
      </c>
      <c r="CO347" s="187">
        <f t="shared" ref="CO347:CZ347" si="424">+CO110</f>
        <v>9466</v>
      </c>
      <c r="CP347" s="188">
        <f t="shared" si="424"/>
        <v>13218000</v>
      </c>
      <c r="CQ347" s="247">
        <f t="shared" si="424"/>
        <v>29310200</v>
      </c>
      <c r="CR347" s="187">
        <f t="shared" si="424"/>
        <v>9620</v>
      </c>
      <c r="CS347" s="188">
        <f t="shared" si="424"/>
        <v>10940100</v>
      </c>
      <c r="CT347" s="247">
        <f t="shared" si="424"/>
        <v>27294100</v>
      </c>
      <c r="CU347" s="187">
        <f t="shared" si="424"/>
        <v>7993</v>
      </c>
      <c r="CV347" s="188">
        <f t="shared" si="424"/>
        <v>8316250</v>
      </c>
      <c r="CW347" s="247">
        <f t="shared" si="424"/>
        <v>21904350</v>
      </c>
      <c r="CX347" s="187">
        <f t="shared" si="424"/>
        <v>4219</v>
      </c>
      <c r="CY347" s="188">
        <f t="shared" si="424"/>
        <v>2840400</v>
      </c>
      <c r="CZ347" s="247">
        <f t="shared" si="424"/>
        <v>10012700</v>
      </c>
    </row>
    <row r="348" spans="1:104" s="10" customFormat="1" ht="13.5" thickBot="1" x14ac:dyDescent="0.25">
      <c r="A348" s="238" t="s">
        <v>121</v>
      </c>
      <c r="B348" s="131"/>
      <c r="C348" s="187">
        <f t="shared" ref="C348:T348" si="425">+C109</f>
        <v>40104</v>
      </c>
      <c r="D348" s="188">
        <f t="shared" si="425"/>
        <v>6703750</v>
      </c>
      <c r="E348" s="247">
        <f t="shared" si="425"/>
        <v>66859750</v>
      </c>
      <c r="F348" s="187">
        <f t="shared" si="425"/>
        <v>44386</v>
      </c>
      <c r="G348" s="188">
        <f t="shared" si="425"/>
        <v>6180700</v>
      </c>
      <c r="H348" s="247">
        <f t="shared" si="425"/>
        <v>72759700</v>
      </c>
      <c r="I348" s="187">
        <f t="shared" si="425"/>
        <v>43120</v>
      </c>
      <c r="J348" s="188">
        <f t="shared" si="425"/>
        <v>5976900</v>
      </c>
      <c r="K348" s="247">
        <f t="shared" si="425"/>
        <v>70656900</v>
      </c>
      <c r="L348" s="187">
        <f t="shared" si="425"/>
        <v>41774</v>
      </c>
      <c r="M348" s="188">
        <f t="shared" si="425"/>
        <v>4465400</v>
      </c>
      <c r="N348" s="247">
        <f t="shared" si="425"/>
        <v>67126400</v>
      </c>
      <c r="O348" s="187">
        <f t="shared" si="425"/>
        <v>27848</v>
      </c>
      <c r="P348" s="188">
        <f t="shared" si="425"/>
        <v>2660300</v>
      </c>
      <c r="Q348" s="247">
        <f t="shared" si="425"/>
        <v>44432300</v>
      </c>
      <c r="R348" s="187">
        <f t="shared" si="425"/>
        <v>15047</v>
      </c>
      <c r="S348" s="188">
        <f t="shared" si="425"/>
        <v>1354200</v>
      </c>
      <c r="T348" s="247">
        <f t="shared" si="425"/>
        <v>23924700</v>
      </c>
      <c r="U348" s="187">
        <f t="shared" ref="U348:AO348" si="426">+U109</f>
        <v>44105</v>
      </c>
      <c r="V348" s="188">
        <f t="shared" si="426"/>
        <v>7168400</v>
      </c>
      <c r="W348" s="247">
        <f t="shared" si="426"/>
        <v>73325900</v>
      </c>
      <c r="X348" s="187">
        <f t="shared" si="426"/>
        <v>43921</v>
      </c>
      <c r="Y348" s="188">
        <f t="shared" si="426"/>
        <v>5447300</v>
      </c>
      <c r="Z348" s="247">
        <f t="shared" si="426"/>
        <v>71328800</v>
      </c>
      <c r="AA348" s="187">
        <f t="shared" si="426"/>
        <v>41410</v>
      </c>
      <c r="AB348" s="188">
        <f t="shared" si="426"/>
        <v>4302400</v>
      </c>
      <c r="AC348" s="247">
        <f t="shared" si="426"/>
        <v>66417400</v>
      </c>
      <c r="AD348" s="187">
        <f t="shared" si="426"/>
        <v>42772</v>
      </c>
      <c r="AE348" s="188">
        <f t="shared" si="426"/>
        <v>4892600</v>
      </c>
      <c r="AF348" s="247">
        <f t="shared" si="426"/>
        <v>69050600</v>
      </c>
      <c r="AG348" s="187">
        <f t="shared" si="426"/>
        <v>41073</v>
      </c>
      <c r="AH348" s="188">
        <f t="shared" si="426"/>
        <v>4400800</v>
      </c>
      <c r="AI348" s="247">
        <f t="shared" si="426"/>
        <v>66010300</v>
      </c>
      <c r="AJ348" s="187">
        <f t="shared" si="426"/>
        <v>28168</v>
      </c>
      <c r="AK348" s="188">
        <f t="shared" si="426"/>
        <v>2852950</v>
      </c>
      <c r="AL348" s="247">
        <f t="shared" si="426"/>
        <v>45104950</v>
      </c>
      <c r="AM348" s="187">
        <f t="shared" si="426"/>
        <v>13572</v>
      </c>
      <c r="AN348" s="188">
        <f t="shared" si="426"/>
        <v>1148300</v>
      </c>
      <c r="AO348" s="247">
        <f t="shared" si="426"/>
        <v>21506300</v>
      </c>
      <c r="AP348" s="187">
        <f t="shared" ref="AP348:BJ348" si="427">+AP109</f>
        <v>45116</v>
      </c>
      <c r="AQ348" s="188">
        <f t="shared" si="427"/>
        <v>8191000</v>
      </c>
      <c r="AR348" s="247">
        <f t="shared" si="427"/>
        <v>75865000</v>
      </c>
      <c r="AS348" s="187">
        <f t="shared" si="427"/>
        <v>42530</v>
      </c>
      <c r="AT348" s="188">
        <f t="shared" si="427"/>
        <v>7457100</v>
      </c>
      <c r="AU348" s="247">
        <f t="shared" si="427"/>
        <v>71252100</v>
      </c>
      <c r="AV348" s="187">
        <f t="shared" si="427"/>
        <v>42662</v>
      </c>
      <c r="AW348" s="188">
        <f t="shared" si="427"/>
        <v>6208800</v>
      </c>
      <c r="AX348" s="247">
        <f t="shared" si="427"/>
        <v>70201800</v>
      </c>
      <c r="AY348" s="187">
        <f t="shared" si="427"/>
        <v>42210</v>
      </c>
      <c r="AZ348" s="188">
        <f t="shared" si="427"/>
        <v>5929300</v>
      </c>
      <c r="BA348" s="247">
        <f t="shared" si="427"/>
        <v>69244300</v>
      </c>
      <c r="BB348" s="187">
        <f t="shared" si="427"/>
        <v>42187</v>
      </c>
      <c r="BC348" s="188">
        <f t="shared" si="427"/>
        <v>5000300</v>
      </c>
      <c r="BD348" s="247">
        <f t="shared" si="427"/>
        <v>68280800</v>
      </c>
      <c r="BE348" s="187">
        <f t="shared" si="427"/>
        <v>28282</v>
      </c>
      <c r="BF348" s="188">
        <f t="shared" si="427"/>
        <v>2340900</v>
      </c>
      <c r="BG348" s="247">
        <f t="shared" si="427"/>
        <v>44763900</v>
      </c>
      <c r="BH348" s="187">
        <f t="shared" si="427"/>
        <v>14961</v>
      </c>
      <c r="BI348" s="188">
        <f t="shared" si="427"/>
        <v>1548100</v>
      </c>
      <c r="BJ348" s="247">
        <f t="shared" si="427"/>
        <v>23989600</v>
      </c>
      <c r="BK348" s="187">
        <f t="shared" ref="BK348:CE348" si="428">+BK109</f>
        <v>45402</v>
      </c>
      <c r="BL348" s="188">
        <f t="shared" si="428"/>
        <v>7563800</v>
      </c>
      <c r="BM348" s="247">
        <f t="shared" si="428"/>
        <v>75666800</v>
      </c>
      <c r="BN348" s="187">
        <f t="shared" si="428"/>
        <v>43718</v>
      </c>
      <c r="BO348" s="188">
        <f t="shared" si="428"/>
        <v>5583250</v>
      </c>
      <c r="BP348" s="247">
        <f t="shared" si="428"/>
        <v>71160250</v>
      </c>
      <c r="BQ348" s="187">
        <f t="shared" si="428"/>
        <v>42809</v>
      </c>
      <c r="BR348" s="188">
        <f t="shared" si="428"/>
        <v>5629500</v>
      </c>
      <c r="BS348" s="247">
        <f t="shared" si="428"/>
        <v>69843000</v>
      </c>
      <c r="BT348" s="187">
        <f t="shared" si="428"/>
        <v>42201</v>
      </c>
      <c r="BU348" s="188">
        <f t="shared" si="428"/>
        <v>4395600</v>
      </c>
      <c r="BV348" s="247">
        <f t="shared" si="428"/>
        <v>67697100</v>
      </c>
      <c r="BW348" s="187">
        <f t="shared" si="428"/>
        <v>41542</v>
      </c>
      <c r="BX348" s="188">
        <f t="shared" si="428"/>
        <v>4311700</v>
      </c>
      <c r="BY348" s="247">
        <f t="shared" si="428"/>
        <v>66624700</v>
      </c>
      <c r="BZ348" s="187">
        <f t="shared" si="428"/>
        <v>29131</v>
      </c>
      <c r="CA348" s="188">
        <f t="shared" si="428"/>
        <v>2947501</v>
      </c>
      <c r="CB348" s="247">
        <f t="shared" si="428"/>
        <v>46644001</v>
      </c>
      <c r="CC348" s="187">
        <f t="shared" si="428"/>
        <v>13960</v>
      </c>
      <c r="CD348" s="188">
        <f t="shared" si="428"/>
        <v>1840500</v>
      </c>
      <c r="CE348" s="247">
        <f t="shared" si="428"/>
        <v>22780500</v>
      </c>
      <c r="CF348" s="187">
        <f t="shared" ref="CF348:CN348" si="429">+CF109</f>
        <v>45656</v>
      </c>
      <c r="CG348" s="188">
        <f t="shared" si="429"/>
        <v>10298100</v>
      </c>
      <c r="CH348" s="247">
        <f t="shared" si="429"/>
        <v>78782100</v>
      </c>
      <c r="CI348" s="187">
        <f t="shared" si="429"/>
        <v>45964</v>
      </c>
      <c r="CJ348" s="188">
        <f t="shared" si="429"/>
        <v>8134800</v>
      </c>
      <c r="CK348" s="247">
        <f t="shared" si="429"/>
        <v>77080800</v>
      </c>
      <c r="CL348" s="187">
        <f t="shared" si="429"/>
        <v>44640</v>
      </c>
      <c r="CM348" s="188">
        <f t="shared" si="429"/>
        <v>6811100</v>
      </c>
      <c r="CN348" s="247">
        <f t="shared" si="429"/>
        <v>73771100</v>
      </c>
      <c r="CO348" s="187">
        <f t="shared" ref="CO348:CZ348" si="430">+CO109</f>
        <v>44558</v>
      </c>
      <c r="CP348" s="188">
        <f t="shared" si="430"/>
        <v>4920150</v>
      </c>
      <c r="CQ348" s="247">
        <f t="shared" si="430"/>
        <v>71757150</v>
      </c>
      <c r="CR348" s="187">
        <f t="shared" si="430"/>
        <v>43602</v>
      </c>
      <c r="CS348" s="188">
        <f t="shared" si="430"/>
        <v>4627200</v>
      </c>
      <c r="CT348" s="247">
        <f t="shared" si="430"/>
        <v>70030200</v>
      </c>
      <c r="CU348" s="187">
        <f t="shared" si="430"/>
        <v>30310</v>
      </c>
      <c r="CV348" s="188">
        <f t="shared" si="430"/>
        <v>3084500</v>
      </c>
      <c r="CW348" s="247">
        <f t="shared" si="430"/>
        <v>48549500</v>
      </c>
      <c r="CX348" s="187">
        <f t="shared" si="430"/>
        <v>14336</v>
      </c>
      <c r="CY348" s="188">
        <f t="shared" si="430"/>
        <v>1056000</v>
      </c>
      <c r="CZ348" s="247">
        <f t="shared" si="430"/>
        <v>22560000</v>
      </c>
    </row>
    <row r="349" spans="1:104" s="10" customFormat="1" ht="13.5" thickBot="1" x14ac:dyDescent="0.25">
      <c r="A349" s="238" t="s">
        <v>349</v>
      </c>
      <c r="B349" s="131"/>
      <c r="C349" s="187">
        <f t="shared" ref="C349:T349" si="431">+C111</f>
        <v>30772</v>
      </c>
      <c r="D349" s="190">
        <f t="shared" si="431"/>
        <v>0</v>
      </c>
      <c r="E349" s="189">
        <f t="shared" si="431"/>
        <v>0</v>
      </c>
      <c r="F349" s="187">
        <f t="shared" si="431"/>
        <v>31404</v>
      </c>
      <c r="G349" s="190">
        <f t="shared" si="431"/>
        <v>0</v>
      </c>
      <c r="H349" s="189">
        <f t="shared" si="431"/>
        <v>0</v>
      </c>
      <c r="I349" s="187">
        <f t="shared" si="431"/>
        <v>32978</v>
      </c>
      <c r="J349" s="190">
        <f t="shared" si="431"/>
        <v>0</v>
      </c>
      <c r="K349" s="189">
        <f t="shared" si="431"/>
        <v>0</v>
      </c>
      <c r="L349" s="187">
        <f t="shared" si="431"/>
        <v>31742</v>
      </c>
      <c r="M349" s="190">
        <f t="shared" si="431"/>
        <v>0</v>
      </c>
      <c r="N349" s="189">
        <f t="shared" si="431"/>
        <v>0</v>
      </c>
      <c r="O349" s="187">
        <f t="shared" si="431"/>
        <v>16412</v>
      </c>
      <c r="P349" s="190">
        <f t="shared" si="431"/>
        <v>0</v>
      </c>
      <c r="Q349" s="189">
        <f t="shared" si="431"/>
        <v>0</v>
      </c>
      <c r="R349" s="187">
        <f t="shared" si="431"/>
        <v>4982</v>
      </c>
      <c r="S349" s="190">
        <f t="shared" si="431"/>
        <v>0</v>
      </c>
      <c r="T349" s="189">
        <f t="shared" si="431"/>
        <v>0</v>
      </c>
      <c r="U349" s="187">
        <f t="shared" ref="U349:AO349" si="432">+U111</f>
        <v>32478</v>
      </c>
      <c r="V349" s="190">
        <f t="shared" si="432"/>
        <v>0</v>
      </c>
      <c r="W349" s="189">
        <f t="shared" si="432"/>
        <v>0</v>
      </c>
      <c r="X349" s="187">
        <f t="shared" si="432"/>
        <v>33158</v>
      </c>
      <c r="Y349" s="190">
        <f t="shared" si="432"/>
        <v>0</v>
      </c>
      <c r="Z349" s="189">
        <f t="shared" si="432"/>
        <v>0</v>
      </c>
      <c r="AA349" s="187">
        <f t="shared" si="432"/>
        <v>32548</v>
      </c>
      <c r="AB349" s="190">
        <f t="shared" si="432"/>
        <v>0</v>
      </c>
      <c r="AC349" s="189">
        <f t="shared" si="432"/>
        <v>0</v>
      </c>
      <c r="AD349" s="187">
        <f t="shared" si="432"/>
        <v>33218</v>
      </c>
      <c r="AE349" s="190">
        <f t="shared" si="432"/>
        <v>0</v>
      </c>
      <c r="AF349" s="189">
        <f t="shared" si="432"/>
        <v>0</v>
      </c>
      <c r="AG349" s="187">
        <f t="shared" si="432"/>
        <v>32396</v>
      </c>
      <c r="AH349" s="190">
        <f t="shared" si="432"/>
        <v>0</v>
      </c>
      <c r="AI349" s="189">
        <f t="shared" si="432"/>
        <v>0</v>
      </c>
      <c r="AJ349" s="187">
        <f t="shared" si="432"/>
        <v>16440</v>
      </c>
      <c r="AK349" s="190">
        <f t="shared" si="432"/>
        <v>0</v>
      </c>
      <c r="AL349" s="189">
        <f t="shared" si="432"/>
        <v>0</v>
      </c>
      <c r="AM349" s="187">
        <f t="shared" si="432"/>
        <v>4904</v>
      </c>
      <c r="AN349" s="190">
        <f t="shared" si="432"/>
        <v>0</v>
      </c>
      <c r="AO349" s="189">
        <f t="shared" si="432"/>
        <v>0</v>
      </c>
      <c r="AP349" s="187">
        <f t="shared" ref="AP349:BJ349" si="433">+AP111</f>
        <v>32950</v>
      </c>
      <c r="AQ349" s="190">
        <f t="shared" si="433"/>
        <v>0</v>
      </c>
      <c r="AR349" s="189">
        <f t="shared" si="433"/>
        <v>0</v>
      </c>
      <c r="AS349" s="187">
        <f t="shared" si="433"/>
        <v>33170</v>
      </c>
      <c r="AT349" s="190">
        <f t="shared" si="433"/>
        <v>0</v>
      </c>
      <c r="AU349" s="189">
        <f t="shared" si="433"/>
        <v>0</v>
      </c>
      <c r="AV349" s="187">
        <f t="shared" si="433"/>
        <v>33294</v>
      </c>
      <c r="AW349" s="190">
        <f t="shared" si="433"/>
        <v>0</v>
      </c>
      <c r="AX349" s="189">
        <f t="shared" si="433"/>
        <v>0</v>
      </c>
      <c r="AY349" s="187">
        <f t="shared" si="433"/>
        <v>33340</v>
      </c>
      <c r="AZ349" s="190">
        <f t="shared" si="433"/>
        <v>0</v>
      </c>
      <c r="BA349" s="189">
        <f t="shared" si="433"/>
        <v>0</v>
      </c>
      <c r="BB349" s="187">
        <f t="shared" si="433"/>
        <v>32726</v>
      </c>
      <c r="BC349" s="190">
        <f t="shared" si="433"/>
        <v>0</v>
      </c>
      <c r="BD349" s="189">
        <f t="shared" si="433"/>
        <v>0</v>
      </c>
      <c r="BE349" s="187">
        <f t="shared" si="433"/>
        <v>16456</v>
      </c>
      <c r="BF349" s="190">
        <f t="shared" si="433"/>
        <v>0</v>
      </c>
      <c r="BG349" s="189">
        <f t="shared" si="433"/>
        <v>0</v>
      </c>
      <c r="BH349" s="187">
        <f t="shared" si="433"/>
        <v>5112</v>
      </c>
      <c r="BI349" s="190">
        <f t="shared" si="433"/>
        <v>0</v>
      </c>
      <c r="BJ349" s="189">
        <f t="shared" si="433"/>
        <v>0</v>
      </c>
      <c r="BK349" s="187">
        <f t="shared" ref="BK349:CE349" si="434">+BK111</f>
        <v>33114</v>
      </c>
      <c r="BL349" s="190">
        <f t="shared" si="434"/>
        <v>0</v>
      </c>
      <c r="BM349" s="189">
        <f t="shared" si="434"/>
        <v>0</v>
      </c>
      <c r="BN349" s="187">
        <f t="shared" si="434"/>
        <v>33174</v>
      </c>
      <c r="BO349" s="190">
        <f t="shared" si="434"/>
        <v>0</v>
      </c>
      <c r="BP349" s="189">
        <f t="shared" si="434"/>
        <v>0</v>
      </c>
      <c r="BQ349" s="187">
        <f t="shared" si="434"/>
        <v>33130</v>
      </c>
      <c r="BR349" s="190">
        <f t="shared" si="434"/>
        <v>0</v>
      </c>
      <c r="BS349" s="189">
        <f t="shared" si="434"/>
        <v>0</v>
      </c>
      <c r="BT349" s="187">
        <f t="shared" si="434"/>
        <v>32588</v>
      </c>
      <c r="BU349" s="190">
        <f t="shared" si="434"/>
        <v>0</v>
      </c>
      <c r="BV349" s="189">
        <f t="shared" si="434"/>
        <v>0</v>
      </c>
      <c r="BW349" s="187">
        <f t="shared" si="434"/>
        <v>33252</v>
      </c>
      <c r="BX349" s="190">
        <f t="shared" si="434"/>
        <v>0</v>
      </c>
      <c r="BY349" s="189">
        <f t="shared" si="434"/>
        <v>0</v>
      </c>
      <c r="BZ349" s="187">
        <f t="shared" si="434"/>
        <v>16706</v>
      </c>
      <c r="CA349" s="190">
        <f t="shared" si="434"/>
        <v>0</v>
      </c>
      <c r="CB349" s="189">
        <f t="shared" si="434"/>
        <v>0</v>
      </c>
      <c r="CC349" s="187">
        <f t="shared" si="434"/>
        <v>4984</v>
      </c>
      <c r="CD349" s="190">
        <f t="shared" si="434"/>
        <v>0</v>
      </c>
      <c r="CE349" s="189">
        <f t="shared" si="434"/>
        <v>0</v>
      </c>
      <c r="CF349" s="187">
        <f t="shared" ref="CF349:CN349" si="435">+CF111</f>
        <v>32606</v>
      </c>
      <c r="CG349" s="190">
        <f t="shared" si="435"/>
        <v>0</v>
      </c>
      <c r="CH349" s="189">
        <f t="shared" si="435"/>
        <v>0</v>
      </c>
      <c r="CI349" s="187">
        <f t="shared" si="435"/>
        <v>32882</v>
      </c>
      <c r="CJ349" s="190">
        <f t="shared" si="435"/>
        <v>0</v>
      </c>
      <c r="CK349" s="189">
        <f t="shared" si="435"/>
        <v>0</v>
      </c>
      <c r="CL349" s="187">
        <f t="shared" si="435"/>
        <v>33274</v>
      </c>
      <c r="CM349" s="190">
        <f t="shared" si="435"/>
        <v>0</v>
      </c>
      <c r="CN349" s="189">
        <f t="shared" si="435"/>
        <v>0</v>
      </c>
      <c r="CO349" s="187">
        <f t="shared" ref="CO349:CZ349" si="436">+CO111</f>
        <v>32924</v>
      </c>
      <c r="CP349" s="190">
        <f t="shared" si="436"/>
        <v>0</v>
      </c>
      <c r="CQ349" s="189">
        <f t="shared" si="436"/>
        <v>0</v>
      </c>
      <c r="CR349" s="187">
        <f t="shared" si="436"/>
        <v>33216</v>
      </c>
      <c r="CS349" s="190">
        <f t="shared" si="436"/>
        <v>0</v>
      </c>
      <c r="CT349" s="189">
        <f t="shared" si="436"/>
        <v>0</v>
      </c>
      <c r="CU349" s="187">
        <f t="shared" si="436"/>
        <v>17172</v>
      </c>
      <c r="CV349" s="190">
        <f t="shared" si="436"/>
        <v>0</v>
      </c>
      <c r="CW349" s="189">
        <f t="shared" si="436"/>
        <v>0</v>
      </c>
      <c r="CX349" s="187">
        <f t="shared" si="436"/>
        <v>5068</v>
      </c>
      <c r="CY349" s="190">
        <f t="shared" si="436"/>
        <v>0</v>
      </c>
      <c r="CZ349" s="189">
        <f t="shared" si="436"/>
        <v>0</v>
      </c>
    </row>
    <row r="350" spans="1:104" s="12" customFormat="1" ht="13.5" thickBot="1" x14ac:dyDescent="0.25">
      <c r="A350" s="239"/>
      <c r="B350" s="133"/>
      <c r="C350" s="191"/>
      <c r="D350" s="192"/>
      <c r="E350" s="193"/>
      <c r="F350" s="191"/>
      <c r="G350" s="192"/>
      <c r="H350" s="193"/>
      <c r="I350" s="191"/>
      <c r="J350" s="192"/>
      <c r="K350" s="193"/>
      <c r="L350" s="191"/>
      <c r="M350" s="192"/>
      <c r="N350" s="193"/>
      <c r="O350" s="191"/>
      <c r="P350" s="192"/>
      <c r="Q350" s="193"/>
      <c r="R350" s="191"/>
      <c r="S350" s="192"/>
      <c r="T350" s="193"/>
      <c r="U350" s="191"/>
      <c r="V350" s="192"/>
      <c r="W350" s="193"/>
      <c r="X350" s="191"/>
      <c r="Y350" s="192"/>
      <c r="Z350" s="193"/>
      <c r="AA350" s="191"/>
      <c r="AB350" s="192"/>
      <c r="AC350" s="193"/>
      <c r="AD350" s="191"/>
      <c r="AE350" s="192"/>
      <c r="AF350" s="193"/>
      <c r="AG350" s="191"/>
      <c r="AH350" s="192"/>
      <c r="AI350" s="193"/>
      <c r="AJ350" s="191"/>
      <c r="AK350" s="192"/>
      <c r="AL350" s="193"/>
      <c r="AM350" s="191"/>
      <c r="AN350" s="192"/>
      <c r="AO350" s="193"/>
      <c r="AP350" s="191"/>
      <c r="AQ350" s="192"/>
      <c r="AR350" s="193"/>
      <c r="AS350" s="191"/>
      <c r="AT350" s="192"/>
      <c r="AU350" s="193"/>
      <c r="AV350" s="191"/>
      <c r="AW350" s="192"/>
      <c r="AX350" s="193"/>
      <c r="AY350" s="191"/>
      <c r="AZ350" s="192"/>
      <c r="BA350" s="193"/>
      <c r="BB350" s="191"/>
      <c r="BC350" s="192"/>
      <c r="BD350" s="193"/>
      <c r="BE350" s="191"/>
      <c r="BF350" s="192"/>
      <c r="BG350" s="193"/>
      <c r="BH350" s="191"/>
      <c r="BI350" s="192"/>
      <c r="BJ350" s="193"/>
      <c r="BK350" s="191"/>
      <c r="BL350" s="192"/>
      <c r="BM350" s="193"/>
      <c r="BN350" s="191"/>
      <c r="BO350" s="192"/>
      <c r="BP350" s="193"/>
      <c r="BQ350" s="191"/>
      <c r="BR350" s="192"/>
      <c r="BS350" s="193"/>
      <c r="BT350" s="191"/>
      <c r="BU350" s="192"/>
      <c r="BV350" s="193"/>
      <c r="BW350" s="191"/>
      <c r="BX350" s="192"/>
      <c r="BY350" s="193"/>
      <c r="BZ350" s="191"/>
      <c r="CA350" s="192"/>
      <c r="CB350" s="193"/>
      <c r="CC350" s="191"/>
      <c r="CD350" s="192"/>
      <c r="CE350" s="193"/>
      <c r="CF350" s="191"/>
      <c r="CG350" s="192"/>
      <c r="CH350" s="193"/>
      <c r="CI350" s="191"/>
      <c r="CJ350" s="192"/>
      <c r="CK350" s="193"/>
      <c r="CL350" s="191"/>
      <c r="CM350" s="192"/>
      <c r="CN350" s="193"/>
      <c r="CO350" s="191"/>
      <c r="CP350" s="192"/>
      <c r="CQ350" s="193"/>
      <c r="CR350" s="191"/>
      <c r="CS350" s="192"/>
      <c r="CT350" s="193"/>
      <c r="CU350" s="191"/>
      <c r="CV350" s="192"/>
      <c r="CW350" s="193"/>
      <c r="CX350" s="191"/>
      <c r="CY350" s="192"/>
      <c r="CZ350" s="193"/>
    </row>
    <row r="351" spans="1:104" x14ac:dyDescent="0.2">
      <c r="A351" s="240" t="s">
        <v>179</v>
      </c>
      <c r="B351" s="241"/>
      <c r="C351" s="194">
        <f t="shared" ref="C351:I351" si="437">+C320/C$328</f>
        <v>0.67537970253536683</v>
      </c>
      <c r="D351" s="195">
        <f t="shared" ref="D351:E351" si="438">+D318/D$328</f>
        <v>0.68491593298014963</v>
      </c>
      <c r="E351" s="196">
        <f t="shared" si="438"/>
        <v>0.67393444550052706</v>
      </c>
      <c r="F351" s="194">
        <f t="shared" si="437"/>
        <v>0.68233058054604989</v>
      </c>
      <c r="G351" s="195">
        <f t="shared" ref="G351:H351" si="439">+G318/G$328</f>
        <v>0.68805579352539781</v>
      </c>
      <c r="H351" s="196">
        <f t="shared" si="439"/>
        <v>0.68070434793817991</v>
      </c>
      <c r="I351" s="194">
        <f t="shared" si="437"/>
        <v>0.69487402612736071</v>
      </c>
      <c r="J351" s="195">
        <f t="shared" ref="J351:K351" si="440">+J318/J$328</f>
        <v>0.70599017104131523</v>
      </c>
      <c r="K351" s="196">
        <f t="shared" si="440"/>
        <v>0.69297727091574601</v>
      </c>
      <c r="L351" s="194">
        <f t="shared" ref="L351:R351" si="441">+L320/L$328</f>
        <v>0.69273461795322588</v>
      </c>
      <c r="M351" s="195">
        <f t="shared" ref="M351:N351" si="442">+M318/M$328</f>
        <v>0.70960256351390794</v>
      </c>
      <c r="N351" s="196">
        <f t="shared" si="442"/>
        <v>0.69084450323669166</v>
      </c>
      <c r="O351" s="194">
        <f t="shared" si="441"/>
        <v>0.6846875575500867</v>
      </c>
      <c r="P351" s="195">
        <f t="shared" ref="P351:Q351" si="443">+P318/P$328</f>
        <v>0.69685596960724061</v>
      </c>
      <c r="Q351" s="196">
        <f t="shared" si="443"/>
        <v>0.68308809750982058</v>
      </c>
      <c r="R351" s="194">
        <f t="shared" si="441"/>
        <v>0.67612441933302392</v>
      </c>
      <c r="S351" s="195">
        <f t="shared" ref="S351:T351" si="444">+S318/S$328</f>
        <v>0.66419158234715903</v>
      </c>
      <c r="T351" s="196">
        <f t="shared" si="444"/>
        <v>0.67453432044087569</v>
      </c>
      <c r="U351" s="194">
        <f t="shared" ref="U351" si="445">+U320/U$328</f>
        <v>0.67435058412516125</v>
      </c>
      <c r="V351" s="195">
        <f t="shared" ref="V351:W351" si="446">+V318/V$328</f>
        <v>0.68771599155897545</v>
      </c>
      <c r="W351" s="196">
        <f t="shared" si="446"/>
        <v>0.67281866345116936</v>
      </c>
      <c r="X351" s="194">
        <f t="shared" ref="X351" si="447">+X320/X$328</f>
        <v>0.68743109316617668</v>
      </c>
      <c r="Y351" s="195">
        <f t="shared" ref="Y351:Z351" si="448">+Y318/Y$328</f>
        <v>0.70641968342397488</v>
      </c>
      <c r="Z351" s="196">
        <f t="shared" si="448"/>
        <v>0.68562011165772552</v>
      </c>
      <c r="AA351" s="194">
        <f t="shared" ref="AA351" si="449">+AA320/AA$328</f>
        <v>0.68730320223948804</v>
      </c>
      <c r="AB351" s="195">
        <f t="shared" ref="AB351:AC351" si="450">+AB318/AB$328</f>
        <v>0.70860174929619557</v>
      </c>
      <c r="AC351" s="196">
        <f t="shared" si="450"/>
        <v>0.68543808308719822</v>
      </c>
      <c r="AD351" s="194">
        <f t="shared" ref="AD351" si="451">+AD320/AD$328</f>
        <v>0.689593588832353</v>
      </c>
      <c r="AE351" s="195">
        <f t="shared" ref="AE351:AF351" si="452">+AE318/AE$328</f>
        <v>0.71479342662598178</v>
      </c>
      <c r="AF351" s="196">
        <f t="shared" si="452"/>
        <v>0.68768852737556163</v>
      </c>
      <c r="AG351" s="194">
        <f t="shared" ref="AG351" si="453">+AG320/AG$328</f>
        <v>0.68990506171450361</v>
      </c>
      <c r="AH351" s="195">
        <f t="shared" ref="AH351:AI351" si="454">+AH318/AH$328</f>
        <v>0.70884487045191513</v>
      </c>
      <c r="AI351" s="196">
        <f t="shared" si="454"/>
        <v>0.68797758915901841</v>
      </c>
      <c r="AJ351" s="194">
        <f t="shared" ref="AJ351" si="455">+AJ320/AJ$328</f>
        <v>0.68473360806574302</v>
      </c>
      <c r="AK351" s="195">
        <f t="shared" ref="AK351:AL351" si="456">+AK318/AK$328</f>
        <v>0.70166961626904356</v>
      </c>
      <c r="AL351" s="196">
        <f t="shared" si="456"/>
        <v>0.68310498652783602</v>
      </c>
      <c r="AM351" s="194">
        <f t="shared" ref="AM351" si="457">+AM320/AM$328</f>
        <v>0.67994051043876957</v>
      </c>
      <c r="AN351" s="195">
        <f t="shared" ref="AN351:AO351" si="458">+AN318/AN$328</f>
        <v>0.6870574174448788</v>
      </c>
      <c r="AO351" s="196">
        <f t="shared" si="458"/>
        <v>0.6783987356937089</v>
      </c>
      <c r="AP351" s="194">
        <f t="shared" ref="AP351:AY351" si="459">+AP320/AP$328</f>
        <v>0.69505406016848559</v>
      </c>
      <c r="AQ351" s="195">
        <f t="shared" ref="AQ351:AR351" si="460">+AQ318/AQ$328</f>
        <v>0.7238185086750254</v>
      </c>
      <c r="AR351" s="196">
        <f t="shared" si="460"/>
        <v>0.69356222538729984</v>
      </c>
      <c r="AS351" s="194">
        <f t="shared" si="459"/>
        <v>0.71370504826282932</v>
      </c>
      <c r="AT351" s="195">
        <f t="shared" ref="AT351:AU351" si="461">+AT318/AT$328</f>
        <v>0.74121889890301784</v>
      </c>
      <c r="AU351" s="196">
        <f t="shared" si="461"/>
        <v>0.71219222230498014</v>
      </c>
      <c r="AV351" s="194">
        <f t="shared" si="459"/>
        <v>0.69492303536948985</v>
      </c>
      <c r="AW351" s="195">
        <f t="shared" ref="AW351:AX351" si="462">+AW318/AW$328</f>
        <v>0.70112626431570857</v>
      </c>
      <c r="AX351" s="196">
        <f t="shared" si="462"/>
        <v>0.69333465307653341</v>
      </c>
      <c r="AY351" s="194">
        <f t="shared" si="459"/>
        <v>0.68675640035905183</v>
      </c>
      <c r="AZ351" s="195">
        <f t="shared" ref="AZ351:BA351" si="463">+AZ318/AZ$328</f>
        <v>0.67665721093707698</v>
      </c>
      <c r="BA351" s="196">
        <f t="shared" si="463"/>
        <v>0.68499694520096621</v>
      </c>
      <c r="BB351" s="194">
        <f t="shared" ref="BB351:BH351" si="464">+BB320/BB$328</f>
        <v>0.68985963350947321</v>
      </c>
      <c r="BC351" s="195">
        <f t="shared" ref="BC351:BD351" si="465">+BC318/BC$328</f>
        <v>0.69662864666012436</v>
      </c>
      <c r="BD351" s="196">
        <f t="shared" si="465"/>
        <v>0.68799723529562051</v>
      </c>
      <c r="BE351" s="194">
        <f t="shared" si="464"/>
        <v>0.68528312950054804</v>
      </c>
      <c r="BF351" s="195">
        <f t="shared" ref="BF351:BG351" si="466">+BF318/BF$328</f>
        <v>0.69865610133364298</v>
      </c>
      <c r="BG351" s="196">
        <f t="shared" si="466"/>
        <v>0.68371025927292883</v>
      </c>
      <c r="BH351" s="194">
        <f t="shared" si="464"/>
        <v>0.68425208412433947</v>
      </c>
      <c r="BI351" s="195">
        <f t="shared" ref="BI351:BJ351" si="467">+BI318/BI$328</f>
        <v>0.67492162377764686</v>
      </c>
      <c r="BJ351" s="196">
        <f t="shared" si="467"/>
        <v>0.68265800917736119</v>
      </c>
      <c r="BK351" s="194">
        <f t="shared" ref="BK351" si="468">+BK320/BK$328</f>
        <v>0.67857650640694367</v>
      </c>
      <c r="BL351" s="195">
        <f t="shared" ref="BL351:BM351" si="469">+BL318/BL$328</f>
        <v>0.69524217183768811</v>
      </c>
      <c r="BM351" s="196">
        <f t="shared" si="469"/>
        <v>0.67704343975515413</v>
      </c>
      <c r="BN351" s="194">
        <f t="shared" ref="BN351" si="470">+BN320/BN$328</f>
        <v>0.68937133666435346</v>
      </c>
      <c r="BO351" s="195">
        <f t="shared" ref="BO351:BP351" si="471">+BO318/BO$328</f>
        <v>0.71140208170100094</v>
      </c>
      <c r="BP351" s="196">
        <f t="shared" si="471"/>
        <v>0.68757208964882144</v>
      </c>
      <c r="BQ351" s="194">
        <f t="shared" ref="BQ351" si="472">+BQ320/BQ$328</f>
        <v>0.69229823665671997</v>
      </c>
      <c r="BR351" s="195">
        <f t="shared" ref="BR351:BS351" si="473">+BR318/BR$328</f>
        <v>0.71225656817037986</v>
      </c>
      <c r="BS351" s="196">
        <f t="shared" si="473"/>
        <v>0.69044505791718147</v>
      </c>
      <c r="BT351" s="194">
        <f t="shared" ref="BT351" si="474">+BT320/BT$328</f>
        <v>0.68971444523751824</v>
      </c>
      <c r="BU351" s="195">
        <f t="shared" ref="BU351:BV351" si="475">+BU318/BU$328</f>
        <v>0.7076922206026609</v>
      </c>
      <c r="BV351" s="196">
        <f t="shared" si="475"/>
        <v>0.68779828700119183</v>
      </c>
      <c r="BW351" s="194">
        <f t="shared" ref="BW351" si="476">+BW320/BW$328</f>
        <v>0.69430774303362564</v>
      </c>
      <c r="BX351" s="195">
        <f t="shared" ref="BX351:BY351" si="477">+BX318/BX$328</f>
        <v>0.71939001771777544</v>
      </c>
      <c r="BY351" s="196">
        <f t="shared" si="477"/>
        <v>0.69245406287340416</v>
      </c>
      <c r="BZ351" s="194">
        <f t="shared" ref="BZ351" si="478">+BZ320/BZ$328</f>
        <v>0.68595069564432687</v>
      </c>
      <c r="CA351" s="195">
        <f t="shared" ref="CA351:CB351" si="479">+CA318/CA$328</f>
        <v>0.69714012955876603</v>
      </c>
      <c r="CB351" s="196">
        <f t="shared" si="479"/>
        <v>0.68439294168505638</v>
      </c>
      <c r="CC351" s="194">
        <f t="shared" ref="CC351" si="480">+CC320/CC$328</f>
        <v>0.67167893552362734</v>
      </c>
      <c r="CD351" s="195">
        <f t="shared" ref="CD351:CE351" si="481">+CD318/CD$328</f>
        <v>0.66354433917257361</v>
      </c>
      <c r="CE351" s="196">
        <f t="shared" si="481"/>
        <v>0.67016784443604638</v>
      </c>
      <c r="CF351" s="194">
        <f t="shared" ref="CF351:CL351" si="482">+CF320/CF$328</f>
        <v>0.68368999333662561</v>
      </c>
      <c r="CG351" s="195">
        <f t="shared" ref="CG351:CH351" si="483">+CG318/CG$328</f>
        <v>0.70642045903533368</v>
      </c>
      <c r="CH351" s="196">
        <f t="shared" si="483"/>
        <v>0.68238620250624837</v>
      </c>
      <c r="CI351" s="194">
        <f t="shared" si="482"/>
        <v>0.68317703617693615</v>
      </c>
      <c r="CJ351" s="195">
        <f t="shared" ref="CJ351:CK351" si="484">+CJ318/CJ$328</f>
        <v>0.69496138974123023</v>
      </c>
      <c r="CK351" s="196">
        <f t="shared" si="484"/>
        <v>0.68171943479606034</v>
      </c>
      <c r="CL351" s="194">
        <f t="shared" si="482"/>
        <v>0.6803460975166814</v>
      </c>
      <c r="CM351" s="195">
        <f t="shared" ref="CM351:CN351" si="485">+CM318/CM$328</f>
        <v>0.68839596774706169</v>
      </c>
      <c r="CN351" s="196">
        <f t="shared" si="485"/>
        <v>0.67872988426528036</v>
      </c>
      <c r="CO351" s="194">
        <f t="shared" ref="CO351" si="486">+CO320/CO$328</f>
        <v>0.68691306297275312</v>
      </c>
      <c r="CP351" s="195">
        <f t="shared" ref="CP351:CQ351" si="487">+CP318/CP$328</f>
        <v>0.69781755727740347</v>
      </c>
      <c r="CQ351" s="196">
        <f t="shared" si="487"/>
        <v>0.68516235885592847</v>
      </c>
      <c r="CR351" s="194">
        <f t="shared" ref="CR351" si="488">+CR320/CR$328</f>
        <v>0.69360653302916842</v>
      </c>
      <c r="CS351" s="195">
        <f t="shared" ref="CS351:CT351" si="489">+CS318/CS$328</f>
        <v>0.70686368279094269</v>
      </c>
      <c r="CT351" s="196">
        <f t="shared" si="489"/>
        <v>0.69177996654229024</v>
      </c>
      <c r="CU351" s="194">
        <f t="shared" ref="CU351" si="490">+CU320/CU$328</f>
        <v>0.68507364398932225</v>
      </c>
      <c r="CV351" s="195">
        <f t="shared" ref="CV351:CW351" si="491">+CV318/CV$328</f>
        <v>0.69715842274259665</v>
      </c>
      <c r="CW351" s="196">
        <f t="shared" si="491"/>
        <v>0.68349384004607772</v>
      </c>
      <c r="CX351" s="194">
        <f t="shared" ref="CX351" si="492">+CX320/CX$328</f>
        <v>0.68036283955850363</v>
      </c>
      <c r="CY351" s="195">
        <f t="shared" ref="CY351:CZ351" si="493">+CY318/CY$328</f>
        <v>0.68342591595651214</v>
      </c>
      <c r="CZ351" s="196">
        <f t="shared" si="493"/>
        <v>0.67884524980876404</v>
      </c>
    </row>
    <row r="352" spans="1:104" x14ac:dyDescent="0.2">
      <c r="A352" s="242" t="s">
        <v>180</v>
      </c>
      <c r="B352" s="243"/>
      <c r="C352" s="194">
        <f t="shared" ref="C352:I352" si="494">+C323/C$328</f>
        <v>0.32462029746463322</v>
      </c>
      <c r="D352" s="195">
        <f t="shared" ref="D352:E352" si="495">+D321/D$328</f>
        <v>0.31508406701985037</v>
      </c>
      <c r="E352" s="196">
        <f t="shared" si="495"/>
        <v>0.32606555449947289</v>
      </c>
      <c r="F352" s="194">
        <f t="shared" si="494"/>
        <v>0.31766941945395005</v>
      </c>
      <c r="G352" s="195">
        <f t="shared" ref="G352:H352" si="496">+G321/G$328</f>
        <v>0.31194420647460214</v>
      </c>
      <c r="H352" s="196">
        <f t="shared" si="496"/>
        <v>0.31929565206182009</v>
      </c>
      <c r="I352" s="194">
        <f t="shared" si="494"/>
        <v>0.30512597387263923</v>
      </c>
      <c r="J352" s="195">
        <f t="shared" ref="J352:K352" si="497">+J321/J$328</f>
        <v>0.29400982895868483</v>
      </c>
      <c r="K352" s="196">
        <f t="shared" si="497"/>
        <v>0.30702272908425399</v>
      </c>
      <c r="L352" s="194">
        <f t="shared" ref="L352:R352" si="498">+L323/L$328</f>
        <v>0.30726538204677412</v>
      </c>
      <c r="M352" s="195">
        <f t="shared" ref="M352:N352" si="499">+M321/M$328</f>
        <v>0.29039743648609201</v>
      </c>
      <c r="N352" s="196">
        <f t="shared" si="499"/>
        <v>0.30915549676330839</v>
      </c>
      <c r="O352" s="194">
        <f t="shared" si="498"/>
        <v>0.31531244244991324</v>
      </c>
      <c r="P352" s="195">
        <f t="shared" ref="P352:Q352" si="500">+P321/P$328</f>
        <v>0.30314403039275939</v>
      </c>
      <c r="Q352" s="196">
        <f t="shared" si="500"/>
        <v>0.31691190249017942</v>
      </c>
      <c r="R352" s="194">
        <f t="shared" si="498"/>
        <v>0.32387558066697619</v>
      </c>
      <c r="S352" s="195">
        <f t="shared" ref="S352:T352" si="501">+S321/S$328</f>
        <v>0.33580841765284097</v>
      </c>
      <c r="T352" s="196">
        <f t="shared" si="501"/>
        <v>0.32546567955912425</v>
      </c>
      <c r="U352" s="194">
        <f t="shared" ref="U352" si="502">+U323/U$328</f>
        <v>0.32564941587483875</v>
      </c>
      <c r="V352" s="195">
        <f t="shared" ref="V352:W352" si="503">+V321/V$328</f>
        <v>0.31228400844102455</v>
      </c>
      <c r="W352" s="196">
        <f t="shared" si="503"/>
        <v>0.32718133654883058</v>
      </c>
      <c r="X352" s="194">
        <f t="shared" ref="X352" si="504">+X323/X$328</f>
        <v>0.31256890683382327</v>
      </c>
      <c r="Y352" s="195">
        <f t="shared" ref="Y352:Z352" si="505">+Y321/Y$328</f>
        <v>0.29358031657602507</v>
      </c>
      <c r="Z352" s="196">
        <f t="shared" si="505"/>
        <v>0.31437988834227448</v>
      </c>
      <c r="AA352" s="194">
        <f t="shared" ref="AA352" si="506">+AA323/AA$328</f>
        <v>0.31269679776051201</v>
      </c>
      <c r="AB352" s="195">
        <f t="shared" ref="AB352:AC352" si="507">+AB321/AB$328</f>
        <v>0.29139825070380448</v>
      </c>
      <c r="AC352" s="196">
        <f t="shared" si="507"/>
        <v>0.31456191691280183</v>
      </c>
      <c r="AD352" s="194">
        <f t="shared" ref="AD352" si="508">+AD323/AD$328</f>
        <v>0.31040641116764695</v>
      </c>
      <c r="AE352" s="195">
        <f t="shared" ref="AE352:AF352" si="509">+AE321/AE$328</f>
        <v>0.28520657337401828</v>
      </c>
      <c r="AF352" s="196">
        <f t="shared" si="509"/>
        <v>0.31231147262443842</v>
      </c>
      <c r="AG352" s="194">
        <f t="shared" ref="AG352" si="510">+AG323/AG$328</f>
        <v>0.31009493828549645</v>
      </c>
      <c r="AH352" s="195">
        <f t="shared" ref="AH352:AI352" si="511">+AH321/AH$328</f>
        <v>0.29115512954808487</v>
      </c>
      <c r="AI352" s="196">
        <f t="shared" si="511"/>
        <v>0.31202241084098165</v>
      </c>
      <c r="AJ352" s="194">
        <f t="shared" ref="AJ352" si="512">+AJ323/AJ$328</f>
        <v>0.31526639193425698</v>
      </c>
      <c r="AK352" s="195">
        <f t="shared" ref="AK352:AL352" si="513">+AK321/AK$328</f>
        <v>0.29833038373095649</v>
      </c>
      <c r="AL352" s="196">
        <f t="shared" si="513"/>
        <v>0.31689501347216403</v>
      </c>
      <c r="AM352" s="194">
        <f t="shared" ref="AM352" si="514">+AM323/AM$328</f>
        <v>0.32005948956123048</v>
      </c>
      <c r="AN352" s="195">
        <f t="shared" ref="AN352:AO352" si="515">+AN321/AN$328</f>
        <v>0.31294258255512114</v>
      </c>
      <c r="AO352" s="196">
        <f t="shared" si="515"/>
        <v>0.32160126430629105</v>
      </c>
      <c r="AP352" s="194">
        <f t="shared" ref="AP352:AY352" si="516">+AP323/AP$328</f>
        <v>0.30494593983151447</v>
      </c>
      <c r="AQ352" s="195">
        <f t="shared" ref="AQ352:AR352" si="517">+AQ321/AQ$328</f>
        <v>0.2761814913249746</v>
      </c>
      <c r="AR352" s="196">
        <f t="shared" si="517"/>
        <v>0.30643777461270011</v>
      </c>
      <c r="AS352" s="194">
        <f t="shared" si="516"/>
        <v>0.28629495173717062</v>
      </c>
      <c r="AT352" s="195">
        <f t="shared" ref="AT352:AU352" si="518">+AT321/AT$328</f>
        <v>0.2587811010969821</v>
      </c>
      <c r="AU352" s="196">
        <f t="shared" si="518"/>
        <v>0.28780777769501992</v>
      </c>
      <c r="AV352" s="194">
        <f t="shared" si="516"/>
        <v>0.30507696463051004</v>
      </c>
      <c r="AW352" s="195">
        <f t="shared" ref="AW352:AX352" si="519">+AW321/AW$328</f>
        <v>0.29887373568429143</v>
      </c>
      <c r="AX352" s="196">
        <f t="shared" si="519"/>
        <v>0.30666534692346664</v>
      </c>
      <c r="AY352" s="194">
        <f t="shared" si="516"/>
        <v>0.31324359964094817</v>
      </c>
      <c r="AZ352" s="195">
        <f t="shared" ref="AZ352:BA352" si="520">+AZ321/AZ$328</f>
        <v>0.32334278906292302</v>
      </c>
      <c r="BA352" s="196">
        <f t="shared" si="520"/>
        <v>0.31500305479903379</v>
      </c>
      <c r="BB352" s="194">
        <f t="shared" ref="BB352:BH352" si="521">+BB323/BB$328</f>
        <v>0.31014036649052684</v>
      </c>
      <c r="BC352" s="195">
        <f t="shared" ref="BC352:BD352" si="522">+BC321/BC$328</f>
        <v>0.30337135333987564</v>
      </c>
      <c r="BD352" s="196">
        <f t="shared" si="522"/>
        <v>0.31200276470437949</v>
      </c>
      <c r="BE352" s="194">
        <f t="shared" si="521"/>
        <v>0.31471687049945207</v>
      </c>
      <c r="BF352" s="195">
        <f t="shared" ref="BF352:BG352" si="523">+BF321/BF$328</f>
        <v>0.30134389866635708</v>
      </c>
      <c r="BG352" s="196">
        <f t="shared" si="523"/>
        <v>0.31628974072707117</v>
      </c>
      <c r="BH352" s="194">
        <f t="shared" si="521"/>
        <v>0.31574791587566048</v>
      </c>
      <c r="BI352" s="195">
        <f t="shared" ref="BI352:BJ352" si="524">+BI321/BI$328</f>
        <v>0.32507837622235308</v>
      </c>
      <c r="BJ352" s="196">
        <f t="shared" si="524"/>
        <v>0.31734199082263881</v>
      </c>
      <c r="BK352" s="194">
        <f t="shared" ref="BK352" si="525">+BK323/BK$328</f>
        <v>0.32142349359305633</v>
      </c>
      <c r="BL352" s="195">
        <f t="shared" ref="BL352:BM352" si="526">+BL321/BL$328</f>
        <v>0.30475782816231189</v>
      </c>
      <c r="BM352" s="196">
        <f t="shared" si="526"/>
        <v>0.32295656024484592</v>
      </c>
      <c r="BN352" s="194">
        <f t="shared" ref="BN352" si="527">+BN323/BN$328</f>
        <v>0.31062866333564654</v>
      </c>
      <c r="BO352" s="195">
        <f t="shared" ref="BO352:BP352" si="528">+BO321/BO$328</f>
        <v>0.28859791829899906</v>
      </c>
      <c r="BP352" s="196">
        <f t="shared" si="528"/>
        <v>0.31242791035117856</v>
      </c>
      <c r="BQ352" s="194">
        <f t="shared" ref="BQ352" si="529">+BQ323/BQ$328</f>
        <v>0.30770176334327992</v>
      </c>
      <c r="BR352" s="195">
        <f t="shared" ref="BR352:BS352" si="530">+BR321/BR$328</f>
        <v>0.28774343182962014</v>
      </c>
      <c r="BS352" s="196">
        <f t="shared" si="530"/>
        <v>0.30955494208281853</v>
      </c>
      <c r="BT352" s="194">
        <f t="shared" ref="BT352" si="531">+BT323/BT$328</f>
        <v>0.31028555476248182</v>
      </c>
      <c r="BU352" s="195">
        <f t="shared" ref="BU352:BV352" si="532">+BU321/BU$328</f>
        <v>0.2923077793973391</v>
      </c>
      <c r="BV352" s="196">
        <f t="shared" si="532"/>
        <v>0.31220171299880811</v>
      </c>
      <c r="BW352" s="194">
        <f t="shared" ref="BW352" si="533">+BW323/BW$328</f>
        <v>0.30569225696637431</v>
      </c>
      <c r="BX352" s="195">
        <f t="shared" ref="BX352:BY352" si="534">+BX321/BX$328</f>
        <v>0.28060998228222456</v>
      </c>
      <c r="BY352" s="196">
        <f t="shared" si="534"/>
        <v>0.30754593712659584</v>
      </c>
      <c r="BZ352" s="194">
        <f t="shared" ref="BZ352" si="535">+BZ323/BZ$328</f>
        <v>0.31404930435567313</v>
      </c>
      <c r="CA352" s="195">
        <f t="shared" ref="CA352:CB352" si="536">+CA321/CA$328</f>
        <v>0.30285987044123397</v>
      </c>
      <c r="CB352" s="196">
        <f t="shared" si="536"/>
        <v>0.31560705831494368</v>
      </c>
      <c r="CC352" s="194">
        <f t="shared" ref="CC352" si="537">+CC323/CC$328</f>
        <v>0.3283210644763726</v>
      </c>
      <c r="CD352" s="195">
        <f t="shared" ref="CD352:CE352" si="538">+CD321/CD$328</f>
        <v>0.33645566082742645</v>
      </c>
      <c r="CE352" s="196">
        <f t="shared" si="538"/>
        <v>0.32983215556395357</v>
      </c>
      <c r="CF352" s="194">
        <f t="shared" ref="CF352:CL352" si="539">+CF323/CF$328</f>
        <v>0.31631000666337439</v>
      </c>
      <c r="CG352" s="195">
        <f t="shared" ref="CG352:CH352" si="540">+CG321/CG$328</f>
        <v>0.29357954096466632</v>
      </c>
      <c r="CH352" s="196">
        <f t="shared" si="540"/>
        <v>0.31761379749375157</v>
      </c>
      <c r="CI352" s="194">
        <f t="shared" si="539"/>
        <v>0.31682296382306391</v>
      </c>
      <c r="CJ352" s="195">
        <f t="shared" ref="CJ352:CK352" si="541">+CJ321/CJ$328</f>
        <v>0.30503861025876972</v>
      </c>
      <c r="CK352" s="196">
        <f t="shared" si="541"/>
        <v>0.31828056520393966</v>
      </c>
      <c r="CL352" s="194">
        <f t="shared" si="539"/>
        <v>0.3196539024833186</v>
      </c>
      <c r="CM352" s="195">
        <f t="shared" ref="CM352:CN352" si="542">+CM321/CM$328</f>
        <v>0.31160403225293831</v>
      </c>
      <c r="CN352" s="196">
        <f t="shared" si="542"/>
        <v>0.32127011573471964</v>
      </c>
      <c r="CO352" s="194">
        <f t="shared" ref="CO352" si="543">+CO323/CO$328</f>
        <v>0.31308693702724688</v>
      </c>
      <c r="CP352" s="195">
        <f t="shared" ref="CP352:CQ352" si="544">+CP321/CP$328</f>
        <v>0.30218244272259648</v>
      </c>
      <c r="CQ352" s="196">
        <f t="shared" si="544"/>
        <v>0.31483764114407159</v>
      </c>
      <c r="CR352" s="194">
        <f t="shared" ref="CR352" si="545">+CR323/CR$328</f>
        <v>0.30639346697083158</v>
      </c>
      <c r="CS352" s="195">
        <f t="shared" ref="CS352:CT352" si="546">+CS321/CS$328</f>
        <v>0.29313631720905736</v>
      </c>
      <c r="CT352" s="196">
        <f t="shared" si="546"/>
        <v>0.30822003345770971</v>
      </c>
      <c r="CU352" s="194">
        <f t="shared" ref="CU352" si="547">+CU323/CU$328</f>
        <v>0.31492635601067775</v>
      </c>
      <c r="CV352" s="195">
        <f t="shared" ref="CV352:CW352" si="548">+CV321/CV$328</f>
        <v>0.3028415772574034</v>
      </c>
      <c r="CW352" s="196">
        <f t="shared" si="548"/>
        <v>0.31650615995392228</v>
      </c>
      <c r="CX352" s="194">
        <f t="shared" ref="CX352" si="549">+CX323/CX$328</f>
        <v>0.31963716044149632</v>
      </c>
      <c r="CY352" s="195">
        <f t="shared" ref="CY352:CZ352" si="550">+CY321/CY$328</f>
        <v>0.31657408404348791</v>
      </c>
      <c r="CZ352" s="196">
        <f t="shared" si="550"/>
        <v>0.32115475019123596</v>
      </c>
    </row>
    <row r="353" spans="1:104" x14ac:dyDescent="0.2">
      <c r="A353" s="197"/>
      <c r="B353" s="199"/>
      <c r="C353" s="197"/>
      <c r="D353" s="198"/>
      <c r="E353" s="199"/>
      <c r="F353" s="197"/>
      <c r="G353" s="198"/>
      <c r="H353" s="199"/>
      <c r="I353" s="197"/>
      <c r="J353" s="198"/>
      <c r="K353" s="199"/>
      <c r="L353" s="197"/>
      <c r="M353" s="198"/>
      <c r="N353" s="199"/>
      <c r="O353" s="197"/>
      <c r="P353" s="198"/>
      <c r="Q353" s="199"/>
      <c r="R353" s="197"/>
      <c r="S353" s="198"/>
      <c r="T353" s="199"/>
      <c r="U353" s="197"/>
      <c r="V353" s="198"/>
      <c r="W353" s="199"/>
      <c r="X353" s="197"/>
      <c r="Y353" s="198"/>
      <c r="Z353" s="199"/>
      <c r="AA353" s="197"/>
      <c r="AB353" s="198"/>
      <c r="AC353" s="199"/>
      <c r="AD353" s="197"/>
      <c r="AE353" s="198"/>
      <c r="AF353" s="199"/>
      <c r="AG353" s="197"/>
      <c r="AH353" s="198"/>
      <c r="AI353" s="199"/>
      <c r="AJ353" s="197"/>
      <c r="AK353" s="198"/>
      <c r="AL353" s="199"/>
      <c r="AM353" s="197"/>
      <c r="AN353" s="198"/>
      <c r="AO353" s="199"/>
      <c r="AP353" s="197"/>
      <c r="AQ353" s="198"/>
      <c r="AR353" s="199"/>
      <c r="AS353" s="197"/>
      <c r="AT353" s="198"/>
      <c r="AU353" s="199"/>
      <c r="AV353" s="197"/>
      <c r="AW353" s="198"/>
      <c r="AX353" s="199"/>
      <c r="AY353" s="197"/>
      <c r="AZ353" s="198"/>
      <c r="BA353" s="199"/>
      <c r="BB353" s="197"/>
      <c r="BC353" s="198"/>
      <c r="BD353" s="199"/>
      <c r="BE353" s="197"/>
      <c r="BF353" s="198"/>
      <c r="BG353" s="199"/>
      <c r="BH353" s="197"/>
      <c r="BI353" s="198"/>
      <c r="BJ353" s="199"/>
      <c r="BK353" s="197"/>
      <c r="BL353" s="198"/>
      <c r="BM353" s="199"/>
      <c r="BN353" s="197"/>
      <c r="BO353" s="198"/>
      <c r="BP353" s="199"/>
      <c r="BQ353" s="197"/>
      <c r="BR353" s="198"/>
      <c r="BS353" s="199"/>
      <c r="BT353" s="197"/>
      <c r="BU353" s="198"/>
      <c r="BV353" s="199"/>
      <c r="BW353" s="197"/>
      <c r="BX353" s="198"/>
      <c r="BY353" s="199"/>
      <c r="BZ353" s="197"/>
      <c r="CA353" s="198"/>
      <c r="CB353" s="199"/>
      <c r="CC353" s="197"/>
      <c r="CD353" s="198"/>
      <c r="CE353" s="199"/>
      <c r="CF353" s="197"/>
      <c r="CG353" s="198"/>
      <c r="CH353" s="199"/>
      <c r="CI353" s="197"/>
      <c r="CJ353" s="198"/>
      <c r="CK353" s="199"/>
      <c r="CL353" s="197"/>
      <c r="CM353" s="198"/>
      <c r="CN353" s="199"/>
      <c r="CO353" s="197"/>
      <c r="CP353" s="198"/>
      <c r="CQ353" s="199"/>
      <c r="CR353" s="197"/>
      <c r="CS353" s="198"/>
      <c r="CT353" s="199"/>
      <c r="CU353" s="197"/>
      <c r="CV353" s="198"/>
      <c r="CW353" s="199"/>
      <c r="CX353" s="197"/>
      <c r="CY353" s="198"/>
      <c r="CZ353" s="199"/>
    </row>
    <row r="354" spans="1:104" x14ac:dyDescent="0.2">
      <c r="A354" s="197"/>
      <c r="B354" s="199"/>
      <c r="C354" s="197"/>
      <c r="D354" s="198"/>
      <c r="E354" s="199"/>
      <c r="F354" s="197"/>
      <c r="G354" s="198"/>
      <c r="H354" s="199"/>
      <c r="I354" s="197"/>
      <c r="J354" s="198"/>
      <c r="K354" s="199"/>
      <c r="L354" s="197"/>
      <c r="M354" s="198"/>
      <c r="N354" s="199"/>
      <c r="O354" s="197"/>
      <c r="P354" s="198"/>
      <c r="Q354" s="199"/>
      <c r="R354" s="197"/>
      <c r="S354" s="198"/>
      <c r="T354" s="199"/>
      <c r="U354" s="197"/>
      <c r="V354" s="198"/>
      <c r="W354" s="199"/>
      <c r="X354" s="197"/>
      <c r="Y354" s="198"/>
      <c r="Z354" s="199"/>
      <c r="AA354" s="197"/>
      <c r="AB354" s="198"/>
      <c r="AC354" s="199"/>
      <c r="AD354" s="197"/>
      <c r="AE354" s="198"/>
      <c r="AF354" s="199"/>
      <c r="AG354" s="197"/>
      <c r="AH354" s="198"/>
      <c r="AI354" s="199"/>
      <c r="AJ354" s="197"/>
      <c r="AK354" s="198"/>
      <c r="AL354" s="199"/>
      <c r="AM354" s="197"/>
      <c r="AN354" s="198"/>
      <c r="AO354" s="199"/>
      <c r="AP354" s="197"/>
      <c r="AQ354" s="198"/>
      <c r="AR354" s="199"/>
      <c r="AS354" s="197"/>
      <c r="AT354" s="198"/>
      <c r="AU354" s="199"/>
      <c r="AV354" s="197"/>
      <c r="AW354" s="198"/>
      <c r="AX354" s="199"/>
      <c r="AY354" s="197"/>
      <c r="AZ354" s="198"/>
      <c r="BA354" s="199"/>
      <c r="BB354" s="197"/>
      <c r="BC354" s="198"/>
      <c r="BD354" s="199"/>
      <c r="BE354" s="197"/>
      <c r="BF354" s="198"/>
      <c r="BG354" s="199"/>
      <c r="BH354" s="197"/>
      <c r="BI354" s="198"/>
      <c r="BJ354" s="199"/>
      <c r="BK354" s="197"/>
      <c r="BL354" s="198"/>
      <c r="BM354" s="199"/>
      <c r="BN354" s="197"/>
      <c r="BO354" s="198"/>
      <c r="BP354" s="199"/>
      <c r="BQ354" s="197"/>
      <c r="BR354" s="198"/>
      <c r="BS354" s="199"/>
      <c r="BT354" s="197"/>
      <c r="BU354" s="198"/>
      <c r="BV354" s="199"/>
      <c r="BW354" s="197"/>
      <c r="BX354" s="198"/>
      <c r="BY354" s="199"/>
      <c r="BZ354" s="197"/>
      <c r="CA354" s="198"/>
      <c r="CB354" s="199"/>
      <c r="CC354" s="197"/>
      <c r="CD354" s="198"/>
      <c r="CE354" s="199"/>
      <c r="CF354" s="197"/>
      <c r="CG354" s="198"/>
      <c r="CH354" s="199"/>
      <c r="CI354" s="197"/>
      <c r="CJ354" s="198"/>
      <c r="CK354" s="199"/>
      <c r="CL354" s="197"/>
      <c r="CM354" s="198"/>
      <c r="CN354" s="199"/>
      <c r="CO354" s="197"/>
      <c r="CP354" s="198"/>
      <c r="CQ354" s="199"/>
      <c r="CR354" s="197"/>
      <c r="CS354" s="198"/>
      <c r="CT354" s="199"/>
      <c r="CU354" s="197"/>
      <c r="CV354" s="198"/>
      <c r="CW354" s="199"/>
      <c r="CX354" s="197"/>
      <c r="CY354" s="198"/>
      <c r="CZ354" s="199"/>
    </row>
    <row r="355" spans="1:104" x14ac:dyDescent="0.2">
      <c r="A355" s="197"/>
      <c r="B355" s="199"/>
      <c r="C355" s="197"/>
      <c r="D355" s="198"/>
      <c r="E355" s="199"/>
      <c r="F355" s="197"/>
      <c r="G355" s="198"/>
      <c r="H355" s="199"/>
      <c r="I355" s="197"/>
      <c r="J355" s="198"/>
      <c r="K355" s="199"/>
      <c r="L355" s="197"/>
      <c r="M355" s="198"/>
      <c r="N355" s="199"/>
      <c r="O355" s="197"/>
      <c r="P355" s="198"/>
      <c r="Q355" s="199"/>
      <c r="R355" s="197"/>
      <c r="S355" s="198"/>
      <c r="T355" s="199"/>
      <c r="U355" s="197"/>
      <c r="V355" s="198"/>
      <c r="W355" s="199"/>
      <c r="X355" s="197"/>
      <c r="Y355" s="198"/>
      <c r="Z355" s="199"/>
      <c r="AA355" s="197"/>
      <c r="AB355" s="198"/>
      <c r="AC355" s="199"/>
      <c r="AD355" s="197"/>
      <c r="AE355" s="198"/>
      <c r="AF355" s="199"/>
      <c r="AG355" s="197"/>
      <c r="AH355" s="198"/>
      <c r="AI355" s="199"/>
      <c r="AJ355" s="197"/>
      <c r="AK355" s="198"/>
      <c r="AL355" s="199"/>
      <c r="AM355" s="197"/>
      <c r="AN355" s="198"/>
      <c r="AO355" s="199"/>
      <c r="AP355" s="197"/>
      <c r="AQ355" s="198"/>
      <c r="AR355" s="199"/>
      <c r="AS355" s="197"/>
      <c r="AT355" s="198"/>
      <c r="AU355" s="199"/>
      <c r="AV355" s="197"/>
      <c r="AW355" s="198"/>
      <c r="AX355" s="199"/>
      <c r="AY355" s="197"/>
      <c r="AZ355" s="198"/>
      <c r="BA355" s="199"/>
      <c r="BB355" s="197"/>
      <c r="BC355" s="198"/>
      <c r="BD355" s="199"/>
      <c r="BE355" s="197"/>
      <c r="BF355" s="198"/>
      <c r="BG355" s="199"/>
      <c r="BH355" s="197"/>
      <c r="BI355" s="198"/>
      <c r="BJ355" s="199"/>
      <c r="BK355" s="197"/>
      <c r="BL355" s="198"/>
      <c r="BM355" s="199"/>
      <c r="BN355" s="197"/>
      <c r="BO355" s="198"/>
      <c r="BP355" s="199"/>
      <c r="BQ355" s="197"/>
      <c r="BR355" s="198"/>
      <c r="BS355" s="199"/>
      <c r="BT355" s="197"/>
      <c r="BU355" s="198"/>
      <c r="BV355" s="199"/>
      <c r="BW355" s="197"/>
      <c r="BX355" s="198"/>
      <c r="BY355" s="199"/>
      <c r="BZ355" s="197"/>
      <c r="CA355" s="198"/>
      <c r="CB355" s="199"/>
      <c r="CC355" s="197"/>
      <c r="CD355" s="198"/>
      <c r="CE355" s="199"/>
      <c r="CF355" s="197"/>
      <c r="CG355" s="198"/>
      <c r="CH355" s="199"/>
      <c r="CI355" s="197"/>
      <c r="CJ355" s="198"/>
      <c r="CK355" s="199"/>
      <c r="CL355" s="197"/>
      <c r="CM355" s="198"/>
      <c r="CN355" s="199"/>
      <c r="CO355" s="197"/>
      <c r="CP355" s="198"/>
      <c r="CQ355" s="199"/>
      <c r="CR355" s="197"/>
      <c r="CS355" s="198"/>
      <c r="CT355" s="199"/>
      <c r="CU355" s="197"/>
      <c r="CV355" s="198"/>
      <c r="CW355" s="199"/>
      <c r="CX355" s="197"/>
      <c r="CY355" s="198"/>
      <c r="CZ355" s="199"/>
    </row>
    <row r="356" spans="1:104" x14ac:dyDescent="0.2">
      <c r="A356" s="197" t="s">
        <v>201</v>
      </c>
      <c r="B356" s="199"/>
      <c r="C356" s="197"/>
      <c r="D356" s="198"/>
      <c r="E356" s="199"/>
      <c r="F356" s="197"/>
      <c r="G356" s="198"/>
      <c r="H356" s="199"/>
      <c r="I356" s="197"/>
      <c r="J356" s="198"/>
      <c r="K356" s="199"/>
      <c r="L356" s="197"/>
      <c r="M356" s="198"/>
      <c r="N356" s="199"/>
      <c r="O356" s="197"/>
      <c r="P356" s="198"/>
      <c r="Q356" s="199"/>
      <c r="R356" s="197"/>
      <c r="S356" s="198"/>
      <c r="T356" s="199"/>
      <c r="U356" s="197"/>
      <c r="V356" s="198"/>
      <c r="W356" s="199"/>
      <c r="X356" s="197"/>
      <c r="Y356" s="198"/>
      <c r="Z356" s="199"/>
      <c r="AA356" s="197"/>
      <c r="AB356" s="198"/>
      <c r="AC356" s="199"/>
      <c r="AD356" s="197"/>
      <c r="AE356" s="198"/>
      <c r="AF356" s="199"/>
      <c r="AG356" s="197"/>
      <c r="AH356" s="198"/>
      <c r="AI356" s="199"/>
      <c r="AJ356" s="197"/>
      <c r="AK356" s="198"/>
      <c r="AL356" s="199"/>
      <c r="AM356" s="197"/>
      <c r="AN356" s="198"/>
      <c r="AO356" s="199"/>
      <c r="AP356" s="197"/>
      <c r="AQ356" s="198"/>
      <c r="AR356" s="199"/>
      <c r="AS356" s="197"/>
      <c r="AT356" s="198"/>
      <c r="AU356" s="199"/>
      <c r="AV356" s="197"/>
      <c r="AW356" s="198"/>
      <c r="AX356" s="199"/>
      <c r="AY356" s="197"/>
      <c r="AZ356" s="198"/>
      <c r="BA356" s="199"/>
      <c r="BB356" s="197"/>
      <c r="BC356" s="198"/>
      <c r="BD356" s="199"/>
      <c r="BE356" s="197"/>
      <c r="BF356" s="198"/>
      <c r="BG356" s="199"/>
      <c r="BH356" s="197"/>
      <c r="BI356" s="198"/>
      <c r="BJ356" s="199"/>
      <c r="BK356" s="197"/>
      <c r="BL356" s="198"/>
      <c r="BM356" s="199"/>
      <c r="BN356" s="197"/>
      <c r="BO356" s="198"/>
      <c r="BP356" s="199"/>
      <c r="BQ356" s="197"/>
      <c r="BR356" s="198"/>
      <c r="BS356" s="199"/>
      <c r="BT356" s="197"/>
      <c r="BU356" s="198"/>
      <c r="BV356" s="199"/>
      <c r="BW356" s="197"/>
      <c r="BX356" s="198"/>
      <c r="BY356" s="199"/>
      <c r="BZ356" s="197"/>
      <c r="CA356" s="198"/>
      <c r="CB356" s="199"/>
      <c r="CC356" s="197"/>
      <c r="CD356" s="198"/>
      <c r="CE356" s="199"/>
      <c r="CF356" s="197"/>
      <c r="CG356" s="198"/>
      <c r="CH356" s="199"/>
      <c r="CI356" s="197"/>
      <c r="CJ356" s="198"/>
      <c r="CK356" s="199"/>
      <c r="CL356" s="197"/>
      <c r="CM356" s="198"/>
      <c r="CN356" s="199"/>
      <c r="CO356" s="197"/>
      <c r="CP356" s="198"/>
      <c r="CQ356" s="199"/>
      <c r="CR356" s="197"/>
      <c r="CS356" s="198"/>
      <c r="CT356" s="199"/>
      <c r="CU356" s="197"/>
      <c r="CV356" s="198"/>
      <c r="CW356" s="199"/>
      <c r="CX356" s="197"/>
      <c r="CY356" s="198"/>
      <c r="CZ356" s="199"/>
    </row>
    <row r="357" spans="1:104" x14ac:dyDescent="0.2">
      <c r="A357" s="197" t="s">
        <v>202</v>
      </c>
      <c r="B357" s="199"/>
      <c r="C357" s="197"/>
      <c r="D357" s="198"/>
      <c r="E357" s="199"/>
      <c r="F357" s="197"/>
      <c r="G357" s="198"/>
      <c r="H357" s="199"/>
      <c r="I357" s="197"/>
      <c r="J357" s="198"/>
      <c r="K357" s="199"/>
      <c r="L357" s="197"/>
      <c r="M357" s="198"/>
      <c r="N357" s="199"/>
      <c r="O357" s="197"/>
      <c r="P357" s="198"/>
      <c r="Q357" s="199"/>
      <c r="R357" s="197"/>
      <c r="S357" s="198"/>
      <c r="T357" s="199"/>
      <c r="U357" s="197"/>
      <c r="V357" s="198"/>
      <c r="W357" s="199"/>
      <c r="X357" s="197"/>
      <c r="Y357" s="198"/>
      <c r="Z357" s="199"/>
      <c r="AA357" s="197"/>
      <c r="AB357" s="198"/>
      <c r="AC357" s="199"/>
      <c r="AD357" s="197"/>
      <c r="AE357" s="198"/>
      <c r="AF357" s="199"/>
      <c r="AG357" s="197"/>
      <c r="AH357" s="198"/>
      <c r="AI357" s="199"/>
      <c r="AJ357" s="197"/>
      <c r="AK357" s="198"/>
      <c r="AL357" s="199"/>
      <c r="AM357" s="197"/>
      <c r="AN357" s="198"/>
      <c r="AO357" s="199"/>
      <c r="AP357" s="197"/>
      <c r="AQ357" s="198"/>
      <c r="AR357" s="199"/>
      <c r="AS357" s="197"/>
      <c r="AT357" s="198"/>
      <c r="AU357" s="199"/>
      <c r="AV357" s="197"/>
      <c r="AW357" s="198"/>
      <c r="AX357" s="199"/>
      <c r="AY357" s="197"/>
      <c r="AZ357" s="198"/>
      <c r="BA357" s="199"/>
      <c r="BB357" s="197"/>
      <c r="BC357" s="198"/>
      <c r="BD357" s="199"/>
      <c r="BE357" s="197"/>
      <c r="BF357" s="198"/>
      <c r="BG357" s="199"/>
      <c r="BH357" s="197"/>
      <c r="BI357" s="198"/>
      <c r="BJ357" s="199"/>
      <c r="BK357" s="197"/>
      <c r="BL357" s="198"/>
      <c r="BM357" s="199"/>
      <c r="BN357" s="197"/>
      <c r="BO357" s="198"/>
      <c r="BP357" s="199"/>
      <c r="BQ357" s="197"/>
      <c r="BR357" s="198"/>
      <c r="BS357" s="199"/>
      <c r="BT357" s="197"/>
      <c r="BU357" s="198"/>
      <c r="BV357" s="199"/>
      <c r="BW357" s="197"/>
      <c r="BX357" s="198"/>
      <c r="BY357" s="199"/>
      <c r="BZ357" s="197"/>
      <c r="CA357" s="198"/>
      <c r="CB357" s="199"/>
      <c r="CC357" s="197"/>
      <c r="CD357" s="198"/>
      <c r="CE357" s="199"/>
      <c r="CF357" s="197"/>
      <c r="CG357" s="198"/>
      <c r="CH357" s="199"/>
      <c r="CI357" s="197"/>
      <c r="CJ357" s="198"/>
      <c r="CK357" s="199"/>
      <c r="CL357" s="197"/>
      <c r="CM357" s="198"/>
      <c r="CN357" s="199"/>
      <c r="CO357" s="197"/>
      <c r="CP357" s="198"/>
      <c r="CQ357" s="199"/>
      <c r="CR357" s="197"/>
      <c r="CS357" s="198"/>
      <c r="CT357" s="199"/>
      <c r="CU357" s="197"/>
      <c r="CV357" s="198"/>
      <c r="CW357" s="199"/>
      <c r="CX357" s="197"/>
      <c r="CY357" s="198"/>
      <c r="CZ357" s="199"/>
    </row>
    <row r="358" spans="1:104" x14ac:dyDescent="0.2">
      <c r="A358" s="197" t="s">
        <v>203</v>
      </c>
      <c r="B358" s="199"/>
      <c r="C358" s="197"/>
      <c r="D358" s="198"/>
      <c r="E358" s="199"/>
      <c r="F358" s="197"/>
      <c r="G358" s="198"/>
      <c r="H358" s="199"/>
      <c r="I358" s="197"/>
      <c r="J358" s="198"/>
      <c r="K358" s="199"/>
      <c r="L358" s="197"/>
      <c r="M358" s="198"/>
      <c r="N358" s="199"/>
      <c r="O358" s="197"/>
      <c r="P358" s="198"/>
      <c r="Q358" s="199"/>
      <c r="R358" s="197"/>
      <c r="S358" s="198"/>
      <c r="T358" s="199"/>
      <c r="U358" s="197"/>
      <c r="V358" s="198"/>
      <c r="W358" s="199"/>
      <c r="X358" s="197"/>
      <c r="Y358" s="198"/>
      <c r="Z358" s="199"/>
      <c r="AA358" s="197"/>
      <c r="AB358" s="198"/>
      <c r="AC358" s="199"/>
      <c r="AD358" s="197"/>
      <c r="AE358" s="198"/>
      <c r="AF358" s="199"/>
      <c r="AG358" s="197"/>
      <c r="AH358" s="198"/>
      <c r="AI358" s="199"/>
      <c r="AJ358" s="197"/>
      <c r="AK358" s="198"/>
      <c r="AL358" s="199"/>
      <c r="AM358" s="197"/>
      <c r="AN358" s="198"/>
      <c r="AO358" s="199"/>
      <c r="AP358" s="197"/>
      <c r="AQ358" s="198"/>
      <c r="AR358" s="199"/>
      <c r="AS358" s="197"/>
      <c r="AT358" s="198"/>
      <c r="AU358" s="199"/>
      <c r="AV358" s="197"/>
      <c r="AW358" s="198"/>
      <c r="AX358" s="199"/>
      <c r="AY358" s="197"/>
      <c r="AZ358" s="198"/>
      <c r="BA358" s="199"/>
      <c r="BB358" s="197"/>
      <c r="BC358" s="198"/>
      <c r="BD358" s="199"/>
      <c r="BE358" s="197"/>
      <c r="BF358" s="198"/>
      <c r="BG358" s="199"/>
      <c r="BH358" s="197"/>
      <c r="BI358" s="198"/>
      <c r="BJ358" s="199"/>
      <c r="BK358" s="197"/>
      <c r="BL358" s="198"/>
      <c r="BM358" s="199"/>
      <c r="BN358" s="197"/>
      <c r="BO358" s="198"/>
      <c r="BP358" s="199"/>
      <c r="BQ358" s="197"/>
      <c r="BR358" s="198"/>
      <c r="BS358" s="199"/>
      <c r="BT358" s="197"/>
      <c r="BU358" s="198"/>
      <c r="BV358" s="199"/>
      <c r="BW358" s="197"/>
      <c r="BX358" s="198"/>
      <c r="BY358" s="199"/>
      <c r="BZ358" s="197"/>
      <c r="CA358" s="198"/>
      <c r="CB358" s="199"/>
      <c r="CC358" s="197"/>
      <c r="CD358" s="198"/>
      <c r="CE358" s="199"/>
      <c r="CF358" s="197"/>
      <c r="CG358" s="198"/>
      <c r="CH358" s="199"/>
      <c r="CI358" s="197"/>
      <c r="CJ358" s="198"/>
      <c r="CK358" s="199"/>
      <c r="CL358" s="197"/>
      <c r="CM358" s="198"/>
      <c r="CN358" s="199"/>
      <c r="CO358" s="197"/>
      <c r="CP358" s="198"/>
      <c r="CQ358" s="199"/>
      <c r="CR358" s="197"/>
      <c r="CS358" s="198"/>
      <c r="CT358" s="199"/>
      <c r="CU358" s="197"/>
      <c r="CV358" s="198"/>
      <c r="CW358" s="199"/>
      <c r="CX358" s="197"/>
      <c r="CY358" s="198"/>
      <c r="CZ358" s="199"/>
    </row>
    <row r="359" spans="1:104" s="2" customFormat="1" x14ac:dyDescent="0.2">
      <c r="A359" s="197"/>
      <c r="B359" s="199"/>
      <c r="C359" s="200"/>
      <c r="D359" s="201"/>
      <c r="E359" s="202"/>
      <c r="F359" s="200"/>
      <c r="G359" s="201"/>
      <c r="H359" s="202"/>
      <c r="I359" s="200"/>
      <c r="J359" s="201"/>
      <c r="K359" s="202"/>
      <c r="L359" s="200"/>
      <c r="M359" s="201"/>
      <c r="N359" s="202"/>
      <c r="O359" s="200"/>
      <c r="P359" s="201"/>
      <c r="Q359" s="202"/>
      <c r="R359" s="200"/>
      <c r="S359" s="201"/>
      <c r="T359" s="202"/>
      <c r="U359" s="200"/>
      <c r="V359" s="201"/>
      <c r="W359" s="202"/>
      <c r="X359" s="200"/>
      <c r="Y359" s="201"/>
      <c r="Z359" s="202"/>
      <c r="AA359" s="200"/>
      <c r="AB359" s="201"/>
      <c r="AC359" s="202"/>
      <c r="AD359" s="200"/>
      <c r="AE359" s="201"/>
      <c r="AF359" s="202"/>
      <c r="AG359" s="200"/>
      <c r="AH359" s="201"/>
      <c r="AI359" s="202"/>
      <c r="AJ359" s="200"/>
      <c r="AK359" s="201"/>
      <c r="AL359" s="202"/>
      <c r="AM359" s="200"/>
      <c r="AN359" s="201"/>
      <c r="AO359" s="202"/>
      <c r="AP359" s="200"/>
      <c r="AQ359" s="201"/>
      <c r="AR359" s="202"/>
      <c r="AS359" s="200"/>
      <c r="AT359" s="201"/>
      <c r="AU359" s="202"/>
      <c r="AV359" s="200"/>
      <c r="AW359" s="201"/>
      <c r="AX359" s="202"/>
      <c r="AY359" s="200"/>
      <c r="AZ359" s="201"/>
      <c r="BA359" s="202"/>
      <c r="BB359" s="200"/>
      <c r="BC359" s="201"/>
      <c r="BD359" s="202"/>
      <c r="BE359" s="200"/>
      <c r="BF359" s="201"/>
      <c r="BG359" s="202"/>
      <c r="BH359" s="200"/>
      <c r="BI359" s="201"/>
      <c r="BJ359" s="202"/>
      <c r="BK359" s="200"/>
      <c r="BL359" s="201"/>
      <c r="BM359" s="202"/>
      <c r="BN359" s="200"/>
      <c r="BO359" s="201"/>
      <c r="BP359" s="202"/>
      <c r="BQ359" s="200"/>
      <c r="BR359" s="201"/>
      <c r="BS359" s="202"/>
      <c r="BT359" s="200"/>
      <c r="BU359" s="201"/>
      <c r="BV359" s="202"/>
      <c r="BW359" s="200"/>
      <c r="BX359" s="201"/>
      <c r="BY359" s="202"/>
      <c r="BZ359" s="200"/>
      <c r="CA359" s="201"/>
      <c r="CB359" s="202"/>
      <c r="CC359" s="200"/>
      <c r="CD359" s="201"/>
      <c r="CE359" s="202"/>
      <c r="CF359" s="200"/>
      <c r="CG359" s="201"/>
      <c r="CH359" s="202"/>
      <c r="CI359" s="200"/>
      <c r="CJ359" s="201"/>
      <c r="CK359" s="202"/>
      <c r="CL359" s="200"/>
      <c r="CM359" s="201"/>
      <c r="CN359" s="202"/>
      <c r="CO359" s="200"/>
      <c r="CP359" s="201"/>
      <c r="CQ359" s="202"/>
      <c r="CR359" s="200"/>
      <c r="CS359" s="201"/>
      <c r="CT359" s="202"/>
      <c r="CU359" s="200"/>
      <c r="CV359" s="201"/>
      <c r="CW359" s="202"/>
      <c r="CX359" s="200"/>
      <c r="CY359" s="201"/>
      <c r="CZ359" s="202"/>
    </row>
    <row r="360" spans="1:104" x14ac:dyDescent="0.2">
      <c r="A360" s="200" t="s">
        <v>213</v>
      </c>
      <c r="B360" s="202"/>
      <c r="C360" s="197"/>
      <c r="D360" s="198"/>
      <c r="E360" s="199"/>
      <c r="F360" s="197"/>
      <c r="G360" s="198"/>
      <c r="H360" s="199"/>
      <c r="I360" s="197"/>
      <c r="J360" s="198"/>
      <c r="K360" s="199"/>
      <c r="L360" s="197"/>
      <c r="M360" s="198"/>
      <c r="N360" s="199"/>
      <c r="O360" s="197"/>
      <c r="P360" s="198"/>
      <c r="Q360" s="199"/>
      <c r="R360" s="197"/>
      <c r="S360" s="198"/>
      <c r="T360" s="199"/>
      <c r="U360" s="197"/>
      <c r="V360" s="198"/>
      <c r="W360" s="199"/>
      <c r="X360" s="197"/>
      <c r="Y360" s="198"/>
      <c r="Z360" s="199"/>
      <c r="AA360" s="197"/>
      <c r="AB360" s="198"/>
      <c r="AC360" s="199"/>
      <c r="AD360" s="197"/>
      <c r="AE360" s="198"/>
      <c r="AF360" s="199"/>
      <c r="AG360" s="197"/>
      <c r="AH360" s="198"/>
      <c r="AI360" s="199"/>
      <c r="AJ360" s="197"/>
      <c r="AK360" s="198"/>
      <c r="AL360" s="199"/>
      <c r="AM360" s="197"/>
      <c r="AN360" s="198"/>
      <c r="AO360" s="199"/>
      <c r="AP360" s="197"/>
      <c r="AQ360" s="198"/>
      <c r="AR360" s="199"/>
      <c r="AS360" s="197"/>
      <c r="AT360" s="198"/>
      <c r="AU360" s="199"/>
      <c r="AV360" s="197"/>
      <c r="AW360" s="198"/>
      <c r="AX360" s="199"/>
      <c r="AY360" s="197"/>
      <c r="AZ360" s="198"/>
      <c r="BA360" s="199"/>
      <c r="BB360" s="197"/>
      <c r="BC360" s="198"/>
      <c r="BD360" s="199"/>
      <c r="BE360" s="197"/>
      <c r="BF360" s="198"/>
      <c r="BG360" s="199"/>
      <c r="BH360" s="197"/>
      <c r="BI360" s="198"/>
      <c r="BJ360" s="199"/>
      <c r="BK360" s="197"/>
      <c r="BL360" s="198"/>
      <c r="BM360" s="199"/>
      <c r="BN360" s="197"/>
      <c r="BO360" s="198"/>
      <c r="BP360" s="199"/>
      <c r="BQ360" s="197"/>
      <c r="BR360" s="198"/>
      <c r="BS360" s="199"/>
      <c r="BT360" s="197"/>
      <c r="BU360" s="198"/>
      <c r="BV360" s="199"/>
      <c r="BW360" s="197"/>
      <c r="BX360" s="198"/>
      <c r="BY360" s="199"/>
      <c r="BZ360" s="197"/>
      <c r="CA360" s="198"/>
      <c r="CB360" s="199"/>
      <c r="CC360" s="197"/>
      <c r="CD360" s="198"/>
      <c r="CE360" s="199"/>
      <c r="CF360" s="197"/>
      <c r="CG360" s="198"/>
      <c r="CH360" s="199"/>
      <c r="CI360" s="197"/>
      <c r="CJ360" s="198"/>
      <c r="CK360" s="199"/>
      <c r="CL360" s="197"/>
      <c r="CM360" s="198"/>
      <c r="CN360" s="199"/>
      <c r="CO360" s="197"/>
      <c r="CP360" s="198"/>
      <c r="CQ360" s="199"/>
      <c r="CR360" s="197"/>
      <c r="CS360" s="198"/>
      <c r="CT360" s="199"/>
      <c r="CU360" s="197"/>
      <c r="CV360" s="198"/>
      <c r="CW360" s="199"/>
      <c r="CX360" s="197"/>
      <c r="CY360" s="198"/>
      <c r="CZ360" s="199"/>
    </row>
    <row r="361" spans="1:104" x14ac:dyDescent="0.2">
      <c r="A361" s="197" t="s">
        <v>242</v>
      </c>
      <c r="B361" s="199"/>
      <c r="C361" s="197"/>
      <c r="D361" s="198"/>
      <c r="E361" s="199"/>
      <c r="F361" s="197"/>
      <c r="G361" s="198"/>
      <c r="H361" s="199"/>
      <c r="I361" s="197"/>
      <c r="J361" s="198"/>
      <c r="K361" s="199"/>
      <c r="L361" s="197"/>
      <c r="M361" s="198"/>
      <c r="N361" s="199"/>
      <c r="O361" s="197"/>
      <c r="P361" s="198"/>
      <c r="Q361" s="199"/>
      <c r="R361" s="197"/>
      <c r="S361" s="198"/>
      <c r="T361" s="199"/>
      <c r="U361" s="197"/>
      <c r="V361" s="198"/>
      <c r="W361" s="199"/>
      <c r="X361" s="197"/>
      <c r="Y361" s="198"/>
      <c r="Z361" s="199"/>
      <c r="AA361" s="197"/>
      <c r="AB361" s="198"/>
      <c r="AC361" s="199"/>
      <c r="AD361" s="197"/>
      <c r="AE361" s="198"/>
      <c r="AF361" s="199"/>
      <c r="AG361" s="197"/>
      <c r="AH361" s="198"/>
      <c r="AI361" s="199"/>
      <c r="AJ361" s="197"/>
      <c r="AK361" s="198"/>
      <c r="AL361" s="199"/>
      <c r="AM361" s="197"/>
      <c r="AN361" s="198"/>
      <c r="AO361" s="199"/>
      <c r="AP361" s="197"/>
      <c r="AQ361" s="198"/>
      <c r="AR361" s="199"/>
      <c r="AS361" s="197"/>
      <c r="AT361" s="198"/>
      <c r="AU361" s="199"/>
      <c r="AV361" s="197"/>
      <c r="AW361" s="198"/>
      <c r="AX361" s="199"/>
      <c r="AY361" s="197"/>
      <c r="AZ361" s="198"/>
      <c r="BA361" s="199"/>
      <c r="BB361" s="197"/>
      <c r="BC361" s="198"/>
      <c r="BD361" s="199"/>
      <c r="BE361" s="197"/>
      <c r="BF361" s="198"/>
      <c r="BG361" s="199"/>
      <c r="BH361" s="197"/>
      <c r="BI361" s="198"/>
      <c r="BJ361" s="199"/>
      <c r="BK361" s="197"/>
      <c r="BL361" s="198"/>
      <c r="BM361" s="199"/>
      <c r="BN361" s="197"/>
      <c r="BO361" s="198"/>
      <c r="BP361" s="199"/>
      <c r="BQ361" s="197"/>
      <c r="BR361" s="198"/>
      <c r="BS361" s="199"/>
      <c r="BT361" s="197"/>
      <c r="BU361" s="198"/>
      <c r="BV361" s="199"/>
      <c r="BW361" s="197"/>
      <c r="BX361" s="198"/>
      <c r="BY361" s="199"/>
      <c r="BZ361" s="197"/>
      <c r="CA361" s="198"/>
      <c r="CB361" s="199"/>
      <c r="CC361" s="197"/>
      <c r="CD361" s="198"/>
      <c r="CE361" s="199"/>
      <c r="CF361" s="197"/>
      <c r="CG361" s="198"/>
      <c r="CH361" s="199"/>
      <c r="CI361" s="197"/>
      <c r="CJ361" s="198"/>
      <c r="CK361" s="199"/>
      <c r="CL361" s="197"/>
      <c r="CM361" s="198"/>
      <c r="CN361" s="199"/>
      <c r="CO361" s="197"/>
      <c r="CP361" s="198"/>
      <c r="CQ361" s="199"/>
      <c r="CR361" s="197"/>
      <c r="CS361" s="198"/>
      <c r="CT361" s="199"/>
      <c r="CU361" s="197"/>
      <c r="CV361" s="198"/>
      <c r="CW361" s="199"/>
      <c r="CX361" s="197"/>
      <c r="CY361" s="198"/>
      <c r="CZ361" s="199"/>
    </row>
    <row r="362" spans="1:104" x14ac:dyDescent="0.2">
      <c r="A362" s="197" t="s">
        <v>243</v>
      </c>
      <c r="B362" s="199"/>
      <c r="C362" s="197"/>
      <c r="D362" s="198"/>
      <c r="E362" s="199"/>
      <c r="F362" s="197"/>
      <c r="G362" s="198"/>
      <c r="H362" s="199"/>
      <c r="I362" s="197"/>
      <c r="J362" s="198"/>
      <c r="K362" s="199"/>
      <c r="L362" s="197"/>
      <c r="M362" s="198"/>
      <c r="N362" s="199"/>
      <c r="O362" s="197"/>
      <c r="P362" s="198"/>
      <c r="Q362" s="199"/>
      <c r="R362" s="197"/>
      <c r="S362" s="198"/>
      <c r="T362" s="199"/>
      <c r="U362" s="197"/>
      <c r="V362" s="198"/>
      <c r="W362" s="199"/>
      <c r="X362" s="197"/>
      <c r="Y362" s="198"/>
      <c r="Z362" s="199"/>
      <c r="AA362" s="197"/>
      <c r="AB362" s="198"/>
      <c r="AC362" s="199"/>
      <c r="AD362" s="197"/>
      <c r="AE362" s="198"/>
      <c r="AF362" s="199"/>
      <c r="AG362" s="197"/>
      <c r="AH362" s="198"/>
      <c r="AI362" s="199"/>
      <c r="AJ362" s="197"/>
      <c r="AK362" s="198"/>
      <c r="AL362" s="199"/>
      <c r="AM362" s="197"/>
      <c r="AN362" s="198"/>
      <c r="AO362" s="199"/>
      <c r="AP362" s="197"/>
      <c r="AQ362" s="198"/>
      <c r="AR362" s="199"/>
      <c r="AS362" s="197"/>
      <c r="AT362" s="198"/>
      <c r="AU362" s="199"/>
      <c r="AV362" s="197"/>
      <c r="AW362" s="198"/>
      <c r="AX362" s="199"/>
      <c r="AY362" s="197"/>
      <c r="AZ362" s="198"/>
      <c r="BA362" s="199"/>
      <c r="BB362" s="197"/>
      <c r="BC362" s="198"/>
      <c r="BD362" s="199"/>
      <c r="BE362" s="197"/>
      <c r="BF362" s="198"/>
      <c r="BG362" s="199"/>
      <c r="BH362" s="197"/>
      <c r="BI362" s="198"/>
      <c r="BJ362" s="199"/>
      <c r="BK362" s="197"/>
      <c r="BL362" s="198"/>
      <c r="BM362" s="199"/>
      <c r="BN362" s="197"/>
      <c r="BO362" s="198"/>
      <c r="BP362" s="199"/>
      <c r="BQ362" s="197"/>
      <c r="BR362" s="198"/>
      <c r="BS362" s="199"/>
      <c r="BT362" s="197"/>
      <c r="BU362" s="198"/>
      <c r="BV362" s="199"/>
      <c r="BW362" s="197"/>
      <c r="BX362" s="198"/>
      <c r="BY362" s="199"/>
      <c r="BZ362" s="197"/>
      <c r="CA362" s="198"/>
      <c r="CB362" s="199"/>
      <c r="CC362" s="197"/>
      <c r="CD362" s="198"/>
      <c r="CE362" s="199"/>
      <c r="CF362" s="197"/>
      <c r="CG362" s="198"/>
      <c r="CH362" s="199"/>
      <c r="CI362" s="197"/>
      <c r="CJ362" s="198"/>
      <c r="CK362" s="199"/>
      <c r="CL362" s="197"/>
      <c r="CM362" s="198"/>
      <c r="CN362" s="199"/>
      <c r="CO362" s="197"/>
      <c r="CP362" s="198"/>
      <c r="CQ362" s="199"/>
      <c r="CR362" s="197"/>
      <c r="CS362" s="198"/>
      <c r="CT362" s="199"/>
      <c r="CU362" s="197"/>
      <c r="CV362" s="198"/>
      <c r="CW362" s="199"/>
      <c r="CX362" s="197"/>
      <c r="CY362" s="198"/>
      <c r="CZ362" s="199"/>
    </row>
    <row r="363" spans="1:104" ht="13.5" thickBot="1" x14ac:dyDescent="0.25">
      <c r="A363" s="203" t="s">
        <v>244</v>
      </c>
      <c r="B363" s="204"/>
      <c r="C363" s="203"/>
      <c r="D363" s="16"/>
      <c r="E363" s="204"/>
      <c r="F363" s="203"/>
      <c r="G363" s="16"/>
      <c r="H363" s="204"/>
      <c r="I363" s="203"/>
      <c r="J363" s="16"/>
      <c r="K363" s="204"/>
      <c r="L363" s="203"/>
      <c r="M363" s="16"/>
      <c r="N363" s="204"/>
      <c r="O363" s="203"/>
      <c r="P363" s="16"/>
      <c r="Q363" s="204"/>
      <c r="R363" s="203"/>
      <c r="S363" s="16"/>
      <c r="T363" s="204"/>
      <c r="U363" s="203"/>
      <c r="V363" s="16"/>
      <c r="W363" s="204"/>
      <c r="X363" s="203"/>
      <c r="Y363" s="16"/>
      <c r="Z363" s="204"/>
      <c r="AA363" s="203"/>
      <c r="AB363" s="16"/>
      <c r="AC363" s="204"/>
      <c r="AD363" s="203"/>
      <c r="AE363" s="16"/>
      <c r="AF363" s="204"/>
      <c r="AG363" s="203"/>
      <c r="AH363" s="16"/>
      <c r="AI363" s="204"/>
      <c r="AJ363" s="203"/>
      <c r="AK363" s="16"/>
      <c r="AL363" s="204"/>
      <c r="AM363" s="203"/>
      <c r="AN363" s="16"/>
      <c r="AO363" s="204"/>
      <c r="AP363" s="203"/>
      <c r="AQ363" s="16"/>
      <c r="AR363" s="204"/>
      <c r="AS363" s="203"/>
      <c r="AT363" s="16"/>
      <c r="AU363" s="204"/>
      <c r="AV363" s="203"/>
      <c r="AW363" s="16"/>
      <c r="AX363" s="204"/>
      <c r="AY363" s="203"/>
      <c r="AZ363" s="16"/>
      <c r="BA363" s="204"/>
      <c r="BB363" s="203"/>
      <c r="BC363" s="16"/>
      <c r="BD363" s="204"/>
      <c r="BE363" s="203"/>
      <c r="BF363" s="16"/>
      <c r="BG363" s="204"/>
      <c r="BH363" s="203"/>
      <c r="BI363" s="16"/>
      <c r="BJ363" s="204"/>
      <c r="BK363" s="203"/>
      <c r="BL363" s="16"/>
      <c r="BM363" s="204"/>
      <c r="BN363" s="203"/>
      <c r="BO363" s="16"/>
      <c r="BP363" s="204"/>
      <c r="BQ363" s="203"/>
      <c r="BR363" s="16"/>
      <c r="BS363" s="204"/>
      <c r="BT363" s="203"/>
      <c r="BU363" s="16"/>
      <c r="BV363" s="204"/>
      <c r="BW363" s="203"/>
      <c r="BX363" s="16"/>
      <c r="BY363" s="204"/>
      <c r="BZ363" s="203"/>
      <c r="CA363" s="16"/>
      <c r="CB363" s="204"/>
      <c r="CC363" s="203"/>
      <c r="CD363" s="16"/>
      <c r="CE363" s="204"/>
      <c r="CF363" s="203"/>
      <c r="CG363" s="16"/>
      <c r="CH363" s="204"/>
      <c r="CI363" s="203"/>
      <c r="CJ363" s="16"/>
      <c r="CK363" s="204"/>
      <c r="CL363" s="203"/>
      <c r="CM363" s="16"/>
      <c r="CN363" s="204"/>
      <c r="CO363" s="203"/>
      <c r="CP363" s="16"/>
      <c r="CQ363" s="204"/>
      <c r="CR363" s="203"/>
      <c r="CS363" s="16"/>
      <c r="CT363" s="204"/>
      <c r="CU363" s="203"/>
      <c r="CV363" s="16"/>
      <c r="CW363" s="204"/>
      <c r="CX363" s="203"/>
      <c r="CY363" s="16"/>
      <c r="CZ363" s="204"/>
    </row>
  </sheetData>
  <mergeCells count="77">
    <mergeCell ref="CO1:CQ2"/>
    <mergeCell ref="CR1:CT2"/>
    <mergeCell ref="CU1:CW2"/>
    <mergeCell ref="CX1:CZ2"/>
    <mergeCell ref="CO3:CQ3"/>
    <mergeCell ref="CR3:CT3"/>
    <mergeCell ref="CU3:CW3"/>
    <mergeCell ref="CX3:CZ3"/>
    <mergeCell ref="BB1:BD2"/>
    <mergeCell ref="BE1:BG2"/>
    <mergeCell ref="BH1:BJ2"/>
    <mergeCell ref="BB3:BD3"/>
    <mergeCell ref="BE3:BG3"/>
    <mergeCell ref="BH3:BJ3"/>
    <mergeCell ref="AP1:AR2"/>
    <mergeCell ref="AS1:AU2"/>
    <mergeCell ref="AV1:AX2"/>
    <mergeCell ref="AY1:BA2"/>
    <mergeCell ref="AP3:AR3"/>
    <mergeCell ref="AS3:AU3"/>
    <mergeCell ref="AV3:AX3"/>
    <mergeCell ref="AY3:BA3"/>
    <mergeCell ref="I3:K3"/>
    <mergeCell ref="L1:N2"/>
    <mergeCell ref="O1:Q2"/>
    <mergeCell ref="R1:T2"/>
    <mergeCell ref="L3:N3"/>
    <mergeCell ref="O3:Q3"/>
    <mergeCell ref="R3:T3"/>
    <mergeCell ref="AG1:AI2"/>
    <mergeCell ref="AJ1:AL2"/>
    <mergeCell ref="AM1:AO2"/>
    <mergeCell ref="AG3:AI3"/>
    <mergeCell ref="AJ3:AL3"/>
    <mergeCell ref="AM3:AO3"/>
    <mergeCell ref="X1:Z2"/>
    <mergeCell ref="X3:Z3"/>
    <mergeCell ref="AA1:AC2"/>
    <mergeCell ref="AA3:AC3"/>
    <mergeCell ref="AD1:AF2"/>
    <mergeCell ref="AD3:AF3"/>
    <mergeCell ref="U1:W2"/>
    <mergeCell ref="U3:W3"/>
    <mergeCell ref="A312:A317"/>
    <mergeCell ref="A5:A110"/>
    <mergeCell ref="A2:B2"/>
    <mergeCell ref="A3:B3"/>
    <mergeCell ref="A112:A127"/>
    <mergeCell ref="A231:A292"/>
    <mergeCell ref="A196:A230"/>
    <mergeCell ref="A293:A311"/>
    <mergeCell ref="A128:A195"/>
    <mergeCell ref="C1:E2"/>
    <mergeCell ref="F1:H2"/>
    <mergeCell ref="I1:K2"/>
    <mergeCell ref="C3:E3"/>
    <mergeCell ref="F3:H3"/>
    <mergeCell ref="BK1:BM2"/>
    <mergeCell ref="BN1:BP2"/>
    <mergeCell ref="BQ1:BS2"/>
    <mergeCell ref="BK3:BM3"/>
    <mergeCell ref="BN3:BP3"/>
    <mergeCell ref="BQ3:BS3"/>
    <mergeCell ref="BT1:BV2"/>
    <mergeCell ref="BW1:BY2"/>
    <mergeCell ref="BZ1:CB2"/>
    <mergeCell ref="CC1:CE2"/>
    <mergeCell ref="BT3:BV3"/>
    <mergeCell ref="BW3:BY3"/>
    <mergeCell ref="BZ3:CB3"/>
    <mergeCell ref="CC3:CE3"/>
    <mergeCell ref="CF1:CH2"/>
    <mergeCell ref="CI1:CK2"/>
    <mergeCell ref="CL1:CN2"/>
    <mergeCell ref="CF3:CH3"/>
    <mergeCell ref="CI3:CK3"/>
    <mergeCell ref="CL3:CN3"/>
  </mergeCells>
  <phoneticPr fontId="0" type="noConversion"/>
  <pageMargins left="0.75" right="0.75" top="1" bottom="1" header="0" footer="0"/>
  <pageSetup paperSize="130" scale="20" orientation="portrait" horizontalDpi="1200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Brush" shapeId="4097" r:id="rId4">
          <objectPr defaultSize="0" autoPict="0" r:id="rId5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40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Entradas</vt:lpstr>
      <vt:lpstr>Salidas</vt:lpstr>
      <vt:lpstr>Ventas</vt:lpstr>
      <vt:lpstr>Ventas detalle</vt:lpstr>
      <vt:lpstr>Salidas!Área_de_impresión</vt:lpstr>
      <vt:lpstr>Ventas!Área_de_impresión</vt:lpstr>
      <vt:lpstr>'Ventas detalle'!Área_de_impresión</vt:lpstr>
      <vt:lpstr>Entradas!Títulos_a_imprimir</vt:lpstr>
    </vt:vector>
  </TitlesOfParts>
  <Company>Transmilenio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maria-agudelo</dc:creator>
  <cp:lastModifiedBy>Alexander Puentes G.</cp:lastModifiedBy>
  <cp:lastPrinted>2006-09-04T19:36:29Z</cp:lastPrinted>
  <dcterms:created xsi:type="dcterms:W3CDTF">2001-09-03T13:52:55Z</dcterms:created>
  <dcterms:modified xsi:type="dcterms:W3CDTF">2012-03-28T16:20:08Z</dcterms:modified>
</cp:coreProperties>
</file>